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C9EB39A-1DDC-49F5-B5EC-2D3DC59B2209}"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Races!$A$98:$A$119</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92" i="3"/>
  <c r="I91" i="3"/>
  <c r="AE136" i="1"/>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B96" i="6"/>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AY4" i="5"/>
  <c r="AZ4" i="5"/>
  <c r="BA4" i="5"/>
  <c r="BB4" i="5"/>
  <c r="BC4" i="5"/>
  <c r="BD4" i="5"/>
  <c r="BE4" i="5"/>
  <c r="BF4" i="5"/>
  <c r="BG4" i="5"/>
  <c r="BH4" i="5"/>
  <c r="BI4" i="5"/>
  <c r="BJ4" i="5"/>
  <c r="BK4" i="5"/>
  <c r="BL4" i="5"/>
  <c r="BM4" i="5"/>
  <c r="BN4" i="5"/>
  <c r="BO4" i="5"/>
  <c r="BP4" i="5"/>
  <c r="BQ4" i="5"/>
  <c r="D4" i="5"/>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I65" i="4"/>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I21" i="9" l="1"/>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O12" i="8"/>
  <c r="CO11" i="8"/>
  <c r="CO10" i="8"/>
  <c r="CO9" i="8"/>
  <c r="CO8" i="8"/>
  <c r="CO7" i="8"/>
  <c r="CO6" i="8"/>
  <c r="CO5" i="8"/>
  <c r="N5" i="2"/>
  <c r="DH4" i="5"/>
  <c r="B33" i="6"/>
  <c r="B47" i="6"/>
  <c r="B46" i="6"/>
  <c r="I4" i="1" s="1"/>
  <c r="AO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C4" i="2" l="1"/>
  <c r="F4" i="1" s="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H4" i="2"/>
  <c r="M6" i="2"/>
  <c r="B51" i="4"/>
  <c r="D5" i="12"/>
  <c r="F4" i="12"/>
  <c r="E4" i="12" s="1"/>
  <c r="K22" i="12"/>
  <c r="K25" i="12"/>
  <c r="K33" i="12"/>
  <c r="J4" i="12"/>
  <c r="D67" i="4"/>
  <c r="A35" i="6"/>
  <c r="I36" i="4"/>
  <c r="I37" i="4"/>
  <c r="A36" i="6"/>
  <c r="I8" i="12"/>
  <c r="J7" i="12"/>
  <c r="F1" i="14"/>
  <c r="AI23" i="9" l="1"/>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I4" i="2" s="1"/>
  <c r="I4" i="11" s="1"/>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CL4" i="8"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BL7" i="5" l="1" a="1"/>
  <c r="BL7" i="5" s="1"/>
  <c r="BL8" i="5" s="1" a="1"/>
  <c r="BL8" i="5" s="1"/>
  <c r="AW4" i="5"/>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D6" i="1" l="1"/>
  <c r="BF8" i="5" a="1"/>
  <c r="BF8" i="5" s="1"/>
  <c r="AE7" i="1" s="1"/>
  <c r="AW5" i="5"/>
  <c r="CL5" i="8"/>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BF9" i="5" l="1" a="1"/>
  <c r="BF9" i="5" s="1"/>
  <c r="AE8" i="1" s="1"/>
  <c r="S4" i="8"/>
  <c r="P4" i="8"/>
  <c r="AW6" i="5"/>
  <c r="CL6"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AV6" i="5"/>
  <c r="BP9" i="5" a="1"/>
  <c r="BP9" i="5" s="1"/>
  <c r="J9" i="2" s="1"/>
  <c r="BT5" i="8"/>
  <c r="AG5" i="7"/>
  <c r="AI5" i="7" s="1"/>
  <c r="AG4" i="7"/>
  <c r="AI4" i="7" s="1"/>
  <c r="AA4" i="8" s="1"/>
  <c r="O14" i="1"/>
  <c r="CE4" i="8"/>
  <c r="CX4" i="8" s="1"/>
  <c r="CY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CR5" i="8" l="1"/>
  <c r="P5" i="8"/>
  <c r="AW7" i="5"/>
  <c r="CL7"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AV7" i="5"/>
  <c r="BP10" i="5" a="1"/>
  <c r="BP10" i="5" s="1"/>
  <c r="J10" i="2"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W8" i="5"/>
  <c r="CL8" i="8"/>
  <c r="CC7" i="8"/>
  <c r="CV7" i="8" s="1"/>
  <c r="CW7" i="8" s="1"/>
  <c r="AC7" i="1"/>
  <c r="AI29" i="9"/>
  <c r="AO29" i="8" s="1"/>
  <c r="F4" i="2"/>
  <c r="AP4" i="1"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AV8" i="5"/>
  <c r="BP11" i="5" a="1"/>
  <c r="BP11" i="5" s="1"/>
  <c r="J11" i="2" s="1"/>
  <c r="AG6" i="7"/>
  <c r="AI6" i="7" s="1"/>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W9" i="5" l="1"/>
  <c r="CL9" i="8"/>
  <c r="CC8" i="8"/>
  <c r="AC8" i="1"/>
  <c r="G4" i="2"/>
  <c r="Z4" i="2" s="1"/>
  <c r="AA5" i="8" s="1"/>
  <c r="B5" i="8" s="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AV9" i="5"/>
  <c r="BP12" i="5" a="1"/>
  <c r="BP12" i="5" s="1"/>
  <c r="J12" i="2" s="1"/>
  <c r="AG7" i="7"/>
  <c r="AI7" i="7" s="1"/>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F16" i="8" l="1"/>
  <c r="F17" i="8" s="1"/>
  <c r="E16" i="8"/>
  <c r="E17" i="8" s="1"/>
  <c r="AW10" i="5"/>
  <c r="CL10" i="8"/>
  <c r="C4" i="8"/>
  <c r="AI31" i="9"/>
  <c r="AO31"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AV10" i="5"/>
  <c r="BP13" i="5" a="1"/>
  <c r="BP13" i="5" s="1"/>
  <c r="J13" i="2" s="1"/>
  <c r="X10" i="8"/>
  <c r="DD10" i="8" s="1"/>
  <c r="AG8" i="7"/>
  <c r="AI8" i="7" s="1"/>
  <c r="O18" i="1"/>
  <c r="BT9" i="8"/>
  <c r="BO9" i="8"/>
  <c r="BP9" i="8"/>
  <c r="BM9" i="8"/>
  <c r="BN9" i="8"/>
  <c r="BK9" i="8"/>
  <c r="BL9" i="8"/>
  <c r="BJ9" i="8"/>
  <c r="AC9" i="10"/>
  <c r="X9" i="10" s="1"/>
  <c r="AM9" i="5"/>
  <c r="AN9" i="5"/>
  <c r="Y4" i="2"/>
  <c r="AB5" i="7"/>
  <c r="AW5" i="8"/>
  <c r="H5" i="1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W11" i="5"/>
  <c r="CL11" i="8"/>
  <c r="CB10" i="8"/>
  <c r="CT10" i="8" s="1"/>
  <c r="AC10" i="1"/>
  <c r="AI32" i="9"/>
  <c r="AO32" i="8" s="1"/>
  <c r="E18" i="8"/>
  <c r="G16" i="8"/>
  <c r="CF15" i="8"/>
  <c r="O15" i="2"/>
  <c r="AZ15" i="5" a="1"/>
  <c r="AZ15" i="5" s="1"/>
  <c r="BI15" i="5" a="1"/>
  <c r="BI15" i="5" s="1"/>
  <c r="BC15" i="5" a="1"/>
  <c r="BC15" i="5" s="1"/>
  <c r="AM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F7" i="8"/>
  <c r="G7" i="1" s="1"/>
  <c r="N7" i="8" s="1"/>
  <c r="F18" i="8"/>
  <c r="AO10" i="5"/>
  <c r="AV11" i="5"/>
  <c r="BP14" i="5" a="1"/>
  <c r="BP14" i="5" s="1"/>
  <c r="J14" i="2" s="1"/>
  <c r="DH11" i="8"/>
  <c r="DI11" i="8" s="1"/>
  <c r="AG9" i="7"/>
  <c r="AI9" i="7"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W12" i="5" l="1"/>
  <c r="CL12" i="8"/>
  <c r="BY11" i="8"/>
  <c r="CQ11" i="8" s="1"/>
  <c r="CU11" i="8" s="1"/>
  <c r="AC11" i="1"/>
  <c r="AI33" i="9"/>
  <c r="AO33" i="8" s="1"/>
  <c r="E19" i="8"/>
  <c r="G17" i="8"/>
  <c r="CF16" i="8"/>
  <c r="O16" i="2"/>
  <c r="BI16" i="5" a="1"/>
  <c r="BI16" i="5" s="1"/>
  <c r="AM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DA11" i="8" s="1"/>
  <c r="F19" i="8"/>
  <c r="CQ10" i="8"/>
  <c r="CU10" i="8" s="1"/>
  <c r="AO11" i="5"/>
  <c r="AV12" i="5"/>
  <c r="BP15" i="5" a="1"/>
  <c r="BP15" i="5" s="1"/>
  <c r="J15" i="2" s="1"/>
  <c r="DH12" i="8"/>
  <c r="DI12" i="8" s="1"/>
  <c r="AG10" i="7"/>
  <c r="AI10" i="7" s="1"/>
  <c r="AG11" i="7"/>
  <c r="AI11" i="7"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W13" i="5" l="1"/>
  <c r="CL13" i="8"/>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AV13" i="5"/>
  <c r="BP16" i="5" a="1"/>
  <c r="BP16" i="5" s="1"/>
  <c r="J16" i="2" s="1"/>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DB12" i="8" l="1"/>
  <c r="P12" i="8"/>
  <c r="AW14" i="5"/>
  <c r="CL14" i="8"/>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AV14" i="5"/>
  <c r="BP17" i="5" a="1"/>
  <c r="BP17" i="5" s="1"/>
  <c r="J17" i="2" s="1"/>
  <c r="AG12" i="7"/>
  <c r="AI12" i="7"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W15" i="5" l="1"/>
  <c r="CL15" i="8"/>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W16" i="5"/>
  <c r="CL16" i="8"/>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M21" i="2"/>
  <c r="DB15" i="8" l="1"/>
  <c r="P15" i="8"/>
  <c r="AW17" i="5"/>
  <c r="CL17" i="8"/>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M22" i="2"/>
  <c r="AW18" i="5" l="1"/>
  <c r="CL18" i="8"/>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B20" i="1"/>
  <c r="DI20" i="5"/>
  <c r="DA19" i="5"/>
  <c r="DG19" i="5" s="1" a="1"/>
  <c r="DG19" i="5" s="1"/>
  <c r="AG29" i="9"/>
  <c r="AK29" i="9"/>
  <c r="AE91" i="9"/>
  <c r="B16" i="14"/>
  <c r="N5" i="1"/>
  <c r="S22" i="2"/>
  <c r="N23" i="2"/>
  <c r="R23" i="2"/>
  <c r="Q22" i="2"/>
  <c r="M23" i="2"/>
  <c r="P24" i="2"/>
  <c r="J24" i="10"/>
  <c r="N24" i="5" s="1"/>
  <c r="P17" i="8" l="1"/>
  <c r="AW19" i="5"/>
  <c r="CL19" i="8"/>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AR17" i="5"/>
  <c r="C21" i="5"/>
  <c r="DA20" i="5"/>
  <c r="DG20" i="5" s="1" a="1"/>
  <c r="DG20" i="5" s="1"/>
  <c r="AB21" i="1"/>
  <c r="DI21" i="5"/>
  <c r="AG30" i="9"/>
  <c r="AK30" i="9"/>
  <c r="AE92" i="9"/>
  <c r="N6" i="1"/>
  <c r="S23" i="2"/>
  <c r="N24" i="2"/>
  <c r="R24" i="2"/>
  <c r="Q23" i="2"/>
  <c r="J25" i="10"/>
  <c r="N25" i="5" s="1"/>
  <c r="P25" i="2"/>
  <c r="M24" i="2"/>
  <c r="P18" i="8" l="1"/>
  <c r="AW20" i="5"/>
  <c r="CL20" i="8"/>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W21" i="5" l="1"/>
  <c r="CL21" i="8"/>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AV21" i="5"/>
  <c r="BP24" i="5" a="1"/>
  <c r="BP24" i="5" s="1"/>
  <c r="J24" i="2" s="1"/>
  <c r="DH21" i="8"/>
  <c r="DI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P20" i="8" l="1"/>
  <c r="AW22" i="5"/>
  <c r="CL22" i="8"/>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R21" i="8" l="1"/>
  <c r="AI44" i="9"/>
  <c r="AO44" i="8" s="1"/>
  <c r="AW23" i="5"/>
  <c r="CL23" i="8"/>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AV23"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M28" i="2"/>
  <c r="AI45" i="9" l="1"/>
  <c r="AO45" i="8" s="1"/>
  <c r="P22" i="8"/>
  <c r="AW24" i="5"/>
  <c r="CL24" i="8"/>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AI46" i="9" l="1"/>
  <c r="AO46" i="8" s="1"/>
  <c r="AW25" i="5"/>
  <c r="CL25" i="8"/>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I47" i="9" l="1"/>
  <c r="AO47" i="8" s="1"/>
  <c r="P24" i="8"/>
  <c r="AW26" i="5"/>
  <c r="CL26" i="8"/>
  <c r="CB25" i="8"/>
  <c r="CT25" i="8" s="1"/>
  <c r="AC25" i="1"/>
  <c r="E33" i="8"/>
  <c r="AI48" i="9"/>
  <c r="AO48" i="8" s="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W27" i="5" l="1"/>
  <c r="CL27" i="8"/>
  <c r="E34" i="8"/>
  <c r="AI49" i="9"/>
  <c r="AO49"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M32" i="2"/>
  <c r="P26" i="8" l="1"/>
  <c r="AW28" i="5"/>
  <c r="CL28" i="8"/>
  <c r="E35" i="8"/>
  <c r="AI50" i="9"/>
  <c r="AO50" i="8" s="1"/>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M33" i="2"/>
  <c r="P27" i="8" l="1"/>
  <c r="AW29" i="5"/>
  <c r="CL29" i="8"/>
  <c r="E36" i="8"/>
  <c r="AI51" i="9"/>
  <c r="AO51" i="8" s="1"/>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AV29" i="5"/>
  <c r="BP32" i="5" a="1"/>
  <c r="BP32" i="5" s="1"/>
  <c r="J32" i="2" s="1"/>
  <c r="DH29" i="8"/>
  <c r="DI29" i="8" s="1"/>
  <c r="AG27" i="7"/>
  <c r="AI27" i="7" s="1"/>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M34" i="2"/>
  <c r="J35" i="10"/>
  <c r="N35" i="5" s="1"/>
  <c r="P35" i="2"/>
  <c r="P28" i="8" l="1"/>
  <c r="AW30" i="5"/>
  <c r="CL30" i="8"/>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AV30" i="5"/>
  <c r="BP33" i="5" a="1"/>
  <c r="BP33" i="5" s="1"/>
  <c r="J33" i="2" s="1"/>
  <c r="DH30" i="8"/>
  <c r="DI30" i="8" s="1"/>
  <c r="AG28" i="7"/>
  <c r="AI28" i="7" s="1"/>
  <c r="AG29" i="7"/>
  <c r="AI29" i="7"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P29" i="8" l="1"/>
  <c r="AW31" i="5"/>
  <c r="CL31" i="8"/>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P30" i="8" l="1"/>
  <c r="AW32" i="5"/>
  <c r="CL32" i="8"/>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CZ34" i="5"/>
  <c r="DA33" i="5"/>
  <c r="DG33" i="5" s="1" a="1"/>
  <c r="DG33" i="5" s="1"/>
  <c r="AB34" i="1"/>
  <c r="DI34" i="5"/>
  <c r="AG43" i="9"/>
  <c r="AK43" i="9"/>
  <c r="AE105" i="9"/>
  <c r="B31" i="14"/>
  <c r="N19" i="1"/>
  <c r="S36" i="2"/>
  <c r="N37" i="2"/>
  <c r="R37" i="2"/>
  <c r="Q36" i="2"/>
  <c r="J38" i="10"/>
  <c r="N38" i="5" s="1"/>
  <c r="P38" i="2"/>
  <c r="M37" i="2"/>
  <c r="P31" i="8" l="1"/>
  <c r="AW33" i="5"/>
  <c r="CL33" i="8"/>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AV33" i="5"/>
  <c r="BP36" i="5" a="1"/>
  <c r="BP36" i="5" s="1"/>
  <c r="J36" i="2" s="1"/>
  <c r="BT32" i="8"/>
  <c r="BX32" i="8"/>
  <c r="CD32" i="8" s="1"/>
  <c r="D33" i="9"/>
  <c r="AG32" i="7"/>
  <c r="AI32" i="7" s="1"/>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M38" i="2"/>
  <c r="J39" i="10"/>
  <c r="N39" i="5" s="1"/>
  <c r="P32" i="8" l="1"/>
  <c r="AW34" i="5"/>
  <c r="CL34" i="8"/>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W35" i="5" l="1"/>
  <c r="CL35" i="8"/>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AV35" i="5"/>
  <c r="BP38" i="5" a="1"/>
  <c r="BP38" i="5" s="1"/>
  <c r="J38" i="2" s="1"/>
  <c r="DH35" i="8"/>
  <c r="DI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M40" i="2"/>
  <c r="P34" i="8" l="1"/>
  <c r="AW36" i="5"/>
  <c r="CL36" i="8"/>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AV36" i="5"/>
  <c r="BP39" i="5" a="1"/>
  <c r="BP39" i="5" s="1"/>
  <c r="J39" i="2" s="1"/>
  <c r="AG35" i="7"/>
  <c r="AI35" i="7" s="1"/>
  <c r="AG34" i="7"/>
  <c r="AI34" i="7" s="1"/>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W37" i="5" l="1"/>
  <c r="CL37" i="8"/>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M42" i="2"/>
  <c r="P36" i="8" l="1"/>
  <c r="AW38" i="5"/>
  <c r="CL38" i="8"/>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AV38" i="5"/>
  <c r="BP41" i="5" a="1"/>
  <c r="BP41" i="5" s="1"/>
  <c r="J41" i="2" s="1"/>
  <c r="AG36" i="7"/>
  <c r="AI36" i="7" s="1"/>
  <c r="AG37" i="7"/>
  <c r="AI37" i="7" s="1"/>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DB37" i="8" l="1"/>
  <c r="P37" i="8"/>
  <c r="AW39" i="5"/>
  <c r="CL39" i="8"/>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M44" i="2"/>
  <c r="P38" i="8" l="1"/>
  <c r="AW40" i="5"/>
  <c r="CL40" i="8"/>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B38" i="14"/>
  <c r="DA41" i="5"/>
  <c r="DG41" i="5" s="1" a="1"/>
  <c r="DG41" i="5" s="1"/>
  <c r="AB42" i="1"/>
  <c r="DI42" i="5"/>
  <c r="AG51" i="9"/>
  <c r="AK51" i="9"/>
  <c r="AE113" i="9"/>
  <c r="N27" i="1"/>
  <c r="S44" i="2"/>
  <c r="N45" i="2"/>
  <c r="R45" i="2"/>
  <c r="Q44" i="2"/>
  <c r="P46" i="2"/>
  <c r="J46" i="10"/>
  <c r="N46" i="5" s="1"/>
  <c r="M45" i="2"/>
  <c r="P39" i="8" l="1"/>
  <c r="AW41" i="5"/>
  <c r="CL41" i="8"/>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AV41" i="5"/>
  <c r="BP44" i="5" a="1"/>
  <c r="BP44" i="5" s="1"/>
  <c r="J44" i="2" s="1"/>
  <c r="CE39" i="8"/>
  <c r="CX39" i="8" s="1"/>
  <c r="CY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P40" i="8" l="1"/>
  <c r="AW42" i="5"/>
  <c r="CL42" i="8"/>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P41" i="8" l="1"/>
  <c r="AW43" i="5"/>
  <c r="CL43" i="8"/>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P42" i="8" l="1"/>
  <c r="AW44" i="5"/>
  <c r="CL44" i="8"/>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AV44" i="5"/>
  <c r="BP47" i="5" a="1"/>
  <c r="BP47" i="5" s="1"/>
  <c r="J47" i="2" s="1"/>
  <c r="X44" i="8"/>
  <c r="DD44" i="8" s="1"/>
  <c r="AG42" i="7"/>
  <c r="AI42" i="7" s="1"/>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W45" i="5" l="1"/>
  <c r="CL45" i="8"/>
  <c r="BZ44" i="8"/>
  <c r="AC44" i="1"/>
  <c r="E52" i="8"/>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R44" i="8" l="1"/>
  <c r="AW46" i="5"/>
  <c r="CL46" i="8"/>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AV46" i="5"/>
  <c r="BP49" i="5" a="1"/>
  <c r="BP49" i="5" s="1"/>
  <c r="J49" i="2" s="1"/>
  <c r="AG44" i="7"/>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M51" i="2"/>
  <c r="P52" i="2"/>
  <c r="J52" i="10"/>
  <c r="N52" i="5" s="1"/>
  <c r="P45" i="8" l="1"/>
  <c r="AW47" i="5"/>
  <c r="CL47" i="8"/>
  <c r="E54"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M52" i="2"/>
  <c r="P53" i="2"/>
  <c r="P46" i="8" l="1"/>
  <c r="AW48" i="5"/>
  <c r="CL48" i="8"/>
  <c r="CH47" i="8"/>
  <c r="CZ47" i="8" s="1"/>
  <c r="AC47" i="1"/>
  <c r="E55" i="8"/>
  <c r="AI70" i="9"/>
  <c r="AO70" i="8" s="1"/>
  <c r="G53" i="8"/>
  <c r="CF52" i="8"/>
  <c r="O52" i="2"/>
  <c r="AT51" i="5"/>
  <c r="BI52" i="5" a="1"/>
  <c r="BI52" i="5" s="1"/>
  <c r="BF52" i="5" a="1"/>
  <c r="BF52" i="5" s="1"/>
  <c r="AE51" i="1" s="1"/>
  <c r="AM59" i="9"/>
  <c r="BR47" i="8"/>
  <c r="BS47" i="8"/>
  <c r="AD50" i="1"/>
  <c r="DF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DB47" i="8" l="1"/>
  <c r="P47" i="8"/>
  <c r="AW49" i="5"/>
  <c r="CL49" i="8"/>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AV49" i="5"/>
  <c r="BP52" i="5" a="1"/>
  <c r="BP52" i="5" s="1"/>
  <c r="J52" i="2" s="1"/>
  <c r="AG47" i="7"/>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W50" i="5" l="1"/>
  <c r="CL50" i="8"/>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CR48" i="8"/>
  <c r="DI52" i="5"/>
  <c r="AB52" i="1"/>
  <c r="DA51" i="5"/>
  <c r="DG51" i="5" s="1" a="1"/>
  <c r="DG51" i="5" s="1"/>
  <c r="AQ5" i="5"/>
  <c r="AG61" i="9"/>
  <c r="AK61" i="9"/>
  <c r="AE123" i="9"/>
  <c r="N37" i="1"/>
  <c r="S54" i="2"/>
  <c r="N55" i="2"/>
  <c r="R55" i="2"/>
  <c r="Q54" i="2"/>
  <c r="M55" i="2"/>
  <c r="J56" i="10"/>
  <c r="N56" i="5" s="1"/>
  <c r="P56" i="2"/>
  <c r="AW51" i="5" l="1"/>
  <c r="CL51" i="8"/>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M56" i="2"/>
  <c r="AW52" i="5" l="1"/>
  <c r="CL52" i="8"/>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M57" i="2"/>
  <c r="J58" i="10"/>
  <c r="N58" i="5" s="1"/>
  <c r="P51" i="8" l="1"/>
  <c r="AW53" i="5"/>
  <c r="CL53" i="8"/>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M58" i="2"/>
  <c r="P52" i="8" l="1"/>
  <c r="AW54" i="5"/>
  <c r="CL54" i="8"/>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AV54" i="5"/>
  <c r="BP57" i="5" a="1"/>
  <c r="BP57" i="5" s="1"/>
  <c r="J57" i="2" s="1"/>
  <c r="AG52" i="7"/>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AR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P53" i="8" l="1"/>
  <c r="AW55" i="5"/>
  <c r="CL55" i="8"/>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N52" i="8"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AR53" i="5"/>
  <c r="CZ57" i="5"/>
  <c r="AE54" i="7"/>
  <c r="AF54" i="7" s="1"/>
  <c r="Q54" i="7"/>
  <c r="DA56" i="5"/>
  <c r="DG56" i="5" s="1" a="1"/>
  <c r="DG56" i="5" s="1"/>
  <c r="AB57" i="1"/>
  <c r="DI57" i="5"/>
  <c r="AG66" i="9"/>
  <c r="AK66" i="9"/>
  <c r="AE128" i="9"/>
  <c r="N42" i="1"/>
  <c r="S59" i="2"/>
  <c r="N60" i="2"/>
  <c r="R60" i="2"/>
  <c r="Q59" i="2"/>
  <c r="J61" i="10"/>
  <c r="N61" i="5" s="1"/>
  <c r="P61" i="2"/>
  <c r="M60" i="2"/>
  <c r="P54" i="8" l="1"/>
  <c r="AW56" i="5"/>
  <c r="CL56" i="8"/>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AV56" i="5"/>
  <c r="BP59" i="5" a="1"/>
  <c r="BP59" i="5" s="1"/>
  <c r="J59" i="2" s="1"/>
  <c r="AG54" i="7"/>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M61" i="2"/>
  <c r="P62" i="2"/>
  <c r="AW57" i="5" l="1"/>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P56" i="8" l="1"/>
  <c r="AW58" i="5"/>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M63" i="2"/>
  <c r="AW59" i="5" l="1"/>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P58" i="8" l="1"/>
  <c r="AW60" i="5"/>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AV60" i="5"/>
  <c r="BP63" i="5" a="1"/>
  <c r="BP63" i="5" s="1"/>
  <c r="J63" i="2" s="1"/>
  <c r="AG58" i="7"/>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P59" i="8" l="1"/>
  <c r="AW61" i="5"/>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AV61" i="5"/>
  <c r="BP64" i="5" a="1"/>
  <c r="BP64" i="5" s="1"/>
  <c r="J64" i="2" s="1"/>
  <c r="AG59" i="7"/>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P60" i="8" l="1"/>
  <c r="AW62" i="5"/>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W63" i="5" l="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P62" i="8" l="1"/>
  <c r="AW64" i="5"/>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AV64" i="5"/>
  <c r="BP67" i="5" a="1"/>
  <c r="BP67" i="5" s="1"/>
  <c r="J67" i="2" s="1"/>
  <c r="AG62" i="7"/>
  <c r="AI62" i="7"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P63" i="8" l="1"/>
  <c r="AW65" i="5"/>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W66" i="5" l="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CR65" i="8" l="1"/>
  <c r="AW67" i="5"/>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DB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W68" i="5" l="1"/>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W69" i="5" l="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W70" i="5" l="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AV70" i="5"/>
  <c r="BP73" i="5" a="1"/>
  <c r="BP73" i="5" s="1"/>
  <c r="J73" i="2" s="1"/>
  <c r="AG68" i="7"/>
  <c r="AI68" i="7"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W71" i="5" l="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B37" i="4"/>
  <c r="R76" i="2"/>
  <c r="B47" i="4"/>
  <c r="Q75" i="2"/>
  <c r="J77" i="10"/>
  <c r="N77" i="5" s="1"/>
  <c r="P77" i="2"/>
  <c r="B39" i="4"/>
  <c r="AW72" i="5" l="1"/>
  <c r="CL72" i="8"/>
  <c r="AI94" i="9"/>
  <c r="AO94" i="8" s="1"/>
  <c r="B38" i="4"/>
  <c r="D89" i="4" s="1"/>
  <c r="CF76" i="8"/>
  <c r="G77" i="8"/>
  <c r="O76" i="2"/>
  <c r="AS75" i="5"/>
  <c r="AQ70" i="5"/>
  <c r="BO76" i="5" a="1"/>
  <c r="BO76" i="5" s="1"/>
  <c r="AM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Q70" i="8"/>
  <c r="CU70" i="8" s="1"/>
  <c r="F79" i="8"/>
  <c r="AO71" i="5"/>
  <c r="AV72"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AW73" i="5" l="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AV73" i="5"/>
  <c r="BP76" i="5" a="1"/>
  <c r="BP76" i="5" s="1"/>
  <c r="J76" i="2" s="1"/>
  <c r="AG72" i="7"/>
  <c r="AI72" i="7" s="1"/>
  <c r="AG71" i="7"/>
  <c r="AI71" i="7" s="1"/>
  <c r="O81" i="1"/>
  <c r="CE71" i="8"/>
  <c r="CX71" i="8" s="1"/>
  <c r="CY71" i="8" s="1"/>
  <c r="BX72" i="8"/>
  <c r="CD72" i="8" s="1"/>
  <c r="BT72" i="8"/>
  <c r="BO72" i="8"/>
  <c r="BP72" i="8"/>
  <c r="BM72" i="8"/>
  <c r="BN72" i="8"/>
  <c r="BK72" i="8"/>
  <c r="BL72" i="8"/>
  <c r="BJ72" i="8"/>
  <c r="AC72" i="10"/>
  <c r="X72" i="10" s="1"/>
  <c r="AM72" i="5"/>
  <c r="AN72" i="5"/>
  <c r="AR72" i="5" s="1"/>
  <c r="AH76" i="11"/>
  <c r="DE75" i="5"/>
  <c r="BW73" i="8"/>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W74" i="5" l="1"/>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AV74" i="5"/>
  <c r="BP77" i="5" a="1"/>
  <c r="BP77" i="5" s="1"/>
  <c r="J77" i="2" s="1"/>
  <c r="E65" i="4"/>
  <c r="AG73" i="7"/>
  <c r="AI73" i="7"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E50" i="4"/>
  <c r="AH43" i="5"/>
  <c r="BU43" i="5"/>
  <c r="AG85" i="9"/>
  <c r="AK85" i="9"/>
  <c r="B43" i="2"/>
  <c r="B43" i="1"/>
  <c r="BG43" i="1" s="1"/>
  <c r="B53" i="14"/>
  <c r="N61" i="1"/>
  <c r="S78" i="2"/>
  <c r="N79" i="2"/>
  <c r="R79" i="2"/>
  <c r="Q78" i="2"/>
  <c r="J80" i="10"/>
  <c r="N80" i="5" s="1"/>
  <c r="P80" i="2"/>
  <c r="DB73" i="8" l="1"/>
  <c r="AW75" i="5"/>
  <c r="CL75"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AV75"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E53" i="4"/>
  <c r="DA76" i="5"/>
  <c r="DG76" i="5" s="1" a="1"/>
  <c r="DG76" i="5" s="1"/>
  <c r="E67" i="4" s="1"/>
  <c r="AB77" i="1"/>
  <c r="DI77" i="5"/>
  <c r="AG86" i="9"/>
  <c r="AK86" i="9"/>
  <c r="L55" i="11"/>
  <c r="AV55" i="8"/>
  <c r="B60" i="14"/>
  <c r="N62" i="1"/>
  <c r="S79" i="2"/>
  <c r="N80" i="2"/>
  <c r="R80" i="2"/>
  <c r="Q79" i="2"/>
  <c r="P81" i="2"/>
  <c r="J81" i="10"/>
  <c r="N81" i="5" s="1"/>
  <c r="AW76" i="5" l="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AV76" i="5"/>
  <c r="BP79" i="5" a="1"/>
  <c r="BP79" i="5" s="1"/>
  <c r="J79" i="2" s="1"/>
  <c r="AG74" i="7"/>
  <c r="AI74" i="7" s="1"/>
  <c r="AG75" i="7"/>
  <c r="AI75" i="7"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E47" i="4" s="1"/>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W77" i="5" l="1"/>
  <c r="CL77" i="8"/>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M29" i="7" s="1"/>
  <c r="DA78" i="5"/>
  <c r="DG78" i="5" s="1" a="1"/>
  <c r="DG78" i="5" s="1"/>
  <c r="AB79" i="1"/>
  <c r="DI79" i="5"/>
  <c r="AG88" i="9"/>
  <c r="AK88" i="9"/>
  <c r="L35" i="11"/>
  <c r="AV35" i="8"/>
  <c r="B71" i="14"/>
  <c r="N64" i="1"/>
  <c r="S81" i="2"/>
  <c r="N82" i="2"/>
  <c r="R82" i="2"/>
  <c r="Q81" i="2"/>
  <c r="P83" i="2"/>
  <c r="J83" i="10"/>
  <c r="N83" i="5" s="1"/>
  <c r="AW78" i="5" l="1"/>
  <c r="CL78" i="8"/>
  <c r="CH77" i="8"/>
  <c r="CZ77" i="8" s="1"/>
  <c r="AC77" i="1"/>
  <c r="AI100" i="9"/>
  <c r="AO100" i="8" s="1"/>
  <c r="G83" i="8"/>
  <c r="CF82" i="8"/>
  <c r="O82" i="2"/>
  <c r="AQ76" i="5"/>
  <c r="I61" i="4" s="1"/>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C24" i="4" l="1"/>
  <c r="F38" i="4" s="1"/>
  <c r="DB77" i="8"/>
  <c r="AW79" i="5"/>
  <c r="CL79" i="8"/>
  <c r="CC78" i="8"/>
  <c r="CV78" i="8" s="1"/>
  <c r="CW78" i="8" s="1"/>
  <c r="AC78" i="1"/>
  <c r="AI101" i="9"/>
  <c r="AO101" i="8" s="1"/>
  <c r="G84" i="8"/>
  <c r="CF83" i="8"/>
  <c r="O83" i="2"/>
  <c r="B25" i="4"/>
  <c r="AM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W80" i="5" l="1"/>
  <c r="CL80" i="8"/>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W81" i="5" l="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AR79" i="5"/>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W82" i="5" l="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W83" i="5" l="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W84" i="5" l="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W85" i="5" l="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W86" i="5" l="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AV86" i="5"/>
  <c r="BP89" i="5" a="1"/>
  <c r="BP89" i="5" s="1"/>
  <c r="J89" i="2" s="1"/>
  <c r="AG85" i="7"/>
  <c r="AI85" i="7" s="1"/>
  <c r="AG84" i="7"/>
  <c r="AI84" i="7" s="1"/>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W87" i="5" l="1"/>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W88" i="5" l="1"/>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AV88" i="5"/>
  <c r="BL87" i="8"/>
  <c r="BK87" i="8"/>
  <c r="BP91" i="5" a="1"/>
  <c r="BP91" i="5" s="1"/>
  <c r="J91" i="2" s="1"/>
  <c r="BN87" i="8"/>
  <c r="AG86" i="7"/>
  <c r="AI86" i="7" s="1"/>
  <c r="AG87" i="7"/>
  <c r="AI87" i="7" s="1"/>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CR86" i="8"/>
  <c r="AB90" i="1"/>
  <c r="DI90" i="5"/>
  <c r="DA89" i="5"/>
  <c r="DG89" i="5" s="1" a="1"/>
  <c r="DG89" i="5" s="1"/>
  <c r="AG99" i="9"/>
  <c r="AK99" i="9"/>
  <c r="AF1269" i="14"/>
  <c r="AF1270" i="14" s="1"/>
  <c r="N75" i="1"/>
  <c r="S92" i="2"/>
  <c r="N93" i="2"/>
  <c r="R93" i="2"/>
  <c r="Q92" i="2"/>
  <c r="J94" i="10"/>
  <c r="N94" i="5" s="1"/>
  <c r="P94" i="2"/>
  <c r="AW89" i="5" l="1"/>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AV89"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W90" i="5" l="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B66" i="4"/>
  <c r="N77" i="1"/>
  <c r="S94" i="2"/>
  <c r="N95" i="2"/>
  <c r="R95" i="2"/>
  <c r="Q94" i="2"/>
  <c r="J96" i="10"/>
  <c r="N96" i="5" s="1"/>
  <c r="P96" i="2"/>
  <c r="AW91" i="5" l="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W92" i="5" l="1"/>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W93" i="5" l="1"/>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AV93"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DB92" i="8" l="1"/>
  <c r="AW94" i="5"/>
  <c r="CL94"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CZ96" i="5"/>
  <c r="AB96" i="1"/>
  <c r="DI96" i="5"/>
  <c r="C96" i="5"/>
  <c r="DA95" i="5"/>
  <c r="DG95" i="5" s="1" a="1"/>
  <c r="DG95" i="5" s="1"/>
  <c r="AG105" i="9"/>
  <c r="AK105" i="9"/>
  <c r="AD1269" i="14"/>
  <c r="AD1270" i="14" s="1"/>
  <c r="N81" i="1"/>
  <c r="S98" i="2"/>
  <c r="N99" i="2"/>
  <c r="R99" i="2"/>
  <c r="Q98" i="2"/>
  <c r="J100" i="10"/>
  <c r="N100" i="5" s="1"/>
  <c r="P100" i="2"/>
  <c r="AW95" i="5" l="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DB94" i="8" l="1"/>
  <c r="AW96" i="5"/>
  <c r="CL96"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W97" i="5" l="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V97" i="5"/>
  <c r="AC96" i="10"/>
  <c r="X96" i="10" s="1"/>
  <c r="AO96" i="5"/>
  <c r="BP100" i="5" a="1"/>
  <c r="BP100" i="5" s="1"/>
  <c r="J100" i="2" s="1"/>
  <c r="AG95" i="7"/>
  <c r="AI95" i="7"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W98" i="5" l="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AV98" i="5"/>
  <c r="BP101" i="5" a="1"/>
  <c r="BP101" i="5" s="1"/>
  <c r="J101" i="2" s="1"/>
  <c r="AG97" i="7"/>
  <c r="AI97" i="7" s="1"/>
  <c r="AG96" i="7"/>
  <c r="AI96" i="7" s="1"/>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W99" i="5" l="1"/>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W100" i="5" l="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AV100" i="5"/>
  <c r="BP103" i="5" a="1"/>
  <c r="BP103" i="5" s="1"/>
  <c r="J103" i="2" s="1"/>
  <c r="DH100" i="8"/>
  <c r="DI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W101" i="5" l="1"/>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DB100" i="8" l="1"/>
  <c r="AW102" i="5"/>
  <c r="CL102"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AV102"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W103" i="5" l="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R102" i="8" s="1"/>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W104" i="5" l="1"/>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AV104"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W105" i="5" l="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AV105" i="5"/>
  <c r="BP108" i="5" a="1"/>
  <c r="BP108" i="5" s="1"/>
  <c r="J108" i="2" s="1"/>
  <c r="AG103" i="7"/>
  <c r="AI103" i="7" s="1"/>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W106" i="5" l="1"/>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AV106" i="5"/>
  <c r="BP109" i="5" a="1"/>
  <c r="BP109" i="5" s="1"/>
  <c r="J109" i="2" s="1"/>
  <c r="A106" i="10"/>
  <c r="AA106" i="10" s="1"/>
  <c r="AG105" i="7"/>
  <c r="AI105" i="7" s="1"/>
  <c r="AG104" i="7"/>
  <c r="AI104" i="7" s="1"/>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W107" i="5" l="1"/>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AV107" i="5"/>
  <c r="BP110" i="5" a="1"/>
  <c r="BP110" i="5" s="1"/>
  <c r="J110" i="2" s="1"/>
  <c r="BI107" i="8"/>
  <c r="AG106" i="7"/>
  <c r="AI106" i="7" s="1"/>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W108" i="5" l="1"/>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W109" i="5" l="1"/>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AV109" i="5"/>
  <c r="BP112" i="5" a="1"/>
  <c r="BP112" i="5" s="1"/>
  <c r="J112" i="2" s="1"/>
  <c r="AG108" i="7"/>
  <c r="AI108" i="7"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CR108" i="8" l="1"/>
  <c r="AW110" i="5"/>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W111" i="5" l="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AV111" i="5"/>
  <c r="BP114" i="5" a="1"/>
  <c r="BP114" i="5" s="1"/>
  <c r="J114" i="2" s="1"/>
  <c r="AG109" i="7"/>
  <c r="AI109" i="7" s="1"/>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W112" i="5" l="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W113" i="5" l="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AV113" i="5"/>
  <c r="BP116" i="5" a="1"/>
  <c r="BP116" i="5" s="1"/>
  <c r="J116" i="2" s="1"/>
  <c r="AG112" i="7"/>
  <c r="AI112" i="7" s="1"/>
  <c r="AG111" i="7"/>
  <c r="AI111" i="7" s="1"/>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W114" i="5" l="1"/>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W115" i="5" l="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AV115" i="5"/>
  <c r="BP118" i="5" a="1"/>
  <c r="BP118" i="5" s="1"/>
  <c r="J118" i="2" s="1"/>
  <c r="BH115" i="8"/>
  <c r="BU115" i="8" s="1"/>
  <c r="AG113" i="7"/>
  <c r="AI113" i="7" s="1"/>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W116" i="5" l="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W117" i="5" l="1"/>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AV117" i="5"/>
  <c r="BP120" i="5" a="1"/>
  <c r="BP120" i="5" s="1"/>
  <c r="J120" i="2" s="1"/>
  <c r="DH117" i="8"/>
  <c r="DI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W118" i="5" l="1"/>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W119" i="5" l="1"/>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AV119"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W120" i="5" l="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CR118" i="8"/>
  <c r="AQ118" i="5"/>
  <c r="B118" i="14"/>
  <c r="CZ122" i="5"/>
  <c r="AB122" i="1"/>
  <c r="DI122" i="5"/>
  <c r="DA121" i="5"/>
  <c r="DG121" i="5" s="1" a="1"/>
  <c r="DG121" i="5" s="1"/>
  <c r="AG131" i="9"/>
  <c r="AK131" i="9"/>
  <c r="N107" i="1"/>
  <c r="S124" i="2"/>
  <c r="N125" i="2"/>
  <c r="R125" i="2"/>
  <c r="Q124" i="2"/>
  <c r="P126" i="2"/>
  <c r="J126" i="10"/>
  <c r="N126" i="5" s="1"/>
  <c r="AW121" i="5" l="1"/>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AV121" i="5"/>
  <c r="BP124" i="5" a="1"/>
  <c r="BP124" i="5" s="1"/>
  <c r="J124" i="2" s="1"/>
  <c r="AG120" i="7"/>
  <c r="AI120" i="7"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W122" i="5" l="1"/>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W123" i="5" l="1"/>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W124" i="5" l="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W125" i="5" l="1"/>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AR123" i="5"/>
  <c r="DA126" i="5"/>
  <c r="DG126" i="5" s="1" a="1"/>
  <c r="DG126" i="5" s="1"/>
  <c r="AB127" i="1"/>
  <c r="DI127" i="5"/>
  <c r="AG136" i="9"/>
  <c r="AK136" i="9"/>
  <c r="N112" i="1"/>
  <c r="S129" i="2"/>
  <c r="N130" i="2"/>
  <c r="R130" i="2"/>
  <c r="Q129" i="2"/>
  <c r="J131" i="10"/>
  <c r="N131" i="5" s="1"/>
  <c r="P131" i="2"/>
  <c r="CR124" i="8" l="1"/>
  <c r="AW126" i="5"/>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W127" i="5" l="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W128" i="5" l="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R126" i="5"/>
  <c r="AB130" i="1"/>
  <c r="DI130" i="5"/>
  <c r="DA129" i="5"/>
  <c r="DG129" i="5" s="1" a="1"/>
  <c r="DG129" i="5" s="1"/>
  <c r="N115" i="1"/>
  <c r="S132" i="2"/>
  <c r="N133" i="2"/>
  <c r="R133" i="2"/>
  <c r="Q132" i="2"/>
  <c r="J134" i="10"/>
  <c r="N134" i="5" s="1"/>
  <c r="P134" i="2"/>
  <c r="AW129" i="5" l="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O128" i="5"/>
  <c r="AV129" i="5"/>
  <c r="BP132" i="5" a="1"/>
  <c r="BP132" i="5" s="1"/>
  <c r="J132" i="2" s="1"/>
  <c r="AG127" i="7"/>
  <c r="AI127" i="7" s="1"/>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AR127" i="5"/>
  <c r="DA130" i="5"/>
  <c r="DG130" i="5" s="1" a="1"/>
  <c r="DG130" i="5" s="1"/>
  <c r="AB131" i="1"/>
  <c r="DI131" i="5"/>
  <c r="N116" i="1"/>
  <c r="S133" i="2"/>
  <c r="N134" i="2"/>
  <c r="R134" i="2"/>
  <c r="Q133" i="2"/>
  <c r="P135" i="2"/>
  <c r="J135" i="10"/>
  <c r="N135" i="5" s="1"/>
  <c r="AW130" i="5" l="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R128" i="5"/>
  <c r="AB132" i="1"/>
  <c r="DI132" i="5"/>
  <c r="DA131" i="5"/>
  <c r="DG131" i="5" s="1" a="1"/>
  <c r="DG131" i="5" s="1"/>
  <c r="N117" i="1"/>
  <c r="S134" i="2"/>
  <c r="N135" i="2"/>
  <c r="R135" i="2"/>
  <c r="Q134" i="2"/>
  <c r="J136" i="10"/>
  <c r="N136" i="5" s="1"/>
  <c r="P136" i="2"/>
  <c r="AW131" i="5" l="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G130" i="7"/>
  <c r="AI130" i="7" s="1"/>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AR130" i="5"/>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W132" i="5" l="1"/>
  <c r="CL132" i="8"/>
  <c r="AD135" i="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AR131" i="5"/>
  <c r="C134" i="5"/>
  <c r="B131" i="14"/>
  <c r="DB131" i="8"/>
  <c r="DA134" i="5"/>
  <c r="AB135" i="1"/>
  <c r="DI135" i="5"/>
  <c r="N120" i="1"/>
  <c r="W136" i="1"/>
  <c r="AW133" i="5" l="1"/>
  <c r="CL133" i="8"/>
  <c r="CC132" i="8"/>
  <c r="CV132" i="8" s="1"/>
  <c r="CW132" i="8" s="1"/>
  <c r="AC132" i="1"/>
  <c r="BR132" i="8"/>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W134" i="5" l="1"/>
  <c r="CL134" i="8"/>
  <c r="CC133" i="8"/>
  <c r="CV133" i="8" s="1"/>
  <c r="CW133" i="8" s="1"/>
  <c r="AC133" i="1"/>
  <c r="BR133" i="8"/>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W135" i="5" l="1"/>
  <c r="CL135" i="8"/>
  <c r="CC134" i="8"/>
  <c r="CV134" i="8" s="1"/>
  <c r="CW134" i="8" s="1"/>
  <c r="AC134" i="1"/>
  <c r="DG136" i="5" a="1"/>
  <c r="DG136" i="5" s="1"/>
  <c r="BR134" i="8"/>
  <c r="BS134" i="8"/>
  <c r="CX132" i="8"/>
  <c r="CY132" i="8" s="1"/>
  <c r="AO134" i="5"/>
  <c r="AV135"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W136" i="5" l="1"/>
  <c r="CL136" i="8"/>
  <c r="CB135" i="8"/>
  <c r="CT135" i="8" s="1"/>
  <c r="AC135" i="1"/>
  <c r="BR135" i="8"/>
  <c r="BS135" i="8"/>
  <c r="CE134" i="8"/>
  <c r="CX134" i="8" s="1"/>
  <c r="CY134" i="8" s="1"/>
  <c r="CX133" i="8"/>
  <c r="CY133" i="8" s="1"/>
  <c r="AO135" i="5"/>
  <c r="AV136" i="5"/>
  <c r="AG134" i="7"/>
  <c r="AI134" i="7" s="1"/>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G136" i="7"/>
  <c r="AI136" i="7" s="1"/>
  <c r="AG135" i="7"/>
  <c r="AI135" i="7" s="1"/>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R136" i="8" l="1"/>
  <c r="CQ136" i="8"/>
  <c r="CU136" i="8" s="1"/>
  <c r="CE136" i="8"/>
  <c r="CX136" i="8" s="1"/>
  <c r="CY136" i="8" s="1"/>
  <c r="I62" i="4"/>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AP5" i="1"/>
  <c r="T5" i="1" s="1"/>
  <c r="I6" i="1" s="1"/>
  <c r="AO6" i="1" s="1"/>
  <c r="AA6" i="8"/>
  <c r="B6" i="8" s="1"/>
  <c r="O5" i="7"/>
  <c r="I5" i="11"/>
  <c r="AC6" i="7"/>
  <c r="C6" i="11"/>
  <c r="V6" i="10"/>
  <c r="AQ6" i="8"/>
  <c r="BI6" i="1"/>
  <c r="C5" i="8"/>
  <c r="P5" i="7"/>
  <c r="F5" i="9"/>
  <c r="BJ6" i="1" l="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c r="C9" i="8" l="1"/>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AO52" i="1" s="1"/>
  <c r="G51" i="2"/>
  <c r="Z51" i="2" s="1"/>
  <c r="E64" i="8" l="1"/>
  <c r="BJ52" i="1"/>
  <c r="F51" i="9"/>
  <c r="P51" i="7"/>
  <c r="C51" i="8"/>
  <c r="CG64" i="8" l="1"/>
  <c r="M64" i="2"/>
  <c r="DF64" i="8"/>
  <c r="G64" i="1" s="1"/>
  <c r="N64" i="8" s="1"/>
  <c r="AA52" i="8"/>
  <c r="B52" i="8" s="1"/>
  <c r="Y51" i="2"/>
  <c r="X51" i="2" s="1"/>
  <c r="P64" i="8" l="1"/>
  <c r="R64" i="8" s="1"/>
  <c r="D52" i="2"/>
  <c r="E52" i="2"/>
  <c r="L52" i="2" s="1"/>
  <c r="AB52" i="7"/>
  <c r="AW52" i="8"/>
  <c r="H52" i="11"/>
  <c r="U52" i="2" l="1"/>
  <c r="W51" i="2" s="1"/>
  <c r="C52" i="2" l="1"/>
  <c r="F52" i="1" l="1"/>
  <c r="S52" i="8"/>
  <c r="V52" i="8" s="1"/>
  <c r="H52" i="1"/>
  <c r="BI52" i="1" s="1"/>
  <c r="F52" i="2"/>
  <c r="H52" i="2"/>
  <c r="I52" i="2"/>
  <c r="AA52" i="1" s="1"/>
  <c r="S52" i="1" s="1"/>
  <c r="AP52" i="1" l="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I55" i="4"/>
  <c r="C64" i="11"/>
  <c r="J55" i="4"/>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B36" i="4"/>
  <c r="CG76" i="8"/>
  <c r="M76" i="2"/>
  <c r="E77" i="8"/>
  <c r="B65" i="8"/>
  <c r="D65" i="2" s="1"/>
  <c r="U65" i="2" s="1"/>
  <c r="H65" i="11"/>
  <c r="E65" i="2"/>
  <c r="L65" i="2" s="1"/>
  <c r="AB65" i="7"/>
  <c r="AJ65" i="7" s="1"/>
  <c r="AW65" i="8"/>
  <c r="C95" i="4" l="1"/>
  <c r="C36" i="4" s="1"/>
  <c r="C90" i="4"/>
  <c r="C39" i="4" s="1"/>
  <c r="E39" i="4" s="1"/>
  <c r="P76" i="8"/>
  <c r="R76" i="8" s="1"/>
  <c r="CM77" i="8"/>
  <c r="B56" i="4"/>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J56" i="4"/>
  <c r="C67" i="11"/>
  <c r="I56" i="4"/>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I57" i="4"/>
  <c r="AC76" i="7"/>
  <c r="AQ76" i="8"/>
  <c r="AK76" i="5"/>
  <c r="BI76" i="1"/>
  <c r="B60" i="4"/>
  <c r="J57" i="4"/>
  <c r="C76" i="11"/>
  <c r="T75" i="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B54" i="4"/>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B59" i="4"/>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<sst xmlns="http://schemas.openxmlformats.org/spreadsheetml/2006/main" count="3067" uniqueCount="1147">
  <si>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</si>
  <si>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</si>
  <si>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</si>
  <si>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</si>
  <si>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</si>
  <si>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</si>
  <si>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</si>
  <si>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</si>
  <si>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</si>
  <si>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</si>
  <si>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</si>
  <si>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</si>
  <si>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</si>
  <si>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</si>
  <si>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</si>
  <si>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</si>
  <si>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</si>
  <si>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</si>
  <si>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</si>
  <si>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</si>
  <si>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</si>
  <si>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</si>
  <si>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</si>
  <si>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</si>
  <si>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</si>
  <si>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</si>
  <si>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</si>
  <si>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</si>
  <si>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</si>
  <si>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</si>
  <si>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</si>
  <si>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</si>
  <si>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</si>
  <si>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</si>
  <si>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</si>
  <si>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</si>
  <si>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</si>
  <si>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</si>
  <si>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</si>
  <si>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</si>
  <si>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</si>
  <si>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</si>
  <si>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</si>
  <si>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</si>
  <si>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</si>
  <si>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</si>
  <si>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</si>
  <si>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</si>
  <si>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</si>
  <si>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</si>
  <si>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</si>
  <si>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</si>
  <si>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</si>
  <si>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</si>
  <si>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</si>
  <si>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</si>
  <si>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</si>
  <si>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</si>
  <si>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</si>
  <si>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</si>
  <si>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</si>
  <si>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</si>
  <si>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</si>
  <si>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</si>
  <si>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</si>
  <si>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</si>
  <si>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</si>
  <si>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</si>
  <si>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</si>
  <si>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</si>
  <si>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</si>
  <si>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</si>
  <si>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</si>
  <si>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</si>
  <si>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</si>
  <si>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</si>
  <si>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</si>
  <si>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</si>
  <si>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</si>
  <si>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</si>
  <si>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</si>
  <si>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</si>
  <si>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</si>
  <si>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</si>
  <si>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</si>
  <si>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</si>
  <si>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</si>
  <si>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</si>
  <si>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</si>
  <si>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</si>
  <si>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</si>
  <si>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</si>
  <si>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</si>
  <si>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</si>
  <si>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</si>
  <si>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</si>
  <si>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</si>
  <si>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</si>
  <si>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</si>
  <si>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</si>
  <si>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</si>
  <si>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</si>
  <si>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</si>
  <si>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</si>
  <si>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</si>
  <si>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</si>
  <si>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</si>
  <si>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</si>
  <si>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</si>
  <si>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</si>
  <si>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</si>
  <si>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</si>
  <si>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</si>
  <si>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</si>
  <si>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</si>
  <si>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</si>
  <si>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</si>
  <si>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</si>
  <si>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</si>
  <si>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</si>
  <si>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</si>
  <si>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</si>
  <si>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</si>
  <si>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</si>
  <si>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</si>
  <si>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</si>
  <si>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</si>
  <si>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</si>
  <si>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</si>
  <si>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</si>
  <si>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</si>
  <si>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</si>
  <si>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</si>
  <si>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</si>
  <si>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</si>
  <si>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</si>
  <si>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</si>
  <si>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</si>
  <si>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</si>
  <si>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</si>
  <si>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</si>
  <si>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</si>
  <si>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</si>
  <si>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</si>
  <si>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</si>
  <si>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</si>
  <si>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</si>
  <si>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</si>
  <si>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</si>
  <si>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</si>
  <si>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</si>
  <si>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</si>
  <si>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</si>
  <si>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</si>
  <si>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</si>
  <si>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</si>
  <si>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</si>
  <si>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</si>
  <si>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</si>
  <si>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</si>
  <si>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</si>
  <si>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</si>
  <si>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</si>
  <si>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</si>
  <si>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</si>
  <si>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</si>
  <si>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</si>
  <si>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</si>
  <si>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</si>
  <si>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</si>
  <si>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</si>
  <si>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</si>
  <si>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</si>
  <si>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</si>
  <si>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</si>
  <si>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</si>
  <si>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</si>
  <si>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</si>
  <si>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</si>
  <si>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</si>
  <si>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</si>
  <si>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</si>
  <si>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</si>
  <si>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</si>
  <si>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</si>
  <si>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</si>
  <si>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</si>
  <si>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</si>
  <si>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</si>
  <si>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</si>
  <si>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</si>
  <si>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</si>
  <si>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</si>
  <si>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</si>
  <si>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</si>
  <si>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</si>
  <si>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</si>
  <si>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</si>
  <si>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</si>
  <si>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</si>
  <si>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</si>
  <si>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</si>
  <si>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</si>
  <si>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</si>
  <si>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</si>
  <si>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</si>
  <si>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</si>
  <si>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</si>
  <si>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</si>
  <si>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</si>
  <si>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</si>
  <si>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</si>
  <si>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</si>
  <si>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</si>
  <si>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</si>
  <si>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</si>
  <si>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</si>
  <si>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</si>
  <si>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</si>
  <si>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</si>
  <si>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</si>
  <si>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</si>
  <si>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</si>
  <si>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</si>
  <si>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</si>
  <si>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</si>
  <si>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</si>
  <si>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</si>
  <si>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</si>
  <si>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</si>
  <si>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</si>
  <si>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</si>
  <si>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</si>
  <si>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</si>
  <si>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</si>
  <si>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</si>
  <si>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</si>
  <si>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</si>
  <si>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</si>
  <si>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</si>
  <si>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</si>
  <si>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</si>
  <si>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</si>
  <si>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</si>
  <si>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</si>
  <si>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</si>
  <si>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</si>
  <si>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</si>
  <si>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</si>
  <si>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</si>
  <si>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</si>
  <si>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</si>
  <si>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</si>
  <si>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</si>
  <si>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</si>
  <si>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</si>
  <si>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</si>
  <si>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</si>
  <si>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</si>
  <si>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</si>
  <si>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</si>
  <si>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</si>
  <si>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</si>
  <si>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</si>
  <si>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</si>
  <si>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</si>
  <si>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</si>
  <si>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</si>
  <si>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</si>
  <si>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</si>
  <si>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</si>
  <si>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</si>
  <si>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</si>
  <si>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</si>
  <si>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</si>
  <si>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</si>
  <si>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</si>
  <si>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</si>
  <si>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</si>
  <si>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</si>
  <si>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</si>
  <si>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</si>
  <si>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</si>
  <si>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</si>
  <si>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</si>
  <si>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</si>
  <si>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</si>
  <si>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</si>
  <si>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</si>
  <si>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</si>
  <si>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</si>
  <si>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</si>
  <si>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</si>
  <si>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</si>
  <si>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</si>
  <si>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</si>
  <si>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</si>
  <si>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</si>
  <si>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</si>
  <si>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</si>
  <si>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</si>
  <si>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</si>
  <si>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</si>
  <si>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</si>
  <si>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</si>
  <si>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</si>
  <si>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</si>
  <si>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</si>
  <si>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</si>
  <si>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</si>
  <si>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</si>
  <si>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</si>
  <si>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</si>
  <si>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</si>
  <si>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</si>
  <si>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</si>
  <si>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</si>
  <si>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</si>
  <si>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</si>
  <si>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</si>
  <si>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</si>
  <si>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</si>
  <si>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</si>
  <si>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</si>
  <si>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</si>
  <si>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</si>
  <si>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</si>
  <si>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</si>
  <si>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</si>
  <si>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</si>
  <si>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</si>
  <si>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</si>
  <si>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</si>
  <si>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</si>
  <si>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</si>
  <si>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</si>
  <si>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</si>
  <si>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</si>
  <si>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</si>
  <si>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</si>
  <si>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</si>
  <si>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</si>
  <si>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</si>
  <si>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</si>
  <si>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</si>
  <si>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</si>
  <si>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</si>
  <si>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</si>
  <si>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</si>
  <si>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</si>
  <si>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</si>
  <si>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</si>
  <si>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</si>
  <si>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</si>
  <si>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</si>
  <si>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</si>
  <si>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</si>
  <si>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</si>
  <si>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</si>
  <si>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</si>
  <si>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</si>
  <si>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</si>
  <si>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</si>
  <si>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</si>
  <si>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</si>
  <si>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</si>
  <si>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</si>
  <si>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</si>
  <si>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</si>
  <si>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</si>
  <si>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</si>
  <si>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</si>
  <si>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</si>
  <si>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</si>
  <si>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</si>
  <si>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</si>
  <si>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</si>
  <si>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</si>
  <si>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</si>
  <si>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</si>
  <si>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</si>
  <si>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</si>
  <si>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</si>
  <si>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</si>
  <si>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</si>
  <si>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</si>
  <si>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</si>
  <si>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</si>
  <si>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</si>
  <si>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</si>
  <si>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</si>
  <si>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</si>
  <si>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</si>
  <si>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</si>
  <si>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</si>
  <si>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</si>
  <si>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</si>
  <si>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</si>
  <si>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</si>
  <si>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</si>
  <si>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</si>
  <si>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</si>
  <si>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</si>
  <si>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</si>
  <si>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</si>
  <si>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</si>
  <si>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</si>
  <si>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</si>
  <si>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</si>
  <si>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</si>
  <si>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</si>
  <si>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</si>
  <si>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</si>
  <si>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</si>
  <si>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</si>
  <si>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</si>
  <si>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</si>
  <si>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</si>
  <si>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</si>
  <si>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</si>
  <si>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</si>
  <si>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</si>
  <si>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</si>
  <si>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</si>
  <si>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</si>
  <si>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</si>
  <si>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</si>
  <si>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</si>
  <si>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</si>
  <si>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</si>
  <si>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</si>
  <si>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</si>
  <si>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</si>
  <si>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</si>
  <si>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</si>
  <si>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</si>
  <si>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</si>
  <si>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</si>
  <si>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</si>
  <si>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</si>
  <si>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</si>
  <si>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</si>
  <si>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</si>
  <si>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</si>
  <si>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</si>
  <si>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</si>
  <si>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</si>
  <si>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</si>
  <si>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</si>
  <si>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</si>
  <si>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</si>
  <si>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</si>
  <si>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</si>
  <si>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</si>
  <si>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</si>
  <si>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</si>
  <si>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</si>
  <si>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</si>
  <si>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</si>
  <si>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</si>
  <si>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</si>
  <si>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</si>
  <si>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</si>
  <si>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</si>
  <si>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</si>
  <si>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</si>
  <si>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</si>
  <si>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</si>
  <si>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</si>
  <si>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</si>
  <si>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</si>
  <si>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</si>
  <si>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</si>
  <si>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</si>
  <si>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</si>
  <si>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</si>
  <si>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</si>
  <si>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</si>
  <si>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</si>
  <si>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</si>
  <si>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</si>
  <si>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</si>
  <si>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</si>
  <si>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</si>
  <si>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</si>
  <si>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</si>
  <si>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</si>
  <si>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</si>
  <si>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</si>
  <si>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</si>
  <si>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</si>
  <si>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</si>
  <si>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</si>
  <si>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</si>
  <si>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</si>
  <si>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</si>
  <si>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</si>
  <si>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</si>
  <si>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</si>
  <si>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</si>
  <si>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</si>
  <si>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</si>
  <si>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</si>
  <si>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</si>
  <si>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</si>
  <si>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</si>
  <si>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</si>
  <si>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</si>
  <si>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</si>
  <si>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</si>
  <si>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</si>
  <si>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</si>
  <si>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</si>
  <si>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</si>
  <si>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</si>
  <si>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</si>
  <si>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</si>
  <si>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</si>
  <si>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</si>
  <si>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</si>
  <si>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</si>
  <si>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</si>
  <si>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</si>
  <si>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</si>
  <si>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</si>
  <si>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</si>
  <si>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</si>
  <si>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</si>
  <si>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</si>
  <si>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</si>
  <si>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</si>
  <si>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</si>
  <si>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</si>
  <si>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</si>
  <si>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</si>
  <si>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</si>
  <si>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</si>
  <si>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</si>
  <si>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</si>
  <si>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</si>
  <si>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</si>
  <si>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</si>
  <si>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</si>
  <si>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</si>
  <si>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</si>
  <si>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</si>
  <si>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</si>
  <si>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</si>
  <si>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</si>
  <si>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</si>
  <si>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</si>
  <si>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</si>
  <si>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</si>
  <si>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</si>
  <si>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</si>
  <si>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</si>
  <si>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</si>
  <si>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</si>
  <si>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</si>
  <si>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</si>
  <si>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</si>
  <si>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</si>
  <si>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</si>
  <si>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</si>
  <si>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</si>
  <si>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</si>
  <si>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</si>
  <si>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</si>
  <si>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</si>
  <si>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</si>
  <si>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</si>
  <si>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</si>
  <si>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</si>
  <si>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</si>
  <si>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</si>
  <si>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</si>
  <si>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</si>
  <si>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</si>
  <si>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</si>
  <si>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</si>
  <si>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</si>
  <si>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</si>
  <si>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</si>
  <si>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</si>
  <si>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</si>
  <si>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</si>
  <si>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</si>
  <si>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</si>
  <si>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</si>
  <si>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</si>
  <si>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</si>
  <si>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</si>
  <si>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</si>
  <si>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</si>
  <si>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</si>
  <si>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</si>
  <si>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</si>
  <si>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</si>
  <si>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</si>
  <si>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</si>
  <si>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</si>
  <si>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</si>
  <si>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</si>
  <si>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</si>
  <si>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</si>
  <si>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</si>
  <si>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</si>
  <si>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</si>
  <si>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</si>
  <si>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</si>
  <si>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</si>
  <si>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</si>
  <si>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</si>
  <si>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</si>
  <si>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</si>
  <si>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</si>
  <si>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</si>
  <si>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</si>
  <si>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</si>
  <si>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</si>
  <si>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</si>
  <si>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</si>
  <si>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</si>
  <si>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</si>
  <si>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</si>
  <si>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</si>
  <si>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</si>
  <si>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</si>
  <si>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</si>
  <si>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</si>
  <si>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</si>
  <si>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</si>
  <si>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</si>
  <si>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</si>
  <si>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</si>
  <si>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</si>
  <si>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</si>
  <si>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</si>
  <si>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</si>
  <si>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</si>
  <si>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</si>
  <si>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</si>
  <si>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</si>
  <si>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</si>
  <si>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</si>
  <si>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</si>
  <si>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</si>
  <si>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</si>
  <si>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</si>
  <si>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</si>
  <si>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</si>
  <si>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</si>
  <si>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</si>
  <si>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</si>
  <si>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</si>
  <si>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</si>
  <si>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</si>
  <si>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</si>
  <si>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</si>
  <si>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</si>
  <si>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</si>
  <si>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</si>
  <si>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</si>
  <si>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</si>
  <si>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</si>
  <si>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</si>
  <si>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</si>
  <si>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</si>
  <si>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</si>
  <si>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</si>
  <si>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</si>
  <si>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</si>
  <si>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</si>
  <si>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</si>
  <si>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</si>
  <si>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</si>
  <si>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</si>
  <si>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</si>
  <si>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</si>
  <si>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</si>
  <si>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</si>
  <si>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</si>
  <si>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</si>
  <si>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</si>
  <si>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</si>
  <si>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</si>
  <si>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</si>
  <si>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</si>
  <si>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</si>
  <si>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</si>
  <si>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</si>
  <si>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</si>
  <si>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</si>
  <si>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</si>
  <si>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</si>
  <si>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</si>
  <si>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</si>
  <si>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</si>
  <si>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</si>
  <si>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</si>
  <si>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</si>
  <si>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</si>
  <si>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</si>
  <si>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</si>
  <si>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</si>
  <si>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</si>
  <si>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</si>
  <si>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</si>
  <si>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</si>
  <si>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</si>
  <si>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</si>
  <si>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</si>
  <si>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</si>
  <si>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</si>
  <si>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</si>
  <si>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</si>
  <si>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</si>
  <si>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</si>
  <si>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</si>
  <si>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</si>
  <si>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</si>
  <si>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</si>
  <si>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</si>
  <si>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</si>
  <si>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</si>
  <si>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</si>
  <si>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</si>
  <si>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</si>
  <si>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</si>
  <si>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</si>
  <si>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</si>
  <si>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</si>
  <si>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</si>
  <si>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</si>
  <si>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</si>
  <si>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</si>
  <si>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</si>
  <si>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</si>
  <si>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</si>
  <si>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</si>
  <si>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</si>
  <si>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</si>
  <si>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</si>
  <si>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</si>
  <si>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</si>
  <si>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</si>
  <si>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</si>
  <si>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</si>
  <si>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</si>
  <si>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</si>
  <si>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</si>
  <si>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</si>
  <si>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</si>
  <si>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</si>
  <si>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</si>
  <si>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</si>
  <si>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</si>
  <si>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</si>
  <si>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</si>
  <si>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</si>
  <si>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</si>
  <si>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</si>
  <si>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</si>
  <si>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</si>
  <si>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</si>
  <si>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</si>
  <si>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</si>
  <si>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</si>
  <si>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</si>
  <si>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</si>
  <si>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</si>
  <si>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</si>
  <si>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</si>
  <si>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</si>
  <si>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</si>
  <si>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</si>
  <si>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</si>
  <si>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</si>
  <si>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</si>
  <si>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</si>
  <si>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</si>
  <si>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</si>
  <si>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</si>
  <si>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</si>
  <si>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</si>
  <si>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</si>
  <si>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</si>
  <si>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</si>
  <si>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</si>
  <si>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</si>
  <si>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</si>
  <si>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</si>
  <si>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</si>
  <si>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</si>
  <si>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</si>
  <si>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</si>
  <si>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</si>
  <si>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</si>
  <si>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</si>
  <si>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</si>
  <si>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</si>
  <si>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</si>
  <si>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</si>
  <si>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</si>
  <si>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</si>
  <si>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</si>
  <si>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</si>
  <si>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</si>
  <si>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</si>
  <si>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</si>
  <si>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</si>
  <si>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</si>
  <si>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</si>
  <si>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</si>
  <si>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</si>
  <si>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</si>
  <si>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</si>
  <si>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</si>
  <si>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</si>
  <si>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</si>
  <si>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</si>
  <si>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</si>
  <si>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</si>
  <si>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</si>
  <si>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</si>
  <si>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</si>
  <si>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</si>
  <si>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</si>
  <si>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</si>
  <si>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</si>
  <si>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</si>
  <si>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</si>
  <si>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</si>
  <si>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</si>
  <si>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</si>
  <si>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</si>
  <si>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</si>
  <si>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</si>
  <si>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</si>
  <si>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</si>
  <si>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</si>
  <si>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</si>
  <si>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</si>
  <si>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</si>
  <si>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</si>
  <si>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</si>
  <si>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</si>
  <si>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</si>
  <si>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</si>
  <si>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</si>
  <si>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</si>
  <si>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</si>
  <si>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</si>
  <si>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</si>
  <si>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</si>
  <si>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</si>
  <si>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</si>
  <si>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</si>
  <si>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</si>
  <si>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</si>
  <si>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</si>
  <si>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</si>
  <si>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</si>
  <si>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</si>
  <si>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</si>
  <si>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</si>
  <si>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</si>
  <si>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</si>
  <si>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</si>
  <si>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</si>
  <si>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</si>
  <si>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</si>
  <si>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</si>
  <si>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</si>
  <si>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</si>
  <si>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</si>
  <si>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</si>
  <si>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</si>
  <si>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</si>
  <si>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</si>
  <si>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</si>
  <si>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</si>
  <si>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</si>
  <si>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</si>
  <si>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</si>
  <si>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</si>
  <si>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</si>
  <si>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</si>
  <si>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</si>
  <si>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</si>
  <si>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</si>
  <si>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</si>
  <si>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</si>
  <si>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</si>
  <si>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</si>
  <si>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</si>
  <si>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</si>
  <si>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</si>
  <si>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</si>
  <si>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</si>
  <si>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</si>
  <si>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</si>
  <si>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</si>
  <si>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</si>
  <si>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</si>
  <si>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</si>
  <si>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</si>
  <si>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</si>
  <si>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</si>
  <si>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</si>
  <si>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</si>
  <si>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</si>
  <si>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</si>
  <si>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</si>
  <si>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</si>
  <si>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</si>
  <si>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</si>
  <si>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</si>
  <si>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</si>
  <si>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</si>
  <si>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</si>
  <si>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</si>
  <si>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</si>
  <si>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</si>
  <si>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</si>
  <si>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</si>
  <si>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</si>
  <si>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</si>
  <si>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</si>
  <si>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</si>
  <si>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</si>
  <si>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</si>
  <si>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</si>
  <si>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</si>
  <si>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</si>
  <si>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</si>
  <si>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</si>
  <si>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</si>
  <si>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</si>
  <si>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</si>
  <si>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</si>
  <si>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</si>
  <si>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</si>
  <si>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</si>
  <si>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</si>
  <si>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</si>
  <si>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</si>
  <si>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</si>
  <si>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</si>
  <si>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</si>
  <si>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</si>
  <si>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</si>
  <si>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</si>
  <si>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</si>
  <si>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</si>
  <si>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</si>
  <si>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</si>
  <si>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</si>
  <si>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</si>
  <si>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</si>
  <si>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</si>
  <si>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</si>
  <si>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</si>
  <si>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</si>
  <si>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</si>
  <si>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</si>
  <si>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</si>
  <si>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</si>
  <si>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</si>
  <si>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</si>
  <si>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</si>
  <si>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</si>
  <si>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</si>
  <si>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</si>
  <si>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</si>
  <si>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</si>
  <si>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</si>
  <si>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</si>
  <si>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</si>
  <si>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</si>
  <si>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</si>
  <si>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</si>
  <si>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</si>
  <si>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</si>
  <si>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</si>
  <si>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</si>
  <si>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</si>
  <si>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</si>
  <si>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</si>
  <si>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</si>
  <si>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</si>
  <si>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</si>
  <si>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</si>
  <si>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</si>
  <si>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</si>
  <si>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</si>
  <si>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</si>
  <si>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</si>
  <si>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</si>
  <si>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</si>
  <si>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</si>
  <si>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</si>
  <si>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</si>
  <si>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</si>
  <si>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</si>
  <si>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</si>
  <si>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</si>
  <si>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</si>
  <si>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</si>
  <si>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</si>
  <si>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</si>
  <si>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</si>
  <si>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</si>
  <si>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</si>
  <si>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</si>
  <si>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</si>
  <si>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</si>
  <si>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</si>
  <si>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</si>
  <si>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</si>
  <si>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</si>
  <si>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</si>
  <si>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</si>
  <si>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</si>
  <si>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</si>
  <si>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</si>
  <si>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</si>
  <si>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</si>
  <si>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</si>
  <si>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</si>
  <si>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</si>
  <si>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</si>
  <si>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</si>
  <si>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</si>
  <si>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</si>
  <si>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</si>
  <si>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</si>
  <si>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</si>
  <si>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</si>
  <si>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</si>
  <si>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</si>
  <si>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</si>
  <si>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</si>
  <si>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</si>
  <si>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</si>
  <si>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</si>
  <si>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</si>
  <si>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</si>
  <si>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</si>
  <si>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</si>
  <si>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</si>
  <si>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</si>
  <si>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</si>
  <si>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</si>
  <si>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</si>
  <si>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</si>
  <si>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</si>
  <si>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</si>
  <si>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</si>
  <si>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</si>
  <si>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</si>
  <si>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</si>
  <si>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</si>
  <si>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</si>
  <si>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</si>
  <si>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</si>
  <si>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</si>
  <si>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</si>
  <si>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</si>
  <si>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</si>
  <si>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</si>
  <si>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</si>
  <si>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</si>
  <si>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</si>
  <si>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</si>
  <si>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</si>
  <si>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</si>
  <si>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</si>
  <si>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</si>
  <si>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</si>
  <si>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</si>
  <si>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</si>
  <si>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</si>
  <si>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</si>
  <si>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</si>
  <si>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</si>
  <si>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</si>
  <si>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</si>
  <si>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</si>
  <si>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</si>
  <si>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</si>
  <si>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</si>
  <si>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</si>
  <si>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</si>
  <si>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</si>
  <si>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</si>
  <si>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</si>
  <si>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</si>
  <si>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</si>
  <si>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</si>
  <si>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</si>
  <si>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</si>
  <si>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</si>
  <si>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</si>
  <si>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</si>
  <si>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</si>
  <si>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</si>
  <si>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</si>
  <si>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</si>
  <si>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</si>
  <si>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</si>
  <si>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</si>
  <si>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</si>
  <si>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</si>
  <si>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</si>
  <si>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</si>
  <si>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</si>
  <si>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</si>
  <si>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</si>
  <si>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</si>
  <si>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</si>
  <si>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</si>
  <si>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</si>
  <si>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</si>
  <si>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</si>
  <si>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</si>
  <si>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</si>
  <si>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</si>
  <si>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</si>
  <si>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</si>
  <si>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</si>
  <si>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</si>
  <si>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</si>
  <si>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</si>
  <si>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</si>
  <si>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</si>
  <si>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</si>
  <si>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</si>
  <si>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</si>
  <si>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</si>
  <si>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</si>
  <si>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</si>
  <si>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</si>
  <si>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</si>
  <si>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towers</t>
  </si>
  <si>
    <t>OD Sprint Round 43.5</t>
  </si>
  <si>
    <t>Demonic Imp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</si>
</sst>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10">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16" fillId="38" borderId="0" xfId="0" applyFont="1" applyFill="1"/>
    <xf numFmtId="0" fontId="17" fillId="2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6"/>
      <tableStyleElement type="headerRow" dxfId="1015"/>
      <tableStyleElement type="totalRow" dxfId="1014"/>
      <tableStyleElement type="firstColumn" dxfId="1013"/>
      <tableStyleElement type="lastColumn" dxfId="1012"/>
      <tableStyleElement type="firstRowStripe" dxfId="1011"/>
      <tableStyleElement type="secondRowStripe" dxfId="1010"/>
      <tableStyleElement type="firstColumnStripe" dxfId="1009"/>
    </tableStyle>
    <tableStyle name="TableStyleLight1 3" pivot="0" count="8" xr9:uid="{40048D91-B7B4-48AD-ADA3-F7B5F24E3A0B}">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2" pivot="0" count="8" xr9:uid="{C5C8B11A-65E1-47E8-8B6A-A638EA763C9D}">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4" pivot="0" count="8" xr9:uid="{879439EA-876F-405F-B69E-85273FF10F93}">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2" pivot="0" count="8" xr9:uid="{A2A787F1-3FC0-4774-93F6-6F67EEF4DC05}">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5" pivot="0" count="8" xr9:uid="{CB689928-D93B-4088-A9C6-560B4B9C5E7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2" pivot="0" count="8" xr9:uid="{7B8F54C5-86FC-4F37-89FD-016FBCC24E0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2" pivot="0" count="8" xr9:uid="{03577705-4D4B-4BC8-BE21-E9B4AACE52E1}">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22"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 Tow]]/TblConstr[[#This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5" t="s">
        <v>449</v>
      </c>
      <c r="B1" s="475"/>
      <c r="C1" s="475"/>
      <c r="D1" s="475"/>
      <c r="E1" s="475"/>
      <c r="F1" s="475"/>
      <c r="G1" s="475"/>
      <c r="H1" s="475"/>
      <c r="I1" s="475"/>
      <c r="J1" s="475"/>
      <c r="K1" s="475"/>
      <c r="L1" s="476"/>
      <c r="M1" s="482" t="s">
        <v>1038</v>
      </c>
      <c r="N1" s="483"/>
      <c r="O1" s="484"/>
    </row>
    <row r="2" spans="1:15" s="44" customFormat="1" ht="12.75" customHeight="1" x14ac:dyDescent="0.2">
      <c r="A2" s="469" t="s">
        <v>1075</v>
      </c>
      <c r="B2" s="470"/>
      <c r="C2" s="470"/>
      <c r="D2" s="470"/>
      <c r="E2" s="470"/>
      <c r="F2" s="470"/>
      <c r="G2" s="470"/>
      <c r="H2" s="470"/>
      <c r="I2" s="470"/>
      <c r="J2" s="470"/>
      <c r="K2" s="470"/>
      <c r="L2" s="471"/>
      <c r="M2" s="456" t="s">
        <v>1106</v>
      </c>
      <c r="N2" s="457"/>
      <c r="O2" s="458"/>
    </row>
    <row r="3" spans="1:15" s="44" customFormat="1" x14ac:dyDescent="0.2">
      <c r="A3" s="469"/>
      <c r="B3" s="470"/>
      <c r="C3" s="470"/>
      <c r="D3" s="470"/>
      <c r="E3" s="470"/>
      <c r="F3" s="470"/>
      <c r="G3" s="470"/>
      <c r="H3" s="470"/>
      <c r="I3" s="470"/>
      <c r="J3" s="470"/>
      <c r="K3" s="470"/>
      <c r="L3" s="471"/>
      <c r="M3" s="456"/>
      <c r="N3" s="457"/>
      <c r="O3" s="458"/>
    </row>
    <row r="4" spans="1:15" s="44" customFormat="1" x14ac:dyDescent="0.2">
      <c r="A4" s="469"/>
      <c r="B4" s="470"/>
      <c r="C4" s="470"/>
      <c r="D4" s="470"/>
      <c r="E4" s="470"/>
      <c r="F4" s="470"/>
      <c r="G4" s="470"/>
      <c r="H4" s="470"/>
      <c r="I4" s="470"/>
      <c r="J4" s="470"/>
      <c r="K4" s="470"/>
      <c r="L4" s="471"/>
      <c r="M4" s="456"/>
      <c r="N4" s="457"/>
      <c r="O4" s="458"/>
    </row>
    <row r="5" spans="1:15" s="44" customFormat="1" x14ac:dyDescent="0.2">
      <c r="A5" s="469"/>
      <c r="B5" s="470"/>
      <c r="C5" s="470"/>
      <c r="D5" s="470"/>
      <c r="E5" s="470"/>
      <c r="F5" s="470"/>
      <c r="G5" s="470"/>
      <c r="H5" s="470"/>
      <c r="I5" s="470"/>
      <c r="J5" s="470"/>
      <c r="K5" s="470"/>
      <c r="L5" s="471"/>
      <c r="M5" s="456"/>
      <c r="N5" s="457"/>
      <c r="O5" s="458"/>
    </row>
    <row r="6" spans="1:15" s="44" customFormat="1" x14ac:dyDescent="0.2">
      <c r="A6" s="469"/>
      <c r="B6" s="470"/>
      <c r="C6" s="470"/>
      <c r="D6" s="470"/>
      <c r="E6" s="470"/>
      <c r="F6" s="470"/>
      <c r="G6" s="470"/>
      <c r="H6" s="470"/>
      <c r="I6" s="470"/>
      <c r="J6" s="470"/>
      <c r="K6" s="470"/>
      <c r="L6" s="471"/>
      <c r="M6" s="456"/>
      <c r="N6" s="457"/>
      <c r="O6" s="458"/>
    </row>
    <row r="7" spans="1:15" s="44" customFormat="1" ht="13.5" thickBot="1" x14ac:dyDescent="0.25">
      <c r="A7" s="472"/>
      <c r="B7" s="473"/>
      <c r="C7" s="473"/>
      <c r="D7" s="473"/>
      <c r="E7" s="473"/>
      <c r="F7" s="473"/>
      <c r="G7" s="473"/>
      <c r="H7" s="473"/>
      <c r="I7" s="473"/>
      <c r="J7" s="473"/>
      <c r="K7" s="473"/>
      <c r="L7" s="474"/>
      <c r="M7" s="456"/>
      <c r="N7" s="457"/>
      <c r="O7" s="458"/>
    </row>
    <row r="8" spans="1:15" s="44" customFormat="1" ht="15.75" x14ac:dyDescent="0.2">
      <c r="A8" s="477" t="s">
        <v>448</v>
      </c>
      <c r="B8" s="478"/>
      <c r="C8" s="478"/>
      <c r="D8" s="478"/>
      <c r="E8" s="478"/>
      <c r="F8" s="478"/>
      <c r="G8" s="478"/>
      <c r="H8" s="478"/>
      <c r="I8" s="479"/>
      <c r="J8" s="485" t="s">
        <v>1145</v>
      </c>
      <c r="K8" s="486"/>
      <c r="L8" s="487"/>
      <c r="M8" s="459"/>
      <c r="N8" s="460"/>
      <c r="O8" s="461"/>
    </row>
    <row r="9" spans="1:15" s="44" customFormat="1" ht="12.75" customHeight="1" x14ac:dyDescent="0.2">
      <c r="A9" s="480" t="s">
        <v>1037</v>
      </c>
      <c r="B9" s="481"/>
      <c r="C9" s="481"/>
      <c r="D9" s="481"/>
      <c r="E9" s="481"/>
      <c r="F9" s="481"/>
      <c r="G9" s="481"/>
      <c r="H9" s="481"/>
      <c r="I9" s="481"/>
      <c r="J9" s="488"/>
      <c r="K9" s="489"/>
      <c r="L9" s="490"/>
      <c r="M9" s="459"/>
      <c r="N9" s="460"/>
      <c r="O9" s="461"/>
    </row>
    <row r="10" spans="1:15" s="44" customFormat="1" ht="12.75" customHeight="1" x14ac:dyDescent="0.2">
      <c r="A10" s="480"/>
      <c r="B10" s="481"/>
      <c r="C10" s="481"/>
      <c r="D10" s="481"/>
      <c r="E10" s="481"/>
      <c r="F10" s="481"/>
      <c r="G10" s="481"/>
      <c r="H10" s="481"/>
      <c r="I10" s="481"/>
      <c r="J10" s="488"/>
      <c r="K10" s="489"/>
      <c r="L10" s="490"/>
      <c r="M10" s="459"/>
      <c r="N10" s="460"/>
      <c r="O10" s="461"/>
    </row>
    <row r="11" spans="1:15" s="44" customFormat="1" ht="12.75" customHeight="1" x14ac:dyDescent="0.2">
      <c r="A11" s="480"/>
      <c r="B11" s="481"/>
      <c r="C11" s="481"/>
      <c r="D11" s="481"/>
      <c r="E11" s="481"/>
      <c r="F11" s="481"/>
      <c r="G11" s="481"/>
      <c r="H11" s="481"/>
      <c r="I11" s="481"/>
      <c r="J11" s="488"/>
      <c r="K11" s="489"/>
      <c r="L11" s="490"/>
      <c r="M11" s="459"/>
      <c r="N11" s="460"/>
      <c r="O11" s="461"/>
    </row>
    <row r="12" spans="1:15" s="44" customFormat="1" ht="28.5" customHeight="1" thickBot="1" x14ac:dyDescent="0.25">
      <c r="A12" s="480"/>
      <c r="B12" s="481"/>
      <c r="C12" s="481"/>
      <c r="D12" s="481"/>
      <c r="E12" s="481"/>
      <c r="F12" s="481"/>
      <c r="G12" s="481"/>
      <c r="H12" s="481"/>
      <c r="I12" s="481"/>
      <c r="J12" s="491"/>
      <c r="K12" s="492"/>
      <c r="L12" s="493"/>
      <c r="M12" s="462"/>
      <c r="N12" s="463"/>
      <c r="O12" s="464"/>
    </row>
    <row r="13" spans="1:15" s="44" customFormat="1" ht="25.5" customHeight="1" thickBot="1" x14ac:dyDescent="0.25">
      <c r="A13" s="465" t="s">
        <v>256</v>
      </c>
      <c r="B13" s="466"/>
      <c r="C13" s="467"/>
      <c r="D13" s="467"/>
      <c r="E13" s="467"/>
      <c r="F13" s="467"/>
      <c r="G13" s="467"/>
      <c r="H13" s="467"/>
      <c r="I13" s="467"/>
      <c r="J13" s="467"/>
      <c r="K13" s="467"/>
      <c r="L13" s="467"/>
      <c r="M13" s="467"/>
      <c r="N13" s="467"/>
      <c r="O13" s="467"/>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45732</v>
      </c>
      <c r="D15" s="45" t="s">
        <v>322</v>
      </c>
      <c r="E15" s="53">
        <f>B15+(1+B16-1)/24+B18-0/24</f>
        <v>45732</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45730.630103587966</v>
      </c>
      <c r="H16" s="45" t="s">
        <v>105</v>
      </c>
      <c r="I16" s="54">
        <f>INDEX(TblRaces[[Max population]:[Explore Cost]],MATCH(race,TblRaces[Race],0),MATCH(Table4[[#This Row],[Race Bonuses]],TblRaces[[#Headers],[Max population]:[Explore Cost]],0))</f>
        <v>0</v>
      </c>
      <c r="K16" s="468" t="s">
        <v>450</v>
      </c>
      <c r="L16" s="453"/>
      <c r="M16" s="453"/>
      <c r="N16" s="453"/>
      <c r="O16" s="51"/>
    </row>
    <row r="17" spans="1:15" s="44" customFormat="1" ht="12.75" customHeight="1" thickBot="1" x14ac:dyDescent="0.25">
      <c r="A17" s="45" t="s">
        <v>319</v>
      </c>
      <c r="B17" s="55">
        <f ca="1">TODAY()</f>
        <v>45730</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A20" s="451"/>
      <c r="B20" s="451"/>
      <c r="C20" s="451"/>
      <c r="D20" s="451"/>
      <c r="E20" s="451"/>
      <c r="F20" s="451"/>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450" t="s">
        <v>317</v>
      </c>
      <c r="B21" s="450" t="s">
        <v>31</v>
      </c>
      <c r="C21" s="450" t="s">
        <v>32</v>
      </c>
      <c r="D21" s="450" t="s">
        <v>2</v>
      </c>
      <c r="E21" s="450" t="str">
        <f>secondary_resource</f>
        <v>Ore</v>
      </c>
      <c r="F21" s="450" t="s">
        <v>230</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8"/>
      <c r="L23" s="468"/>
      <c r="M23" s="468"/>
      <c r="N23" s="468"/>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68"/>
      <c r="L24" s="468"/>
      <c r="M24" s="468"/>
      <c r="N24" s="468"/>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68"/>
      <c r="L25" s="468"/>
      <c r="M25" s="468"/>
      <c r="N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68"/>
      <c r="L26" s="468"/>
      <c r="M26" s="468"/>
      <c r="N26" s="468"/>
      <c r="O26" s="60"/>
    </row>
    <row r="27" spans="1:15" s="44" customFormat="1" x14ac:dyDescent="0.2">
      <c r="A27" s="441" t="s">
        <v>1085</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68"/>
      <c r="L27" s="468"/>
      <c r="M27" s="468"/>
      <c r="N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1070</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1065</v>
      </c>
      <c r="I32" s="437">
        <f>INDEX(TblRaces[[Max population]:[Explore Cost]],MATCH(race,TblRaces[Race],0),MATCH(Table4[[#This Row],[Race Bonuses]],TblRaces[[#Headers],[Max population]:[Explore Cost]],0))</f>
        <v>0</v>
      </c>
      <c r="J32" s="69"/>
      <c r="O32" s="74"/>
    </row>
    <row r="33" spans="1:15" s="75" customFormat="1" ht="29.25" customHeight="1" x14ac:dyDescent="0.2">
      <c r="A33" s="452" t="s">
        <v>375</v>
      </c>
      <c r="B33" s="453"/>
      <c r="C33" s="453"/>
      <c r="D33" s="453"/>
      <c r="E33" s="453"/>
      <c r="F33" s="453"/>
      <c r="G33" s="453"/>
      <c r="H33" s="453"/>
      <c r="I33" s="453"/>
      <c r="J33" s="454"/>
      <c r="K33" s="455"/>
      <c r="L33" s="455"/>
      <c r="M33" s="455"/>
      <c r="N33" s="455"/>
      <c r="O33" s="455"/>
    </row>
    <row r="34" spans="1:15" x14ac:dyDescent="0.2">
      <c r="A34" s="5" t="s">
        <v>22</v>
      </c>
      <c r="B34" s="45" t="s">
        <v>353</v>
      </c>
      <c r="C34" s="76" t="s">
        <v>31</v>
      </c>
      <c r="D34" s="77" t="s">
        <v>206</v>
      </c>
      <c r="E34" s="78" t="s">
        <v>1009</v>
      </c>
      <c r="F34" s="76" t="s">
        <v>32</v>
      </c>
      <c r="G34" s="77" t="s">
        <v>1007</v>
      </c>
      <c r="H34" s="77" t="s">
        <v>1008</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Military!E$76</f>
        <v>0</v>
      </c>
      <c r="C36" s="88">
        <f ca="1">B36*B22+E95*C95</f>
        <v>0</v>
      </c>
      <c r="D36" s="89">
        <f ca="1">Military!Q76</f>
        <v>2.5000000000000001E-2</v>
      </c>
      <c r="E36" s="87">
        <f ca="1">C36*(1+$D$36)</f>
        <v>0</v>
      </c>
      <c r="F36" s="90">
        <f ca="1">B36*C22</f>
        <v>0</v>
      </c>
      <c r="G36" s="89">
        <f ca="1">Military!U76</f>
        <v>0</v>
      </c>
      <c r="H36" s="90">
        <f ca="1">F36*(1+$G$36)</f>
        <v>0</v>
      </c>
      <c r="I36" s="91" t="str">
        <f>A36</f>
        <v>Spearman</v>
      </c>
      <c r="J36" s="44"/>
      <c r="K36" s="497" t="s">
        <v>427</v>
      </c>
      <c r="L36" s="498"/>
      <c r="M36" s="498"/>
      <c r="N36" s="498"/>
      <c r="O36" s="51"/>
    </row>
    <row r="37" spans="1:15" x14ac:dyDescent="0.2">
      <c r="A37" s="92" t="str">
        <f>spec_dp_name</f>
        <v>Archer</v>
      </c>
      <c r="B37" s="93">
        <f ca="1">Military!F$76</f>
        <v>150</v>
      </c>
      <c r="C37" s="94">
        <f ca="1">B37*B23</f>
        <v>0</v>
      </c>
      <c r="D37" s="95"/>
      <c r="E37" s="93">
        <f ca="1">C37*(1+$D$36)</f>
        <v>0</v>
      </c>
      <c r="F37" s="96">
        <f ca="1">B37*C23</f>
        <v>450</v>
      </c>
      <c r="G37" s="95"/>
      <c r="H37" s="96">
        <f ca="1">F37*(1+$G$36)</f>
        <v>450</v>
      </c>
      <c r="I37" s="91" t="str">
        <f>A37</f>
        <v>Archer</v>
      </c>
      <c r="J37" s="44"/>
      <c r="K37" s="498"/>
      <c r="L37" s="498"/>
      <c r="M37" s="498"/>
      <c r="N37" s="498"/>
      <c r="O37" s="51"/>
    </row>
    <row r="38" spans="1:15" x14ac:dyDescent="0.2">
      <c r="A38" s="92" t="str">
        <f>elite1_name</f>
        <v>Knight</v>
      </c>
      <c r="B38" s="93">
        <f ca="1">Military!G$76</f>
        <v>0</v>
      </c>
      <c r="C38" s="94">
        <f ca="1">B38*B24</f>
        <v>0</v>
      </c>
      <c r="D38" s="95"/>
      <c r="E38" s="93">
        <f ca="1">C38*(1+$D$36)</f>
        <v>0</v>
      </c>
      <c r="F38" s="96">
        <f ca="1">B38*C24+E89*D89</f>
        <v>0</v>
      </c>
      <c r="G38" s="95"/>
      <c r="H38" s="96">
        <f ca="1">F38*(1+$G$36)</f>
        <v>0</v>
      </c>
      <c r="I38" s="91" t="str">
        <f>A38</f>
        <v>Knight</v>
      </c>
      <c r="J38" s="44"/>
      <c r="K38" s="498"/>
      <c r="L38" s="498"/>
      <c r="M38" s="498"/>
      <c r="N38" s="498"/>
      <c r="O38" s="51"/>
    </row>
    <row r="39" spans="1:15" ht="13.5" thickBot="1" x14ac:dyDescent="0.25">
      <c r="A39" s="92" t="str">
        <f>elite2_name</f>
        <v>Cavalry</v>
      </c>
      <c r="B39" s="93">
        <f ca="1">Military!H$76</f>
        <v>0</v>
      </c>
      <c r="C39" s="97">
        <f ca="1">B39*B25+E89*C90</f>
        <v>0</v>
      </c>
      <c r="D39" s="95"/>
      <c r="E39" s="98">
        <f ca="1">C39*(1+$D$36)</f>
        <v>0</v>
      </c>
      <c r="F39" s="99">
        <f ca="1">B39*C25</f>
        <v>0</v>
      </c>
      <c r="G39" s="95"/>
      <c r="H39" s="99">
        <f ca="1">F39*(1+$G$36)</f>
        <v>0</v>
      </c>
      <c r="I39" s="91" t="str">
        <f>A39</f>
        <v>Cavalry</v>
      </c>
      <c r="J39" s="44"/>
      <c r="K39" s="468" t="s">
        <v>447</v>
      </c>
      <c r="L39" s="499"/>
      <c r="M39" s="499"/>
      <c r="N39" s="499"/>
      <c r="O39" s="51"/>
    </row>
    <row r="40" spans="1:15" ht="13.5" thickTop="1" x14ac:dyDescent="0.2">
      <c r="A40" s="100"/>
      <c r="B40" s="87"/>
      <c r="C40" s="101">
        <f ca="1">SUM(C36:C39)</f>
        <v>0</v>
      </c>
      <c r="E40" s="102">
        <f ca="1">SUM(E36:E39)</f>
        <v>0</v>
      </c>
      <c r="F40" s="35">
        <f ca="1">SUM(F36:F39)</f>
        <v>450</v>
      </c>
      <c r="H40" s="35">
        <f ca="1">SUM(H36:H39)</f>
        <v>450</v>
      </c>
      <c r="I40" s="83"/>
      <c r="J40" s="44"/>
      <c r="K40" s="499"/>
      <c r="L40" s="499"/>
      <c r="M40" s="499"/>
      <c r="N40" s="499"/>
      <c r="O40" s="51"/>
    </row>
    <row r="41" spans="1:15" x14ac:dyDescent="0.2">
      <c r="A41" s="103" t="s">
        <v>24</v>
      </c>
      <c r="B41" s="96">
        <f ca="1">F41</f>
        <v>626</v>
      </c>
      <c r="C41" s="103"/>
      <c r="E41" s="104"/>
      <c r="F41" s="96">
        <f ca="1">Military!AA76</f>
        <v>626</v>
      </c>
      <c r="H41" s="96">
        <f ca="1">F41*(1+$G$36)</f>
        <v>626</v>
      </c>
      <c r="I41" s="91" t="s">
        <v>418</v>
      </c>
      <c r="J41" s="44"/>
      <c r="K41" s="497" t="s">
        <v>445</v>
      </c>
      <c r="L41" s="498"/>
      <c r="M41" s="498"/>
      <c r="N41" s="498"/>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98"/>
      <c r="L42" s="498"/>
      <c r="M42" s="498"/>
      <c r="N42" s="498"/>
      <c r="O42" s="51"/>
    </row>
    <row r="43" spans="1:15" ht="13.5" thickTop="1" x14ac:dyDescent="0.2">
      <c r="C43" s="103"/>
      <c r="E43" s="104"/>
      <c r="F43" s="35">
        <f ca="1">F41+F40+F42</f>
        <v>1076</v>
      </c>
      <c r="H43" s="102">
        <f ca="1">H41+H40+H42</f>
        <v>1076</v>
      </c>
      <c r="I43" s="91"/>
      <c r="J43" s="44"/>
      <c r="K43" s="453"/>
      <c r="L43" s="453"/>
      <c r="M43" s="453"/>
      <c r="N43" s="453"/>
      <c r="O43" s="51"/>
    </row>
    <row r="44" spans="1:15" x14ac:dyDescent="0.2">
      <c r="A44" s="44"/>
      <c r="B44" s="44"/>
      <c r="C44" s="44"/>
      <c r="D44" s="496"/>
      <c r="E44" s="496"/>
      <c r="F44" s="496"/>
      <c r="G44" s="496"/>
      <c r="H44" s="496"/>
      <c r="I44" s="44"/>
      <c r="J44" s="44"/>
      <c r="K44" s="44"/>
      <c r="L44" s="44"/>
      <c r="M44" s="44"/>
      <c r="N44" s="44"/>
      <c r="O44" s="51"/>
    </row>
    <row r="45" spans="1:15" x14ac:dyDescent="0.2">
      <c r="A45" s="107" t="str">
        <f>A26</f>
        <v>Spy</v>
      </c>
      <c r="B45" s="428">
        <f ca="1">Military!I76</f>
        <v>25</v>
      </c>
      <c r="D45" s="44"/>
      <c r="E45" s="44"/>
      <c r="F45" s="44"/>
      <c r="G45" s="44"/>
      <c r="I45" s="44"/>
      <c r="J45" s="44"/>
      <c r="K45" s="44"/>
      <c r="L45" s="44"/>
      <c r="M45" s="44"/>
      <c r="N45" s="44"/>
      <c r="O45" s="51"/>
    </row>
    <row r="46" spans="1:15" x14ac:dyDescent="0.2">
      <c r="A46" s="445" t="s">
        <v>1085</v>
      </c>
      <c r="B46" s="442">
        <f ca="1">Military!J76</f>
        <v>0</v>
      </c>
      <c r="C46" s="44"/>
      <c r="D46" s="5" t="s">
        <v>252</v>
      </c>
      <c r="E46" s="57" t="s">
        <v>353</v>
      </c>
      <c r="F46" s="45" t="s">
        <v>1010</v>
      </c>
      <c r="G46" s="44"/>
      <c r="H46" s="50" t="s">
        <v>254</v>
      </c>
      <c r="I46" s="44"/>
      <c r="J46" s="44"/>
      <c r="K46" s="44"/>
      <c r="L46" s="44"/>
      <c r="M46" s="44"/>
      <c r="N46" s="44"/>
      <c r="O46" s="51"/>
    </row>
    <row r="47" spans="1:15" x14ac:dyDescent="0.2">
      <c r="A47" s="443" t="str">
        <f>A28</f>
        <v>Wizard</v>
      </c>
      <c r="B47" s="444">
        <f ca="1">Military!K76</f>
        <v>25</v>
      </c>
      <c r="C47" s="44"/>
      <c r="D47" s="47" t="s">
        <v>1</v>
      </c>
      <c r="E47" s="47">
        <f ca="1">Construction!BT76</f>
        <v>250</v>
      </c>
      <c r="F47" s="108">
        <v>1</v>
      </c>
      <c r="G47" s="44"/>
      <c r="H47" s="45" t="s">
        <v>255</v>
      </c>
      <c r="I47" s="109" t="s">
        <v>188</v>
      </c>
      <c r="J47" s="57" t="s">
        <v>227</v>
      </c>
      <c r="K47" s="44"/>
      <c r="L47" s="44"/>
      <c r="M47" s="44"/>
      <c r="N47" s="44"/>
      <c r="O47" s="51"/>
    </row>
    <row r="48" spans="1:15" x14ac:dyDescent="0.2">
      <c r="A48" s="114" t="str">
        <f>A29</f>
        <v>Archmage</v>
      </c>
      <c r="B48" s="429">
        <f ca="1">Military!L76</f>
        <v>0</v>
      </c>
      <c r="C48" s="44"/>
      <c r="D48" s="110" t="str">
        <f>Construction!AY3</f>
        <v>Tot Hom</v>
      </c>
      <c r="E48" s="111">
        <f ca="1">Construction!AY76</f>
        <v>10</v>
      </c>
      <c r="F48" s="112">
        <f ca="1">E48/$E$47</f>
        <v>0.04</v>
      </c>
      <c r="G48" s="44"/>
      <c r="H48" s="45" t="s">
        <v>249</v>
      </c>
      <c r="I48" s="113">
        <f ca="1">C40/E47</f>
        <v>0</v>
      </c>
      <c r="J48" s="113">
        <f ca="1">E40/E47</f>
        <v>0</v>
      </c>
      <c r="K48" s="44"/>
      <c r="L48" s="44"/>
      <c r="M48" s="44"/>
      <c r="N48" s="44"/>
      <c r="O48" s="51"/>
    </row>
    <row r="49" spans="1:15" x14ac:dyDescent="0.2">
      <c r="A49" s="44"/>
      <c r="B49" s="44"/>
      <c r="C49" s="44"/>
      <c r="D49" s="110" t="str">
        <f>Construction!AZ3</f>
        <v>Tot Alc</v>
      </c>
      <c r="E49" s="45">
        <f ca="1">Construction!AZ76</f>
        <v>30</v>
      </c>
      <c r="F49" s="112">
        <f ca="1">E49/$E$47</f>
        <v>0.12</v>
      </c>
      <c r="G49" s="44"/>
      <c r="H49" s="45" t="s">
        <v>250</v>
      </c>
      <c r="I49" s="113">
        <f ca="1">F40/E47</f>
        <v>1.8</v>
      </c>
      <c r="J49" s="113">
        <f ca="1">H40/E47</f>
        <v>1.8</v>
      </c>
      <c r="K49" s="44"/>
      <c r="L49" s="44"/>
      <c r="M49" s="44"/>
      <c r="N49" s="44"/>
      <c r="O49" s="51"/>
    </row>
    <row r="50" spans="1:15" x14ac:dyDescent="0.2">
      <c r="A50" s="107" t="s">
        <v>266</v>
      </c>
      <c r="B50" s="428">
        <f ca="1">Production!N76*(boat_size + tech_6_3_3*Techs!BH76)</f>
        <v>0</v>
      </c>
      <c r="C50" s="44"/>
      <c r="D50" s="110" t="str">
        <f>Construction!BA3</f>
        <v>Tot Farm</v>
      </c>
      <c r="E50" s="45">
        <f ca="1">Construction!BA76</f>
        <v>30</v>
      </c>
      <c r="F50" s="112">
        <f ca="1">E50/$E$47</f>
        <v>0.12</v>
      </c>
      <c r="G50" s="44"/>
      <c r="H50" s="45" t="s">
        <v>251</v>
      </c>
      <c r="I50" s="113">
        <f ca="1">(B45 + B46*2 + B38*D91*E91 + B38*D92*E92)/E47</f>
        <v>0.1</v>
      </c>
      <c r="J50" s="113">
        <f ca="1">I50*(1+I26)</f>
        <v>0.1</v>
      </c>
      <c r="K50" s="44"/>
      <c r="L50" s="44"/>
      <c r="M50" s="44"/>
      <c r="N50" s="44"/>
      <c r="O50" s="51"/>
    </row>
    <row r="51" spans="1:15" x14ac:dyDescent="0.2">
      <c r="A51" s="114" t="s">
        <v>374</v>
      </c>
      <c r="B51" s="429">
        <f>SUM(Imps!M4:'Imps'!M76)</f>
        <v>0</v>
      </c>
      <c r="C51" s="44"/>
      <c r="D51" s="110" t="str">
        <f>Construction!BB3</f>
        <v>Tot Smi</v>
      </c>
      <c r="E51" s="45">
        <f ca="1">Construction!BB76</f>
        <v>0</v>
      </c>
      <c r="F51" s="112">
        <f t="shared" ref="F51:F66" ca="1" si="0">E51/$E$47</f>
        <v>0</v>
      </c>
      <c r="G51" s="44"/>
      <c r="H51" s="45" t="s">
        <v>253</v>
      </c>
      <c r="I51" s="113">
        <f ca="1">(B48*2+B47 + B38*D93*E93 + B38*D94*E94)/E47</f>
        <v>0.1</v>
      </c>
      <c r="J51" s="113">
        <f ca="1">I51*(1+I27+Constants!O58*Techs!AL76)</f>
        <v>0.1</v>
      </c>
      <c r="K51" s="44"/>
      <c r="L51" s="44"/>
      <c r="M51" s="44"/>
      <c r="N51" s="44"/>
      <c r="O51" s="51"/>
    </row>
    <row r="52" spans="1:15" x14ac:dyDescent="0.2">
      <c r="C52" s="44"/>
      <c r="D52" s="110" t="str">
        <f>Construction!BC3</f>
        <v>Tot Mas</v>
      </c>
      <c r="E52" s="45">
        <f ca="1">Construction!BC76</f>
        <v>0</v>
      </c>
      <c r="F52" s="112">
        <f t="shared" ca="1" si="0"/>
        <v>0</v>
      </c>
      <c r="G52" s="44"/>
      <c r="H52" s="44"/>
      <c r="I52" s="44"/>
      <c r="J52" s="44"/>
      <c r="K52" s="44"/>
      <c r="L52" s="44"/>
      <c r="M52" s="44"/>
      <c r="N52" s="44"/>
      <c r="O52" s="51"/>
    </row>
    <row r="53" spans="1:15" x14ac:dyDescent="0.2">
      <c r="A53" s="115" t="s">
        <v>1</v>
      </c>
      <c r="B53" s="425">
        <f ca="1">E47</f>
        <v>250</v>
      </c>
      <c r="C53" s="44"/>
      <c r="D53" s="110" t="str">
        <f>Construction!BD3</f>
        <v>Tot Ly</v>
      </c>
      <c r="E53" s="45">
        <f ca="1">Construction!BD76</f>
        <v>20</v>
      </c>
      <c r="F53" s="112">
        <f t="shared" ca="1" si="0"/>
        <v>0.08</v>
      </c>
      <c r="G53" s="44"/>
      <c r="H53" s="50" t="s">
        <v>2</v>
      </c>
      <c r="I53" s="44"/>
      <c r="J53" s="44"/>
      <c r="K53" s="44"/>
      <c r="L53" s="44"/>
      <c r="M53" s="44"/>
      <c r="N53" s="44"/>
      <c r="O53" s="51"/>
    </row>
    <row r="54" spans="1:15" x14ac:dyDescent="0.2">
      <c r="A54" s="116" t="s">
        <v>21</v>
      </c>
      <c r="B54" s="426">
        <f ca="1">Population!C76</f>
        <v>1532</v>
      </c>
      <c r="C54" s="44"/>
      <c r="D54" s="110" t="str">
        <f>Construction!BE3</f>
        <v>Tot Hav</v>
      </c>
      <c r="E54" s="45">
        <f ca="1">Construction!BE76</f>
        <v>0</v>
      </c>
      <c r="F54" s="112">
        <f t="shared" ca="1" si="0"/>
        <v>0</v>
      </c>
      <c r="G54" s="44"/>
      <c r="H54" s="45" t="s">
        <v>0</v>
      </c>
      <c r="I54" s="103" t="s">
        <v>216</v>
      </c>
      <c r="J54" s="45" t="s">
        <v>382</v>
      </c>
      <c r="K54" s="44"/>
      <c r="L54" s="44"/>
      <c r="M54" s="44"/>
      <c r="N54" s="44"/>
      <c r="O54" s="51"/>
    </row>
    <row r="55" spans="1:15" x14ac:dyDescent="0.2">
      <c r="A55" s="117" t="s">
        <v>24</v>
      </c>
      <c r="B55" s="427">
        <f ca="1">B41</f>
        <v>626</v>
      </c>
      <c r="C55" s="44"/>
      <c r="D55" s="110" t="str">
        <f>Construction!BF3</f>
        <v>Tot OM</v>
      </c>
      <c r="E55" s="45">
        <f ca="1">Construction!BF76</f>
        <v>0</v>
      </c>
      <c r="F55" s="112">
        <f t="shared" ca="1" si="0"/>
        <v>0</v>
      </c>
      <c r="G55" s="44"/>
      <c r="H55" s="118">
        <v>61</v>
      </c>
      <c r="I55" s="61">
        <f ca="1">Production!H64</f>
        <v>450038</v>
      </c>
      <c r="J55" s="61">
        <f ca="1">Production!H64+SUM(Military!AS4:AS64)</f>
        <v>450038</v>
      </c>
      <c r="K55" s="44"/>
      <c r="L55" s="44"/>
      <c r="M55" s="44"/>
      <c r="N55" s="44"/>
      <c r="O55" s="51"/>
    </row>
    <row r="56" spans="1:15" x14ac:dyDescent="0.2">
      <c r="A56" s="116" t="s">
        <v>230</v>
      </c>
      <c r="B56" s="426">
        <f ca="1">Production!G76</f>
        <v>6450</v>
      </c>
      <c r="C56" s="44"/>
      <c r="D56" s="110" t="str">
        <f>Construction!BG3</f>
        <v>Tot GN</v>
      </c>
      <c r="E56" s="45">
        <f ca="1">Construction!BG76</f>
        <v>0</v>
      </c>
      <c r="F56" s="112">
        <f t="shared" ca="1" si="0"/>
        <v>0</v>
      </c>
      <c r="G56" s="44"/>
      <c r="H56" s="118">
        <v>64</v>
      </c>
      <c r="I56" s="61">
        <f ca="1">Production!H67</f>
        <v>466496</v>
      </c>
      <c r="J56" s="61">
        <f ca="1">Production!H67+SUM(Military!AS5:AS67)</f>
        <v>466496</v>
      </c>
      <c r="K56" s="119"/>
      <c r="L56" s="44"/>
      <c r="M56" s="44"/>
      <c r="N56" s="44"/>
      <c r="O56" s="51"/>
    </row>
    <row r="57" spans="1:15" x14ac:dyDescent="0.2">
      <c r="A57" s="117" t="s">
        <v>265</v>
      </c>
      <c r="B57" s="427">
        <f ca="1">H40</f>
        <v>450</v>
      </c>
      <c r="C57" s="44"/>
      <c r="D57" s="110" t="str">
        <f>Construction!BJ3</f>
        <v>Tot Bar</v>
      </c>
      <c r="E57" s="45">
        <f ca="1">Construction!BJ76</f>
        <v>0</v>
      </c>
      <c r="F57" s="112">
        <f t="shared" ca="1" si="0"/>
        <v>0</v>
      </c>
      <c r="G57" s="44"/>
      <c r="H57" s="118" t="s">
        <v>229</v>
      </c>
      <c r="I57" s="61">
        <f ca="1">Production!H76</f>
        <v>515870</v>
      </c>
      <c r="J57" s="61">
        <f ca="1">Production!H76+SUM(Military!AS4:AS76)</f>
        <v>515870</v>
      </c>
      <c r="K57" s="119"/>
      <c r="L57" s="44"/>
      <c r="M57" s="44"/>
      <c r="N57" s="44"/>
      <c r="O57" s="51"/>
    </row>
    <row r="58" spans="1:15" x14ac:dyDescent="0.2">
      <c r="A58" s="116" t="s">
        <v>264</v>
      </c>
      <c r="B58" s="426">
        <f ca="1">E40</f>
        <v>0</v>
      </c>
      <c r="C58" s="44"/>
      <c r="D58" s="110" t="str">
        <f>Construction!BH3</f>
        <v>Tot Fac</v>
      </c>
      <c r="E58" s="45">
        <f ca="1">Construction!BH76</f>
        <v>0</v>
      </c>
      <c r="F58" s="112">
        <f t="shared" ca="1" si="0"/>
        <v>0</v>
      </c>
      <c r="G58" s="44"/>
      <c r="H58" s="44"/>
      <c r="I58" s="44"/>
      <c r="J58" s="44"/>
      <c r="K58" s="119"/>
      <c r="L58" s="44"/>
      <c r="M58" s="44"/>
      <c r="N58" s="44"/>
      <c r="O58" s="51"/>
    </row>
    <row r="59" spans="1:15" x14ac:dyDescent="0.2">
      <c r="A59" s="117" t="s">
        <v>6</v>
      </c>
      <c r="B59" s="427">
        <f ca="1">Production!S76</f>
        <v>5486</v>
      </c>
      <c r="C59" s="44"/>
      <c r="D59" s="110" t="str">
        <f>Construction!BI3</f>
        <v>Tot GT</v>
      </c>
      <c r="E59" s="45">
        <f ca="1">Construction!BI76</f>
        <v>0</v>
      </c>
      <c r="F59" s="112">
        <f t="shared" ca="1" si="0"/>
        <v>0</v>
      </c>
      <c r="G59" s="44"/>
      <c r="H59" s="50" t="s">
        <v>275</v>
      </c>
      <c r="I59" s="44"/>
      <c r="J59" s="44"/>
      <c r="K59" s="44"/>
      <c r="L59" s="44"/>
      <c r="M59" s="44"/>
      <c r="N59" s="44"/>
      <c r="O59" s="51"/>
    </row>
    <row r="60" spans="1:15" x14ac:dyDescent="0.2">
      <c r="A60" s="116" t="s">
        <v>2</v>
      </c>
      <c r="B60" s="426">
        <f ca="1">Production!H$76</f>
        <v>515870</v>
      </c>
      <c r="C60" s="44"/>
      <c r="D60" s="110" t="str">
        <f>Construction!BK3</f>
        <v>Tot Shr</v>
      </c>
      <c r="E60" s="45">
        <f ca="1">Construction!BK76</f>
        <v>0</v>
      </c>
      <c r="F60" s="112">
        <f t="shared" ca="1" si="0"/>
        <v>0</v>
      </c>
      <c r="G60" s="44"/>
      <c r="H60" s="45" t="s">
        <v>276</v>
      </c>
      <c r="I60" s="94" t="s">
        <v>216</v>
      </c>
      <c r="J60" s="120" t="s">
        <v>381</v>
      </c>
      <c r="K60" s="44"/>
      <c r="L60" s="44"/>
      <c r="M60" s="44"/>
      <c r="N60" s="44"/>
      <c r="O60" s="51"/>
    </row>
    <row r="61" spans="1:15" x14ac:dyDescent="0.2">
      <c r="A61" s="117" t="s">
        <v>5</v>
      </c>
      <c r="B61" s="427">
        <f ca="1">Production!I$76</f>
        <v>110704</v>
      </c>
      <c r="C61" s="44"/>
      <c r="D61" s="110" t="str">
        <f>Construction!BL3</f>
        <v>Tot Tow</v>
      </c>
      <c r="E61" s="45">
        <f ca="1">Construction!BL76</f>
        <v>0</v>
      </c>
      <c r="F61" s="112">
        <f t="shared" ca="1" si="0"/>
        <v>0</v>
      </c>
      <c r="G61" s="44"/>
      <c r="H61" s="45" t="s">
        <v>277</v>
      </c>
      <c r="I61" s="96">
        <f ca="1">SUM(Construction!AQ4:AQ76)</f>
        <v>0</v>
      </c>
      <c r="J61" s="120">
        <f ca="1">IFERROR(Table18[[#This Row],[Amount]]/Table18[[#Totals],[Amount]],0)</f>
        <v>0</v>
      </c>
      <c r="K61" s="44"/>
      <c r="L61" s="44"/>
      <c r="M61" s="44"/>
      <c r="N61" s="44"/>
      <c r="O61" s="51"/>
    </row>
    <row r="62" spans="1:15" x14ac:dyDescent="0.2">
      <c r="A62" s="116" t="s">
        <v>7</v>
      </c>
      <c r="B62" s="426">
        <f ca="1">Production!J$76</f>
        <v>58774</v>
      </c>
      <c r="C62" s="44"/>
      <c r="D62" s="110" t="str">
        <f>Construction!BM3</f>
        <v>Tot Tem</v>
      </c>
      <c r="E62" s="45">
        <f ca="1">Construction!BM76</f>
        <v>0</v>
      </c>
      <c r="F62" s="112">
        <f t="shared" ca="1" si="0"/>
        <v>0</v>
      </c>
      <c r="G62" s="44"/>
      <c r="H62" s="45" t="s">
        <v>278</v>
      </c>
      <c r="I62" s="96">
        <f ca="1">SUM(Explore!AH4:AH76)</f>
        <v>0</v>
      </c>
      <c r="J62" s="120">
        <f ca="1">IFERROR(Table18[[#This Row],[Amount]]/Table18[[#Totals],[Amount]],0)</f>
        <v>0</v>
      </c>
      <c r="K62" s="44"/>
      <c r="L62" s="44"/>
      <c r="M62" s="44"/>
      <c r="N62" s="44"/>
      <c r="O62" s="51"/>
    </row>
    <row r="63" spans="1:15" x14ac:dyDescent="0.2">
      <c r="A63" s="117" t="s">
        <v>12</v>
      </c>
      <c r="B63" s="427">
        <f ca="1">Production!K$76</f>
        <v>0</v>
      </c>
      <c r="C63" s="44"/>
      <c r="D63" s="110" t="str">
        <f>Construction!BN3</f>
        <v>Tot WG</v>
      </c>
      <c r="E63" s="45">
        <f ca="1">Construction!BN76</f>
        <v>0</v>
      </c>
      <c r="F63" s="112">
        <f t="shared" ca="1" si="0"/>
        <v>0</v>
      </c>
      <c r="G63" s="44"/>
      <c r="H63" s="45" t="s">
        <v>22</v>
      </c>
      <c r="I63" s="96">
        <f ca="1">SUM(Military!AS4:AS76)</f>
        <v>0</v>
      </c>
      <c r="J63" s="120">
        <f ca="1">IFERROR(Table18[[#This Row],[Amount]]/Table18[[#Totals],[Amount]],0)</f>
        <v>0</v>
      </c>
      <c r="K63" s="44"/>
      <c r="L63" s="44"/>
      <c r="M63" s="44"/>
      <c r="N63" s="44"/>
      <c r="O63" s="51"/>
    </row>
    <row r="64" spans="1:15" x14ac:dyDescent="0.2">
      <c r="A64" s="116" t="s">
        <v>3</v>
      </c>
      <c r="B64" s="426">
        <f ca="1">Production!L$76</f>
        <v>0</v>
      </c>
      <c r="C64" s="44"/>
      <c r="D64" s="110" t="str">
        <f>Construction!BO3</f>
        <v>Tot DM</v>
      </c>
      <c r="E64" s="45">
        <f ca="1">Construction!BO76</f>
        <v>0</v>
      </c>
      <c r="F64" s="112">
        <f t="shared" ca="1" si="0"/>
        <v>0</v>
      </c>
      <c r="G64" s="44"/>
      <c r="H64" s="45" t="s">
        <v>190</v>
      </c>
      <c r="I64" s="96">
        <f ca="1">SUM(Rezone!Y4:Y76)</f>
        <v>0</v>
      </c>
      <c r="J64" s="120">
        <f ca="1">IFERROR(Table18[[#This Row],[Amount]]/Table18[[#Totals],[Amount]],0)</f>
        <v>0</v>
      </c>
      <c r="K64" s="44"/>
      <c r="L64" s="44"/>
      <c r="M64" s="44"/>
      <c r="N64" s="44"/>
      <c r="O64" s="51"/>
    </row>
    <row r="65" spans="1:15" x14ac:dyDescent="0.2">
      <c r="A65" s="117" t="s">
        <v>4</v>
      </c>
      <c r="B65" s="427">
        <f ca="1">Production!M$76</f>
        <v>0</v>
      </c>
      <c r="C65" s="44"/>
      <c r="D65" s="110" t="str">
        <f>Construction!BP3</f>
        <v>Tot Sch</v>
      </c>
      <c r="E65" s="45">
        <f ca="1">Construction!BP76</f>
        <v>0</v>
      </c>
      <c r="F65" s="112">
        <f t="shared" ca="1" si="0"/>
        <v>0</v>
      </c>
      <c r="G65" s="44"/>
      <c r="H65" s="45" t="s">
        <v>279</v>
      </c>
      <c r="I65" s="96">
        <f>SUM(Imps!AM4:AM76)</f>
        <v>0</v>
      </c>
      <c r="J65" s="120">
        <f ca="1">IFERROR(Table18[[#This Row],[Amount]]/Table18[[#Totals],[Amount]],0)</f>
        <v>0</v>
      </c>
      <c r="K65" s="44"/>
      <c r="L65" s="44"/>
      <c r="M65" s="44"/>
      <c r="N65" s="44"/>
      <c r="O65" s="51"/>
    </row>
    <row r="66" spans="1:15" x14ac:dyDescent="0.2">
      <c r="A66" s="116" t="s">
        <v>82</v>
      </c>
      <c r="B66" s="426">
        <f ca="1">Production!N$76</f>
        <v>0</v>
      </c>
      <c r="C66" s="44"/>
      <c r="D66" s="380" t="str">
        <f>Construction!BQ3</f>
        <v>Tot Doc</v>
      </c>
      <c r="E66" s="73">
        <f ca="1">Construction!BQ76</f>
        <v>0</v>
      </c>
      <c r="F66" s="122">
        <f t="shared" ca="1" si="0"/>
        <v>0</v>
      </c>
      <c r="G66" s="44"/>
      <c r="H66" s="45" t="s">
        <v>186</v>
      </c>
      <c r="I66" s="96">
        <f ca="1">SUBTOTAL(109,Table18[Amount])</f>
        <v>0</v>
      </c>
      <c r="J66" s="341">
        <f>1</f>
        <v>1</v>
      </c>
      <c r="K66" s="44"/>
      <c r="L66" s="44"/>
      <c r="M66" s="44"/>
      <c r="N66" s="44"/>
      <c r="O66" s="51"/>
    </row>
    <row r="67" spans="1:15" x14ac:dyDescent="0.2">
      <c r="A67" s="117" t="s">
        <v>273</v>
      </c>
      <c r="B67" s="427">
        <f>SUM(Explore!T65:Z76)+SUM(Explore!S77:S87)*15</f>
        <v>0</v>
      </c>
      <c r="C67" s="44"/>
      <c r="D67" s="73" t="str">
        <f>B70</f>
        <v>Plain</v>
      </c>
      <c r="E67" s="121">
        <f ca="1">Construction!DG76</f>
        <v>110</v>
      </c>
      <c r="F67" s="122">
        <f ca="1">E67/E47</f>
        <v>0.44</v>
      </c>
      <c r="G67" s="44"/>
      <c r="I67" s="44"/>
      <c r="K67" s="44"/>
      <c r="L67" s="44"/>
      <c r="M67" s="44"/>
      <c r="N67" s="44"/>
      <c r="O67" s="51"/>
    </row>
    <row r="68" spans="1:15" x14ac:dyDescent="0.2">
      <c r="A68" s="116" t="s">
        <v>274</v>
      </c>
      <c r="B68" s="426">
        <f>Construction!D76</f>
        <v>0</v>
      </c>
      <c r="C68" s="44"/>
      <c r="D68" s="5" t="s">
        <v>357</v>
      </c>
      <c r="E68" s="35">
        <f ca="1">E47-SUM(E48:E66)-B68</f>
        <v>160</v>
      </c>
      <c r="F68" s="125">
        <f ca="1">E68/E47</f>
        <v>0.64</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94" t="s">
        <v>286</v>
      </c>
      <c r="B73" s="495"/>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1131</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2.1999999999999997</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2.1999999999999997</v>
      </c>
      <c r="E81" s="126" t="b">
        <f>$B$14=A81</f>
        <v>0</v>
      </c>
    </row>
    <row r="82" spans="1:5" x14ac:dyDescent="0.2">
      <c r="A82" s="126"/>
      <c r="B82" s="126" t="s">
        <v>332</v>
      </c>
      <c r="C82" s="126">
        <f ca="1">MIN(Constants!F126,I51*Constants!C126)</f>
        <v>0.1</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1134</v>
      </c>
      <c r="B86" s="126" t="s">
        <v>1143</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40">
        <v>0.2</v>
      </c>
      <c r="D91" s="440">
        <f>1/3</f>
        <v>0.33333333333333331</v>
      </c>
      <c r="E91" s="126" t="b">
        <f t="shared" ref="E91:E95" si="1">$B$14=A91</f>
        <v>0</v>
      </c>
    </row>
    <row r="92" spans="1:5" x14ac:dyDescent="0.2">
      <c r="A92" s="126" t="s">
        <v>104</v>
      </c>
      <c r="B92" s="126" t="s">
        <v>158</v>
      </c>
      <c r="C92" s="440">
        <v>0.2</v>
      </c>
      <c r="D92" s="440">
        <v>0.2</v>
      </c>
      <c r="E92" s="126" t="b">
        <f t="shared" si="1"/>
        <v>0</v>
      </c>
    </row>
    <row r="93" spans="1:5" x14ac:dyDescent="0.2">
      <c r="A93" s="126" t="s">
        <v>96</v>
      </c>
      <c r="B93" s="126" t="s">
        <v>139</v>
      </c>
      <c r="C93" s="440">
        <v>0.2</v>
      </c>
      <c r="D93" s="440">
        <v>0.25</v>
      </c>
      <c r="E93" s="126" t="b">
        <f t="shared" si="1"/>
        <v>0</v>
      </c>
    </row>
    <row r="94" spans="1:5" x14ac:dyDescent="0.2">
      <c r="A94" s="126" t="s">
        <v>99</v>
      </c>
      <c r="B94" s="126" t="s">
        <v>147</v>
      </c>
      <c r="C94" s="440">
        <v>0.25</v>
      </c>
      <c r="D94" s="440">
        <v>0.2</v>
      </c>
      <c r="E94" s="126" t="b">
        <f t="shared" si="1"/>
        <v>0</v>
      </c>
    </row>
    <row r="95" spans="1:5" x14ac:dyDescent="0.2">
      <c r="A95" s="126" t="s">
        <v>1134</v>
      </c>
      <c r="B95" s="126" t="s">
        <v>420</v>
      </c>
      <c r="C95" s="440">
        <f ca="1">MIN(B36,B39)*demonic_pact_oppair*IF(Magic!AQ76&gt;0,1,0)</f>
        <v>0</v>
      </c>
      <c r="D95" s="440"/>
      <c r="E95" s="126"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52" priority="3" stopIfTrue="1">
      <formula>$D$44&lt;&gt;""</formula>
    </cfRule>
  </conditionalFormatting>
  <conditionalFormatting sqref="E18">
    <cfRule type="cellIs" dxfId="951" priority="4" stopIfTrue="1" operator="equal">
      <formula>"""Yes"""</formula>
    </cfRule>
    <cfRule type="expression" dxfId="950" priority="5" stopIfTrue="1">
      <formula>ISERROR(E18)</formula>
    </cfRule>
  </conditionalFormatting>
  <conditionalFormatting sqref="E17">
    <cfRule type="cellIs" dxfId="949" priority="6" stopIfTrue="1" operator="lessThan">
      <formula>1</formula>
    </cfRule>
  </conditionalFormatting>
  <conditionalFormatting sqref="A30">
    <cfRule type="expression" dxfId="948" priority="1">
      <formula>$B$14&lt;&gt;"Dark Elf"</formula>
    </cfRule>
    <cfRule type="expression" dxfId="94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1" t="s">
        <v>23</v>
      </c>
      <c r="D1" s="501"/>
      <c r="E1" s="501"/>
      <c r="F1" s="501"/>
      <c r="G1" s="501"/>
      <c r="H1" s="501"/>
      <c r="I1" s="501"/>
      <c r="J1" s="28"/>
      <c r="K1" s="28"/>
      <c r="L1" s="501" t="s">
        <v>22</v>
      </c>
      <c r="M1" s="501"/>
      <c r="N1" s="501"/>
      <c r="O1" s="501"/>
      <c r="P1" s="501"/>
      <c r="Q1" s="501"/>
      <c r="R1" s="501"/>
      <c r="S1" s="501"/>
      <c r="U1" s="501" t="s">
        <v>163</v>
      </c>
      <c r="V1" s="502"/>
      <c r="W1" s="501" t="s">
        <v>167</v>
      </c>
      <c r="X1" s="501"/>
      <c r="Y1" s="501"/>
      <c r="Z1" s="501"/>
      <c r="AA1" s="501" t="s">
        <v>172</v>
      </c>
      <c r="AB1" s="502"/>
      <c r="AC1" s="502"/>
      <c r="AD1" s="502"/>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1011</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1028</v>
      </c>
      <c r="AA3" s="137" t="s">
        <v>772</v>
      </c>
      <c r="AB3" s="137" t="s">
        <v>167</v>
      </c>
      <c r="AC3" s="137" t="s">
        <v>171</v>
      </c>
    </row>
    <row r="4" spans="1:30" x14ac:dyDescent="0.2">
      <c r="A4" s="139">
        <f>TblRezone[[#This Row],[Hour]]</f>
        <v>1</v>
      </c>
      <c r="B4" s="140">
        <f>TblImps[[#This Row],[Time]]</f>
        <v>45732</v>
      </c>
      <c r="C4" s="403">
        <f>start_peasants+TblMili[[#This Row],[Release Draft]]+MIN(13,days_late)*days_late_peasants</f>
        <v>1300</v>
      </c>
      <c r="D4" s="96">
        <f ca="1">TblMili[[#This Row],[Military]]</f>
        <v>300</v>
      </c>
      <c r="E4" s="96">
        <f ca="1">TblMili[[#This Row],[Draftees]]</f>
        <v>100</v>
      </c>
      <c r="F4" s="96">
        <f ca="1">TblPop[[#This Row],[Peasants]]+TblPop[[#This Row],[Military]]</f>
        <v>1600</v>
      </c>
      <c r="G4" s="141">
        <f ca="1">TblPop[[#This Row],[Military]]/TblPop[[#This Row],[Total]]</f>
        <v>0.1875</v>
      </c>
      <c r="H4" s="142">
        <f>MIN(TblPop[[#This Row],[Peasants]],TblPop[[#This Row],[Jobs]])</f>
        <v>1300</v>
      </c>
      <c r="I4" s="141">
        <f ca="1">MIN(OFFSET(TblPop[[#This Row],[Jobs]],1,0)/TblPop[[#This Row],[Peasants]],1)</f>
        <v>1</v>
      </c>
      <c r="J4" s="142">
        <f>SUM(TblConstr[[#This Row],[Tot Alc]:[Tot GT]],TblConstr[[#This Row],[Tot Shr]:[Tot Doc]],TblConstr[[#This Row],[Dest Alc]:[Dest GT]],TblConstr[[#This Row],[Dest Shr]:[Dest Doc]])*building_employment + TblConstr[[#This Row],[Tot Fac]]*bonus_jobs_facts</f>
        <v>1600</v>
      </c>
      <c r="K4" s="143"/>
      <c r="L4" s="61">
        <f ca="1">TblPop[[#This Row],[Draftees]]</f>
        <v>100</v>
      </c>
      <c r="M4" s="61">
        <f>TblMili[[#This Row],[Unit 1]]</f>
        <v>0</v>
      </c>
      <c r="N4" s="61">
        <f>TblMili[[#This Row],[Unit 2]]</f>
        <v>150</v>
      </c>
      <c r="O4" s="61">
        <f>TblMili[[#This Row],[Unit 3]]</f>
        <v>0</v>
      </c>
      <c r="P4" s="61">
        <f>TblMili[[#This Row],[Unit 4]]</f>
        <v>0</v>
      </c>
      <c r="Q4" s="61">
        <f>TblMili[[#This Row],[Spies]]</f>
        <v>25</v>
      </c>
      <c r="R4" s="61">
        <f>TblMili[[#This Row],[Wizards]]</f>
        <v>25</v>
      </c>
      <c r="S4" s="61">
        <f>TblMili[[#This Row],[Archmages]]</f>
        <v>0</v>
      </c>
      <c r="T4" s="144"/>
      <c r="U4" s="96">
        <f ca="1">ROUND(TblPop[[#This Row],[Raw max]]*(1+TblPop[[#This Row],[Max pop]]),0)+MIN(TblPop[[#This Row],[Military]]-TblPop[[#This Row],[Draftees]]-SUM(TblMili[[#This Row],[Train Unit 1]:[Train AM]]),(barracks_size + tech_8_3*TblTech[[#This Row],[8-3]])*TblConstr[[#This Row],[Tot Bar]])</f>
        <v>2358</v>
      </c>
      <c r="V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6">
        <f ca="1">MAX(-5%*TblPop[[#This Row],[Peasants]]-TblPop[[#This Row],[Draft Growth]],MIN(OFFSET(TblPop[[#This Row],[Net max]],1,0)-TblPop[[#This Row],[Peasants]]-TblPop[[#This Row],[Military]]-TblPop[[#This Row],[Draft Growth]],TblPop[[#This Row],[Modded Birth]]-TblPop[[#This Row],[Draft Growth]]))</f>
        <v>26</v>
      </c>
      <c r="X4" s="96">
        <f ca="1">ROUND(TblPop[[#This Row],[Raw Birth]]*(1+TblPop[[#This Row],[Growth]]),0)</f>
        <v>39</v>
      </c>
      <c r="Y4" s="96">
        <f ca="1">(TblPop[[#This Row],[Peasants]]-TblPop[[#This Row],[Draft Growth]])*raw_pop_growth</f>
        <v>38.61</v>
      </c>
      <c r="Z4" s="96">
        <f ca="1">ROUND(IF(TblPop[[#This Row],[Military%]]&lt;TblMili[[#This Row],[Draftrate]],ROUND(TblPop[[#This Row],[Peasants]]*Constants!$B$55,0), 0) * IF(AND(TblMagic[[#This Row],[Active DnD]]&lt;=12,TblMagic[[#This Row],[Active DnD]]&gt;6),1.6,1),0)</f>
        <v>13</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45732.041666666664</v>
      </c>
      <c r="C5" s="96">
        <f ca="1">OFFSET(TblPop[[#This Row],[Peasants]],-1,0)+OFFSET(TblPop[[#This Row],[Net Peasant]],-1,0)+TblMili[[#This Row],[Release Draft]]</f>
        <v>1326</v>
      </c>
      <c r="D5" s="96">
        <f ca="1">TblMili[[#This Row],[Military]]</f>
        <v>313</v>
      </c>
      <c r="E5" s="96">
        <f ca="1">TblMili[[#This Row],[Draftees]]</f>
        <v>113</v>
      </c>
      <c r="F5" s="96">
        <f ca="1">TblPop[[#This Row],[Peasants]]+TblPop[[#This Row],[Military]]</f>
        <v>1639</v>
      </c>
      <c r="G5" s="141">
        <f ca="1">TblPop[[#This Row],[Military]]/TblPop[[#This Row],[Total]]</f>
        <v>0.19097010372178158</v>
      </c>
      <c r="H5" s="142">
        <f ca="1">MIN(TblPop[[#This Row],[Peasants]],TblPop[[#This Row],[Jobs]])</f>
        <v>1326</v>
      </c>
      <c r="I5" s="141">
        <f ca="1">MIN(OFFSET(TblPop[[#This Row],[Jobs]],1,0)/TblPop[[#This Row],[Peasants]],1)</f>
        <v>1</v>
      </c>
      <c r="J5" s="142">
        <f ca="1">SUM(TblConstr[[#This Row],[Tot Alc]:[Tot GT]],TblConstr[[#This Row],[Tot Shr]:[Tot Doc]],TblConstr[[#This Row],[Dest Alc]:[Dest GT]],TblConstr[[#This Row],[Dest Shr]:[Dest Doc]])*building_employment + TblConstr[[#This Row],[Tot Fac]]*bonus_jobs_facts</f>
        <v>1600</v>
      </c>
      <c r="K5" s="143"/>
      <c r="L5" s="61">
        <f ca="1">TblPop[[#This Row],[Draftees]]</f>
        <v>113</v>
      </c>
      <c r="M5" s="61">
        <f ca="1">TblMili[[#This Row],[Unit 1]]</f>
        <v>0</v>
      </c>
      <c r="N5" s="61">
        <f ca="1">TblMili[[#This Row],[Unit 2]]</f>
        <v>150</v>
      </c>
      <c r="O5" s="61">
        <f ca="1">TblMili[[#This Row],[Unit 3]]</f>
        <v>0</v>
      </c>
      <c r="P5" s="61">
        <f ca="1">TblMili[[#This Row],[Unit 4]]</f>
        <v>0</v>
      </c>
      <c r="Q5" s="61">
        <f ca="1">TblMili[[#This Row],[Spies]]</f>
        <v>25</v>
      </c>
      <c r="R5" s="61">
        <f ca="1">TblMili[[#This Row],[Wizards]]</f>
        <v>25</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2358</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6">
        <f ca="1">MAX(-5%*TblPop[[#This Row],[Peasants]]-TblPop[[#This Row],[Draft Growth]],MIN(OFFSET(TblPop[[#This Row],[Net max]],1,0)-TblPop[[#This Row],[Peasants]]-TblPop[[#This Row],[Military]]-TblPop[[#This Row],[Draft Growth]],TblPop[[#This Row],[Modded Birth]]-TblPop[[#This Row],[Draft Growth]]))</f>
        <v>26</v>
      </c>
      <c r="X5" s="96">
        <f ca="1">ROUND(TblPop[[#This Row],[Raw Birth]]*(1+TblPop[[#This Row],[Growth]]),0)</f>
        <v>39</v>
      </c>
      <c r="Y5" s="96">
        <f ca="1">(TblPop[[#This Row],[Peasants]]-TblPop[[#This Row],[Draft Growth]])*raw_pop_growth</f>
        <v>39.39</v>
      </c>
      <c r="Z5" s="96">
        <f ca="1">ROUND(IF(TblPop[[#This Row],[Military%]]&lt;TblMili[[#This Row],[Draftrate]],ROUND(TblPop[[#This Row],[Peasants]]*Constants!$B$55,0), 0) * IF(AND(TblMagic[[#This Row],[Active DnD]]&lt;=12,TblMagic[[#This Row],[Active DnD]]&gt;6),1.6,1),0)</f>
        <v>13</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45732.083333333328</v>
      </c>
      <c r="C6" s="96">
        <f ca="1">OFFSET(TblPop[[#This Row],[Peasants]],-1,0)+OFFSET(TblPop[[#This Row],[Net Peasant]],-1,0)+TblMili[[#This Row],[Release Draft]]</f>
        <v>1352</v>
      </c>
      <c r="D6" s="96">
        <f ca="1">TblMili[[#This Row],[Military]]</f>
        <v>326</v>
      </c>
      <c r="E6" s="96">
        <f ca="1">TblMili[[#This Row],[Draftees]]</f>
        <v>126</v>
      </c>
      <c r="F6" s="96">
        <f ca="1">TblPop[[#This Row],[Peasants]]+TblPop[[#This Row],[Military]]</f>
        <v>1678</v>
      </c>
      <c r="G6" s="141">
        <f ca="1">TblPop[[#This Row],[Military]]/TblPop[[#This Row],[Total]]</f>
        <v>0.19427890345649582</v>
      </c>
      <c r="H6" s="142">
        <f ca="1">MIN(TblPop[[#This Row],[Peasants]],TblPop[[#This Row],[Jobs]])</f>
        <v>1352</v>
      </c>
      <c r="I6" s="141">
        <f ca="1">MIN(OFFSET(TblPop[[#This Row],[Jobs]],1,0)/TblPop[[#This Row],[Peasants]],1)</f>
        <v>1</v>
      </c>
      <c r="J6" s="142">
        <f ca="1">SUM(TblConstr[[#This Row],[Tot Alc]:[Tot GT]],TblConstr[[#This Row],[Tot Shr]:[Tot Doc]],TblConstr[[#This Row],[Dest Alc]:[Dest GT]],TblConstr[[#This Row],[Dest Shr]:[Dest Doc]])*building_employment + TblConstr[[#This Row],[Tot Fac]]*bonus_jobs_facts</f>
        <v>1600</v>
      </c>
      <c r="K6" s="143"/>
      <c r="L6" s="61">
        <f ca="1">TblPop[[#This Row],[Draftees]]</f>
        <v>126</v>
      </c>
      <c r="M6" s="61">
        <f ca="1">TblMili[[#This Row],[Unit 1]]</f>
        <v>0</v>
      </c>
      <c r="N6" s="61">
        <f ca="1">TblMili[[#This Row],[Unit 2]]</f>
        <v>150</v>
      </c>
      <c r="O6" s="61">
        <f ca="1">TblMili[[#This Row],[Unit 3]]</f>
        <v>0</v>
      </c>
      <c r="P6" s="61">
        <f ca="1">TblMili[[#This Row],[Unit 4]]</f>
        <v>0</v>
      </c>
      <c r="Q6" s="61">
        <f ca="1">TblMili[[#This Row],[Spies]]</f>
        <v>25</v>
      </c>
      <c r="R6" s="61">
        <f ca="1">TblMili[[#This Row],[Wizards]]</f>
        <v>25</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2358</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6">
        <f ca="1">MAX(-5%*TblPop[[#This Row],[Peasants]]-TblPop[[#This Row],[Draft Growth]],MIN(OFFSET(TblPop[[#This Row],[Net max]],1,0)-TblPop[[#This Row],[Peasants]]-TblPop[[#This Row],[Military]]-TblPop[[#This Row],[Draft Growth]],TblPop[[#This Row],[Modded Birth]]-TblPop[[#This Row],[Draft Growth]]))</f>
        <v>26</v>
      </c>
      <c r="X6" s="96">
        <f ca="1">ROUND(TblPop[[#This Row],[Raw Birth]]*(1+TblPop[[#This Row],[Growth]]),0)</f>
        <v>40</v>
      </c>
      <c r="Y6" s="96">
        <f ca="1">(TblPop[[#This Row],[Peasants]]-TblPop[[#This Row],[Draft Growth]])*raw_pop_growth</f>
        <v>40.14</v>
      </c>
      <c r="Z6" s="96">
        <f ca="1">ROUND(IF(TblPop[[#This Row],[Military%]]&lt;TblMili[[#This Row],[Draftrate]],ROUND(TblPop[[#This Row],[Peasants]]*Constants!$B$55,0), 0) * IF(AND(TblMagic[[#This Row],[Active DnD]]&lt;=12,TblMagic[[#This Row],[Active DnD]]&gt;6),1.6,1),0)</f>
        <v>14</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45732.124999999993</v>
      </c>
      <c r="C7" s="96">
        <f ca="1">OFFSET(TblPop[[#This Row],[Peasants]],-1,0)+OFFSET(TblPop[[#This Row],[Net Peasant]],-1,0)+TblMili[[#This Row],[Release Draft]]</f>
        <v>1378</v>
      </c>
      <c r="D7" s="96">
        <f ca="1">TblMili[[#This Row],[Military]]</f>
        <v>340</v>
      </c>
      <c r="E7" s="96">
        <f ca="1">TblMili[[#This Row],[Draftees]]</f>
        <v>140</v>
      </c>
      <c r="F7" s="96">
        <f ca="1">TblPop[[#This Row],[Peasants]]+TblPop[[#This Row],[Military]]</f>
        <v>1718</v>
      </c>
      <c r="G7" s="141">
        <f ca="1">TblPop[[#This Row],[Military]]/TblPop[[#This Row],[Total]]</f>
        <v>0.1979045401629802</v>
      </c>
      <c r="H7" s="142">
        <f ca="1">MIN(TblPop[[#This Row],[Peasants]],TblPop[[#This Row],[Jobs]])</f>
        <v>1378</v>
      </c>
      <c r="I7" s="141">
        <f ca="1">MIN(OFFSET(TblPop[[#This Row],[Jobs]],1,0)/TblPop[[#This Row],[Peasants]],1)</f>
        <v>1</v>
      </c>
      <c r="J7" s="142">
        <f ca="1">SUM(TblConstr[[#This Row],[Tot Alc]:[Tot GT]],TblConstr[[#This Row],[Tot Shr]:[Tot Doc]],TblConstr[[#This Row],[Dest Alc]:[Dest GT]],TblConstr[[#This Row],[Dest Shr]:[Dest Doc]])*building_employment + TblConstr[[#This Row],[Tot Fac]]*bonus_jobs_facts</f>
        <v>1600</v>
      </c>
      <c r="K7" s="143"/>
      <c r="L7" s="61">
        <f ca="1">TblPop[[#This Row],[Draftees]]</f>
        <v>140</v>
      </c>
      <c r="M7" s="61">
        <f ca="1">TblMili[[#This Row],[Unit 1]]</f>
        <v>0</v>
      </c>
      <c r="N7" s="61">
        <f ca="1">TblMili[[#This Row],[Unit 2]]</f>
        <v>150</v>
      </c>
      <c r="O7" s="61">
        <f ca="1">TblMili[[#This Row],[Unit 3]]</f>
        <v>0</v>
      </c>
      <c r="P7" s="61">
        <f ca="1">TblMili[[#This Row],[Unit 4]]</f>
        <v>0</v>
      </c>
      <c r="Q7" s="61">
        <f ca="1">TblMili[[#This Row],[Spies]]</f>
        <v>25</v>
      </c>
      <c r="R7" s="61">
        <f ca="1">TblMili[[#This Row],[Wizards]]</f>
        <v>25</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2358</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6">
        <f ca="1">MAX(-5%*TblPop[[#This Row],[Peasants]]-TblPop[[#This Row],[Draft Growth]],MIN(OFFSET(TblPop[[#This Row],[Net max]],1,0)-TblPop[[#This Row],[Peasants]]-TblPop[[#This Row],[Military]]-TblPop[[#This Row],[Draft Growth]],TblPop[[#This Row],[Modded Birth]]-TblPop[[#This Row],[Draft Growth]]))</f>
        <v>27</v>
      </c>
      <c r="X7" s="96">
        <f ca="1">ROUND(TblPop[[#This Row],[Raw Birth]]*(1+TblPop[[#This Row],[Growth]]),0)</f>
        <v>41</v>
      </c>
      <c r="Y7" s="96">
        <f ca="1">(TblPop[[#This Row],[Peasants]]-TblPop[[#This Row],[Draft Growth]])*raw_pop_growth</f>
        <v>40.92</v>
      </c>
      <c r="Z7" s="96">
        <f ca="1">ROUND(IF(TblPop[[#This Row],[Military%]]&lt;TblMili[[#This Row],[Draftrate]],ROUND(TblPop[[#This Row],[Peasants]]*Constants!$B$55,0), 0) * IF(AND(TblMagic[[#This Row],[Active DnD]]&lt;=12,TblMagic[[#This Row],[Active DnD]]&gt;6),1.6,1),0)</f>
        <v>14</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45732.166666666657</v>
      </c>
      <c r="C8" s="96">
        <f ca="1">OFFSET(TblPop[[#This Row],[Peasants]],-1,0)+OFFSET(TblPop[[#This Row],[Net Peasant]],-1,0)+TblMili[[#This Row],[Release Draft]]</f>
        <v>1405</v>
      </c>
      <c r="D8" s="96">
        <f ca="1">TblMili[[#This Row],[Military]]</f>
        <v>354</v>
      </c>
      <c r="E8" s="96">
        <f ca="1">TblMili[[#This Row],[Draftees]]</f>
        <v>154</v>
      </c>
      <c r="F8" s="96">
        <f ca="1">TblPop[[#This Row],[Peasants]]+TblPop[[#This Row],[Military]]</f>
        <v>1759</v>
      </c>
      <c r="G8" s="141">
        <f ca="1">TblPop[[#This Row],[Military]]/TblPop[[#This Row],[Total]]</f>
        <v>0.20125071063104036</v>
      </c>
      <c r="H8" s="142">
        <f ca="1">MIN(TblPop[[#This Row],[Peasants]],TblPop[[#This Row],[Jobs]])</f>
        <v>1405</v>
      </c>
      <c r="I8" s="141">
        <f ca="1">MIN(OFFSET(TblPop[[#This Row],[Jobs]],1,0)/TblPop[[#This Row],[Peasants]],1)</f>
        <v>1</v>
      </c>
      <c r="J8" s="142">
        <f ca="1">SUM(TblConstr[[#This Row],[Tot Alc]:[Tot GT]],TblConstr[[#This Row],[Tot Shr]:[Tot Doc]],TblConstr[[#This Row],[Dest Alc]:[Dest GT]],TblConstr[[#This Row],[Dest Shr]:[Dest Doc]])*building_employment + TblConstr[[#This Row],[Tot Fac]]*bonus_jobs_facts</f>
        <v>1600</v>
      </c>
      <c r="K8" s="143"/>
      <c r="L8" s="61">
        <f ca="1">TblPop[[#This Row],[Draftees]]</f>
        <v>154</v>
      </c>
      <c r="M8" s="61">
        <f ca="1">TblMili[[#This Row],[Unit 1]]</f>
        <v>0</v>
      </c>
      <c r="N8" s="61">
        <f ca="1">TblMili[[#This Row],[Unit 2]]</f>
        <v>150</v>
      </c>
      <c r="O8" s="61">
        <f ca="1">TblMili[[#This Row],[Unit 3]]</f>
        <v>0</v>
      </c>
      <c r="P8" s="61">
        <f ca="1">TblMili[[#This Row],[Unit 4]]</f>
        <v>0</v>
      </c>
      <c r="Q8" s="61">
        <f ca="1">TblMili[[#This Row],[Spies]]</f>
        <v>25</v>
      </c>
      <c r="R8" s="61">
        <f ca="1">TblMili[[#This Row],[Wizards]]</f>
        <v>25</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2358</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6">
        <f ca="1">MAX(-5%*TblPop[[#This Row],[Peasants]]-TblPop[[#This Row],[Draft Growth]],MIN(OFFSET(TblPop[[#This Row],[Net max]],1,0)-TblPop[[#This Row],[Peasants]]-TblPop[[#This Row],[Military]]-TblPop[[#This Row],[Draft Growth]],TblPop[[#This Row],[Modded Birth]]-TblPop[[#This Row],[Draft Growth]]))</f>
        <v>28</v>
      </c>
      <c r="X8" s="96">
        <f ca="1">ROUND(TblPop[[#This Row],[Raw Birth]]*(1+TblPop[[#This Row],[Growth]]),0)</f>
        <v>42</v>
      </c>
      <c r="Y8" s="96">
        <f ca="1">(TblPop[[#This Row],[Peasants]]-TblPop[[#This Row],[Draft Growth]])*raw_pop_growth</f>
        <v>41.73</v>
      </c>
      <c r="Z8" s="96">
        <f ca="1">ROUND(IF(TblPop[[#This Row],[Military%]]&lt;TblMili[[#This Row],[Draftrate]],ROUND(TblPop[[#This Row],[Peasants]]*Constants!$B$55,0), 0) * IF(AND(TblMagic[[#This Row],[Active DnD]]&lt;=12,TblMagic[[#This Row],[Active DnD]]&gt;6),1.6,1),0)</f>
        <v>14</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45732.208333333321</v>
      </c>
      <c r="C9" s="96">
        <f ca="1">OFFSET(TblPop[[#This Row],[Peasants]],-1,0)+OFFSET(TblPop[[#This Row],[Net Peasant]],-1,0)+TblMili[[#This Row],[Release Draft]]</f>
        <v>1433</v>
      </c>
      <c r="D9" s="96">
        <f ca="1">TblMili[[#This Row],[Military]]</f>
        <v>368</v>
      </c>
      <c r="E9" s="96">
        <f ca="1">TblMili[[#This Row],[Draftees]]</f>
        <v>168</v>
      </c>
      <c r="F9" s="96">
        <f ca="1">TblPop[[#This Row],[Peasants]]+TblPop[[#This Row],[Military]]</f>
        <v>1801</v>
      </c>
      <c r="G9" s="141">
        <f ca="1">TblPop[[#This Row],[Military]]/TblPop[[#This Row],[Total]]</f>
        <v>0.20433092726263188</v>
      </c>
      <c r="H9" s="142">
        <f ca="1">MIN(TblPop[[#This Row],[Peasants]],TblPop[[#This Row],[Jobs]])</f>
        <v>1433</v>
      </c>
      <c r="I9" s="141">
        <f ca="1">MIN(OFFSET(TblPop[[#This Row],[Jobs]],1,0)/TblPop[[#This Row],[Peasants]],1)</f>
        <v>1</v>
      </c>
      <c r="J9" s="142">
        <f ca="1">SUM(TblConstr[[#This Row],[Tot Alc]:[Tot GT]],TblConstr[[#This Row],[Tot Shr]:[Tot Doc]],TblConstr[[#This Row],[Dest Alc]:[Dest GT]],TblConstr[[#This Row],[Dest Shr]:[Dest Doc]])*building_employment + TblConstr[[#This Row],[Tot Fac]]*bonus_jobs_facts</f>
        <v>1600</v>
      </c>
      <c r="K9" s="143"/>
      <c r="L9" s="61">
        <f ca="1">TblPop[[#This Row],[Draftees]]</f>
        <v>168</v>
      </c>
      <c r="M9" s="61">
        <f ca="1">TblMili[[#This Row],[Unit 1]]</f>
        <v>0</v>
      </c>
      <c r="N9" s="61">
        <f ca="1">TblMili[[#This Row],[Unit 2]]</f>
        <v>150</v>
      </c>
      <c r="O9" s="61">
        <f ca="1">TblMili[[#This Row],[Unit 3]]</f>
        <v>0</v>
      </c>
      <c r="P9" s="61">
        <f ca="1">TblMili[[#This Row],[Unit 4]]</f>
        <v>0</v>
      </c>
      <c r="Q9" s="61">
        <f ca="1">TblMili[[#This Row],[Spies]]</f>
        <v>25</v>
      </c>
      <c r="R9" s="61">
        <f ca="1">TblMili[[#This Row],[Wizards]]</f>
        <v>25</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2358</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6">
        <f ca="1">MAX(-5%*TblPop[[#This Row],[Peasants]]-TblPop[[#This Row],[Draft Growth]],MIN(OFFSET(TblPop[[#This Row],[Net max]],1,0)-TblPop[[#This Row],[Peasants]]-TblPop[[#This Row],[Military]]-TblPop[[#This Row],[Draft Growth]],TblPop[[#This Row],[Modded Birth]]-TblPop[[#This Row],[Draft Growth]]))</f>
        <v>29</v>
      </c>
      <c r="X9" s="96">
        <f ca="1">ROUND(TblPop[[#This Row],[Raw Birth]]*(1+TblPop[[#This Row],[Growth]]),0)</f>
        <v>43</v>
      </c>
      <c r="Y9" s="96">
        <f ca="1">(TblPop[[#This Row],[Peasants]]-TblPop[[#This Row],[Draft Growth]])*raw_pop_growth</f>
        <v>42.57</v>
      </c>
      <c r="Z9" s="96">
        <f ca="1">ROUND(IF(TblPop[[#This Row],[Military%]]&lt;TblMili[[#This Row],[Draftrate]],ROUND(TblPop[[#This Row],[Peasants]]*Constants!$B$55,0), 0) * IF(AND(TblMagic[[#This Row],[Active DnD]]&lt;=12,TblMagic[[#This Row],[Active DnD]]&gt;6),1.6,1),0)</f>
        <v>14</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45732.249999999985</v>
      </c>
      <c r="C10" s="96">
        <f ca="1">OFFSET(TblPop[[#This Row],[Peasants]],-1,0)+OFFSET(TblPop[[#This Row],[Net Peasant]],-1,0)+TblMili[[#This Row],[Release Draft]]</f>
        <v>1462</v>
      </c>
      <c r="D10" s="96">
        <f ca="1">TblMili[[#This Row],[Military]]</f>
        <v>382</v>
      </c>
      <c r="E10" s="96">
        <f ca="1">TblMili[[#This Row],[Draftees]]</f>
        <v>182</v>
      </c>
      <c r="F10" s="96">
        <f ca="1">TblPop[[#This Row],[Peasants]]+TblPop[[#This Row],[Military]]</f>
        <v>1844</v>
      </c>
      <c r="G10" s="141">
        <f ca="1">TblPop[[#This Row],[Military]]/TblPop[[#This Row],[Total]]</f>
        <v>0.20715835140997832</v>
      </c>
      <c r="H10" s="142">
        <f ca="1">MIN(TblPop[[#This Row],[Peasants]],TblPop[[#This Row],[Jobs]])</f>
        <v>1462</v>
      </c>
      <c r="I10" s="141">
        <f ca="1">MIN(OFFSET(TblPop[[#This Row],[Jobs]],1,0)/TblPop[[#This Row],[Peasants]],1)</f>
        <v>1</v>
      </c>
      <c r="J10" s="142">
        <f ca="1">SUM(TblConstr[[#This Row],[Tot Alc]:[Tot GT]],TblConstr[[#This Row],[Tot Shr]:[Tot Doc]],TblConstr[[#This Row],[Dest Alc]:[Dest GT]],TblConstr[[#This Row],[Dest Shr]:[Dest Doc]])*building_employment + TblConstr[[#This Row],[Tot Fac]]*bonus_jobs_facts</f>
        <v>1600</v>
      </c>
      <c r="K10" s="143"/>
      <c r="L10" s="61">
        <f ca="1">TblPop[[#This Row],[Draftees]]</f>
        <v>182</v>
      </c>
      <c r="M10" s="61">
        <f ca="1">TblMili[[#This Row],[Unit 1]]</f>
        <v>0</v>
      </c>
      <c r="N10" s="61">
        <f ca="1">TblMili[[#This Row],[Unit 2]]</f>
        <v>150</v>
      </c>
      <c r="O10" s="61">
        <f ca="1">TblMili[[#This Row],[Unit 3]]</f>
        <v>0</v>
      </c>
      <c r="P10" s="61">
        <f ca="1">TblMili[[#This Row],[Unit 4]]</f>
        <v>0</v>
      </c>
      <c r="Q10" s="61">
        <f ca="1">TblMili[[#This Row],[Spies]]</f>
        <v>25</v>
      </c>
      <c r="R10" s="61">
        <f ca="1">TblMili[[#This Row],[Wizards]]</f>
        <v>25</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2358</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6">
        <f ca="1">MAX(-5%*TblPop[[#This Row],[Peasants]]-TblPop[[#This Row],[Draft Growth]],MIN(OFFSET(TblPop[[#This Row],[Net max]],1,0)-TblPop[[#This Row],[Peasants]]-TblPop[[#This Row],[Military]]-TblPop[[#This Row],[Draft Growth]],TblPop[[#This Row],[Modded Birth]]-TblPop[[#This Row],[Draft Growth]]))</f>
        <v>28</v>
      </c>
      <c r="X10" s="96">
        <f ca="1">ROUND(TblPop[[#This Row],[Raw Birth]]*(1+TblPop[[#This Row],[Growth]]),0)</f>
        <v>43</v>
      </c>
      <c r="Y10" s="96">
        <f ca="1">(TblPop[[#This Row],[Peasants]]-TblPop[[#This Row],[Draft Growth]])*raw_pop_growth</f>
        <v>43.41</v>
      </c>
      <c r="Z10" s="96">
        <f ca="1">ROUND(IF(TblPop[[#This Row],[Military%]]&lt;TblMili[[#This Row],[Draftrate]],ROUND(TblPop[[#This Row],[Peasants]]*Constants!$B$55,0), 0) * IF(AND(TblMagic[[#This Row],[Active DnD]]&lt;=12,TblMagic[[#This Row],[Active DnD]]&gt;6),1.6,1),0)</f>
        <v>15</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45732.29166666665</v>
      </c>
      <c r="C11" s="96">
        <f ca="1">OFFSET(TblPop[[#This Row],[Peasants]],-1,0)+OFFSET(TblPop[[#This Row],[Net Peasant]],-1,0)+TblMili[[#This Row],[Release Draft]]</f>
        <v>1490</v>
      </c>
      <c r="D11" s="96">
        <f ca="1">TblMili[[#This Row],[Military]]</f>
        <v>397</v>
      </c>
      <c r="E11" s="96">
        <f ca="1">TblMili[[#This Row],[Draftees]]</f>
        <v>197</v>
      </c>
      <c r="F11" s="96">
        <f ca="1">TblPop[[#This Row],[Peasants]]+TblPop[[#This Row],[Military]]</f>
        <v>1887</v>
      </c>
      <c r="G11" s="141">
        <f ca="1">TblPop[[#This Row],[Military]]/TblPop[[#This Row],[Total]]</f>
        <v>0.21038685744568097</v>
      </c>
      <c r="H11" s="142">
        <f ca="1">MIN(TblPop[[#This Row],[Peasants]],TblPop[[#This Row],[Jobs]])</f>
        <v>1490</v>
      </c>
      <c r="I11" s="141">
        <f ca="1">MIN(OFFSET(TblPop[[#This Row],[Jobs]],1,0)/TblPop[[#This Row],[Peasants]],1)</f>
        <v>1</v>
      </c>
      <c r="J11" s="142">
        <f ca="1">SUM(TblConstr[[#This Row],[Tot Alc]:[Tot GT]],TblConstr[[#This Row],[Tot Shr]:[Tot Doc]],TblConstr[[#This Row],[Dest Alc]:[Dest GT]],TblConstr[[#This Row],[Dest Shr]:[Dest Doc]])*building_employment + TblConstr[[#This Row],[Tot Fac]]*bonus_jobs_facts</f>
        <v>1600</v>
      </c>
      <c r="K11" s="143"/>
      <c r="L11" s="61">
        <f ca="1">TblPop[[#This Row],[Draftees]]</f>
        <v>197</v>
      </c>
      <c r="M11" s="61">
        <f ca="1">TblMili[[#This Row],[Unit 1]]</f>
        <v>0</v>
      </c>
      <c r="N11" s="61">
        <f ca="1">TblMili[[#This Row],[Unit 2]]</f>
        <v>150</v>
      </c>
      <c r="O11" s="61">
        <f ca="1">TblMili[[#This Row],[Unit 3]]</f>
        <v>0</v>
      </c>
      <c r="P11" s="61">
        <f ca="1">TblMili[[#This Row],[Unit 4]]</f>
        <v>0</v>
      </c>
      <c r="Q11" s="61">
        <f ca="1">TblMili[[#This Row],[Spies]]</f>
        <v>25</v>
      </c>
      <c r="R11" s="61">
        <f ca="1">TblMili[[#This Row],[Wizards]]</f>
        <v>25</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2358</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6">
        <f ca="1">MAX(-5%*TblPop[[#This Row],[Peasants]]-TblPop[[#This Row],[Draft Growth]],MIN(OFFSET(TblPop[[#This Row],[Net max]],1,0)-TblPop[[#This Row],[Peasants]]-TblPop[[#This Row],[Military]]-TblPop[[#This Row],[Draft Growth]],TblPop[[#This Row],[Modded Birth]]-TblPop[[#This Row],[Draft Growth]]))</f>
        <v>29</v>
      </c>
      <c r="X11" s="96">
        <f ca="1">ROUND(TblPop[[#This Row],[Raw Birth]]*(1+TblPop[[#This Row],[Growth]]),0)</f>
        <v>44</v>
      </c>
      <c r="Y11" s="96">
        <f ca="1">(TblPop[[#This Row],[Peasants]]-TblPop[[#This Row],[Draft Growth]])*raw_pop_growth</f>
        <v>44.25</v>
      </c>
      <c r="Z11" s="96">
        <f ca="1">ROUND(IF(TblPop[[#This Row],[Military%]]&lt;TblMili[[#This Row],[Draftrate]],ROUND(TblPop[[#This Row],[Peasants]]*Constants!$B$55,0), 0) * IF(AND(TblMagic[[#This Row],[Active DnD]]&lt;=12,TblMagic[[#This Row],[Active DnD]]&gt;6),1.6,1),0)</f>
        <v>15</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45732.333333333314</v>
      </c>
      <c r="C12" s="96">
        <f ca="1">OFFSET(TblPop[[#This Row],[Peasants]],-1,0)+OFFSET(TblPop[[#This Row],[Net Peasant]],-1,0)+TblMili[[#This Row],[Release Draft]]</f>
        <v>1519</v>
      </c>
      <c r="D12" s="96">
        <f ca="1">TblMili[[#This Row],[Military]]</f>
        <v>412</v>
      </c>
      <c r="E12" s="96">
        <f ca="1">TblMili[[#This Row],[Draftees]]</f>
        <v>212</v>
      </c>
      <c r="F12" s="96">
        <f ca="1">TblPop[[#This Row],[Peasants]]+TblPop[[#This Row],[Military]]</f>
        <v>1931</v>
      </c>
      <c r="G12" s="141">
        <f ca="1">TblPop[[#This Row],[Military]]/TblPop[[#This Row],[Total]]</f>
        <v>0.21336095287415846</v>
      </c>
      <c r="H12" s="142">
        <f ca="1">MIN(TblPop[[#This Row],[Peasants]],TblPop[[#This Row],[Jobs]])</f>
        <v>1519</v>
      </c>
      <c r="I12" s="141">
        <f ca="1">MIN(OFFSET(TblPop[[#This Row],[Jobs]],1,0)/TblPop[[#This Row],[Peasants]],1)</f>
        <v>1</v>
      </c>
      <c r="J12" s="142">
        <f ca="1">SUM(TblConstr[[#This Row],[Tot Alc]:[Tot GT]],TblConstr[[#This Row],[Tot Shr]:[Tot Doc]],TblConstr[[#This Row],[Dest Alc]:[Dest GT]],TblConstr[[#This Row],[Dest Shr]:[Dest Doc]])*building_employment + TblConstr[[#This Row],[Tot Fac]]*bonus_jobs_facts</f>
        <v>1600</v>
      </c>
      <c r="K12" s="143"/>
      <c r="L12" s="61">
        <f ca="1">TblPop[[#This Row],[Draftees]]</f>
        <v>212</v>
      </c>
      <c r="M12" s="61">
        <f ca="1">TblMili[[#This Row],[Unit 1]]</f>
        <v>0</v>
      </c>
      <c r="N12" s="61">
        <f ca="1">TblMili[[#This Row],[Unit 2]]</f>
        <v>150</v>
      </c>
      <c r="O12" s="61">
        <f ca="1">TblMili[[#This Row],[Unit 3]]</f>
        <v>0</v>
      </c>
      <c r="P12" s="61">
        <f ca="1">TblMili[[#This Row],[Unit 4]]</f>
        <v>0</v>
      </c>
      <c r="Q12" s="61">
        <f ca="1">TblMili[[#This Row],[Spies]]</f>
        <v>25</v>
      </c>
      <c r="R12" s="61">
        <f ca="1">TblMili[[#This Row],[Wizards]]</f>
        <v>25</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2358</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6">
        <f ca="1">MAX(-5%*TblPop[[#This Row],[Peasants]]-TblPop[[#This Row],[Draft Growth]],MIN(OFFSET(TblPop[[#This Row],[Net max]],1,0)-TblPop[[#This Row],[Peasants]]-TblPop[[#This Row],[Military]]-TblPop[[#This Row],[Draft Growth]],TblPop[[#This Row],[Modded Birth]]-TblPop[[#This Row],[Draft Growth]]))</f>
        <v>30</v>
      </c>
      <c r="X12" s="96">
        <f ca="1">ROUND(TblPop[[#This Row],[Raw Birth]]*(1+TblPop[[#This Row],[Growth]]),0)</f>
        <v>45</v>
      </c>
      <c r="Y12" s="96">
        <f ca="1">(TblPop[[#This Row],[Peasants]]-TblPop[[#This Row],[Draft Growth]])*raw_pop_growth</f>
        <v>45.12</v>
      </c>
      <c r="Z12" s="96">
        <f ca="1">ROUND(IF(TblPop[[#This Row],[Military%]]&lt;TblMili[[#This Row],[Draftrate]],ROUND(TblPop[[#This Row],[Peasants]]*Constants!$B$55,0), 0) * IF(AND(TblMagic[[#This Row],[Active DnD]]&lt;=12,TblMagic[[#This Row],[Active DnD]]&gt;6),1.6,1),0)</f>
        <v>15</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45732.374999999978</v>
      </c>
      <c r="C13" s="96">
        <f ca="1">OFFSET(TblPop[[#This Row],[Peasants]],-1,0)+OFFSET(TblPop[[#This Row],[Net Peasant]],-1,0)+TblMili[[#This Row],[Release Draft]]</f>
        <v>1549</v>
      </c>
      <c r="D13" s="96">
        <f ca="1">TblMili[[#This Row],[Military]]</f>
        <v>427</v>
      </c>
      <c r="E13" s="96">
        <f ca="1">TblMili[[#This Row],[Draftees]]</f>
        <v>227</v>
      </c>
      <c r="F13" s="96">
        <f ca="1">TblPop[[#This Row],[Peasants]]+TblPop[[#This Row],[Military]]</f>
        <v>1976</v>
      </c>
      <c r="G13" s="141">
        <f ca="1">TblPop[[#This Row],[Military]]/TblPop[[#This Row],[Total]]</f>
        <v>0.21609311740890688</v>
      </c>
      <c r="H13" s="142">
        <f ca="1">MIN(TblPop[[#This Row],[Peasants]],TblPop[[#This Row],[Jobs]])</f>
        <v>1549</v>
      </c>
      <c r="I13" s="141">
        <f ca="1">MIN(OFFSET(TblPop[[#This Row],[Jobs]],1,0)/TblPop[[#This Row],[Peasants]],1)</f>
        <v>1</v>
      </c>
      <c r="J13" s="142">
        <f ca="1">SUM(TblConstr[[#This Row],[Tot Alc]:[Tot GT]],TblConstr[[#This Row],[Tot Shr]:[Tot Doc]],TblConstr[[#This Row],[Dest Alc]:[Dest GT]],TblConstr[[#This Row],[Dest Shr]:[Dest Doc]])*building_employment + TblConstr[[#This Row],[Tot Fac]]*bonus_jobs_facts</f>
        <v>1600</v>
      </c>
      <c r="K13" s="143"/>
      <c r="L13" s="61">
        <f ca="1">TblPop[[#This Row],[Draftees]]</f>
        <v>227</v>
      </c>
      <c r="M13" s="61">
        <f ca="1">TblMili[[#This Row],[Unit 1]]</f>
        <v>0</v>
      </c>
      <c r="N13" s="61">
        <f ca="1">TblMili[[#This Row],[Unit 2]]</f>
        <v>150</v>
      </c>
      <c r="O13" s="61">
        <f ca="1">TblMili[[#This Row],[Unit 3]]</f>
        <v>0</v>
      </c>
      <c r="P13" s="61">
        <f ca="1">TblMili[[#This Row],[Unit 4]]</f>
        <v>0</v>
      </c>
      <c r="Q13" s="61">
        <f ca="1">TblMili[[#This Row],[Spies]]</f>
        <v>25</v>
      </c>
      <c r="R13" s="61">
        <f ca="1">TblMili[[#This Row],[Wizards]]</f>
        <v>25</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2358</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6">
        <f ca="1">MAX(-5%*TblPop[[#This Row],[Peasants]]-TblPop[[#This Row],[Draft Growth]],MIN(OFFSET(TblPop[[#This Row],[Net max]],1,0)-TblPop[[#This Row],[Peasants]]-TblPop[[#This Row],[Military]]-TblPop[[#This Row],[Draft Growth]],TblPop[[#This Row],[Modded Birth]]-TblPop[[#This Row],[Draft Growth]]))</f>
        <v>31</v>
      </c>
      <c r="X13" s="96">
        <f ca="1">ROUND(TblPop[[#This Row],[Raw Birth]]*(1+TblPop[[#This Row],[Growth]]),0)</f>
        <v>46</v>
      </c>
      <c r="Y13" s="96">
        <f ca="1">(TblPop[[#This Row],[Peasants]]-TblPop[[#This Row],[Draft Growth]])*raw_pop_growth</f>
        <v>46.019999999999996</v>
      </c>
      <c r="Z13" s="96">
        <f ca="1">ROUND(IF(TblPop[[#This Row],[Military%]]&lt;TblMili[[#This Row],[Draftrate]],ROUND(TblPop[[#This Row],[Peasants]]*Constants!$B$55,0), 0) * IF(AND(TblMagic[[#This Row],[Active DnD]]&lt;=12,TblMagic[[#This Row],[Active DnD]]&gt;6),1.6,1),0)</f>
        <v>15</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45732.416666666642</v>
      </c>
      <c r="C14" s="96">
        <f ca="1">OFFSET(TblPop[[#This Row],[Peasants]],-1,0)+OFFSET(TblPop[[#This Row],[Net Peasant]],-1,0)+TblMili[[#This Row],[Release Draft]]</f>
        <v>1580</v>
      </c>
      <c r="D14" s="96">
        <f ca="1">TblMili[[#This Row],[Military]]</f>
        <v>442</v>
      </c>
      <c r="E14" s="96">
        <f ca="1">TblMili[[#This Row],[Draftees]]</f>
        <v>242</v>
      </c>
      <c r="F14" s="96">
        <f ca="1">TblPop[[#This Row],[Peasants]]+TblPop[[#This Row],[Military]]</f>
        <v>2022</v>
      </c>
      <c r="G14" s="141">
        <f ca="1">TblPop[[#This Row],[Military]]/TblPop[[#This Row],[Total]]</f>
        <v>0.21859545004945599</v>
      </c>
      <c r="H14" s="142">
        <f ca="1">MIN(TblPop[[#This Row],[Peasants]],TblPop[[#This Row],[Jobs]])</f>
        <v>1580</v>
      </c>
      <c r="I14" s="141">
        <f ca="1">MIN(OFFSET(TblPop[[#This Row],[Jobs]],1,0)/TblPop[[#This Row],[Peasants]],1)</f>
        <v>1</v>
      </c>
      <c r="J14" s="142">
        <f ca="1">SUM(TblConstr[[#This Row],[Tot Alc]:[Tot GT]],TblConstr[[#This Row],[Tot Shr]:[Tot Doc]],TblConstr[[#This Row],[Dest Alc]:[Dest GT]],TblConstr[[#This Row],[Dest Shr]:[Dest Doc]])*building_employment + TblConstr[[#This Row],[Tot Fac]]*bonus_jobs_facts</f>
        <v>1600</v>
      </c>
      <c r="K14" s="143"/>
      <c r="L14" s="61">
        <f ca="1">TblPop[[#This Row],[Draftees]]</f>
        <v>242</v>
      </c>
      <c r="M14" s="61">
        <f ca="1">TblMili[[#This Row],[Unit 1]]</f>
        <v>0</v>
      </c>
      <c r="N14" s="61">
        <f ca="1">TblMili[[#This Row],[Unit 2]]</f>
        <v>150</v>
      </c>
      <c r="O14" s="61">
        <f ca="1">TblMili[[#This Row],[Unit 3]]</f>
        <v>0</v>
      </c>
      <c r="P14" s="61">
        <f ca="1">TblMili[[#This Row],[Unit 4]]</f>
        <v>0</v>
      </c>
      <c r="Q14" s="61">
        <f ca="1">TblMili[[#This Row],[Spies]]</f>
        <v>25</v>
      </c>
      <c r="R14" s="61">
        <f ca="1">TblMili[[#This Row],[Wizards]]</f>
        <v>25</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2358</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6">
        <f ca="1">MAX(-5%*TblPop[[#This Row],[Peasants]]-TblPop[[#This Row],[Draft Growth]],MIN(OFFSET(TblPop[[#This Row],[Net max]],1,0)-TblPop[[#This Row],[Peasants]]-TblPop[[#This Row],[Military]]-TblPop[[#This Row],[Draft Growth]],TblPop[[#This Row],[Modded Birth]]-TblPop[[#This Row],[Draft Growth]]))</f>
        <v>31</v>
      </c>
      <c r="X14" s="96">
        <f ca="1">ROUND(TblPop[[#This Row],[Raw Birth]]*(1+TblPop[[#This Row],[Growth]]),0)</f>
        <v>47</v>
      </c>
      <c r="Y14" s="96">
        <f ca="1">(TblPop[[#This Row],[Peasants]]-TblPop[[#This Row],[Draft Growth]])*raw_pop_growth</f>
        <v>46.92</v>
      </c>
      <c r="Z14" s="96">
        <f ca="1">ROUND(IF(TblPop[[#This Row],[Military%]]&lt;TblMili[[#This Row],[Draftrate]],ROUND(TblPop[[#This Row],[Peasants]]*Constants!$B$55,0), 0) * IF(AND(TblMagic[[#This Row],[Active DnD]]&lt;=12,TblMagic[[#This Row],[Active DnD]]&gt;6),1.6,1),0)</f>
        <v>16</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45732.458333333307</v>
      </c>
      <c r="C15" s="96">
        <f ca="1">OFFSET(TblPop[[#This Row],[Peasants]],-1,0)+OFFSET(TblPop[[#This Row],[Net Peasant]],-1,0)+TblMili[[#This Row],[Release Draft]]</f>
        <v>1611</v>
      </c>
      <c r="D15" s="96">
        <f ca="1">TblMili[[#This Row],[Military]]</f>
        <v>458</v>
      </c>
      <c r="E15" s="96">
        <f ca="1">TblMili[[#This Row],[Draftees]]</f>
        <v>258</v>
      </c>
      <c r="F15" s="96">
        <f ca="1">TblPop[[#This Row],[Peasants]]+TblPop[[#This Row],[Military]]</f>
        <v>2069</v>
      </c>
      <c r="G15" s="141">
        <f ca="1">TblPop[[#This Row],[Military]]/TblPop[[#This Row],[Total]]</f>
        <v>0.22136297728371193</v>
      </c>
      <c r="H15" s="142">
        <f ca="1">MIN(TblPop[[#This Row],[Peasants]],TblPop[[#This Row],[Jobs]])</f>
        <v>1600</v>
      </c>
      <c r="I15" s="141">
        <f ca="1">MIN(OFFSET(TblPop[[#This Row],[Jobs]],1,0)/TblPop[[#This Row],[Peasants]],1)</f>
        <v>0.99317194289261324</v>
      </c>
      <c r="J15" s="142">
        <f ca="1">SUM(TblConstr[[#This Row],[Tot Alc]:[Tot GT]],TblConstr[[#This Row],[Tot Shr]:[Tot Doc]],TblConstr[[#This Row],[Dest Alc]:[Dest GT]],TblConstr[[#This Row],[Dest Shr]:[Dest Doc]])*building_employment + TblConstr[[#This Row],[Tot Fac]]*bonus_jobs_facts</f>
        <v>1600</v>
      </c>
      <c r="K15" s="143"/>
      <c r="L15" s="61">
        <f ca="1">TblPop[[#This Row],[Draftees]]</f>
        <v>258</v>
      </c>
      <c r="M15" s="61">
        <f ca="1">TblMili[[#This Row],[Unit 1]]</f>
        <v>0</v>
      </c>
      <c r="N15" s="61">
        <f ca="1">TblMili[[#This Row],[Unit 2]]</f>
        <v>150</v>
      </c>
      <c r="O15" s="61">
        <f ca="1">TblMili[[#This Row],[Unit 3]]</f>
        <v>0</v>
      </c>
      <c r="P15" s="61">
        <f ca="1">TblMili[[#This Row],[Unit 4]]</f>
        <v>0</v>
      </c>
      <c r="Q15" s="61">
        <f ca="1">TblMili[[#This Row],[Spies]]</f>
        <v>25</v>
      </c>
      <c r="R15" s="61">
        <f ca="1">TblMili[[#This Row],[Wizards]]</f>
        <v>25</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2358</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6">
        <f ca="1">MAX(-5%*TblPop[[#This Row],[Peasants]]-TblPop[[#This Row],[Draft Growth]],MIN(OFFSET(TblPop[[#This Row],[Net max]],1,0)-TblPop[[#This Row],[Peasants]]-TblPop[[#This Row],[Military]]-TblPop[[#This Row],[Draft Growth]],TblPop[[#This Row],[Modded Birth]]-TblPop[[#This Row],[Draft Growth]]))</f>
        <v>32</v>
      </c>
      <c r="X15" s="96">
        <f ca="1">ROUND(TblPop[[#This Row],[Raw Birth]]*(1+TblPop[[#This Row],[Growth]]),0)</f>
        <v>48</v>
      </c>
      <c r="Y15" s="96">
        <f ca="1">(TblPop[[#This Row],[Peasants]]-TblPop[[#This Row],[Draft Growth]])*raw_pop_growth</f>
        <v>47.85</v>
      </c>
      <c r="Z15" s="96">
        <f ca="1">ROUND(IF(TblPop[[#This Row],[Military%]]&lt;TblMili[[#This Row],[Draftrate]],ROUND(TblPop[[#This Row],[Peasants]]*Constants!$B$55,0), 0) * IF(AND(TblMagic[[#This Row],[Active DnD]]&lt;=12,TblMagic[[#This Row],[Active DnD]]&gt;6),1.6,1),0)</f>
        <v>16</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45732.499999999971</v>
      </c>
      <c r="C16" s="96">
        <f ca="1">OFFSET(TblPop[[#This Row],[Peasants]],-1,0)+OFFSET(TblPop[[#This Row],[Net Peasant]],-1,0)+TblMili[[#This Row],[Release Draft]]</f>
        <v>1643</v>
      </c>
      <c r="D16" s="96">
        <f ca="1">TblMili[[#This Row],[Military]]</f>
        <v>474</v>
      </c>
      <c r="E16" s="96">
        <f ca="1">TblMili[[#This Row],[Draftees]]</f>
        <v>274</v>
      </c>
      <c r="F16" s="96">
        <f ca="1">TblPop[[#This Row],[Peasants]]+TblPop[[#This Row],[Military]]</f>
        <v>2117</v>
      </c>
      <c r="G16" s="141">
        <f ca="1">TblPop[[#This Row],[Military]]/TblPop[[#This Row],[Total]]</f>
        <v>0.22390174775625885</v>
      </c>
      <c r="H16" s="142">
        <f ca="1">MIN(TblPop[[#This Row],[Peasants]],TblPop[[#This Row],[Jobs]])</f>
        <v>1600</v>
      </c>
      <c r="I16" s="141">
        <f ca="1">MIN(OFFSET(TblPop[[#This Row],[Jobs]],1,0)/TblPop[[#This Row],[Peasants]],1)</f>
        <v>0.9738283627510651</v>
      </c>
      <c r="J16" s="142">
        <f ca="1">SUM(TblConstr[[#This Row],[Tot Alc]:[Tot GT]],TblConstr[[#This Row],[Tot Shr]:[Tot Doc]],TblConstr[[#This Row],[Dest Alc]:[Dest GT]],TblConstr[[#This Row],[Dest Shr]:[Dest Doc]])*building_employment + TblConstr[[#This Row],[Tot Fac]]*bonus_jobs_facts</f>
        <v>1600</v>
      </c>
      <c r="K16" s="143"/>
      <c r="L16" s="61">
        <f ca="1">TblPop[[#This Row],[Draftees]]</f>
        <v>274</v>
      </c>
      <c r="M16" s="61">
        <f ca="1">TblMili[[#This Row],[Unit 1]]</f>
        <v>0</v>
      </c>
      <c r="N16" s="61">
        <f ca="1">TblMili[[#This Row],[Unit 2]]</f>
        <v>150</v>
      </c>
      <c r="O16" s="61">
        <f ca="1">TblMili[[#This Row],[Unit 3]]</f>
        <v>0</v>
      </c>
      <c r="P16" s="61">
        <f ca="1">TblMili[[#This Row],[Unit 4]]</f>
        <v>0</v>
      </c>
      <c r="Q16" s="61">
        <f ca="1">TblMili[[#This Row],[Spies]]</f>
        <v>25</v>
      </c>
      <c r="R16" s="61">
        <f ca="1">TblMili[[#This Row],[Wizards]]</f>
        <v>25</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2358</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6">
        <f ca="1">MAX(-5%*TblPop[[#This Row],[Peasants]]-TblPop[[#This Row],[Draft Growth]],MIN(OFFSET(TblPop[[#This Row],[Net max]],1,0)-TblPop[[#This Row],[Peasants]]-TblPop[[#This Row],[Military]]-TblPop[[#This Row],[Draft Growth]],TblPop[[#This Row],[Modded Birth]]-TblPop[[#This Row],[Draft Growth]]))</f>
        <v>33</v>
      </c>
      <c r="X16" s="96">
        <f ca="1">ROUND(TblPop[[#This Row],[Raw Birth]]*(1+TblPop[[#This Row],[Growth]]),0)</f>
        <v>49</v>
      </c>
      <c r="Y16" s="96">
        <f ca="1">(TblPop[[#This Row],[Peasants]]-TblPop[[#This Row],[Draft Growth]])*raw_pop_growth</f>
        <v>48.809999999999995</v>
      </c>
      <c r="Z16" s="96">
        <f ca="1">ROUND(IF(TblPop[[#This Row],[Military%]]&lt;TblMili[[#This Row],[Draftrate]],ROUND(TblPop[[#This Row],[Peasants]]*Constants!$B$55,0), 0) * IF(AND(TblMagic[[#This Row],[Active DnD]]&lt;=12,TblMagic[[#This Row],[Active DnD]]&gt;6),1.6,1),0)</f>
        <v>16</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45732.541666666635</v>
      </c>
      <c r="C17" s="96">
        <f ca="1">OFFSET(TblPop[[#This Row],[Peasants]],-1,0)+OFFSET(TblPop[[#This Row],[Net Peasant]],-1,0)+TblMili[[#This Row],[Release Draft]]</f>
        <v>1676</v>
      </c>
      <c r="D17" s="96">
        <f ca="1">TblMili[[#This Row],[Military]]</f>
        <v>490</v>
      </c>
      <c r="E17" s="96">
        <f ca="1">TblMili[[#This Row],[Draftees]]</f>
        <v>290</v>
      </c>
      <c r="F17" s="96">
        <f ca="1">TblPop[[#This Row],[Peasants]]+TblPop[[#This Row],[Military]]</f>
        <v>2166</v>
      </c>
      <c r="G17" s="141">
        <f ca="1">TblPop[[#This Row],[Military]]/TblPop[[#This Row],[Total]]</f>
        <v>0.22622345337026778</v>
      </c>
      <c r="H17" s="142">
        <f ca="1">MIN(TblPop[[#This Row],[Peasants]],TblPop[[#This Row],[Jobs]])</f>
        <v>1600</v>
      </c>
      <c r="I17" s="141">
        <f ca="1">MIN(OFFSET(TblPop[[#This Row],[Jobs]],1,0)/TblPop[[#This Row],[Peasants]],1)</f>
        <v>0.95465393794749398</v>
      </c>
      <c r="J17" s="142">
        <f ca="1">SUM(TblConstr[[#This Row],[Tot Alc]:[Tot GT]],TblConstr[[#This Row],[Tot Shr]:[Tot Doc]],TblConstr[[#This Row],[Dest Alc]:[Dest GT]],TblConstr[[#This Row],[Dest Shr]:[Dest Doc]])*building_employment + TblConstr[[#This Row],[Tot Fac]]*bonus_jobs_facts</f>
        <v>1600</v>
      </c>
      <c r="K17" s="143"/>
      <c r="L17" s="61">
        <f ca="1">TblPop[[#This Row],[Draftees]]</f>
        <v>290</v>
      </c>
      <c r="M17" s="61">
        <f ca="1">TblMili[[#This Row],[Unit 1]]</f>
        <v>0</v>
      </c>
      <c r="N17" s="61">
        <f ca="1">TblMili[[#This Row],[Unit 2]]</f>
        <v>150</v>
      </c>
      <c r="O17" s="61">
        <f ca="1">TblMili[[#This Row],[Unit 3]]</f>
        <v>0</v>
      </c>
      <c r="P17" s="61">
        <f ca="1">TblMili[[#This Row],[Unit 4]]</f>
        <v>0</v>
      </c>
      <c r="Q17" s="61">
        <f ca="1">TblMili[[#This Row],[Spies]]</f>
        <v>25</v>
      </c>
      <c r="R17" s="61">
        <f ca="1">TblMili[[#This Row],[Wizards]]</f>
        <v>25</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2358</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6">
        <f ca="1">MAX(-5%*TblPop[[#This Row],[Peasants]]-TblPop[[#This Row],[Draft Growth]],MIN(OFFSET(TblPop[[#This Row],[Net max]],1,0)-TblPop[[#This Row],[Peasants]]-TblPop[[#This Row],[Military]]-TblPop[[#This Row],[Draft Growth]],TblPop[[#This Row],[Modded Birth]]-TblPop[[#This Row],[Draft Growth]]))</f>
        <v>33</v>
      </c>
      <c r="X17" s="96">
        <f ca="1">ROUND(TblPop[[#This Row],[Raw Birth]]*(1+TblPop[[#This Row],[Growth]]),0)</f>
        <v>50</v>
      </c>
      <c r="Y17" s="96">
        <f ca="1">(TblPop[[#This Row],[Peasants]]-TblPop[[#This Row],[Draft Growth]])*raw_pop_growth</f>
        <v>49.769999999999996</v>
      </c>
      <c r="Z17" s="96">
        <f ca="1">ROUND(IF(TblPop[[#This Row],[Military%]]&lt;TblMili[[#This Row],[Draftrate]],ROUND(TblPop[[#This Row],[Peasants]]*Constants!$B$55,0), 0) * IF(AND(TblMagic[[#This Row],[Active DnD]]&lt;=12,TblMagic[[#This Row],[Active DnD]]&gt;6),1.6,1),0)</f>
        <v>17</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45732.583333333299</v>
      </c>
      <c r="C18" s="96">
        <f ca="1">OFFSET(TblPop[[#This Row],[Peasants]],-1,0)+OFFSET(TblPop[[#This Row],[Net Peasant]],-1,0)+TblMili[[#This Row],[Release Draft]]</f>
        <v>1709</v>
      </c>
      <c r="D18" s="96">
        <f ca="1">TblMili[[#This Row],[Military]]</f>
        <v>507</v>
      </c>
      <c r="E18" s="96">
        <f ca="1">TblMili[[#This Row],[Draftees]]</f>
        <v>307</v>
      </c>
      <c r="F18" s="96">
        <f ca="1">TblPop[[#This Row],[Peasants]]+TblPop[[#This Row],[Military]]</f>
        <v>2216</v>
      </c>
      <c r="G18" s="141">
        <f ca="1">TblPop[[#This Row],[Military]]/TblPop[[#This Row],[Total]]</f>
        <v>0.22879061371841156</v>
      </c>
      <c r="H18" s="142">
        <f ca="1">MIN(TblPop[[#This Row],[Peasants]],TblPop[[#This Row],[Jobs]])</f>
        <v>1600</v>
      </c>
      <c r="I18" s="141">
        <f ca="1">MIN(OFFSET(TblPop[[#This Row],[Jobs]],1,0)/TblPop[[#This Row],[Peasants]],1)</f>
        <v>0.93622001170275015</v>
      </c>
      <c r="J18" s="142">
        <f ca="1">SUM(TblConstr[[#This Row],[Tot Alc]:[Tot GT]],TblConstr[[#This Row],[Tot Shr]:[Tot Doc]],TblConstr[[#This Row],[Dest Alc]:[Dest GT]],TblConstr[[#This Row],[Dest Shr]:[Dest Doc]])*building_employment + TblConstr[[#This Row],[Tot Fac]]*bonus_jobs_facts</f>
        <v>1600</v>
      </c>
      <c r="K18" s="143"/>
      <c r="L18" s="61">
        <f ca="1">TblPop[[#This Row],[Draftees]]</f>
        <v>307</v>
      </c>
      <c r="M18" s="61">
        <f ca="1">TblMili[[#This Row],[Unit 1]]</f>
        <v>0</v>
      </c>
      <c r="N18" s="61">
        <f ca="1">TblMili[[#This Row],[Unit 2]]</f>
        <v>150</v>
      </c>
      <c r="O18" s="61">
        <f ca="1">TblMili[[#This Row],[Unit 3]]</f>
        <v>0</v>
      </c>
      <c r="P18" s="61">
        <f ca="1">TblMili[[#This Row],[Unit 4]]</f>
        <v>0</v>
      </c>
      <c r="Q18" s="61">
        <f ca="1">TblMili[[#This Row],[Spies]]</f>
        <v>25</v>
      </c>
      <c r="R18" s="61">
        <f ca="1">TblMili[[#This Row],[Wizards]]</f>
        <v>25</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2358</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6">
        <f ca="1">MAX(-5%*TblPop[[#This Row],[Peasants]]-TblPop[[#This Row],[Draft Growth]],MIN(OFFSET(TblPop[[#This Row],[Net max]],1,0)-TblPop[[#This Row],[Peasants]]-TblPop[[#This Row],[Military]]-TblPop[[#This Row],[Draft Growth]],TblPop[[#This Row],[Modded Birth]]-TblPop[[#This Row],[Draft Growth]]))</f>
        <v>34</v>
      </c>
      <c r="X18" s="96">
        <f ca="1">ROUND(TblPop[[#This Row],[Raw Birth]]*(1+TblPop[[#This Row],[Growth]]),0)</f>
        <v>51</v>
      </c>
      <c r="Y18" s="96">
        <f ca="1">(TblPop[[#This Row],[Peasants]]-TblPop[[#This Row],[Draft Growth]])*raw_pop_growth</f>
        <v>50.76</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45732.624999999964</v>
      </c>
      <c r="C19" s="96">
        <f ca="1">OFFSET(TblPop[[#This Row],[Peasants]],-1,0)+OFFSET(TblPop[[#This Row],[Net Peasant]],-1,0)+TblMili[[#This Row],[Release Draft]]</f>
        <v>1743</v>
      </c>
      <c r="D19" s="96">
        <f ca="1">TblMili[[#This Row],[Military]]</f>
        <v>524</v>
      </c>
      <c r="E19" s="96">
        <f ca="1">TblMili[[#This Row],[Draftees]]</f>
        <v>324</v>
      </c>
      <c r="F19" s="96">
        <f ca="1">TblPop[[#This Row],[Peasants]]+TblPop[[#This Row],[Military]]</f>
        <v>2267</v>
      </c>
      <c r="G19" s="141">
        <f ca="1">TblPop[[#This Row],[Military]]/TblPop[[#This Row],[Total]]</f>
        <v>0.23114247904719895</v>
      </c>
      <c r="H19" s="142">
        <f ca="1">MIN(TblPop[[#This Row],[Peasants]],TblPop[[#This Row],[Jobs]])</f>
        <v>1600</v>
      </c>
      <c r="I19" s="141">
        <f ca="1">MIN(OFFSET(TblPop[[#This Row],[Jobs]],1,0)/TblPop[[#This Row],[Peasants]],1)</f>
        <v>0.91795754446356859</v>
      </c>
      <c r="J19" s="142">
        <f ca="1">SUM(TblConstr[[#This Row],[Tot Alc]:[Tot GT]],TblConstr[[#This Row],[Tot Shr]:[Tot Doc]],TblConstr[[#This Row],[Dest Alc]:[Dest GT]],TblConstr[[#This Row],[Dest Shr]:[Dest Doc]])*building_employment + TblConstr[[#This Row],[Tot Fac]]*bonus_jobs_facts</f>
        <v>1600</v>
      </c>
      <c r="K19" s="143"/>
      <c r="L19" s="61">
        <f ca="1">TblPop[[#This Row],[Draftees]]</f>
        <v>324</v>
      </c>
      <c r="M19" s="61">
        <f ca="1">TblMili[[#This Row],[Unit 1]]</f>
        <v>0</v>
      </c>
      <c r="N19" s="61">
        <f ca="1">TblMili[[#This Row],[Unit 2]]</f>
        <v>150</v>
      </c>
      <c r="O19" s="61">
        <f ca="1">TblMili[[#This Row],[Unit 3]]</f>
        <v>0</v>
      </c>
      <c r="P19" s="61">
        <f ca="1">TblMili[[#This Row],[Unit 4]]</f>
        <v>0</v>
      </c>
      <c r="Q19" s="61">
        <f ca="1">TblMili[[#This Row],[Spies]]</f>
        <v>25</v>
      </c>
      <c r="R19" s="61">
        <f ca="1">TblMili[[#This Row],[Wizards]]</f>
        <v>25</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2358</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6">
        <f ca="1">MAX(-5%*TblPop[[#This Row],[Peasants]]-TblPop[[#This Row],[Draft Growth]],MIN(OFFSET(TblPop[[#This Row],[Net max]],1,0)-TblPop[[#This Row],[Peasants]]-TblPop[[#This Row],[Military]]-TblPop[[#This Row],[Draft Growth]],TblPop[[#This Row],[Modded Birth]]-TblPop[[#This Row],[Draft Growth]]))</f>
        <v>35</v>
      </c>
      <c r="X19" s="96">
        <f ca="1">ROUND(TblPop[[#This Row],[Raw Birth]]*(1+TblPop[[#This Row],[Growth]]),0)</f>
        <v>52</v>
      </c>
      <c r="Y19" s="96">
        <f ca="1">(TblPop[[#This Row],[Peasants]]-TblPop[[#This Row],[Draft Growth]])*raw_pop_growth</f>
        <v>51.78</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45732.666666666628</v>
      </c>
      <c r="C20" s="96">
        <f ca="1">OFFSET(TblPop[[#This Row],[Peasants]],-1,0)+OFFSET(TblPop[[#This Row],[Net Peasant]],-1,0)+TblMili[[#This Row],[Release Draft]]</f>
        <v>1778</v>
      </c>
      <c r="D20" s="96">
        <f ca="1">TblMili[[#This Row],[Military]]</f>
        <v>541</v>
      </c>
      <c r="E20" s="96">
        <f ca="1">TblMili[[#This Row],[Draftees]]</f>
        <v>341</v>
      </c>
      <c r="F20" s="96">
        <f ca="1">TblPop[[#This Row],[Peasants]]+TblPop[[#This Row],[Military]]</f>
        <v>2319</v>
      </c>
      <c r="G20" s="141">
        <f ca="1">TblPop[[#This Row],[Military]]/TblPop[[#This Row],[Total]]</f>
        <v>0.23329021129797325</v>
      </c>
      <c r="H20" s="142">
        <f ca="1">MIN(TblPop[[#This Row],[Peasants]],TblPop[[#This Row],[Jobs]])</f>
        <v>1600</v>
      </c>
      <c r="I20" s="141">
        <f ca="1">MIN(OFFSET(TblPop[[#This Row],[Jobs]],1,0)/TblPop[[#This Row],[Peasants]],1)</f>
        <v>0.89988751406074241</v>
      </c>
      <c r="J20" s="142">
        <f ca="1">SUM(TblConstr[[#This Row],[Tot Alc]:[Tot GT]],TblConstr[[#This Row],[Tot Shr]:[Tot Doc]],TblConstr[[#This Row],[Dest Alc]:[Dest GT]],TblConstr[[#This Row],[Dest Shr]:[Dest Doc]])*building_employment + TblConstr[[#This Row],[Tot Fac]]*bonus_jobs_facts</f>
        <v>1600</v>
      </c>
      <c r="K20" s="143"/>
      <c r="L20" s="61">
        <f ca="1">TblPop[[#This Row],[Draftees]]</f>
        <v>341</v>
      </c>
      <c r="M20" s="61">
        <f ca="1">TblMili[[#This Row],[Unit 1]]</f>
        <v>0</v>
      </c>
      <c r="N20" s="61">
        <f ca="1">TblMili[[#This Row],[Unit 2]]</f>
        <v>150</v>
      </c>
      <c r="O20" s="61">
        <f ca="1">TblMili[[#This Row],[Unit 3]]</f>
        <v>0</v>
      </c>
      <c r="P20" s="61">
        <f ca="1">TblMili[[#This Row],[Unit 4]]</f>
        <v>0</v>
      </c>
      <c r="Q20" s="61">
        <f ca="1">TblMili[[#This Row],[Spies]]</f>
        <v>25</v>
      </c>
      <c r="R20" s="61">
        <f ca="1">TblMili[[#This Row],[Wizards]]</f>
        <v>25</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2358</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6">
        <f ca="1">MAX(-5%*TblPop[[#This Row],[Peasants]]-TblPop[[#This Row],[Draft Growth]],MIN(OFFSET(TblPop[[#This Row],[Net max]],1,0)-TblPop[[#This Row],[Peasants]]-TblPop[[#This Row],[Military]]-TblPop[[#This Row],[Draft Growth]],TblPop[[#This Row],[Modded Birth]]-TblPop[[#This Row],[Draft Growth]]))</f>
        <v>21</v>
      </c>
      <c r="X20" s="96">
        <f ca="1">ROUND(TblPop[[#This Row],[Raw Birth]]*(1+TblPop[[#This Row],[Growth]]),0)</f>
        <v>53</v>
      </c>
      <c r="Y20" s="96">
        <f ca="1">(TblPop[[#This Row],[Peasants]]-TblPop[[#This Row],[Draft Growth]])*raw_pop_growth</f>
        <v>52.8</v>
      </c>
      <c r="Z20" s="96">
        <f ca="1">ROUND(IF(TblPop[[#This Row],[Military%]]&lt;TblMili[[#This Row],[Draftrate]],ROUND(TblPop[[#This Row],[Peasants]]*Constants!$B$55,0), 0) * IF(AND(TblMagic[[#This Row],[Active DnD]]&lt;=12,TblMagic[[#This Row],[Active DnD]]&gt;6),1.6,1),0)</f>
        <v>18</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45732.708333333292</v>
      </c>
      <c r="C21" s="96">
        <f ca="1">OFFSET(TblPop[[#This Row],[Peasants]],-1,0)+OFFSET(TblPop[[#This Row],[Net Peasant]],-1,0)+TblMili[[#This Row],[Release Draft]]</f>
        <v>1799</v>
      </c>
      <c r="D21" s="96">
        <f ca="1">TblMili[[#This Row],[Military]]</f>
        <v>559</v>
      </c>
      <c r="E21" s="96">
        <f ca="1">TblMili[[#This Row],[Draftees]]</f>
        <v>359</v>
      </c>
      <c r="F21" s="96">
        <f ca="1">TblPop[[#This Row],[Peasants]]+TblPop[[#This Row],[Military]]</f>
        <v>2358</v>
      </c>
      <c r="G21" s="141">
        <f ca="1">TblPop[[#This Row],[Military]]/TblPop[[#This Row],[Total]]</f>
        <v>0.23706530958439356</v>
      </c>
      <c r="H21" s="142">
        <f ca="1">MIN(TblPop[[#This Row],[Peasants]],TblPop[[#This Row],[Jobs]])</f>
        <v>1600</v>
      </c>
      <c r="I21" s="141">
        <f ca="1">MIN(OFFSET(TblPop[[#This Row],[Jobs]],1,0)/TblPop[[#This Row],[Peasants]],1)</f>
        <v>0.88938299055030567</v>
      </c>
      <c r="J21" s="142">
        <f ca="1">SUM(TblConstr[[#This Row],[Tot Alc]:[Tot GT]],TblConstr[[#This Row],[Tot Shr]:[Tot Doc]],TblConstr[[#This Row],[Dest Alc]:[Dest GT]],TblConstr[[#This Row],[Dest Shr]:[Dest Doc]])*building_employment + TblConstr[[#This Row],[Tot Fac]]*bonus_jobs_facts</f>
        <v>1600</v>
      </c>
      <c r="K21" s="143"/>
      <c r="L21" s="61">
        <f ca="1">TblPop[[#This Row],[Draftees]]</f>
        <v>359</v>
      </c>
      <c r="M21" s="61">
        <f ca="1">TblMili[[#This Row],[Unit 1]]</f>
        <v>0</v>
      </c>
      <c r="N21" s="61">
        <f ca="1">TblMili[[#This Row],[Unit 2]]</f>
        <v>150</v>
      </c>
      <c r="O21" s="61">
        <f ca="1">TblMili[[#This Row],[Unit 3]]</f>
        <v>0</v>
      </c>
      <c r="P21" s="61">
        <f ca="1">TblMili[[#This Row],[Unit 4]]</f>
        <v>0</v>
      </c>
      <c r="Q21" s="61">
        <f ca="1">TblMili[[#This Row],[Spies]]</f>
        <v>25</v>
      </c>
      <c r="R21" s="61">
        <f ca="1">TblMili[[#This Row],[Wizards]]</f>
        <v>25</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2358</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6">
        <f ca="1">MAX(-5%*TblPop[[#This Row],[Peasants]]-TblPop[[#This Row],[Draft Growth]],MIN(OFFSET(TblPop[[#This Row],[Net max]],1,0)-TblPop[[#This Row],[Peasants]]-TblPop[[#This Row],[Military]]-TblPop[[#This Row],[Draft Growth]],TblPop[[#This Row],[Modded Birth]]-TblPop[[#This Row],[Draft Growth]]))</f>
        <v>-18</v>
      </c>
      <c r="X21" s="96">
        <f ca="1">ROUND(TblPop[[#This Row],[Raw Birth]]*(1+TblPop[[#This Row],[Growth]]),0)</f>
        <v>53</v>
      </c>
      <c r="Y21" s="96">
        <f ca="1">(TblPop[[#This Row],[Peasants]]-TblPop[[#This Row],[Draft Growth]])*raw_pop_growth</f>
        <v>53.43</v>
      </c>
      <c r="Z21" s="96">
        <f ca="1">ROUND(IF(TblPop[[#This Row],[Military%]]&lt;TblMili[[#This Row],[Draftrate]],ROUND(TblPop[[#This Row],[Peasants]]*Constants!$B$55,0), 0) * IF(AND(TblMagic[[#This Row],[Active DnD]]&lt;=12,TblMagic[[#This Row],[Active DnD]]&gt;6),1.6,1),0)</f>
        <v>18</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45732.749999999956</v>
      </c>
      <c r="C22" s="96">
        <f ca="1">OFFSET(TblPop[[#This Row],[Peasants]],-1,0)+OFFSET(TblPop[[#This Row],[Net Peasant]],-1,0)+TblMili[[#This Row],[Release Draft]]</f>
        <v>1781</v>
      </c>
      <c r="D22" s="96">
        <f ca="1">TblMili[[#This Row],[Military]]</f>
        <v>577</v>
      </c>
      <c r="E22" s="96">
        <f ca="1">TblMili[[#This Row],[Draftees]]</f>
        <v>377</v>
      </c>
      <c r="F22" s="96">
        <f ca="1">TblPop[[#This Row],[Peasants]]+TblPop[[#This Row],[Military]]</f>
        <v>2358</v>
      </c>
      <c r="G22" s="141">
        <f ca="1">TblPop[[#This Row],[Military]]/TblPop[[#This Row],[Total]]</f>
        <v>0.24469889737065309</v>
      </c>
      <c r="H22" s="142">
        <f ca="1">MIN(TblPop[[#This Row],[Peasants]],TblPop[[#This Row],[Jobs]])</f>
        <v>1600</v>
      </c>
      <c r="I22" s="141">
        <f ca="1">MIN(OFFSET(TblPop[[#This Row],[Jobs]],1,0)/TblPop[[#This Row],[Peasants]],1)</f>
        <v>0.89837170129140931</v>
      </c>
      <c r="J22" s="142">
        <f ca="1">SUM(TblConstr[[#This Row],[Tot Alc]:[Tot GT]],TblConstr[[#This Row],[Tot Shr]:[Tot Doc]],TblConstr[[#This Row],[Dest Alc]:[Dest GT]],TblConstr[[#This Row],[Dest Shr]:[Dest Doc]])*building_employment + TblConstr[[#This Row],[Tot Fac]]*bonus_jobs_facts</f>
        <v>1600</v>
      </c>
      <c r="K22" s="143"/>
      <c r="L22" s="61">
        <f ca="1">TblPop[[#This Row],[Draftees]]</f>
        <v>377</v>
      </c>
      <c r="M22" s="61">
        <f ca="1">TblMili[[#This Row],[Unit 1]]</f>
        <v>0</v>
      </c>
      <c r="N22" s="61">
        <f ca="1">TblMili[[#This Row],[Unit 2]]</f>
        <v>150</v>
      </c>
      <c r="O22" s="61">
        <f ca="1">TblMili[[#This Row],[Unit 3]]</f>
        <v>0</v>
      </c>
      <c r="P22" s="61">
        <f ca="1">TblMili[[#This Row],[Unit 4]]</f>
        <v>0</v>
      </c>
      <c r="Q22" s="61">
        <f ca="1">TblMili[[#This Row],[Spies]]</f>
        <v>25</v>
      </c>
      <c r="R22" s="61">
        <f ca="1">TblMili[[#This Row],[Wizards]]</f>
        <v>25</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2358</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6">
        <f ca="1">MAX(-5%*TblPop[[#This Row],[Peasants]]-TblPop[[#This Row],[Draft Growth]],MIN(OFFSET(TblPop[[#This Row],[Net max]],1,0)-TblPop[[#This Row],[Peasants]]-TblPop[[#This Row],[Military]]-TblPop[[#This Row],[Draft Growth]],TblPop[[#This Row],[Modded Birth]]-TblPop[[#This Row],[Draft Growth]]))</f>
        <v>-18</v>
      </c>
      <c r="X22" s="96">
        <f ca="1">ROUND(TblPop[[#This Row],[Raw Birth]]*(1+TblPop[[#This Row],[Growth]]),0)</f>
        <v>53</v>
      </c>
      <c r="Y22" s="96">
        <f ca="1">(TblPop[[#This Row],[Peasants]]-TblPop[[#This Row],[Draft Growth]])*raw_pop_growth</f>
        <v>52.89</v>
      </c>
      <c r="Z22" s="96">
        <f ca="1">ROUND(IF(TblPop[[#This Row],[Military%]]&lt;TblMili[[#This Row],[Draftrate]],ROUND(TblPop[[#This Row],[Peasants]]*Constants!$B$55,0), 0) * IF(AND(TblMagic[[#This Row],[Active DnD]]&lt;=12,TblMagic[[#This Row],[Active DnD]]&gt;6),1.6,1),0)</f>
        <v>18</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45732.791666666621</v>
      </c>
      <c r="C23" s="96">
        <f ca="1">OFFSET(TblPop[[#This Row],[Peasants]],-1,0)+OFFSET(TblPop[[#This Row],[Net Peasant]],-1,0)+TblMili[[#This Row],[Release Draft]]</f>
        <v>1763</v>
      </c>
      <c r="D23" s="96">
        <f ca="1">TblMili[[#This Row],[Military]]</f>
        <v>595</v>
      </c>
      <c r="E23" s="96">
        <f ca="1">TblMili[[#This Row],[Draftees]]</f>
        <v>395</v>
      </c>
      <c r="F23" s="96">
        <f ca="1">TblPop[[#This Row],[Peasants]]+TblPop[[#This Row],[Military]]</f>
        <v>2358</v>
      </c>
      <c r="G23" s="141">
        <f ca="1">TblPop[[#This Row],[Military]]/TblPop[[#This Row],[Total]]</f>
        <v>0.25233248515691264</v>
      </c>
      <c r="H23" s="142">
        <f ca="1">MIN(TblPop[[#This Row],[Peasants]],TblPop[[#This Row],[Jobs]])</f>
        <v>1600</v>
      </c>
      <c r="I23" s="141">
        <f ca="1">MIN(OFFSET(TblPop[[#This Row],[Jobs]],1,0)/TblPop[[#This Row],[Peasants]],1)</f>
        <v>0.90754395916052188</v>
      </c>
      <c r="J23" s="142">
        <f ca="1">SUM(TblConstr[[#This Row],[Tot Alc]:[Tot GT]],TblConstr[[#This Row],[Tot Shr]:[Tot Doc]],TblConstr[[#This Row],[Dest Alc]:[Dest GT]],TblConstr[[#This Row],[Dest Shr]:[Dest Doc]])*building_employment + TblConstr[[#This Row],[Tot Fac]]*bonus_jobs_facts</f>
        <v>1600</v>
      </c>
      <c r="K23" s="143"/>
      <c r="L23" s="61">
        <f ca="1">TblPop[[#This Row],[Draftees]]</f>
        <v>395</v>
      </c>
      <c r="M23" s="61">
        <f ca="1">TblMili[[#This Row],[Unit 1]]</f>
        <v>0</v>
      </c>
      <c r="N23" s="61">
        <f ca="1">TblMili[[#This Row],[Unit 2]]</f>
        <v>150</v>
      </c>
      <c r="O23" s="61">
        <f ca="1">TblMili[[#This Row],[Unit 3]]</f>
        <v>0</v>
      </c>
      <c r="P23" s="61">
        <f ca="1">TblMili[[#This Row],[Unit 4]]</f>
        <v>0</v>
      </c>
      <c r="Q23" s="61">
        <f ca="1">TblMili[[#This Row],[Spies]]</f>
        <v>25</v>
      </c>
      <c r="R23" s="61">
        <f ca="1">TblMili[[#This Row],[Wizards]]</f>
        <v>25</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2358</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6">
        <f ca="1">MAX(-5%*TblPop[[#This Row],[Peasants]]-TblPop[[#This Row],[Draft Growth]],MIN(OFFSET(TblPop[[#This Row],[Net max]],1,0)-TblPop[[#This Row],[Peasants]]-TblPop[[#This Row],[Military]]-TblPop[[#This Row],[Draft Growth]],TblPop[[#This Row],[Modded Birth]]-TblPop[[#This Row],[Draft Growth]]))</f>
        <v>-18</v>
      </c>
      <c r="X23" s="96">
        <f ca="1">ROUND(TblPop[[#This Row],[Raw Birth]]*(1+TblPop[[#This Row],[Growth]]),0)</f>
        <v>52</v>
      </c>
      <c r="Y23" s="96">
        <f ca="1">(TblPop[[#This Row],[Peasants]]-TblPop[[#This Row],[Draft Growth]])*raw_pop_growth</f>
        <v>52.35</v>
      </c>
      <c r="Z23" s="96">
        <f ca="1">ROUND(IF(TblPop[[#This Row],[Military%]]&lt;TblMili[[#This Row],[Draftrate]],ROUND(TblPop[[#This Row],[Peasants]]*Constants!$B$55,0), 0) * IF(AND(TblMagic[[#This Row],[Active DnD]]&lt;=12,TblMagic[[#This Row],[Active DnD]]&gt;6),1.6,1),0)</f>
        <v>18</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45732.833333333285</v>
      </c>
      <c r="C24" s="96">
        <f ca="1">OFFSET(TblPop[[#This Row],[Peasants]],-1,0)+OFFSET(TblPop[[#This Row],[Net Peasant]],-1,0)+TblMili[[#This Row],[Release Draft]]</f>
        <v>1745</v>
      </c>
      <c r="D24" s="96">
        <f ca="1">TblMili[[#This Row],[Military]]</f>
        <v>613</v>
      </c>
      <c r="E24" s="96">
        <f ca="1">TblMili[[#This Row],[Draftees]]</f>
        <v>413</v>
      </c>
      <c r="F24" s="96">
        <f ca="1">TblPop[[#This Row],[Peasants]]+TblPop[[#This Row],[Military]]</f>
        <v>2358</v>
      </c>
      <c r="G24" s="141">
        <f ca="1">TblPop[[#This Row],[Military]]/TblPop[[#This Row],[Total]]</f>
        <v>0.2599660729431722</v>
      </c>
      <c r="H24" s="142">
        <f ca="1">MIN(TblPop[[#This Row],[Peasants]],TblPop[[#This Row],[Jobs]])</f>
        <v>1600</v>
      </c>
      <c r="I24" s="141">
        <f ca="1">MIN(OFFSET(TblPop[[#This Row],[Jobs]],1,0)/TblPop[[#This Row],[Peasants]],1)</f>
        <v>0.91690544412607455</v>
      </c>
      <c r="J24" s="142">
        <f ca="1">SUM(TblConstr[[#This Row],[Tot Alc]:[Tot GT]],TblConstr[[#This Row],[Tot Shr]:[Tot Doc]],TblConstr[[#This Row],[Dest Alc]:[Dest GT]],TblConstr[[#This Row],[Dest Shr]:[Dest Doc]])*building_employment + TblConstr[[#This Row],[Tot Fac]]*bonus_jobs_facts</f>
        <v>1600</v>
      </c>
      <c r="K24" s="143"/>
      <c r="L24" s="61">
        <f ca="1">TblPop[[#This Row],[Draftees]]</f>
        <v>413</v>
      </c>
      <c r="M24" s="61">
        <f ca="1">TblMili[[#This Row],[Unit 1]]</f>
        <v>0</v>
      </c>
      <c r="N24" s="61">
        <f ca="1">TblMili[[#This Row],[Unit 2]]</f>
        <v>150</v>
      </c>
      <c r="O24" s="61">
        <f ca="1">TblMili[[#This Row],[Unit 3]]</f>
        <v>0</v>
      </c>
      <c r="P24" s="61">
        <f ca="1">TblMili[[#This Row],[Unit 4]]</f>
        <v>0</v>
      </c>
      <c r="Q24" s="61">
        <f ca="1">TblMili[[#This Row],[Spies]]</f>
        <v>25</v>
      </c>
      <c r="R24" s="61">
        <f ca="1">TblMili[[#This Row],[Wizards]]</f>
        <v>25</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2358</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6">
        <f ca="1">MAX(-5%*TblPop[[#This Row],[Peasants]]-TblPop[[#This Row],[Draft Growth]],MIN(OFFSET(TblPop[[#This Row],[Net max]],1,0)-TblPop[[#This Row],[Peasants]]-TblPop[[#This Row],[Military]]-TblPop[[#This Row],[Draft Growth]],TblPop[[#This Row],[Modded Birth]]-TblPop[[#This Row],[Draft Growth]]))</f>
        <v>-17</v>
      </c>
      <c r="X24" s="96">
        <f ca="1">ROUND(TblPop[[#This Row],[Raw Birth]]*(1+TblPop[[#This Row],[Growth]]),0)</f>
        <v>52</v>
      </c>
      <c r="Y24" s="96">
        <f ca="1">(TblPop[[#This Row],[Peasants]]-TblPop[[#This Row],[Draft Growth]])*raw_pop_growth</f>
        <v>51.839999999999996</v>
      </c>
      <c r="Z24" s="96">
        <f ca="1">ROUND(IF(TblPop[[#This Row],[Military%]]&lt;TblMili[[#This Row],[Draftrate]],ROUND(TblPop[[#This Row],[Peasants]]*Constants!$B$55,0), 0) * IF(AND(TblMagic[[#This Row],[Active DnD]]&lt;=12,TblMagic[[#This Row],[Active DnD]]&gt;6),1.6,1),0)</f>
        <v>17</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45732.874999999949</v>
      </c>
      <c r="C25" s="96">
        <f ca="1">OFFSET(TblPop[[#This Row],[Peasants]],-1,0)+OFFSET(TblPop[[#This Row],[Net Peasant]],-1,0)+TblMili[[#This Row],[Release Draft]]</f>
        <v>1728</v>
      </c>
      <c r="D25" s="96">
        <f ca="1">TblMili[[#This Row],[Military]]</f>
        <v>630</v>
      </c>
      <c r="E25" s="96">
        <f ca="1">TblMili[[#This Row],[Draftees]]</f>
        <v>430</v>
      </c>
      <c r="F25" s="96">
        <f ca="1">TblPop[[#This Row],[Peasants]]+TblPop[[#This Row],[Military]]</f>
        <v>2358</v>
      </c>
      <c r="G25" s="141">
        <f ca="1">TblPop[[#This Row],[Military]]/TblPop[[#This Row],[Total]]</f>
        <v>0.26717557251908397</v>
      </c>
      <c r="H25" s="142">
        <f ca="1">MIN(TblPop[[#This Row],[Peasants]],TblPop[[#This Row],[Jobs]])</f>
        <v>1600</v>
      </c>
      <c r="I25" s="141">
        <f ca="1">MIN(OFFSET(TblPop[[#This Row],[Jobs]],1,0)/TblPop[[#This Row],[Peasants]],1)</f>
        <v>0.92592592592592593</v>
      </c>
      <c r="J25" s="142">
        <f ca="1">SUM(TblConstr[[#This Row],[Tot Alc]:[Tot GT]],TblConstr[[#This Row],[Tot Shr]:[Tot Doc]],TblConstr[[#This Row],[Dest Alc]:[Dest GT]],TblConstr[[#This Row],[Dest Shr]:[Dest Doc]])*building_employment + TblConstr[[#This Row],[Tot Fac]]*bonus_jobs_facts</f>
        <v>1600</v>
      </c>
      <c r="K25" s="143"/>
      <c r="L25" s="61">
        <f ca="1">TblPop[[#This Row],[Draftees]]</f>
        <v>430</v>
      </c>
      <c r="M25" s="61">
        <f ca="1">TblMili[[#This Row],[Unit 1]]</f>
        <v>0</v>
      </c>
      <c r="N25" s="61">
        <f ca="1">TblMili[[#This Row],[Unit 2]]</f>
        <v>150</v>
      </c>
      <c r="O25" s="61">
        <f ca="1">TblMili[[#This Row],[Unit 3]]</f>
        <v>0</v>
      </c>
      <c r="P25" s="61">
        <f ca="1">TblMili[[#This Row],[Unit 4]]</f>
        <v>0</v>
      </c>
      <c r="Q25" s="61">
        <f ca="1">TblMili[[#This Row],[Spies]]</f>
        <v>25</v>
      </c>
      <c r="R25" s="61">
        <f ca="1">TblMili[[#This Row],[Wizards]]</f>
        <v>25</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2358</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6">
        <f ca="1">MAX(-5%*TblPop[[#This Row],[Peasants]]-TblPop[[#This Row],[Draft Growth]],MIN(OFFSET(TblPop[[#This Row],[Net max]],1,0)-TblPop[[#This Row],[Peasants]]-TblPop[[#This Row],[Military]]-TblPop[[#This Row],[Draft Growth]],TblPop[[#This Row],[Modded Birth]]-TblPop[[#This Row],[Draft Growth]]))</f>
        <v>-17</v>
      </c>
      <c r="X25" s="96">
        <f ca="1">ROUND(TblPop[[#This Row],[Raw Birth]]*(1+TblPop[[#This Row],[Growth]]),0)</f>
        <v>51</v>
      </c>
      <c r="Y25" s="96">
        <f ca="1">(TblPop[[#This Row],[Peasants]]-TblPop[[#This Row],[Draft Growth]])*raw_pop_growth</f>
        <v>51.33</v>
      </c>
      <c r="Z25" s="96">
        <f ca="1">ROUND(IF(TblPop[[#This Row],[Military%]]&lt;TblMili[[#This Row],[Draftrate]],ROUND(TblPop[[#This Row],[Peasants]]*Constants!$B$55,0), 0) * IF(AND(TblMagic[[#This Row],[Active DnD]]&lt;=12,TblMagic[[#This Row],[Active DnD]]&gt;6),1.6,1),0)</f>
        <v>17</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45732.916666666613</v>
      </c>
      <c r="C26" s="96">
        <f ca="1">OFFSET(TblPop[[#This Row],[Peasants]],-1,0)+OFFSET(TblPop[[#This Row],[Net Peasant]],-1,0)+TblMili[[#This Row],[Release Draft]]</f>
        <v>1711</v>
      </c>
      <c r="D26" s="96">
        <f ca="1">TblMili[[#This Row],[Military]]</f>
        <v>647</v>
      </c>
      <c r="E26" s="96">
        <f ca="1">TblMili[[#This Row],[Draftees]]</f>
        <v>447</v>
      </c>
      <c r="F26" s="96">
        <f ca="1">TblPop[[#This Row],[Peasants]]+TblPop[[#This Row],[Military]]</f>
        <v>2358</v>
      </c>
      <c r="G26" s="141">
        <f ca="1">TblPop[[#This Row],[Military]]/TblPop[[#This Row],[Total]]</f>
        <v>0.27438507209499574</v>
      </c>
      <c r="H26" s="142">
        <f ca="1">MIN(TblPop[[#This Row],[Peasants]],TblPop[[#This Row],[Jobs]])</f>
        <v>1600</v>
      </c>
      <c r="I26" s="141">
        <f ca="1">MIN(OFFSET(TblPop[[#This Row],[Jobs]],1,0)/TblPop[[#This Row],[Peasants]],1)</f>
        <v>0.93512565751022791</v>
      </c>
      <c r="J26" s="142">
        <f ca="1">SUM(TblConstr[[#This Row],[Tot Alc]:[Tot GT]],TblConstr[[#This Row],[Tot Shr]:[Tot Doc]],TblConstr[[#This Row],[Dest Alc]:[Dest GT]],TblConstr[[#This Row],[Dest Shr]:[Dest Doc]])*building_employment + TblConstr[[#This Row],[Tot Fac]]*bonus_jobs_facts</f>
        <v>1600</v>
      </c>
      <c r="K26" s="143"/>
      <c r="L26" s="61">
        <f ca="1">TblPop[[#This Row],[Draftees]]</f>
        <v>447</v>
      </c>
      <c r="M26" s="61">
        <f ca="1">TblMili[[#This Row],[Unit 1]]</f>
        <v>0</v>
      </c>
      <c r="N26" s="61">
        <f ca="1">TblMili[[#This Row],[Unit 2]]</f>
        <v>150</v>
      </c>
      <c r="O26" s="61">
        <f ca="1">TblMili[[#This Row],[Unit 3]]</f>
        <v>0</v>
      </c>
      <c r="P26" s="61">
        <f ca="1">TblMili[[#This Row],[Unit 4]]</f>
        <v>0</v>
      </c>
      <c r="Q26" s="61">
        <f ca="1">TblMili[[#This Row],[Spies]]</f>
        <v>25</v>
      </c>
      <c r="R26" s="61">
        <f ca="1">TblMili[[#This Row],[Wizards]]</f>
        <v>25</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2358</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6">
        <f ca="1">MAX(-5%*TblPop[[#This Row],[Peasants]]-TblPop[[#This Row],[Draft Growth]],MIN(OFFSET(TblPop[[#This Row],[Net max]],1,0)-TblPop[[#This Row],[Peasants]]-TblPop[[#This Row],[Military]]-TblPop[[#This Row],[Draft Growth]],TblPop[[#This Row],[Modded Birth]]-TblPop[[#This Row],[Draft Growth]]))</f>
        <v>-17</v>
      </c>
      <c r="X26" s="96">
        <f ca="1">ROUND(TblPop[[#This Row],[Raw Birth]]*(1+TblPop[[#This Row],[Growth]]),0)</f>
        <v>51</v>
      </c>
      <c r="Y26" s="96">
        <f ca="1">(TblPop[[#This Row],[Peasants]]-TblPop[[#This Row],[Draft Growth]])*raw_pop_growth</f>
        <v>50.82</v>
      </c>
      <c r="Z26" s="96">
        <f ca="1">ROUND(IF(TblPop[[#This Row],[Military%]]&lt;TblMili[[#This Row],[Draftrate]],ROUND(TblPop[[#This Row],[Peasants]]*Constants!$B$55,0), 0) * IF(AND(TblMagic[[#This Row],[Active DnD]]&lt;=12,TblMagic[[#This Row],[Active DnD]]&gt;6),1.6,1),0)</f>
        <v>17</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45732.958333333278</v>
      </c>
      <c r="C27" s="96">
        <f ca="1">OFFSET(TblPop[[#This Row],[Peasants]],-1,0)+OFFSET(TblPop[[#This Row],[Net Peasant]],-1,0)+TblMili[[#This Row],[Release Draft]]</f>
        <v>1694</v>
      </c>
      <c r="D27" s="96">
        <f ca="1">TblMili[[#This Row],[Military]]</f>
        <v>664</v>
      </c>
      <c r="E27" s="96">
        <f ca="1">TblMili[[#This Row],[Draftees]]</f>
        <v>464</v>
      </c>
      <c r="F27" s="96">
        <f ca="1">TblPop[[#This Row],[Peasants]]+TblPop[[#This Row],[Military]]</f>
        <v>2358</v>
      </c>
      <c r="G27" s="141">
        <f ca="1">TblPop[[#This Row],[Military]]/TblPop[[#This Row],[Total]]</f>
        <v>0.28159457167090757</v>
      </c>
      <c r="H27" s="142">
        <f ca="1">MIN(TblPop[[#This Row],[Peasants]],TblPop[[#This Row],[Jobs]])</f>
        <v>1600</v>
      </c>
      <c r="I27" s="141">
        <f ca="1">MIN(OFFSET(TblPop[[#This Row],[Jobs]],1,0)/TblPop[[#This Row],[Peasants]],1)</f>
        <v>0.94451003541912637</v>
      </c>
      <c r="J27" s="142">
        <f ca="1">SUM(TblConstr[[#This Row],[Tot Alc]:[Tot GT]],TblConstr[[#This Row],[Tot Shr]:[Tot Doc]],TblConstr[[#This Row],[Dest Alc]:[Dest GT]],TblConstr[[#This Row],[Dest Shr]:[Dest Doc]])*building_employment + TblConstr[[#This Row],[Tot Fac]]*bonus_jobs_facts</f>
        <v>1600</v>
      </c>
      <c r="K27" s="143"/>
      <c r="L27" s="61">
        <f ca="1">TblPop[[#This Row],[Draftees]]</f>
        <v>464</v>
      </c>
      <c r="M27" s="61">
        <f ca="1">TblMili[[#This Row],[Unit 1]]</f>
        <v>0</v>
      </c>
      <c r="N27" s="61">
        <f ca="1">TblMili[[#This Row],[Unit 2]]</f>
        <v>150</v>
      </c>
      <c r="O27" s="61">
        <f ca="1">TblMili[[#This Row],[Unit 3]]</f>
        <v>0</v>
      </c>
      <c r="P27" s="61">
        <f ca="1">TblMili[[#This Row],[Unit 4]]</f>
        <v>0</v>
      </c>
      <c r="Q27" s="61">
        <f ca="1">TblMili[[#This Row],[Spies]]</f>
        <v>25</v>
      </c>
      <c r="R27" s="61">
        <f ca="1">TblMili[[#This Row],[Wizards]]</f>
        <v>25</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2358</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6">
        <f ca="1">MAX(-5%*TblPop[[#This Row],[Peasants]]-TblPop[[#This Row],[Draft Growth]],MIN(OFFSET(TblPop[[#This Row],[Net max]],1,0)-TblPop[[#This Row],[Peasants]]-TblPop[[#This Row],[Military]]-TblPop[[#This Row],[Draft Growth]],TblPop[[#This Row],[Modded Birth]]-TblPop[[#This Row],[Draft Growth]]))</f>
        <v>-17</v>
      </c>
      <c r="X27" s="96">
        <f ca="1">ROUND(TblPop[[#This Row],[Raw Birth]]*(1+TblPop[[#This Row],[Growth]]),0)</f>
        <v>50</v>
      </c>
      <c r="Y27" s="96">
        <f ca="1">(TblPop[[#This Row],[Peasants]]-TblPop[[#This Row],[Draft Growth]])*raw_pop_growth</f>
        <v>50.309999999999995</v>
      </c>
      <c r="Z27" s="96">
        <f ca="1">ROUND(IF(TblPop[[#This Row],[Military%]]&lt;TblMili[[#This Row],[Draftrate]],ROUND(TblPop[[#This Row],[Peasants]]*Constants!$B$55,0), 0) * IF(AND(TblMagic[[#This Row],[Active DnD]]&lt;=12,TblMagic[[#This Row],[Active DnD]]&gt;6),1.6,1),0)</f>
        <v>17</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45732.999999999942</v>
      </c>
      <c r="C28" s="96">
        <f ca="1">OFFSET(TblPop[[#This Row],[Peasants]],-1,0)+OFFSET(TblPop[[#This Row],[Net Peasant]],-1,0)+TblMili[[#This Row],[Release Draft]]</f>
        <v>1677</v>
      </c>
      <c r="D28" s="96">
        <f ca="1">TblMili[[#This Row],[Military]]</f>
        <v>681</v>
      </c>
      <c r="E28" s="96">
        <f ca="1">TblMili[[#This Row],[Draftees]]</f>
        <v>481</v>
      </c>
      <c r="F28" s="96">
        <f ca="1">TblPop[[#This Row],[Peasants]]+TblPop[[#This Row],[Military]]</f>
        <v>2358</v>
      </c>
      <c r="G28" s="141">
        <f ca="1">TblPop[[#This Row],[Military]]/TblPop[[#This Row],[Total]]</f>
        <v>0.28880407124681934</v>
      </c>
      <c r="H28" s="142">
        <f ca="1">MIN(TblPop[[#This Row],[Peasants]],TblPop[[#This Row],[Jobs]])</f>
        <v>1600</v>
      </c>
      <c r="I28" s="141">
        <f ca="1">MIN(OFFSET(TblPop[[#This Row],[Jobs]],1,0)/TblPop[[#This Row],[Peasants]],1)</f>
        <v>0.95408467501490757</v>
      </c>
      <c r="J28" s="142">
        <f ca="1">SUM(TblConstr[[#This Row],[Tot Alc]:[Tot GT]],TblConstr[[#This Row],[Tot Shr]:[Tot Doc]],TblConstr[[#This Row],[Dest Alc]:[Dest GT]],TblConstr[[#This Row],[Dest Shr]:[Dest Doc]])*building_employment + TblConstr[[#This Row],[Tot Fac]]*bonus_jobs_facts</f>
        <v>1600</v>
      </c>
      <c r="K28" s="143"/>
      <c r="L28" s="61">
        <f ca="1">TblPop[[#This Row],[Draftees]]</f>
        <v>481</v>
      </c>
      <c r="M28" s="61">
        <f ca="1">TblMili[[#This Row],[Unit 1]]</f>
        <v>0</v>
      </c>
      <c r="N28" s="61">
        <f ca="1">TblMili[[#This Row],[Unit 2]]</f>
        <v>150</v>
      </c>
      <c r="O28" s="61">
        <f ca="1">TblMili[[#This Row],[Unit 3]]</f>
        <v>0</v>
      </c>
      <c r="P28" s="61">
        <f ca="1">TblMili[[#This Row],[Unit 4]]</f>
        <v>0</v>
      </c>
      <c r="Q28" s="61">
        <f ca="1">TblMili[[#This Row],[Spies]]</f>
        <v>25</v>
      </c>
      <c r="R28" s="61">
        <f ca="1">TblMili[[#This Row],[Wizards]]</f>
        <v>25</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2358</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6">
        <f ca="1">MAX(-5%*TblPop[[#This Row],[Peasants]]-TblPop[[#This Row],[Draft Growth]],MIN(OFFSET(TblPop[[#This Row],[Net max]],1,0)-TblPop[[#This Row],[Peasants]]-TblPop[[#This Row],[Military]]-TblPop[[#This Row],[Draft Growth]],TblPop[[#This Row],[Modded Birth]]-TblPop[[#This Row],[Draft Growth]]))</f>
        <v>-17</v>
      </c>
      <c r="X28" s="96">
        <f ca="1">ROUND(TblPop[[#This Row],[Raw Birth]]*(1+TblPop[[#This Row],[Growth]]),0)</f>
        <v>50</v>
      </c>
      <c r="Y28" s="96">
        <f ca="1">(TblPop[[#This Row],[Peasants]]-TblPop[[#This Row],[Draft Growth]])*raw_pop_growth</f>
        <v>49.8</v>
      </c>
      <c r="Z28" s="96">
        <f ca="1">ROUND(IF(TblPop[[#This Row],[Military%]]&lt;TblMili[[#This Row],[Draftrate]],ROUND(TblPop[[#This Row],[Peasants]]*Constants!$B$55,0), 0) * IF(AND(TblMagic[[#This Row],[Active DnD]]&lt;=12,TblMagic[[#This Row],[Active DnD]]&gt;6),1.6,1),0)</f>
        <v>17</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45733.041666666606</v>
      </c>
      <c r="C29" s="96">
        <f ca="1">OFFSET(TblPop[[#This Row],[Peasants]],-1,0)+OFFSET(TblPop[[#This Row],[Net Peasant]],-1,0)+TblMili[[#This Row],[Release Draft]]</f>
        <v>1660</v>
      </c>
      <c r="D29" s="96">
        <f ca="1">TblMili[[#This Row],[Military]]</f>
        <v>698</v>
      </c>
      <c r="E29" s="96">
        <f ca="1">TblMili[[#This Row],[Draftees]]</f>
        <v>498</v>
      </c>
      <c r="F29" s="96">
        <f ca="1">TblPop[[#This Row],[Peasants]]+TblPop[[#This Row],[Military]]</f>
        <v>2358</v>
      </c>
      <c r="G29" s="141">
        <f ca="1">TblPop[[#This Row],[Military]]/TblPop[[#This Row],[Total]]</f>
        <v>0.29601357082273111</v>
      </c>
      <c r="H29" s="142">
        <f ca="1">MIN(TblPop[[#This Row],[Peasants]],TblPop[[#This Row],[Jobs]])</f>
        <v>1600</v>
      </c>
      <c r="I29" s="141">
        <f ca="1">MIN(OFFSET(TblPop[[#This Row],[Jobs]],1,0)/TblPop[[#This Row],[Peasants]],1)</f>
        <v>0.96385542168674698</v>
      </c>
      <c r="J29" s="142">
        <f ca="1">SUM(TblConstr[[#This Row],[Tot Alc]:[Tot GT]],TblConstr[[#This Row],[Tot Shr]:[Tot Doc]],TblConstr[[#This Row],[Dest Alc]:[Dest GT]],TblConstr[[#This Row],[Dest Shr]:[Dest Doc]])*building_employment + TblConstr[[#This Row],[Tot Fac]]*bonus_jobs_facts</f>
        <v>1600</v>
      </c>
      <c r="K29" s="143"/>
      <c r="L29" s="61">
        <f ca="1">TblPop[[#This Row],[Draftees]]</f>
        <v>498</v>
      </c>
      <c r="M29" s="61">
        <f ca="1">TblMili[[#This Row],[Unit 1]]</f>
        <v>0</v>
      </c>
      <c r="N29" s="61">
        <f ca="1">TblMili[[#This Row],[Unit 2]]</f>
        <v>150</v>
      </c>
      <c r="O29" s="61">
        <f ca="1">TblMili[[#This Row],[Unit 3]]</f>
        <v>0</v>
      </c>
      <c r="P29" s="61">
        <f ca="1">TblMili[[#This Row],[Unit 4]]</f>
        <v>0</v>
      </c>
      <c r="Q29" s="61">
        <f ca="1">TblMili[[#This Row],[Spies]]</f>
        <v>25</v>
      </c>
      <c r="R29" s="61">
        <f ca="1">TblMili[[#This Row],[Wizards]]</f>
        <v>25</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2358</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6">
        <f ca="1">MAX(-5%*TblPop[[#This Row],[Peasants]]-TblPop[[#This Row],[Draft Growth]],MIN(OFFSET(TblPop[[#This Row],[Net max]],1,0)-TblPop[[#This Row],[Peasants]]-TblPop[[#This Row],[Military]]-TblPop[[#This Row],[Draft Growth]],TblPop[[#This Row],[Modded Birth]]-TblPop[[#This Row],[Draft Growth]]))</f>
        <v>-17</v>
      </c>
      <c r="X29" s="96">
        <f ca="1">ROUND(TblPop[[#This Row],[Raw Birth]]*(1+TblPop[[#This Row],[Growth]]),0)</f>
        <v>49</v>
      </c>
      <c r="Y29" s="96">
        <f ca="1">(TblPop[[#This Row],[Peasants]]-TblPop[[#This Row],[Draft Growth]])*raw_pop_growth</f>
        <v>49.29</v>
      </c>
      <c r="Z29" s="96">
        <f ca="1">ROUND(IF(TblPop[[#This Row],[Military%]]&lt;TblMili[[#This Row],[Draftrate]],ROUND(TblPop[[#This Row],[Peasants]]*Constants!$B$55,0), 0) * IF(AND(TblMagic[[#This Row],[Active DnD]]&lt;=12,TblMagic[[#This Row],[Active DnD]]&gt;6),1.6,1),0)</f>
        <v>17</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45733.08333333327</v>
      </c>
      <c r="C30" s="96">
        <f ca="1">OFFSET(TblPop[[#This Row],[Peasants]],-1,0)+OFFSET(TblPop[[#This Row],[Net Peasant]],-1,0)+TblMili[[#This Row],[Release Draft]]</f>
        <v>1643</v>
      </c>
      <c r="D30" s="96">
        <f ca="1">TblMili[[#This Row],[Military]]</f>
        <v>715</v>
      </c>
      <c r="E30" s="96">
        <f ca="1">TblMili[[#This Row],[Draftees]]</f>
        <v>515</v>
      </c>
      <c r="F30" s="96">
        <f ca="1">TblPop[[#This Row],[Peasants]]+TblPop[[#This Row],[Military]]</f>
        <v>2358</v>
      </c>
      <c r="G30" s="141">
        <f ca="1">TblPop[[#This Row],[Military]]/TblPop[[#This Row],[Total]]</f>
        <v>0.30322307039864294</v>
      </c>
      <c r="H30" s="142">
        <f ca="1">MIN(TblPop[[#This Row],[Peasants]],TblPop[[#This Row],[Jobs]])</f>
        <v>1600</v>
      </c>
      <c r="I30" s="141">
        <f ca="1">MIN(OFFSET(TblPop[[#This Row],[Jobs]],1,0)/TblPop[[#This Row],[Peasants]],1)</f>
        <v>0.9738283627510651</v>
      </c>
      <c r="J30" s="142">
        <f ca="1">SUM(TblConstr[[#This Row],[Tot Alc]:[Tot GT]],TblConstr[[#This Row],[Tot Shr]:[Tot Doc]],TblConstr[[#This Row],[Dest Alc]:[Dest GT]],TblConstr[[#This Row],[Dest Shr]:[Dest Doc]])*building_employment + TblConstr[[#This Row],[Tot Fac]]*bonus_jobs_facts</f>
        <v>1600</v>
      </c>
      <c r="K30" s="143"/>
      <c r="L30" s="61">
        <f ca="1">TblPop[[#This Row],[Draftees]]</f>
        <v>515</v>
      </c>
      <c r="M30" s="61">
        <f ca="1">TblMili[[#This Row],[Unit 1]]</f>
        <v>0</v>
      </c>
      <c r="N30" s="61">
        <f ca="1">TblMili[[#This Row],[Unit 2]]</f>
        <v>150</v>
      </c>
      <c r="O30" s="61">
        <f ca="1">TblMili[[#This Row],[Unit 3]]</f>
        <v>0</v>
      </c>
      <c r="P30" s="61">
        <f ca="1">TblMili[[#This Row],[Unit 4]]</f>
        <v>0</v>
      </c>
      <c r="Q30" s="61">
        <f ca="1">TblMili[[#This Row],[Spies]]</f>
        <v>25</v>
      </c>
      <c r="R30" s="61">
        <f ca="1">TblMili[[#This Row],[Wizards]]</f>
        <v>25</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2358</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6">
        <f ca="1">MAX(-5%*TblPop[[#This Row],[Peasants]]-TblPop[[#This Row],[Draft Growth]],MIN(OFFSET(TblPop[[#This Row],[Net max]],1,0)-TblPop[[#This Row],[Peasants]]-TblPop[[#This Row],[Military]]-TblPop[[#This Row],[Draft Growth]],TblPop[[#This Row],[Modded Birth]]-TblPop[[#This Row],[Draft Growth]]))</f>
        <v>-16</v>
      </c>
      <c r="X30" s="96">
        <f ca="1">ROUND(TblPop[[#This Row],[Raw Birth]]*(1+TblPop[[#This Row],[Growth]]),0)</f>
        <v>49</v>
      </c>
      <c r="Y30" s="96">
        <f ca="1">(TblPop[[#This Row],[Peasants]]-TblPop[[#This Row],[Draft Growth]])*raw_pop_growth</f>
        <v>48.809999999999995</v>
      </c>
      <c r="Z30" s="96">
        <f ca="1">ROUND(IF(TblPop[[#This Row],[Military%]]&lt;TblMili[[#This Row],[Draftrate]],ROUND(TblPop[[#This Row],[Peasants]]*Constants!$B$55,0), 0) * IF(AND(TblMagic[[#This Row],[Active DnD]]&lt;=12,TblMagic[[#This Row],[Active DnD]]&gt;6),1.6,1),0)</f>
        <v>16</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45733.124999999935</v>
      </c>
      <c r="C31" s="96">
        <f ca="1">OFFSET(TblPop[[#This Row],[Peasants]],-1,0)+OFFSET(TblPop[[#This Row],[Net Peasant]],-1,0)+TblMili[[#This Row],[Release Draft]]</f>
        <v>1627</v>
      </c>
      <c r="D31" s="96">
        <f ca="1">TblMili[[#This Row],[Military]]</f>
        <v>731</v>
      </c>
      <c r="E31" s="96">
        <f ca="1">TblMili[[#This Row],[Draftees]]</f>
        <v>531</v>
      </c>
      <c r="F31" s="96">
        <f ca="1">TblPop[[#This Row],[Peasants]]+TblPop[[#This Row],[Military]]</f>
        <v>2358</v>
      </c>
      <c r="G31" s="141">
        <f ca="1">TblPop[[#This Row],[Military]]/TblPop[[#This Row],[Total]]</f>
        <v>0.31000848176420698</v>
      </c>
      <c r="H31" s="142">
        <f ca="1">MIN(TblPop[[#This Row],[Peasants]],TblPop[[#This Row],[Jobs]])</f>
        <v>1600</v>
      </c>
      <c r="I31" s="141">
        <f ca="1">MIN(OFFSET(TblPop[[#This Row],[Jobs]],1,0)/TblPop[[#This Row],[Peasants]],1)</f>
        <v>0.98340503995082973</v>
      </c>
      <c r="J31" s="142">
        <f ca="1">SUM(TblConstr[[#This Row],[Tot Alc]:[Tot GT]],TblConstr[[#This Row],[Tot Shr]:[Tot Doc]],TblConstr[[#This Row],[Dest Alc]:[Dest GT]],TblConstr[[#This Row],[Dest Shr]:[Dest Doc]])*building_employment + TblConstr[[#This Row],[Tot Fac]]*bonus_jobs_facts</f>
        <v>1600</v>
      </c>
      <c r="K31" s="143"/>
      <c r="L31" s="61">
        <f ca="1">TblPop[[#This Row],[Draftees]]</f>
        <v>531</v>
      </c>
      <c r="M31" s="61">
        <f ca="1">TblMili[[#This Row],[Unit 1]]</f>
        <v>0</v>
      </c>
      <c r="N31" s="61">
        <f ca="1">TblMili[[#This Row],[Unit 2]]</f>
        <v>150</v>
      </c>
      <c r="O31" s="61">
        <f ca="1">TblMili[[#This Row],[Unit 3]]</f>
        <v>0</v>
      </c>
      <c r="P31" s="61">
        <f ca="1">TblMili[[#This Row],[Unit 4]]</f>
        <v>0</v>
      </c>
      <c r="Q31" s="61">
        <f ca="1">TblMili[[#This Row],[Spies]]</f>
        <v>25</v>
      </c>
      <c r="R31" s="61">
        <f ca="1">TblMili[[#This Row],[Wizards]]</f>
        <v>25</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2358</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6">
        <f ca="1">MAX(-5%*TblPop[[#This Row],[Peasants]]-TblPop[[#This Row],[Draft Growth]],MIN(OFFSET(TblPop[[#This Row],[Net max]],1,0)-TblPop[[#This Row],[Peasants]]-TblPop[[#This Row],[Military]]-TblPop[[#This Row],[Draft Growth]],TblPop[[#This Row],[Modded Birth]]-TblPop[[#This Row],[Draft Growth]]))</f>
        <v>-16</v>
      </c>
      <c r="X31" s="96">
        <f ca="1">ROUND(TblPop[[#This Row],[Raw Birth]]*(1+TblPop[[#This Row],[Growth]]),0)</f>
        <v>48</v>
      </c>
      <c r="Y31" s="96">
        <f ca="1">(TblPop[[#This Row],[Peasants]]-TblPop[[#This Row],[Draft Growth]])*raw_pop_growth</f>
        <v>48.33</v>
      </c>
      <c r="Z31" s="96">
        <f ca="1">ROUND(IF(TblPop[[#This Row],[Military%]]&lt;TblMili[[#This Row],[Draftrate]],ROUND(TblPop[[#This Row],[Peasants]]*Constants!$B$55,0), 0) * IF(AND(TblMagic[[#This Row],[Active DnD]]&lt;=12,TblMagic[[#This Row],[Active DnD]]&gt;6),1.6,1),0)</f>
        <v>16</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45733.166666666599</v>
      </c>
      <c r="C32" s="96">
        <f ca="1">OFFSET(TblPop[[#This Row],[Peasants]],-1,0)+OFFSET(TblPop[[#This Row],[Net Peasant]],-1,0)+TblMili[[#This Row],[Release Draft]]</f>
        <v>1611</v>
      </c>
      <c r="D32" s="96">
        <f ca="1">TblMili[[#This Row],[Military]]</f>
        <v>747</v>
      </c>
      <c r="E32" s="96">
        <f ca="1">TblMili[[#This Row],[Draftees]]</f>
        <v>547</v>
      </c>
      <c r="F32" s="96">
        <f ca="1">TblPop[[#This Row],[Peasants]]+TblPop[[#This Row],[Military]]</f>
        <v>2358</v>
      </c>
      <c r="G32" s="141">
        <f ca="1">TblPop[[#This Row],[Military]]/TblPop[[#This Row],[Total]]</f>
        <v>0.31679389312977096</v>
      </c>
      <c r="H32" s="142">
        <f ca="1">MIN(TblPop[[#This Row],[Peasants]],TblPop[[#This Row],[Jobs]])</f>
        <v>1600</v>
      </c>
      <c r="I32" s="141">
        <f ca="1">MIN(OFFSET(TblPop[[#This Row],[Jobs]],1,0)/TblPop[[#This Row],[Peasants]],1)</f>
        <v>0.99317194289261324</v>
      </c>
      <c r="J32" s="142">
        <f ca="1">SUM(TblConstr[[#This Row],[Tot Alc]:[Tot GT]],TblConstr[[#This Row],[Tot Shr]:[Tot Doc]],TblConstr[[#This Row],[Dest Alc]:[Dest GT]],TblConstr[[#This Row],[Dest Shr]:[Dest Doc]])*building_employment + TblConstr[[#This Row],[Tot Fac]]*bonus_jobs_facts</f>
        <v>1600</v>
      </c>
      <c r="K32" s="143"/>
      <c r="L32" s="61">
        <f ca="1">TblPop[[#This Row],[Draftees]]</f>
        <v>547</v>
      </c>
      <c r="M32" s="61">
        <f ca="1">TblMili[[#This Row],[Unit 1]]</f>
        <v>0</v>
      </c>
      <c r="N32" s="61">
        <f ca="1">TblMili[[#This Row],[Unit 2]]</f>
        <v>150</v>
      </c>
      <c r="O32" s="61">
        <f ca="1">TblMili[[#This Row],[Unit 3]]</f>
        <v>0</v>
      </c>
      <c r="P32" s="61">
        <f ca="1">TblMili[[#This Row],[Unit 4]]</f>
        <v>0</v>
      </c>
      <c r="Q32" s="61">
        <f ca="1">TblMili[[#This Row],[Spies]]</f>
        <v>25</v>
      </c>
      <c r="R32" s="61">
        <f ca="1">TblMili[[#This Row],[Wizards]]</f>
        <v>25</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2358</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6">
        <f ca="1">MAX(-5%*TblPop[[#This Row],[Peasants]]-TblPop[[#This Row],[Draft Growth]],MIN(OFFSET(TblPop[[#This Row],[Net max]],1,0)-TblPop[[#This Row],[Peasants]]-TblPop[[#This Row],[Military]]-TblPop[[#This Row],[Draft Growth]],TblPop[[#This Row],[Modded Birth]]-TblPop[[#This Row],[Draft Growth]]))</f>
        <v>-16</v>
      </c>
      <c r="X32" s="96">
        <f ca="1">ROUND(TblPop[[#This Row],[Raw Birth]]*(1+TblPop[[#This Row],[Growth]]),0)</f>
        <v>48</v>
      </c>
      <c r="Y32" s="96">
        <f ca="1">(TblPop[[#This Row],[Peasants]]-TblPop[[#This Row],[Draft Growth]])*raw_pop_growth</f>
        <v>47.85</v>
      </c>
      <c r="Z32" s="96">
        <f ca="1">ROUND(IF(TblPop[[#This Row],[Military%]]&lt;TblMili[[#This Row],[Draftrate]],ROUND(TblPop[[#This Row],[Peasants]]*Constants!$B$55,0), 0) * IF(AND(TblMagic[[#This Row],[Active DnD]]&lt;=12,TblMagic[[#This Row],[Active DnD]]&gt;6),1.6,1),0)</f>
        <v>16</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45733.208333333263</v>
      </c>
      <c r="C33" s="96">
        <f ca="1">OFFSET(TblPop[[#This Row],[Peasants]],-1,0)+OFFSET(TblPop[[#This Row],[Net Peasant]],-1,0)+TblMili[[#This Row],[Release Draft]]</f>
        <v>1595</v>
      </c>
      <c r="D33" s="96">
        <f ca="1">TblMili[[#This Row],[Military]]</f>
        <v>763</v>
      </c>
      <c r="E33" s="96">
        <f ca="1">TblMili[[#This Row],[Draftees]]</f>
        <v>563</v>
      </c>
      <c r="F33" s="96">
        <f ca="1">TblPop[[#This Row],[Peasants]]+TblPop[[#This Row],[Military]]</f>
        <v>2358</v>
      </c>
      <c r="G33" s="141">
        <f ca="1">TblPop[[#This Row],[Military]]/TblPop[[#This Row],[Total]]</f>
        <v>0.32357930449533501</v>
      </c>
      <c r="H33" s="142">
        <f ca="1">MIN(TblPop[[#This Row],[Peasants]],TblPop[[#This Row],[Jobs]])</f>
        <v>1595</v>
      </c>
      <c r="I33" s="141">
        <f ca="1">MIN(OFFSET(TblPop[[#This Row],[Jobs]],1,0)/TblPop[[#This Row],[Peasants]],1)</f>
        <v>1</v>
      </c>
      <c r="J33" s="142">
        <f ca="1">SUM(TblConstr[[#This Row],[Tot Alc]:[Tot GT]],TblConstr[[#This Row],[Tot Shr]:[Tot Doc]],TblConstr[[#This Row],[Dest Alc]:[Dest GT]],TblConstr[[#This Row],[Dest Shr]:[Dest Doc]])*building_employment + TblConstr[[#This Row],[Tot Fac]]*bonus_jobs_facts</f>
        <v>1600</v>
      </c>
      <c r="K33" s="143"/>
      <c r="L33" s="61">
        <f ca="1">TblPop[[#This Row],[Draftees]]</f>
        <v>563</v>
      </c>
      <c r="M33" s="61">
        <f ca="1">TblMili[[#This Row],[Unit 1]]</f>
        <v>0</v>
      </c>
      <c r="N33" s="61">
        <f ca="1">TblMili[[#This Row],[Unit 2]]</f>
        <v>150</v>
      </c>
      <c r="O33" s="61">
        <f ca="1">TblMili[[#This Row],[Unit 3]]</f>
        <v>0</v>
      </c>
      <c r="P33" s="61">
        <f ca="1">TblMili[[#This Row],[Unit 4]]</f>
        <v>0</v>
      </c>
      <c r="Q33" s="61">
        <f ca="1">TblMili[[#This Row],[Spies]]</f>
        <v>25</v>
      </c>
      <c r="R33" s="61">
        <f ca="1">TblMili[[#This Row],[Wizards]]</f>
        <v>25</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2358</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6">
        <f ca="1">MAX(-5%*TblPop[[#This Row],[Peasants]]-TblPop[[#This Row],[Draft Growth]],MIN(OFFSET(TblPop[[#This Row],[Net max]],1,0)-TblPop[[#This Row],[Peasants]]-TblPop[[#This Row],[Military]]-TblPop[[#This Row],[Draft Growth]],TblPop[[#This Row],[Modded Birth]]-TblPop[[#This Row],[Draft Growth]]))</f>
        <v>-16</v>
      </c>
      <c r="X33" s="96">
        <f ca="1">ROUND(TblPop[[#This Row],[Raw Birth]]*(1+TblPop[[#This Row],[Growth]]),0)</f>
        <v>47</v>
      </c>
      <c r="Y33" s="96">
        <f ca="1">(TblPop[[#This Row],[Peasants]]-TblPop[[#This Row],[Draft Growth]])*raw_pop_growth</f>
        <v>47.37</v>
      </c>
      <c r="Z33" s="96">
        <f ca="1">ROUND(IF(TblPop[[#This Row],[Military%]]&lt;TblMili[[#This Row],[Draftrate]],ROUND(TblPop[[#This Row],[Peasants]]*Constants!$B$55,0), 0) * IF(AND(TblMagic[[#This Row],[Active DnD]]&lt;=12,TblMagic[[#This Row],[Active DnD]]&gt;6),1.6,1),0)</f>
        <v>16</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45733.249999999927</v>
      </c>
      <c r="C34" s="96">
        <f ca="1">OFFSET(TblPop[[#This Row],[Peasants]],-1,0)+OFFSET(TblPop[[#This Row],[Net Peasant]],-1,0)+TblMili[[#This Row],[Release Draft]]</f>
        <v>1579</v>
      </c>
      <c r="D34" s="96">
        <f ca="1">TblMili[[#This Row],[Military]]</f>
        <v>779</v>
      </c>
      <c r="E34" s="96">
        <f ca="1">TblMili[[#This Row],[Draftees]]</f>
        <v>579</v>
      </c>
      <c r="F34" s="96">
        <f ca="1">TblPop[[#This Row],[Peasants]]+TblPop[[#This Row],[Military]]</f>
        <v>2358</v>
      </c>
      <c r="G34" s="141">
        <f ca="1">TblPop[[#This Row],[Military]]/TblPop[[#This Row],[Total]]</f>
        <v>0.33036471586089905</v>
      </c>
      <c r="H34" s="142">
        <f ca="1">MIN(TblPop[[#This Row],[Peasants]],TblPop[[#This Row],[Jobs]])</f>
        <v>1579</v>
      </c>
      <c r="I34" s="141">
        <f ca="1">MIN(OFFSET(TblPop[[#This Row],[Jobs]],1,0)/TblPop[[#This Row],[Peasants]],1)</f>
        <v>1</v>
      </c>
      <c r="J34" s="142">
        <f ca="1">SUM(TblConstr[[#This Row],[Tot Alc]:[Tot GT]],TblConstr[[#This Row],[Tot Shr]:[Tot Doc]],TblConstr[[#This Row],[Dest Alc]:[Dest GT]],TblConstr[[#This Row],[Dest Shr]:[Dest Doc]])*building_employment + TblConstr[[#This Row],[Tot Fac]]*bonus_jobs_facts</f>
        <v>1600</v>
      </c>
      <c r="K34" s="143"/>
      <c r="L34" s="61">
        <f ca="1">TblPop[[#This Row],[Draftees]]</f>
        <v>579</v>
      </c>
      <c r="M34" s="61">
        <f ca="1">TblMili[[#This Row],[Unit 1]]</f>
        <v>0</v>
      </c>
      <c r="N34" s="61">
        <f ca="1">TblMili[[#This Row],[Unit 2]]</f>
        <v>150</v>
      </c>
      <c r="O34" s="61">
        <f ca="1">TblMili[[#This Row],[Unit 3]]</f>
        <v>0</v>
      </c>
      <c r="P34" s="61">
        <f ca="1">TblMili[[#This Row],[Unit 4]]</f>
        <v>0</v>
      </c>
      <c r="Q34" s="61">
        <f ca="1">TblMili[[#This Row],[Spies]]</f>
        <v>25</v>
      </c>
      <c r="R34" s="61">
        <f ca="1">TblMili[[#This Row],[Wizards]]</f>
        <v>25</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2358</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6">
        <f ca="1">MAX(-5%*TblPop[[#This Row],[Peasants]]-TblPop[[#This Row],[Draft Growth]],MIN(OFFSET(TblPop[[#This Row],[Net max]],1,0)-TblPop[[#This Row],[Peasants]]-TblPop[[#This Row],[Military]]-TblPop[[#This Row],[Draft Growth]],TblPop[[#This Row],[Modded Birth]]-TblPop[[#This Row],[Draft Growth]]))</f>
        <v>-16</v>
      </c>
      <c r="X34" s="96">
        <f ca="1">ROUND(TblPop[[#This Row],[Raw Birth]]*(1+TblPop[[#This Row],[Growth]]),0)</f>
        <v>47</v>
      </c>
      <c r="Y34" s="96">
        <f ca="1">(TblPop[[#This Row],[Peasants]]-TblPop[[#This Row],[Draft Growth]])*raw_pop_growth</f>
        <v>46.89</v>
      </c>
      <c r="Z34" s="96">
        <f ca="1">ROUND(IF(TblPop[[#This Row],[Military%]]&lt;TblMili[[#This Row],[Draftrate]],ROUND(TblPop[[#This Row],[Peasants]]*Constants!$B$55,0), 0) * IF(AND(TblMagic[[#This Row],[Active DnD]]&lt;=12,TblMagic[[#This Row],[Active DnD]]&gt;6),1.6,1),0)</f>
        <v>16</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45733.291666666591</v>
      </c>
      <c r="C35" s="96">
        <f ca="1">OFFSET(TblPop[[#This Row],[Peasants]],-1,0)+OFFSET(TblPop[[#This Row],[Net Peasant]],-1,0)+TblMili[[#This Row],[Release Draft]]</f>
        <v>1563</v>
      </c>
      <c r="D35" s="96">
        <f ca="1">TblMili[[#This Row],[Military]]</f>
        <v>795</v>
      </c>
      <c r="E35" s="96">
        <f ca="1">TblMili[[#This Row],[Draftees]]</f>
        <v>595</v>
      </c>
      <c r="F35" s="96">
        <f ca="1">TblPop[[#This Row],[Peasants]]+TblPop[[#This Row],[Military]]</f>
        <v>2358</v>
      </c>
      <c r="G35" s="141">
        <f ca="1">TblPop[[#This Row],[Military]]/TblPop[[#This Row],[Total]]</f>
        <v>0.33715012722646309</v>
      </c>
      <c r="H35" s="142">
        <f ca="1">MIN(TblPop[[#This Row],[Peasants]],TblPop[[#This Row],[Jobs]])</f>
        <v>1563</v>
      </c>
      <c r="I35" s="141">
        <f ca="1">MIN(OFFSET(TblPop[[#This Row],[Jobs]],1,0)/TblPop[[#This Row],[Peasants]],1)</f>
        <v>1</v>
      </c>
      <c r="J35" s="142">
        <f ca="1">SUM(TblConstr[[#This Row],[Tot Alc]:[Tot GT]],TblConstr[[#This Row],[Tot Shr]:[Tot Doc]],TblConstr[[#This Row],[Dest Alc]:[Dest GT]],TblConstr[[#This Row],[Dest Shr]:[Dest Doc]])*building_employment + TblConstr[[#This Row],[Tot Fac]]*bonus_jobs_facts</f>
        <v>1600</v>
      </c>
      <c r="K35" s="143"/>
      <c r="L35" s="61">
        <f ca="1">TblPop[[#This Row],[Draftees]]</f>
        <v>595</v>
      </c>
      <c r="M35" s="61">
        <f ca="1">TblMili[[#This Row],[Unit 1]]</f>
        <v>0</v>
      </c>
      <c r="N35" s="61">
        <f ca="1">TblMili[[#This Row],[Unit 2]]</f>
        <v>150</v>
      </c>
      <c r="O35" s="61">
        <f ca="1">TblMili[[#This Row],[Unit 3]]</f>
        <v>0</v>
      </c>
      <c r="P35" s="61">
        <f ca="1">TblMili[[#This Row],[Unit 4]]</f>
        <v>0</v>
      </c>
      <c r="Q35" s="61">
        <f ca="1">TblMili[[#This Row],[Spies]]</f>
        <v>25</v>
      </c>
      <c r="R35" s="61">
        <f ca="1">TblMili[[#This Row],[Wizards]]</f>
        <v>25</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2358</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6">
        <f ca="1">MAX(-5%*TblPop[[#This Row],[Peasants]]-TblPop[[#This Row],[Draft Growth]],MIN(OFFSET(TblPop[[#This Row],[Net max]],1,0)-TblPop[[#This Row],[Peasants]]-TblPop[[#This Row],[Military]]-TblPop[[#This Row],[Draft Growth]],TblPop[[#This Row],[Modded Birth]]-TblPop[[#This Row],[Draft Growth]]))</f>
        <v>-16</v>
      </c>
      <c r="X35" s="96">
        <f ca="1">ROUND(TblPop[[#This Row],[Raw Birth]]*(1+TblPop[[#This Row],[Growth]]),0)</f>
        <v>46</v>
      </c>
      <c r="Y35" s="96">
        <f ca="1">(TblPop[[#This Row],[Peasants]]-TblPop[[#This Row],[Draft Growth]])*raw_pop_growth</f>
        <v>46.41</v>
      </c>
      <c r="Z35" s="96">
        <f ca="1">ROUND(IF(TblPop[[#This Row],[Military%]]&lt;TblMili[[#This Row],[Draftrate]],ROUND(TblPop[[#This Row],[Peasants]]*Constants!$B$55,0), 0) * IF(AND(TblMagic[[#This Row],[Active DnD]]&lt;=12,TblMagic[[#This Row],[Active DnD]]&gt;6),1.6,1),0)</f>
        <v>16</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45733.333333333256</v>
      </c>
      <c r="C36" s="96">
        <f ca="1">OFFSET(TblPop[[#This Row],[Peasants]],-1,0)+OFFSET(TblPop[[#This Row],[Net Peasant]],-1,0)+TblMili[[#This Row],[Release Draft]]</f>
        <v>1547</v>
      </c>
      <c r="D36" s="96">
        <f ca="1">TblMili[[#This Row],[Military]]</f>
        <v>811</v>
      </c>
      <c r="E36" s="96">
        <f ca="1">TblMili[[#This Row],[Draftees]]</f>
        <v>611</v>
      </c>
      <c r="F36" s="96">
        <f ca="1">TblPop[[#This Row],[Peasants]]+TblPop[[#This Row],[Military]]</f>
        <v>2358</v>
      </c>
      <c r="G36" s="141">
        <f ca="1">TblPop[[#This Row],[Military]]/TblPop[[#This Row],[Total]]</f>
        <v>0.34393553859202713</v>
      </c>
      <c r="H36" s="142">
        <f ca="1">MIN(TblPop[[#This Row],[Peasants]],TblPop[[#This Row],[Jobs]])</f>
        <v>1547</v>
      </c>
      <c r="I36" s="141">
        <f ca="1">MIN(OFFSET(TblPop[[#This Row],[Jobs]],1,0)/TblPop[[#This Row],[Peasants]],1)</f>
        <v>1</v>
      </c>
      <c r="J36" s="142">
        <f ca="1">SUM(TblConstr[[#This Row],[Tot Alc]:[Tot GT]],TblConstr[[#This Row],[Tot Shr]:[Tot Doc]],TblConstr[[#This Row],[Dest Alc]:[Dest GT]],TblConstr[[#This Row],[Dest Shr]:[Dest Doc]])*building_employment + TblConstr[[#This Row],[Tot Fac]]*bonus_jobs_facts</f>
        <v>1600</v>
      </c>
      <c r="K36" s="143"/>
      <c r="L36" s="61">
        <f ca="1">TblPop[[#This Row],[Draftees]]</f>
        <v>611</v>
      </c>
      <c r="M36" s="61">
        <f ca="1">TblMili[[#This Row],[Unit 1]]</f>
        <v>0</v>
      </c>
      <c r="N36" s="61">
        <f ca="1">TblMili[[#This Row],[Unit 2]]</f>
        <v>150</v>
      </c>
      <c r="O36" s="61">
        <f ca="1">TblMili[[#This Row],[Unit 3]]</f>
        <v>0</v>
      </c>
      <c r="P36" s="61">
        <f ca="1">TblMili[[#This Row],[Unit 4]]</f>
        <v>0</v>
      </c>
      <c r="Q36" s="61">
        <f ca="1">TblMili[[#This Row],[Spies]]</f>
        <v>25</v>
      </c>
      <c r="R36" s="61">
        <f ca="1">TblMili[[#This Row],[Wizards]]</f>
        <v>25</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2358</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46</v>
      </c>
      <c r="Y36" s="96">
        <f ca="1">(TblPop[[#This Row],[Peasants]]-TblPop[[#This Row],[Draft Growth]])*raw_pop_growth</f>
        <v>45.96</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45733.37499999992</v>
      </c>
      <c r="C37" s="96">
        <f ca="1">OFFSET(TblPop[[#This Row],[Peasants]],-1,0)+OFFSET(TblPop[[#This Row],[Net Peasant]],-1,0)+TblMili[[#This Row],[Release Draft]]</f>
        <v>1532</v>
      </c>
      <c r="D37" s="96">
        <f ca="1">TblMili[[#This Row],[Military]]</f>
        <v>826</v>
      </c>
      <c r="E37" s="96">
        <f ca="1">TblMili[[#This Row],[Draftees]]</f>
        <v>626</v>
      </c>
      <c r="F37" s="96">
        <f ca="1">TblPop[[#This Row],[Peasants]]+TblPop[[#This Row],[Military]]</f>
        <v>2358</v>
      </c>
      <c r="G37" s="141">
        <f ca="1">TblPop[[#This Row],[Military]]/TblPop[[#This Row],[Total]]</f>
        <v>0.35029686174724345</v>
      </c>
      <c r="H37" s="142">
        <f ca="1">MIN(TblPop[[#This Row],[Peasants]],TblPop[[#This Row],[Jobs]])</f>
        <v>1532</v>
      </c>
      <c r="I37" s="141">
        <f ca="1">MIN(OFFSET(TblPop[[#This Row],[Jobs]],1,0)/TblPop[[#This Row],[Peasants]],1)</f>
        <v>1</v>
      </c>
      <c r="J37" s="142">
        <f ca="1">SUM(TblConstr[[#This Row],[Tot Alc]:[Tot GT]],TblConstr[[#This Row],[Tot Shr]:[Tot Doc]],TblConstr[[#This Row],[Dest Alc]:[Dest GT]],TblConstr[[#This Row],[Dest Shr]:[Dest Doc]])*building_employment + TblConstr[[#This Row],[Tot Fac]]*bonus_jobs_facts</f>
        <v>1600</v>
      </c>
      <c r="K37" s="143"/>
      <c r="L37" s="61">
        <f ca="1">TblPop[[#This Row],[Draftees]]</f>
        <v>626</v>
      </c>
      <c r="M37" s="61">
        <f ca="1">TblMili[[#This Row],[Unit 1]]</f>
        <v>0</v>
      </c>
      <c r="N37" s="61">
        <f ca="1">TblMili[[#This Row],[Unit 2]]</f>
        <v>150</v>
      </c>
      <c r="O37" s="61">
        <f ca="1">TblMili[[#This Row],[Unit 3]]</f>
        <v>0</v>
      </c>
      <c r="P37" s="61">
        <f ca="1">TblMili[[#This Row],[Unit 4]]</f>
        <v>0</v>
      </c>
      <c r="Q37" s="61">
        <f ca="1">TblMili[[#This Row],[Spies]]</f>
        <v>25</v>
      </c>
      <c r="R37" s="61">
        <f ca="1">TblMili[[#This Row],[Wizards]]</f>
        <v>25</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2358</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6">
        <f ca="1">MAX(-5%*TblPop[[#This Row],[Peasants]]-TblPop[[#This Row],[Draft Growth]],MIN(OFFSET(TblPop[[#This Row],[Net max]],1,0)-TblPop[[#This Row],[Peasants]]-TblPop[[#This Row],[Military]]-TblPop[[#This Row],[Draft Growth]],TblPop[[#This Row],[Modded Birth]]-TblPop[[#This Row],[Draft Growth]]))</f>
        <v>0</v>
      </c>
      <c r="X37" s="96">
        <f ca="1">ROUND(TblPop[[#This Row],[Raw Birth]]*(1+TblPop[[#This Row],[Growth]]),0)</f>
        <v>46</v>
      </c>
      <c r="Y37" s="96">
        <f ca="1">(TblPop[[#This Row],[Peasants]]-TblPop[[#This Row],[Draft Growth]])*raw_pop_growth</f>
        <v>45.96</v>
      </c>
      <c r="Z37" s="96">
        <f ca="1">ROUND(IF(TblPop[[#This Row],[Military%]]&lt;TblMili[[#This Row],[Draftrate]],ROUND(TblPop[[#This Row],[Peasants]]*Constants!$B$55,0), 0) * IF(AND(TblMagic[[#This Row],[Active DnD]]&lt;=12,TblMagic[[#This Row],[Active DnD]]&gt;6),1.6,1),0)</f>
        <v>0</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45733.416666666584</v>
      </c>
      <c r="C38" s="96">
        <f ca="1">OFFSET(TblPop[[#This Row],[Peasants]],-1,0)+OFFSET(TblPop[[#This Row],[Net Peasant]],-1,0)+TblMili[[#This Row],[Release Draft]]</f>
        <v>1532</v>
      </c>
      <c r="D38" s="96">
        <f ca="1">TblMili[[#This Row],[Military]]</f>
        <v>826</v>
      </c>
      <c r="E38" s="96">
        <f ca="1">TblMili[[#This Row],[Draftees]]</f>
        <v>626</v>
      </c>
      <c r="F38" s="96">
        <f ca="1">TblPop[[#This Row],[Peasants]]+TblPop[[#This Row],[Military]]</f>
        <v>2358</v>
      </c>
      <c r="G38" s="141">
        <f ca="1">TblPop[[#This Row],[Military]]/TblPop[[#This Row],[Total]]</f>
        <v>0.35029686174724345</v>
      </c>
      <c r="H38" s="142">
        <f ca="1">MIN(TblPop[[#This Row],[Peasants]],TblPop[[#This Row],[Jobs]])</f>
        <v>1532</v>
      </c>
      <c r="I38" s="141">
        <f ca="1">MIN(OFFSET(TblPop[[#This Row],[Jobs]],1,0)/TblPop[[#This Row],[Peasants]],1)</f>
        <v>1</v>
      </c>
      <c r="J38" s="142">
        <f ca="1">SUM(TblConstr[[#This Row],[Tot Alc]:[Tot GT]],TblConstr[[#This Row],[Tot Shr]:[Tot Doc]],TblConstr[[#This Row],[Dest Alc]:[Dest GT]],TblConstr[[#This Row],[Dest Shr]:[Dest Doc]])*building_employment + TblConstr[[#This Row],[Tot Fac]]*bonus_jobs_facts</f>
        <v>1600</v>
      </c>
      <c r="K38" s="143"/>
      <c r="L38" s="61">
        <f ca="1">TblPop[[#This Row],[Draftees]]</f>
        <v>626</v>
      </c>
      <c r="M38" s="61">
        <f ca="1">TblMili[[#This Row],[Unit 1]]</f>
        <v>0</v>
      </c>
      <c r="N38" s="61">
        <f ca="1">TblMili[[#This Row],[Unit 2]]</f>
        <v>150</v>
      </c>
      <c r="O38" s="61">
        <f ca="1">TblMili[[#This Row],[Unit 3]]</f>
        <v>0</v>
      </c>
      <c r="P38" s="61">
        <f ca="1">TblMili[[#This Row],[Unit 4]]</f>
        <v>0</v>
      </c>
      <c r="Q38" s="61">
        <f ca="1">TblMili[[#This Row],[Spies]]</f>
        <v>25</v>
      </c>
      <c r="R38" s="61">
        <f ca="1">TblMili[[#This Row],[Wizards]]</f>
        <v>25</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2358</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6">
        <f ca="1">MAX(-5%*TblPop[[#This Row],[Peasants]]-TblPop[[#This Row],[Draft Growth]],MIN(OFFSET(TblPop[[#This Row],[Net max]],1,0)-TblPop[[#This Row],[Peasants]]-TblPop[[#This Row],[Military]]-TblPop[[#This Row],[Draft Growth]],TblPop[[#This Row],[Modded Birth]]-TblPop[[#This Row],[Draft Growth]]))</f>
        <v>0</v>
      </c>
      <c r="X38" s="96">
        <f ca="1">ROUND(TblPop[[#This Row],[Raw Birth]]*(1+TblPop[[#This Row],[Growth]]),0)</f>
        <v>46</v>
      </c>
      <c r="Y38" s="96">
        <f ca="1">(TblPop[[#This Row],[Peasants]]-TblPop[[#This Row],[Draft Growth]])*raw_pop_growth</f>
        <v>45.96</v>
      </c>
      <c r="Z38" s="96">
        <f ca="1">ROUND(IF(TblPop[[#This Row],[Military%]]&lt;TblMili[[#This Row],[Draftrate]],ROUND(TblPop[[#This Row],[Peasants]]*Constants!$B$55,0), 0) * IF(AND(TblMagic[[#This Row],[Active DnD]]&lt;=12,TblMagic[[#This Row],[Active DnD]]&gt;6),1.6,1),0)</f>
        <v>0</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45733.458333333248</v>
      </c>
      <c r="C39" s="96">
        <f ca="1">OFFSET(TblPop[[#This Row],[Peasants]],-1,0)+OFFSET(TblPop[[#This Row],[Net Peasant]],-1,0)+TblMili[[#This Row],[Release Draft]]</f>
        <v>1532</v>
      </c>
      <c r="D39" s="96">
        <f ca="1">TblMili[[#This Row],[Military]]</f>
        <v>826</v>
      </c>
      <c r="E39" s="96">
        <f ca="1">TblMili[[#This Row],[Draftees]]</f>
        <v>626</v>
      </c>
      <c r="F39" s="96">
        <f ca="1">TblPop[[#This Row],[Peasants]]+TblPop[[#This Row],[Military]]</f>
        <v>2358</v>
      </c>
      <c r="G39" s="141">
        <f ca="1">TblPop[[#This Row],[Military]]/TblPop[[#This Row],[Total]]</f>
        <v>0.35029686174724345</v>
      </c>
      <c r="H39" s="142">
        <f ca="1">MIN(TblPop[[#This Row],[Peasants]],TblPop[[#This Row],[Jobs]])</f>
        <v>1532</v>
      </c>
      <c r="I39" s="141">
        <f ca="1">MIN(OFFSET(TblPop[[#This Row],[Jobs]],1,0)/TblPop[[#This Row],[Peasants]],1)</f>
        <v>1</v>
      </c>
      <c r="J39" s="142">
        <f ca="1">SUM(TblConstr[[#This Row],[Tot Alc]:[Tot GT]],TblConstr[[#This Row],[Tot Shr]:[Tot Doc]],TblConstr[[#This Row],[Dest Alc]:[Dest GT]],TblConstr[[#This Row],[Dest Shr]:[Dest Doc]])*building_employment + TblConstr[[#This Row],[Tot Fac]]*bonus_jobs_facts</f>
        <v>1600</v>
      </c>
      <c r="K39" s="143"/>
      <c r="L39" s="61">
        <f ca="1">TblPop[[#This Row],[Draftees]]</f>
        <v>626</v>
      </c>
      <c r="M39" s="61">
        <f ca="1">TblMili[[#This Row],[Unit 1]]</f>
        <v>0</v>
      </c>
      <c r="N39" s="61">
        <f ca="1">TblMili[[#This Row],[Unit 2]]</f>
        <v>150</v>
      </c>
      <c r="O39" s="61">
        <f ca="1">TblMili[[#This Row],[Unit 3]]</f>
        <v>0</v>
      </c>
      <c r="P39" s="61">
        <f ca="1">TblMili[[#This Row],[Unit 4]]</f>
        <v>0</v>
      </c>
      <c r="Q39" s="61">
        <f ca="1">TblMili[[#This Row],[Spies]]</f>
        <v>25</v>
      </c>
      <c r="R39" s="61">
        <f ca="1">TblMili[[#This Row],[Wizards]]</f>
        <v>25</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2358</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6">
        <f ca="1">MAX(-5%*TblPop[[#This Row],[Peasants]]-TblPop[[#This Row],[Draft Growth]],MIN(OFFSET(TblPop[[#This Row],[Net max]],1,0)-TblPop[[#This Row],[Peasants]]-TblPop[[#This Row],[Military]]-TblPop[[#This Row],[Draft Growth]],TblPop[[#This Row],[Modded Birth]]-TblPop[[#This Row],[Draft Growth]]))</f>
        <v>0</v>
      </c>
      <c r="X39" s="96">
        <f ca="1">ROUND(TblPop[[#This Row],[Raw Birth]]*(1+TblPop[[#This Row],[Growth]]),0)</f>
        <v>46</v>
      </c>
      <c r="Y39" s="96">
        <f ca="1">(TblPop[[#This Row],[Peasants]]-TblPop[[#This Row],[Draft Growth]])*raw_pop_growth</f>
        <v>45.96</v>
      </c>
      <c r="Z39" s="96">
        <f ca="1">ROUND(IF(TblPop[[#This Row],[Military%]]&lt;TblMili[[#This Row],[Draftrate]],ROUND(TblPop[[#This Row],[Peasants]]*Constants!$B$55,0), 0) * IF(AND(TblMagic[[#This Row],[Active DnD]]&lt;=12,TblMagic[[#This Row],[Active DnD]]&gt;6),1.6,1),0)</f>
        <v>0</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45733.499999999913</v>
      </c>
      <c r="C40" s="96">
        <f ca="1">OFFSET(TblPop[[#This Row],[Peasants]],-1,0)+OFFSET(TblPop[[#This Row],[Net Peasant]],-1,0)+TblMili[[#This Row],[Release Draft]]</f>
        <v>1532</v>
      </c>
      <c r="D40" s="96">
        <f ca="1">TblMili[[#This Row],[Military]]</f>
        <v>826</v>
      </c>
      <c r="E40" s="96">
        <f ca="1">TblMili[[#This Row],[Draftees]]</f>
        <v>626</v>
      </c>
      <c r="F40" s="96">
        <f ca="1">TblPop[[#This Row],[Peasants]]+TblPop[[#This Row],[Military]]</f>
        <v>2358</v>
      </c>
      <c r="G40" s="141">
        <f ca="1">TblPop[[#This Row],[Military]]/TblPop[[#This Row],[Total]]</f>
        <v>0.35029686174724345</v>
      </c>
      <c r="H40" s="142">
        <f ca="1">MIN(TblPop[[#This Row],[Peasants]],TblPop[[#This Row],[Jobs]])</f>
        <v>1532</v>
      </c>
      <c r="I40" s="141">
        <f ca="1">MIN(OFFSET(TblPop[[#This Row],[Jobs]],1,0)/TblPop[[#This Row],[Peasants]],1)</f>
        <v>1</v>
      </c>
      <c r="J40" s="142">
        <f ca="1">SUM(TblConstr[[#This Row],[Tot Alc]:[Tot GT]],TblConstr[[#This Row],[Tot Shr]:[Tot Doc]],TblConstr[[#This Row],[Dest Alc]:[Dest GT]],TblConstr[[#This Row],[Dest Shr]:[Dest Doc]])*building_employment + TblConstr[[#This Row],[Tot Fac]]*bonus_jobs_facts</f>
        <v>1600</v>
      </c>
      <c r="K40" s="143"/>
      <c r="L40" s="61">
        <f ca="1">TblPop[[#This Row],[Draftees]]</f>
        <v>626</v>
      </c>
      <c r="M40" s="61">
        <f ca="1">TblMili[[#This Row],[Unit 1]]</f>
        <v>0</v>
      </c>
      <c r="N40" s="61">
        <f ca="1">TblMili[[#This Row],[Unit 2]]</f>
        <v>150</v>
      </c>
      <c r="O40" s="61">
        <f ca="1">TblMili[[#This Row],[Unit 3]]</f>
        <v>0</v>
      </c>
      <c r="P40" s="61">
        <f ca="1">TblMili[[#This Row],[Unit 4]]</f>
        <v>0</v>
      </c>
      <c r="Q40" s="61">
        <f ca="1">TblMili[[#This Row],[Spies]]</f>
        <v>25</v>
      </c>
      <c r="R40" s="61">
        <f ca="1">TblMili[[#This Row],[Wizards]]</f>
        <v>25</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2358</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6">
        <f ca="1">MAX(-5%*TblPop[[#This Row],[Peasants]]-TblPop[[#This Row],[Draft Growth]],MIN(OFFSET(TblPop[[#This Row],[Net max]],1,0)-TblPop[[#This Row],[Peasants]]-TblPop[[#This Row],[Military]]-TblPop[[#This Row],[Draft Growth]],TblPop[[#This Row],[Modded Birth]]-TblPop[[#This Row],[Draft Growth]]))</f>
        <v>0</v>
      </c>
      <c r="X40" s="96">
        <f ca="1">ROUND(TblPop[[#This Row],[Raw Birth]]*(1+TblPop[[#This Row],[Growth]]),0)</f>
        <v>46</v>
      </c>
      <c r="Y40" s="96">
        <f ca="1">(TblPop[[#This Row],[Peasants]]-TblPop[[#This Row],[Draft Growth]])*raw_pop_growth</f>
        <v>45.96</v>
      </c>
      <c r="Z40" s="96">
        <f ca="1">ROUND(IF(TblPop[[#This Row],[Military%]]&lt;TblMili[[#This Row],[Draftrate]],ROUND(TblPop[[#This Row],[Peasants]]*Constants!$B$55,0), 0) * IF(AND(TblMagic[[#This Row],[Active DnD]]&lt;=12,TblMagic[[#This Row],[Active DnD]]&gt;6),1.6,1),0)</f>
        <v>0</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45733.541666666577</v>
      </c>
      <c r="C41" s="96">
        <f ca="1">OFFSET(TblPop[[#This Row],[Peasants]],-1,0)+OFFSET(TblPop[[#This Row],[Net Peasant]],-1,0)+TblMili[[#This Row],[Release Draft]]</f>
        <v>1532</v>
      </c>
      <c r="D41" s="96">
        <f ca="1">TblMili[[#This Row],[Military]]</f>
        <v>826</v>
      </c>
      <c r="E41" s="96">
        <f ca="1">TblMili[[#This Row],[Draftees]]</f>
        <v>626</v>
      </c>
      <c r="F41" s="96">
        <f ca="1">TblPop[[#This Row],[Peasants]]+TblPop[[#This Row],[Military]]</f>
        <v>2358</v>
      </c>
      <c r="G41" s="141">
        <f ca="1">TblPop[[#This Row],[Military]]/TblPop[[#This Row],[Total]]</f>
        <v>0.35029686174724345</v>
      </c>
      <c r="H41" s="142">
        <f ca="1">MIN(TblPop[[#This Row],[Peasants]],TblPop[[#This Row],[Jobs]])</f>
        <v>1532</v>
      </c>
      <c r="I41" s="141">
        <f ca="1">MIN(OFFSET(TblPop[[#This Row],[Jobs]],1,0)/TblPop[[#This Row],[Peasants]],1)</f>
        <v>1</v>
      </c>
      <c r="J41" s="142">
        <f ca="1">SUM(TblConstr[[#This Row],[Tot Alc]:[Tot GT]],TblConstr[[#This Row],[Tot Shr]:[Tot Doc]],TblConstr[[#This Row],[Dest Alc]:[Dest GT]],TblConstr[[#This Row],[Dest Shr]:[Dest Doc]])*building_employment + TblConstr[[#This Row],[Tot Fac]]*bonus_jobs_facts</f>
        <v>1600</v>
      </c>
      <c r="K41" s="143"/>
      <c r="L41" s="61">
        <f ca="1">TblPop[[#This Row],[Draftees]]</f>
        <v>626</v>
      </c>
      <c r="M41" s="61">
        <f ca="1">TblMili[[#This Row],[Unit 1]]</f>
        <v>0</v>
      </c>
      <c r="N41" s="61">
        <f ca="1">TblMili[[#This Row],[Unit 2]]</f>
        <v>150</v>
      </c>
      <c r="O41" s="61">
        <f ca="1">TblMili[[#This Row],[Unit 3]]</f>
        <v>0</v>
      </c>
      <c r="P41" s="61">
        <f ca="1">TblMili[[#This Row],[Unit 4]]</f>
        <v>0</v>
      </c>
      <c r="Q41" s="61">
        <f ca="1">TblMili[[#This Row],[Spies]]</f>
        <v>25</v>
      </c>
      <c r="R41" s="61">
        <f ca="1">TblMili[[#This Row],[Wizards]]</f>
        <v>25</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2358</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6">
        <f ca="1">MAX(-5%*TblPop[[#This Row],[Peasants]]-TblPop[[#This Row],[Draft Growth]],MIN(OFFSET(TblPop[[#This Row],[Net max]],1,0)-TblPop[[#This Row],[Peasants]]-TblPop[[#This Row],[Military]]-TblPop[[#This Row],[Draft Growth]],TblPop[[#This Row],[Modded Birth]]-TblPop[[#This Row],[Draft Growth]]))</f>
        <v>0</v>
      </c>
      <c r="X41" s="96">
        <f ca="1">ROUND(TblPop[[#This Row],[Raw Birth]]*(1+TblPop[[#This Row],[Growth]]),0)</f>
        <v>46</v>
      </c>
      <c r="Y41" s="96">
        <f ca="1">(TblPop[[#This Row],[Peasants]]-TblPop[[#This Row],[Draft Growth]])*raw_pop_growth</f>
        <v>45.96</v>
      </c>
      <c r="Z41" s="96">
        <f ca="1">ROUND(IF(TblPop[[#This Row],[Military%]]&lt;TblMili[[#This Row],[Draftrate]],ROUND(TblPop[[#This Row],[Peasants]]*Constants!$B$55,0), 0) * IF(AND(TblMagic[[#This Row],[Active DnD]]&lt;=12,TblMagic[[#This Row],[Active DnD]]&gt;6),1.6,1),0)</f>
        <v>0</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45733.583333333241</v>
      </c>
      <c r="C42" s="96">
        <f ca="1">OFFSET(TblPop[[#This Row],[Peasants]],-1,0)+OFFSET(TblPop[[#This Row],[Net Peasant]],-1,0)+TblMili[[#This Row],[Release Draft]]</f>
        <v>1532</v>
      </c>
      <c r="D42" s="96">
        <f ca="1">TblMili[[#This Row],[Military]]</f>
        <v>826</v>
      </c>
      <c r="E42" s="96">
        <f ca="1">TblMili[[#This Row],[Draftees]]</f>
        <v>626</v>
      </c>
      <c r="F42" s="96">
        <f ca="1">TblPop[[#This Row],[Peasants]]+TblPop[[#This Row],[Military]]</f>
        <v>2358</v>
      </c>
      <c r="G42" s="141">
        <f ca="1">TblPop[[#This Row],[Military]]/TblPop[[#This Row],[Total]]</f>
        <v>0.35029686174724345</v>
      </c>
      <c r="H42" s="142">
        <f ca="1">MIN(TblPop[[#This Row],[Peasants]],TblPop[[#This Row],[Jobs]])</f>
        <v>1532</v>
      </c>
      <c r="I42" s="141">
        <f ca="1">MIN(OFFSET(TblPop[[#This Row],[Jobs]],1,0)/TblPop[[#This Row],[Peasants]],1)</f>
        <v>1</v>
      </c>
      <c r="J42" s="142">
        <f ca="1">SUM(TblConstr[[#This Row],[Tot Alc]:[Tot GT]],TblConstr[[#This Row],[Tot Shr]:[Tot Doc]],TblConstr[[#This Row],[Dest Alc]:[Dest GT]],TblConstr[[#This Row],[Dest Shr]:[Dest Doc]])*building_employment + TblConstr[[#This Row],[Tot Fac]]*bonus_jobs_facts</f>
        <v>1600</v>
      </c>
      <c r="K42" s="143"/>
      <c r="L42" s="61">
        <f ca="1">TblPop[[#This Row],[Draftees]]</f>
        <v>626</v>
      </c>
      <c r="M42" s="61">
        <f ca="1">TblMili[[#This Row],[Unit 1]]</f>
        <v>0</v>
      </c>
      <c r="N42" s="61">
        <f ca="1">TblMili[[#This Row],[Unit 2]]</f>
        <v>150</v>
      </c>
      <c r="O42" s="61">
        <f ca="1">TblMili[[#This Row],[Unit 3]]</f>
        <v>0</v>
      </c>
      <c r="P42" s="61">
        <f ca="1">TblMili[[#This Row],[Unit 4]]</f>
        <v>0</v>
      </c>
      <c r="Q42" s="61">
        <f ca="1">TblMili[[#This Row],[Spies]]</f>
        <v>25</v>
      </c>
      <c r="R42" s="61">
        <f ca="1">TblMili[[#This Row],[Wizards]]</f>
        <v>25</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2358</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6">
        <f ca="1">MAX(-5%*TblPop[[#This Row],[Peasants]]-TblPop[[#This Row],[Draft Growth]],MIN(OFFSET(TblPop[[#This Row],[Net max]],1,0)-TblPop[[#This Row],[Peasants]]-TblPop[[#This Row],[Military]]-TblPop[[#This Row],[Draft Growth]],TblPop[[#This Row],[Modded Birth]]-TblPop[[#This Row],[Draft Growth]]))</f>
        <v>0</v>
      </c>
      <c r="X42" s="96">
        <f ca="1">ROUND(TblPop[[#This Row],[Raw Birth]]*(1+TblPop[[#This Row],[Growth]]),0)</f>
        <v>46</v>
      </c>
      <c r="Y42" s="96">
        <f ca="1">(TblPop[[#This Row],[Peasants]]-TblPop[[#This Row],[Draft Growth]])*raw_pop_growth</f>
        <v>45.96</v>
      </c>
      <c r="Z42" s="96">
        <f ca="1">ROUND(IF(TblPop[[#This Row],[Military%]]&lt;TblMili[[#This Row],[Draftrate]],ROUND(TblPop[[#This Row],[Peasants]]*Constants!$B$55,0), 0) * IF(AND(TblMagic[[#This Row],[Active DnD]]&lt;=12,TblMagic[[#This Row],[Active DnD]]&gt;6),1.6,1),0)</f>
        <v>0</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45733.624999999905</v>
      </c>
      <c r="C43" s="96">
        <f ca="1">OFFSET(TblPop[[#This Row],[Peasants]],-1,0)+OFFSET(TblPop[[#This Row],[Net Peasant]],-1,0)+TblMili[[#This Row],[Release Draft]]</f>
        <v>1532</v>
      </c>
      <c r="D43" s="96">
        <f ca="1">TblMili[[#This Row],[Military]]</f>
        <v>826</v>
      </c>
      <c r="E43" s="96">
        <f ca="1">TblMili[[#This Row],[Draftees]]</f>
        <v>626</v>
      </c>
      <c r="F43" s="96">
        <f ca="1">TblPop[[#This Row],[Peasants]]+TblPop[[#This Row],[Military]]</f>
        <v>2358</v>
      </c>
      <c r="G43" s="141">
        <f ca="1">TblPop[[#This Row],[Military]]/TblPop[[#This Row],[Total]]</f>
        <v>0.35029686174724345</v>
      </c>
      <c r="H43" s="142">
        <f ca="1">MIN(TblPop[[#This Row],[Peasants]],TblPop[[#This Row],[Jobs]])</f>
        <v>1532</v>
      </c>
      <c r="I43" s="141">
        <f ca="1">MIN(OFFSET(TblPop[[#This Row],[Jobs]],1,0)/TblPop[[#This Row],[Peasants]],1)</f>
        <v>1</v>
      </c>
      <c r="J43" s="142">
        <f ca="1">SUM(TblConstr[[#This Row],[Tot Alc]:[Tot GT]],TblConstr[[#This Row],[Tot Shr]:[Tot Doc]],TblConstr[[#This Row],[Dest Alc]:[Dest GT]],TblConstr[[#This Row],[Dest Shr]:[Dest Doc]])*building_employment + TblConstr[[#This Row],[Tot Fac]]*bonus_jobs_facts</f>
        <v>1600</v>
      </c>
      <c r="K43" s="143"/>
      <c r="L43" s="61">
        <f ca="1">TblPop[[#This Row],[Draftees]]</f>
        <v>626</v>
      </c>
      <c r="M43" s="61">
        <f ca="1">TblMili[[#This Row],[Unit 1]]</f>
        <v>0</v>
      </c>
      <c r="N43" s="61">
        <f ca="1">TblMili[[#This Row],[Unit 2]]</f>
        <v>150</v>
      </c>
      <c r="O43" s="61">
        <f ca="1">TblMili[[#This Row],[Unit 3]]</f>
        <v>0</v>
      </c>
      <c r="P43" s="61">
        <f ca="1">TblMili[[#This Row],[Unit 4]]</f>
        <v>0</v>
      </c>
      <c r="Q43" s="61">
        <f ca="1">TblMili[[#This Row],[Spies]]</f>
        <v>25</v>
      </c>
      <c r="R43" s="61">
        <f ca="1">TblMili[[#This Row],[Wizards]]</f>
        <v>25</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2358</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6">
        <f ca="1">MAX(-5%*TblPop[[#This Row],[Peasants]]-TblPop[[#This Row],[Draft Growth]],MIN(OFFSET(TblPop[[#This Row],[Net max]],1,0)-TblPop[[#This Row],[Peasants]]-TblPop[[#This Row],[Military]]-TblPop[[#This Row],[Draft Growth]],TblPop[[#This Row],[Modded Birth]]-TblPop[[#This Row],[Draft Growth]]))</f>
        <v>0</v>
      </c>
      <c r="X43" s="96">
        <f ca="1">ROUND(TblPop[[#This Row],[Raw Birth]]*(1+TblPop[[#This Row],[Growth]]),0)</f>
        <v>46</v>
      </c>
      <c r="Y43" s="96">
        <f ca="1">(TblPop[[#This Row],[Peasants]]-TblPop[[#This Row],[Draft Growth]])*raw_pop_growth</f>
        <v>45.96</v>
      </c>
      <c r="Z43" s="96">
        <f ca="1">ROUND(IF(TblPop[[#This Row],[Military%]]&lt;TblMili[[#This Row],[Draftrate]],ROUND(TblPop[[#This Row],[Peasants]]*Constants!$B$55,0), 0) * IF(AND(TblMagic[[#This Row],[Active DnD]]&lt;=12,TblMagic[[#This Row],[Active DnD]]&gt;6),1.6,1),0)</f>
        <v>0</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45733.66666666657</v>
      </c>
      <c r="C44" s="96">
        <f ca="1">OFFSET(TblPop[[#This Row],[Peasants]],-1,0)+OFFSET(TblPop[[#This Row],[Net Peasant]],-1,0)+TblMili[[#This Row],[Release Draft]]</f>
        <v>1532</v>
      </c>
      <c r="D44" s="96">
        <f ca="1">TblMili[[#This Row],[Military]]</f>
        <v>826</v>
      </c>
      <c r="E44" s="96">
        <f ca="1">TblMili[[#This Row],[Draftees]]</f>
        <v>626</v>
      </c>
      <c r="F44" s="96">
        <f ca="1">TblPop[[#This Row],[Peasants]]+TblPop[[#This Row],[Military]]</f>
        <v>2358</v>
      </c>
      <c r="G44" s="141">
        <f ca="1">TblPop[[#This Row],[Military]]/TblPop[[#This Row],[Total]]</f>
        <v>0.35029686174724345</v>
      </c>
      <c r="H44" s="142">
        <f ca="1">MIN(TblPop[[#This Row],[Peasants]],TblPop[[#This Row],[Jobs]])</f>
        <v>1532</v>
      </c>
      <c r="I44" s="141">
        <f ca="1">MIN(OFFSET(TblPop[[#This Row],[Jobs]],1,0)/TblPop[[#This Row],[Peasants]],1)</f>
        <v>1</v>
      </c>
      <c r="J44" s="142">
        <f ca="1">SUM(TblConstr[[#This Row],[Tot Alc]:[Tot GT]],TblConstr[[#This Row],[Tot Shr]:[Tot Doc]],TblConstr[[#This Row],[Dest Alc]:[Dest GT]],TblConstr[[#This Row],[Dest Shr]:[Dest Doc]])*building_employment + TblConstr[[#This Row],[Tot Fac]]*bonus_jobs_facts</f>
        <v>1600</v>
      </c>
      <c r="K44" s="143"/>
      <c r="L44" s="61">
        <f ca="1">TblPop[[#This Row],[Draftees]]</f>
        <v>626</v>
      </c>
      <c r="M44" s="61">
        <f ca="1">TblMili[[#This Row],[Unit 1]]</f>
        <v>0</v>
      </c>
      <c r="N44" s="61">
        <f ca="1">TblMili[[#This Row],[Unit 2]]</f>
        <v>150</v>
      </c>
      <c r="O44" s="61">
        <f ca="1">TblMili[[#This Row],[Unit 3]]</f>
        <v>0</v>
      </c>
      <c r="P44" s="61">
        <f ca="1">TblMili[[#This Row],[Unit 4]]</f>
        <v>0</v>
      </c>
      <c r="Q44" s="61">
        <f ca="1">TblMili[[#This Row],[Spies]]</f>
        <v>25</v>
      </c>
      <c r="R44" s="61">
        <f ca="1">TblMili[[#This Row],[Wizards]]</f>
        <v>25</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2358</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6">
        <f ca="1">MAX(-5%*TblPop[[#This Row],[Peasants]]-TblPop[[#This Row],[Draft Growth]],MIN(OFFSET(TblPop[[#This Row],[Net max]],1,0)-TblPop[[#This Row],[Peasants]]-TblPop[[#This Row],[Military]]-TblPop[[#This Row],[Draft Growth]],TblPop[[#This Row],[Modded Birth]]-TblPop[[#This Row],[Draft Growth]]))</f>
        <v>0</v>
      </c>
      <c r="X44" s="96">
        <f ca="1">ROUND(TblPop[[#This Row],[Raw Birth]]*(1+TblPop[[#This Row],[Growth]]),0)</f>
        <v>46</v>
      </c>
      <c r="Y44" s="96">
        <f ca="1">(TblPop[[#This Row],[Peasants]]-TblPop[[#This Row],[Draft Growth]])*raw_pop_growth</f>
        <v>45.96</v>
      </c>
      <c r="Z44" s="96">
        <f ca="1">ROUND(IF(TblPop[[#This Row],[Military%]]&lt;TblMili[[#This Row],[Draftrate]],ROUND(TblPop[[#This Row],[Peasants]]*Constants!$B$55,0), 0) * IF(AND(TblMagic[[#This Row],[Active DnD]]&lt;=12,TblMagic[[#This Row],[Active DnD]]&gt;6),1.6,1),0)</f>
        <v>0</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45733.708333333234</v>
      </c>
      <c r="C45" s="96">
        <f ca="1">OFFSET(TblPop[[#This Row],[Peasants]],-1,0)+OFFSET(TblPop[[#This Row],[Net Peasant]],-1,0)+TblMili[[#This Row],[Release Draft]]</f>
        <v>1532</v>
      </c>
      <c r="D45" s="96">
        <f ca="1">TblMili[[#This Row],[Military]]</f>
        <v>826</v>
      </c>
      <c r="E45" s="96">
        <f ca="1">TblMili[[#This Row],[Draftees]]</f>
        <v>626</v>
      </c>
      <c r="F45" s="96">
        <f ca="1">TblPop[[#This Row],[Peasants]]+TblPop[[#This Row],[Military]]</f>
        <v>2358</v>
      </c>
      <c r="G45" s="141">
        <f ca="1">TblPop[[#This Row],[Military]]/TblPop[[#This Row],[Total]]</f>
        <v>0.35029686174724345</v>
      </c>
      <c r="H45" s="142">
        <f ca="1">MIN(TblPop[[#This Row],[Peasants]],TblPop[[#This Row],[Jobs]])</f>
        <v>1532</v>
      </c>
      <c r="I45" s="141">
        <f ca="1">MIN(OFFSET(TblPop[[#This Row],[Jobs]],1,0)/TblPop[[#This Row],[Peasants]],1)</f>
        <v>1</v>
      </c>
      <c r="J45" s="142">
        <f ca="1">SUM(TblConstr[[#This Row],[Tot Alc]:[Tot GT]],TblConstr[[#This Row],[Tot Shr]:[Tot Doc]],TblConstr[[#This Row],[Dest Alc]:[Dest GT]],TblConstr[[#This Row],[Dest Shr]:[Dest Doc]])*building_employment + TblConstr[[#This Row],[Tot Fac]]*bonus_jobs_facts</f>
        <v>1600</v>
      </c>
      <c r="K45" s="143"/>
      <c r="L45" s="61">
        <f ca="1">TblPop[[#This Row],[Draftees]]</f>
        <v>626</v>
      </c>
      <c r="M45" s="61">
        <f ca="1">TblMili[[#This Row],[Unit 1]]</f>
        <v>0</v>
      </c>
      <c r="N45" s="61">
        <f ca="1">TblMili[[#This Row],[Unit 2]]</f>
        <v>150</v>
      </c>
      <c r="O45" s="61">
        <f ca="1">TblMili[[#This Row],[Unit 3]]</f>
        <v>0</v>
      </c>
      <c r="P45" s="61">
        <f ca="1">TblMili[[#This Row],[Unit 4]]</f>
        <v>0</v>
      </c>
      <c r="Q45" s="61">
        <f ca="1">TblMili[[#This Row],[Spies]]</f>
        <v>25</v>
      </c>
      <c r="R45" s="61">
        <f ca="1">TblMili[[#This Row],[Wizards]]</f>
        <v>25</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2358</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6">
        <f ca="1">MAX(-5%*TblPop[[#This Row],[Peasants]]-TblPop[[#This Row],[Draft Growth]],MIN(OFFSET(TblPop[[#This Row],[Net max]],1,0)-TblPop[[#This Row],[Peasants]]-TblPop[[#This Row],[Military]]-TblPop[[#This Row],[Draft Growth]],TblPop[[#This Row],[Modded Birth]]-TblPop[[#This Row],[Draft Growth]]))</f>
        <v>0</v>
      </c>
      <c r="X45" s="96">
        <f ca="1">ROUND(TblPop[[#This Row],[Raw Birth]]*(1+TblPop[[#This Row],[Growth]]),0)</f>
        <v>46</v>
      </c>
      <c r="Y45" s="96">
        <f ca="1">(TblPop[[#This Row],[Peasants]]-TblPop[[#This Row],[Draft Growth]])*raw_pop_growth</f>
        <v>45.96</v>
      </c>
      <c r="Z45" s="96">
        <f ca="1">ROUND(IF(TblPop[[#This Row],[Military%]]&lt;TblMili[[#This Row],[Draftrate]],ROUND(TblPop[[#This Row],[Peasants]]*Constants!$B$55,0), 0) * IF(AND(TblMagic[[#This Row],[Active DnD]]&lt;=12,TblMagic[[#This Row],[Active DnD]]&gt;6),1.6,1),0)</f>
        <v>0</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45733.749999999898</v>
      </c>
      <c r="C46" s="96">
        <f ca="1">OFFSET(TblPop[[#This Row],[Peasants]],-1,0)+OFFSET(TblPop[[#This Row],[Net Peasant]],-1,0)+TblMili[[#This Row],[Release Draft]]</f>
        <v>1532</v>
      </c>
      <c r="D46" s="96">
        <f ca="1">TblMili[[#This Row],[Military]]</f>
        <v>826</v>
      </c>
      <c r="E46" s="96">
        <f ca="1">TblMili[[#This Row],[Draftees]]</f>
        <v>626</v>
      </c>
      <c r="F46" s="96">
        <f ca="1">TblPop[[#This Row],[Peasants]]+TblPop[[#This Row],[Military]]</f>
        <v>2358</v>
      </c>
      <c r="G46" s="141">
        <f ca="1">TblPop[[#This Row],[Military]]/TblPop[[#This Row],[Total]]</f>
        <v>0.35029686174724345</v>
      </c>
      <c r="H46" s="142">
        <f ca="1">MIN(TblPop[[#This Row],[Peasants]],TblPop[[#This Row],[Jobs]])</f>
        <v>1532</v>
      </c>
      <c r="I46" s="141">
        <f ca="1">MIN(OFFSET(TblPop[[#This Row],[Jobs]],1,0)/TblPop[[#This Row],[Peasants]],1)</f>
        <v>1</v>
      </c>
      <c r="J46" s="142">
        <f ca="1">SUM(TblConstr[[#This Row],[Tot Alc]:[Tot GT]],TblConstr[[#This Row],[Tot Shr]:[Tot Doc]],TblConstr[[#This Row],[Dest Alc]:[Dest GT]],TblConstr[[#This Row],[Dest Shr]:[Dest Doc]])*building_employment + TblConstr[[#This Row],[Tot Fac]]*bonus_jobs_facts</f>
        <v>1600</v>
      </c>
      <c r="K46" s="143"/>
      <c r="L46" s="61">
        <f ca="1">TblPop[[#This Row],[Draftees]]</f>
        <v>626</v>
      </c>
      <c r="M46" s="61">
        <f ca="1">TblMili[[#This Row],[Unit 1]]</f>
        <v>0</v>
      </c>
      <c r="N46" s="61">
        <f ca="1">TblMili[[#This Row],[Unit 2]]</f>
        <v>150</v>
      </c>
      <c r="O46" s="61">
        <f ca="1">TblMili[[#This Row],[Unit 3]]</f>
        <v>0</v>
      </c>
      <c r="P46" s="61">
        <f ca="1">TblMili[[#This Row],[Unit 4]]</f>
        <v>0</v>
      </c>
      <c r="Q46" s="61">
        <f ca="1">TblMili[[#This Row],[Spies]]</f>
        <v>25</v>
      </c>
      <c r="R46" s="61">
        <f ca="1">TblMili[[#This Row],[Wizards]]</f>
        <v>25</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2358</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6">
        <f ca="1">MAX(-5%*TblPop[[#This Row],[Peasants]]-TblPop[[#This Row],[Draft Growth]],MIN(OFFSET(TblPop[[#This Row],[Net max]],1,0)-TblPop[[#This Row],[Peasants]]-TblPop[[#This Row],[Military]]-TblPop[[#This Row],[Draft Growth]],TblPop[[#This Row],[Modded Birth]]-TblPop[[#This Row],[Draft Growth]]))</f>
        <v>0</v>
      </c>
      <c r="X46" s="96">
        <f ca="1">ROUND(TblPop[[#This Row],[Raw Birth]]*(1+TblPop[[#This Row],[Growth]]),0)</f>
        <v>46</v>
      </c>
      <c r="Y46" s="96">
        <f ca="1">(TblPop[[#This Row],[Peasants]]-TblPop[[#This Row],[Draft Growth]])*raw_pop_growth</f>
        <v>45.96</v>
      </c>
      <c r="Z46" s="96">
        <f ca="1">ROUND(IF(TblPop[[#This Row],[Military%]]&lt;TblMili[[#This Row],[Draftrate]],ROUND(TblPop[[#This Row],[Peasants]]*Constants!$B$55,0), 0) * IF(AND(TblMagic[[#This Row],[Active DnD]]&lt;=12,TblMagic[[#This Row],[Active DnD]]&gt;6),1.6,1),0)</f>
        <v>0</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45733.791666666562</v>
      </c>
      <c r="C47" s="96">
        <f ca="1">OFFSET(TblPop[[#This Row],[Peasants]],-1,0)+OFFSET(TblPop[[#This Row],[Net Peasant]],-1,0)+TblMili[[#This Row],[Release Draft]]</f>
        <v>1532</v>
      </c>
      <c r="D47" s="96">
        <f ca="1">TblMili[[#This Row],[Military]]</f>
        <v>826</v>
      </c>
      <c r="E47" s="96">
        <f ca="1">TblMili[[#This Row],[Draftees]]</f>
        <v>626</v>
      </c>
      <c r="F47" s="96">
        <f ca="1">TblPop[[#This Row],[Peasants]]+TblPop[[#This Row],[Military]]</f>
        <v>2358</v>
      </c>
      <c r="G47" s="141">
        <f ca="1">TblPop[[#This Row],[Military]]/TblPop[[#This Row],[Total]]</f>
        <v>0.35029686174724345</v>
      </c>
      <c r="H47" s="142">
        <f ca="1">MIN(TblPop[[#This Row],[Peasants]],TblPop[[#This Row],[Jobs]])</f>
        <v>1532</v>
      </c>
      <c r="I47" s="141">
        <f ca="1">MIN(OFFSET(TblPop[[#This Row],[Jobs]],1,0)/TblPop[[#This Row],[Peasants]],1)</f>
        <v>1</v>
      </c>
      <c r="J47" s="142">
        <f ca="1">SUM(TblConstr[[#This Row],[Tot Alc]:[Tot GT]],TblConstr[[#This Row],[Tot Shr]:[Tot Doc]],TblConstr[[#This Row],[Dest Alc]:[Dest GT]],TblConstr[[#This Row],[Dest Shr]:[Dest Doc]])*building_employment + TblConstr[[#This Row],[Tot Fac]]*bonus_jobs_facts</f>
        <v>1600</v>
      </c>
      <c r="K47" s="143"/>
      <c r="L47" s="61">
        <f ca="1">TblPop[[#This Row],[Draftees]]</f>
        <v>626</v>
      </c>
      <c r="M47" s="61">
        <f ca="1">TblMili[[#This Row],[Unit 1]]</f>
        <v>0</v>
      </c>
      <c r="N47" s="61">
        <f ca="1">TblMili[[#This Row],[Unit 2]]</f>
        <v>150</v>
      </c>
      <c r="O47" s="61">
        <f ca="1">TblMili[[#This Row],[Unit 3]]</f>
        <v>0</v>
      </c>
      <c r="P47" s="61">
        <f ca="1">TblMili[[#This Row],[Unit 4]]</f>
        <v>0</v>
      </c>
      <c r="Q47" s="61">
        <f ca="1">TblMili[[#This Row],[Spies]]</f>
        <v>25</v>
      </c>
      <c r="R47" s="61">
        <f ca="1">TblMili[[#This Row],[Wizards]]</f>
        <v>25</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2358</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6">
        <f ca="1">MAX(-5%*TblPop[[#This Row],[Peasants]]-TblPop[[#This Row],[Draft Growth]],MIN(OFFSET(TblPop[[#This Row],[Net max]],1,0)-TblPop[[#This Row],[Peasants]]-TblPop[[#This Row],[Military]]-TblPop[[#This Row],[Draft Growth]],TblPop[[#This Row],[Modded Birth]]-TblPop[[#This Row],[Draft Growth]]))</f>
        <v>0</v>
      </c>
      <c r="X47" s="96">
        <f ca="1">ROUND(TblPop[[#This Row],[Raw Birth]]*(1+TblPop[[#This Row],[Growth]]),0)</f>
        <v>46</v>
      </c>
      <c r="Y47" s="96">
        <f ca="1">(TblPop[[#This Row],[Peasants]]-TblPop[[#This Row],[Draft Growth]])*raw_pop_growth</f>
        <v>45.96</v>
      </c>
      <c r="Z47" s="96">
        <f ca="1">ROUND(IF(TblPop[[#This Row],[Military%]]&lt;TblMili[[#This Row],[Draftrate]],ROUND(TblPop[[#This Row],[Peasants]]*Constants!$B$55,0), 0) * IF(AND(TblMagic[[#This Row],[Active DnD]]&lt;=12,TblMagic[[#This Row],[Active DnD]]&gt;6),1.6,1),0)</f>
        <v>0</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45733.833333333227</v>
      </c>
      <c r="C48" s="96">
        <f ca="1">OFFSET(TblPop[[#This Row],[Peasants]],-1,0)+OFFSET(TblPop[[#This Row],[Net Peasant]],-1,0)+TblMili[[#This Row],[Release Draft]]</f>
        <v>1532</v>
      </c>
      <c r="D48" s="96">
        <f ca="1">TblMili[[#This Row],[Military]]</f>
        <v>826</v>
      </c>
      <c r="E48" s="96">
        <f ca="1">TblMili[[#This Row],[Draftees]]</f>
        <v>626</v>
      </c>
      <c r="F48" s="96">
        <f ca="1">TblPop[[#This Row],[Peasants]]+TblPop[[#This Row],[Military]]</f>
        <v>2358</v>
      </c>
      <c r="G48" s="141">
        <f ca="1">TblPop[[#This Row],[Military]]/TblPop[[#This Row],[Total]]</f>
        <v>0.35029686174724345</v>
      </c>
      <c r="H48" s="142">
        <f ca="1">MIN(TblPop[[#This Row],[Peasants]],TblPop[[#This Row],[Jobs]])</f>
        <v>1532</v>
      </c>
      <c r="I48" s="141">
        <f ca="1">MIN(OFFSET(TblPop[[#This Row],[Jobs]],1,0)/TblPop[[#This Row],[Peasants]],1)</f>
        <v>1</v>
      </c>
      <c r="J48" s="142">
        <f ca="1">SUM(TblConstr[[#This Row],[Tot Alc]:[Tot GT]],TblConstr[[#This Row],[Tot Shr]:[Tot Doc]],TblConstr[[#This Row],[Dest Alc]:[Dest GT]],TblConstr[[#This Row],[Dest Shr]:[Dest Doc]])*building_employment + TblConstr[[#This Row],[Tot Fac]]*bonus_jobs_facts</f>
        <v>1600</v>
      </c>
      <c r="K48" s="143"/>
      <c r="L48" s="61">
        <f ca="1">TblPop[[#This Row],[Draftees]]</f>
        <v>626</v>
      </c>
      <c r="M48" s="61">
        <f ca="1">TblMili[[#This Row],[Unit 1]]</f>
        <v>0</v>
      </c>
      <c r="N48" s="61">
        <f ca="1">TblMili[[#This Row],[Unit 2]]</f>
        <v>150</v>
      </c>
      <c r="O48" s="61">
        <f ca="1">TblMili[[#This Row],[Unit 3]]</f>
        <v>0</v>
      </c>
      <c r="P48" s="61">
        <f ca="1">TblMili[[#This Row],[Unit 4]]</f>
        <v>0</v>
      </c>
      <c r="Q48" s="61">
        <f ca="1">TblMili[[#This Row],[Spies]]</f>
        <v>25</v>
      </c>
      <c r="R48" s="61">
        <f ca="1">TblMili[[#This Row],[Wizards]]</f>
        <v>25</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2358</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6">
        <f ca="1">MAX(-5%*TblPop[[#This Row],[Peasants]]-TblPop[[#This Row],[Draft Growth]],MIN(OFFSET(TblPop[[#This Row],[Net max]],1,0)-TblPop[[#This Row],[Peasants]]-TblPop[[#This Row],[Military]]-TblPop[[#This Row],[Draft Growth]],TblPop[[#This Row],[Modded Birth]]-TblPop[[#This Row],[Draft Growth]]))</f>
        <v>0</v>
      </c>
      <c r="X48" s="96">
        <f ca="1">ROUND(TblPop[[#This Row],[Raw Birth]]*(1+TblPop[[#This Row],[Growth]]),0)</f>
        <v>46</v>
      </c>
      <c r="Y48" s="96">
        <f ca="1">(TblPop[[#This Row],[Peasants]]-TblPop[[#This Row],[Draft Growth]])*raw_pop_growth</f>
        <v>45.96</v>
      </c>
      <c r="Z48" s="96">
        <f ca="1">ROUND(IF(TblPop[[#This Row],[Military%]]&lt;TblMili[[#This Row],[Draftrate]],ROUND(TblPop[[#This Row],[Peasants]]*Constants!$B$55,0), 0) * IF(AND(TblMagic[[#This Row],[Active DnD]]&lt;=12,TblMagic[[#This Row],[Active DnD]]&gt;6),1.6,1),0)</f>
        <v>0</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45733.874999999891</v>
      </c>
      <c r="C49" s="96">
        <f ca="1">OFFSET(TblPop[[#This Row],[Peasants]],-1,0)+OFFSET(TblPop[[#This Row],[Net Peasant]],-1,0)+TblMili[[#This Row],[Release Draft]]</f>
        <v>1532</v>
      </c>
      <c r="D49" s="96">
        <f ca="1">TblMili[[#This Row],[Military]]</f>
        <v>826</v>
      </c>
      <c r="E49" s="96">
        <f ca="1">TblMili[[#This Row],[Draftees]]</f>
        <v>626</v>
      </c>
      <c r="F49" s="96">
        <f ca="1">TblPop[[#This Row],[Peasants]]+TblPop[[#This Row],[Military]]</f>
        <v>2358</v>
      </c>
      <c r="G49" s="141">
        <f ca="1">TblPop[[#This Row],[Military]]/TblPop[[#This Row],[Total]]</f>
        <v>0.35029686174724345</v>
      </c>
      <c r="H49" s="142">
        <f ca="1">MIN(TblPop[[#This Row],[Peasants]],TblPop[[#This Row],[Jobs]])</f>
        <v>1532</v>
      </c>
      <c r="I49" s="141">
        <f ca="1">MIN(OFFSET(TblPop[[#This Row],[Jobs]],1,0)/TblPop[[#This Row],[Peasants]],1)</f>
        <v>1</v>
      </c>
      <c r="J49" s="142">
        <f ca="1">SUM(TblConstr[[#This Row],[Tot Alc]:[Tot GT]],TblConstr[[#This Row],[Tot Shr]:[Tot Doc]],TblConstr[[#This Row],[Dest Alc]:[Dest GT]],TblConstr[[#This Row],[Dest Shr]:[Dest Doc]])*building_employment + TblConstr[[#This Row],[Tot Fac]]*bonus_jobs_facts</f>
        <v>1600</v>
      </c>
      <c r="K49" s="143"/>
      <c r="L49" s="61">
        <f ca="1">TblPop[[#This Row],[Draftees]]</f>
        <v>626</v>
      </c>
      <c r="M49" s="61">
        <f ca="1">TblMili[[#This Row],[Unit 1]]</f>
        <v>0</v>
      </c>
      <c r="N49" s="61">
        <f ca="1">TblMili[[#This Row],[Unit 2]]</f>
        <v>150</v>
      </c>
      <c r="O49" s="61">
        <f ca="1">TblMili[[#This Row],[Unit 3]]</f>
        <v>0</v>
      </c>
      <c r="P49" s="61">
        <f ca="1">TblMili[[#This Row],[Unit 4]]</f>
        <v>0</v>
      </c>
      <c r="Q49" s="61">
        <f ca="1">TblMili[[#This Row],[Spies]]</f>
        <v>25</v>
      </c>
      <c r="R49" s="61">
        <f ca="1">TblMili[[#This Row],[Wizards]]</f>
        <v>25</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2358</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6">
        <f ca="1">MAX(-5%*TblPop[[#This Row],[Peasants]]-TblPop[[#This Row],[Draft Growth]],MIN(OFFSET(TblPop[[#This Row],[Net max]],1,0)-TblPop[[#This Row],[Peasants]]-TblPop[[#This Row],[Military]]-TblPop[[#This Row],[Draft Growth]],TblPop[[#This Row],[Modded Birth]]-TblPop[[#This Row],[Draft Growth]]))</f>
        <v>0</v>
      </c>
      <c r="X49" s="96">
        <f ca="1">ROUND(TblPop[[#This Row],[Raw Birth]]*(1+TblPop[[#This Row],[Growth]]),0)</f>
        <v>46</v>
      </c>
      <c r="Y49" s="96">
        <f ca="1">(TblPop[[#This Row],[Peasants]]-TblPop[[#This Row],[Draft Growth]])*raw_pop_growth</f>
        <v>45.96</v>
      </c>
      <c r="Z49" s="96">
        <f ca="1">ROUND(IF(TblPop[[#This Row],[Military%]]&lt;TblMili[[#This Row],[Draftrate]],ROUND(TblPop[[#This Row],[Peasants]]*Constants!$B$55,0), 0) * IF(AND(TblMagic[[#This Row],[Active DnD]]&lt;=12,TblMagic[[#This Row],[Active DnD]]&gt;6),1.6,1),0)</f>
        <v>0</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45733.916666666555</v>
      </c>
      <c r="C50" s="96">
        <f ca="1">OFFSET(TblPop[[#This Row],[Peasants]],-1,0)+OFFSET(TblPop[[#This Row],[Net Peasant]],-1,0)+TblMili[[#This Row],[Release Draft]]</f>
        <v>1532</v>
      </c>
      <c r="D50" s="96">
        <f ca="1">TblMili[[#This Row],[Military]]</f>
        <v>826</v>
      </c>
      <c r="E50" s="96">
        <f ca="1">TblMili[[#This Row],[Draftees]]</f>
        <v>626</v>
      </c>
      <c r="F50" s="96">
        <f ca="1">TblPop[[#This Row],[Peasants]]+TblPop[[#This Row],[Military]]</f>
        <v>2358</v>
      </c>
      <c r="G50" s="141">
        <f ca="1">TblPop[[#This Row],[Military]]/TblPop[[#This Row],[Total]]</f>
        <v>0.35029686174724345</v>
      </c>
      <c r="H50" s="142">
        <f ca="1">MIN(TblPop[[#This Row],[Peasants]],TblPop[[#This Row],[Jobs]])</f>
        <v>1532</v>
      </c>
      <c r="I50" s="141">
        <f ca="1">MIN(OFFSET(TblPop[[#This Row],[Jobs]],1,0)/TblPop[[#This Row],[Peasants]],1)</f>
        <v>1</v>
      </c>
      <c r="J50" s="142">
        <f ca="1">SUM(TblConstr[[#This Row],[Tot Alc]:[Tot GT]],TblConstr[[#This Row],[Tot Shr]:[Tot Doc]],TblConstr[[#This Row],[Dest Alc]:[Dest GT]],TblConstr[[#This Row],[Dest Shr]:[Dest Doc]])*building_employment + TblConstr[[#This Row],[Tot Fac]]*bonus_jobs_facts</f>
        <v>1600</v>
      </c>
      <c r="K50" s="143"/>
      <c r="L50" s="61">
        <f ca="1">TblPop[[#This Row],[Draftees]]</f>
        <v>626</v>
      </c>
      <c r="M50" s="61">
        <f ca="1">TblMili[[#This Row],[Unit 1]]</f>
        <v>0</v>
      </c>
      <c r="N50" s="61">
        <f ca="1">TblMili[[#This Row],[Unit 2]]</f>
        <v>150</v>
      </c>
      <c r="O50" s="61">
        <f ca="1">TblMili[[#This Row],[Unit 3]]</f>
        <v>0</v>
      </c>
      <c r="P50" s="61">
        <f ca="1">TblMili[[#This Row],[Unit 4]]</f>
        <v>0</v>
      </c>
      <c r="Q50" s="61">
        <f ca="1">TblMili[[#This Row],[Spies]]</f>
        <v>25</v>
      </c>
      <c r="R50" s="61">
        <f ca="1">TblMili[[#This Row],[Wizards]]</f>
        <v>25</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2358</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6">
        <f ca="1">MAX(-5%*TblPop[[#This Row],[Peasants]]-TblPop[[#This Row],[Draft Growth]],MIN(OFFSET(TblPop[[#This Row],[Net max]],1,0)-TblPop[[#This Row],[Peasants]]-TblPop[[#This Row],[Military]]-TblPop[[#This Row],[Draft Growth]],TblPop[[#This Row],[Modded Birth]]-TblPop[[#This Row],[Draft Growth]]))</f>
        <v>0</v>
      </c>
      <c r="X50" s="96">
        <f ca="1">ROUND(TblPop[[#This Row],[Raw Birth]]*(1+TblPop[[#This Row],[Growth]]),0)</f>
        <v>46</v>
      </c>
      <c r="Y50" s="96">
        <f ca="1">(TblPop[[#This Row],[Peasants]]-TblPop[[#This Row],[Draft Growth]])*raw_pop_growth</f>
        <v>45.96</v>
      </c>
      <c r="Z50" s="96">
        <f ca="1">ROUND(IF(TblPop[[#This Row],[Military%]]&lt;TblMili[[#This Row],[Draftrate]],ROUND(TblPop[[#This Row],[Peasants]]*Constants!$B$55,0), 0) * IF(AND(TblMagic[[#This Row],[Active DnD]]&lt;=12,TblMagic[[#This Row],[Active DnD]]&gt;6),1.6,1),0)</f>
        <v>0</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45733.958333333219</v>
      </c>
      <c r="C51" s="96">
        <f ca="1">OFFSET(TblPop[[#This Row],[Peasants]],-1,0)+OFFSET(TblPop[[#This Row],[Net Peasant]],-1,0)+TblMili[[#This Row],[Release Draft]]</f>
        <v>1532</v>
      </c>
      <c r="D51" s="96">
        <f ca="1">TblMili[[#This Row],[Military]]</f>
        <v>826</v>
      </c>
      <c r="E51" s="96">
        <f ca="1">TblMili[[#This Row],[Draftees]]</f>
        <v>626</v>
      </c>
      <c r="F51" s="96">
        <f ca="1">TblPop[[#This Row],[Peasants]]+TblPop[[#This Row],[Military]]</f>
        <v>2358</v>
      </c>
      <c r="G51" s="141">
        <f ca="1">TblPop[[#This Row],[Military]]/TblPop[[#This Row],[Total]]</f>
        <v>0.35029686174724345</v>
      </c>
      <c r="H51" s="142">
        <f ca="1">MIN(TblPop[[#This Row],[Peasants]],TblPop[[#This Row],[Jobs]])</f>
        <v>1532</v>
      </c>
      <c r="I51" s="141">
        <f ca="1">MIN(OFFSET(TblPop[[#This Row],[Jobs]],1,0)/TblPop[[#This Row],[Peasants]],1)</f>
        <v>1</v>
      </c>
      <c r="J51" s="142">
        <f ca="1">SUM(TblConstr[[#This Row],[Tot Alc]:[Tot GT]],TblConstr[[#This Row],[Tot Shr]:[Tot Doc]],TblConstr[[#This Row],[Dest Alc]:[Dest GT]],TblConstr[[#This Row],[Dest Shr]:[Dest Doc]])*building_employment + TblConstr[[#This Row],[Tot Fac]]*bonus_jobs_facts</f>
        <v>1600</v>
      </c>
      <c r="K51" s="143"/>
      <c r="L51" s="61">
        <f ca="1">TblPop[[#This Row],[Draftees]]</f>
        <v>626</v>
      </c>
      <c r="M51" s="61">
        <f ca="1">TblMili[[#This Row],[Unit 1]]</f>
        <v>0</v>
      </c>
      <c r="N51" s="61">
        <f ca="1">TblMili[[#This Row],[Unit 2]]</f>
        <v>150</v>
      </c>
      <c r="O51" s="61">
        <f ca="1">TblMili[[#This Row],[Unit 3]]</f>
        <v>0</v>
      </c>
      <c r="P51" s="61">
        <f ca="1">TblMili[[#This Row],[Unit 4]]</f>
        <v>0</v>
      </c>
      <c r="Q51" s="61">
        <f ca="1">TblMili[[#This Row],[Spies]]</f>
        <v>25</v>
      </c>
      <c r="R51" s="61">
        <f ca="1">TblMili[[#This Row],[Wizards]]</f>
        <v>25</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2358</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6">
        <f ca="1">MAX(-5%*TblPop[[#This Row],[Peasants]]-TblPop[[#This Row],[Draft Growth]],MIN(OFFSET(TblPop[[#This Row],[Net max]],1,0)-TblPop[[#This Row],[Peasants]]-TblPop[[#This Row],[Military]]-TblPop[[#This Row],[Draft Growth]],TblPop[[#This Row],[Modded Birth]]-TblPop[[#This Row],[Draft Growth]]))</f>
        <v>0</v>
      </c>
      <c r="X51" s="96">
        <f ca="1">ROUND(TblPop[[#This Row],[Raw Birth]]*(1+TblPop[[#This Row],[Growth]]),0)</f>
        <v>46</v>
      </c>
      <c r="Y51" s="96">
        <f ca="1">(TblPop[[#This Row],[Peasants]]-TblPop[[#This Row],[Draft Growth]])*raw_pop_growth</f>
        <v>45.96</v>
      </c>
      <c r="Z51" s="96">
        <f ca="1">ROUND(IF(TblPop[[#This Row],[Military%]]&lt;TblMili[[#This Row],[Draftrate]],ROUND(TblPop[[#This Row],[Peasants]]*Constants!$B$55,0), 0) * IF(AND(TblMagic[[#This Row],[Active DnD]]&lt;=12,TblMagic[[#This Row],[Active DnD]]&gt;6),1.6,1),0)</f>
        <v>0</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39">
        <f>TblRezone[[#This Row],[Hour]]</f>
        <v>49</v>
      </c>
      <c r="B52" s="140">
        <f ca="1">TblImps[[#This Row],[Time]]</f>
        <v>45733.999999999884</v>
      </c>
      <c r="C52" s="96">
        <f ca="1">OFFSET(TblPop[[#This Row],[Peasants]],-1,0)+OFFSET(TblPop[[#This Row],[Net Peasant]],-1,0)+TblMili[[#This Row],[Release Draft]]</f>
        <v>1532</v>
      </c>
      <c r="D52" s="96">
        <f ca="1">TblMili[[#This Row],[Military]]</f>
        <v>826</v>
      </c>
      <c r="E52" s="96">
        <f ca="1">TblMili[[#This Row],[Draftees]]</f>
        <v>626</v>
      </c>
      <c r="F52" s="96">
        <f ca="1">TblPop[[#This Row],[Peasants]]+TblPop[[#This Row],[Military]]</f>
        <v>2358</v>
      </c>
      <c r="G52" s="141">
        <f ca="1">TblPop[[#This Row],[Military]]/TblPop[[#This Row],[Total]]</f>
        <v>0.35029686174724345</v>
      </c>
      <c r="H52" s="142">
        <f ca="1">MIN(TblPop[[#This Row],[Peasants]],TblPop[[#This Row],[Jobs]])</f>
        <v>1532</v>
      </c>
      <c r="I52" s="141">
        <f ca="1">MIN(OFFSET(TblPop[[#This Row],[Jobs]],1,0)/TblPop[[#This Row],[Peasants]],1)</f>
        <v>1</v>
      </c>
      <c r="J52" s="142">
        <f ca="1">SUM(TblConstr[[#This Row],[Tot Alc]:[Tot GT]],TblConstr[[#This Row],[Tot Shr]:[Tot Doc]],TblConstr[[#This Row],[Dest Alc]:[Dest GT]],TblConstr[[#This Row],[Dest Shr]:[Dest Doc]])*building_employment + TblConstr[[#This Row],[Tot Fac]]*bonus_jobs_facts</f>
        <v>1600</v>
      </c>
      <c r="K52" s="143"/>
      <c r="L52" s="61">
        <f ca="1">TblPop[[#This Row],[Draftees]]</f>
        <v>626</v>
      </c>
      <c r="M52" s="61">
        <f ca="1">TblMili[[#This Row],[Unit 1]]</f>
        <v>0</v>
      </c>
      <c r="N52" s="61">
        <f ca="1">TblMili[[#This Row],[Unit 2]]</f>
        <v>150</v>
      </c>
      <c r="O52" s="61">
        <f ca="1">TblMili[[#This Row],[Unit 3]]</f>
        <v>0</v>
      </c>
      <c r="P52" s="61">
        <f ca="1">TblMili[[#This Row],[Unit 4]]</f>
        <v>0</v>
      </c>
      <c r="Q52" s="61">
        <f ca="1">TblMili[[#This Row],[Spies]]</f>
        <v>25</v>
      </c>
      <c r="R52" s="61">
        <f ca="1">TblMili[[#This Row],[Wizards]]</f>
        <v>25</v>
      </c>
      <c r="S52" s="61">
        <f ca="1">TblMili[[#This Row],[Archmages]]</f>
        <v>0</v>
      </c>
      <c r="T52" s="144"/>
      <c r="U52" s="96">
        <f ca="1">ROUND(TblPop[[#This Row],[Raw max]]*(1+OFFSET(TblPop[[#This Row],[Max pop]],-1,0)),0)+MIN(TblPop[[#This Row],[Military]]-TblPop[[#This Row],[Draftees]]-SUM(TblMili[[#This Row],[Train Unit 1]:[Train AM]]),(barracks_size + tech_8_3*TblTech[[#This Row],[8-3]])*TblConstr[[#This Row],[Tot Bar]])</f>
        <v>2358</v>
      </c>
      <c r="V5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6">
        <f ca="1">MAX(-5%*TblPop[[#This Row],[Peasants]]-TblPop[[#This Row],[Draft Growth]],MIN(OFFSET(TblPop[[#This Row],[Net max]],1,0)-TblPop[[#This Row],[Peasants]]-TblPop[[#This Row],[Military]]-TblPop[[#This Row],[Draft Growth]],TblPop[[#This Row],[Modded Birth]]-TblPop[[#This Row],[Draft Growth]]))</f>
        <v>0</v>
      </c>
      <c r="X52" s="96">
        <f ca="1">ROUND(TblPop[[#This Row],[Raw Birth]]*(1+TblPop[[#This Row],[Growth]]),0)</f>
        <v>46</v>
      </c>
      <c r="Y52" s="96">
        <f ca="1">(TblPop[[#This Row],[Peasants]]-TblPop[[#This Row],[Draft Growth]])*raw_pop_growth</f>
        <v>45.96</v>
      </c>
      <c r="Z52" s="96">
        <f ca="1">ROUND(IF(TblPop[[#This Row],[Military%]]&lt;TblMili[[#This Row],[Draftrate]],ROUND(TblPop[[#This Row],[Peasants]]*Constants!$B$55,0), 0) * IF(AND(TblMagic[[#This Row],[Active DnD]]&lt;=12,TblMagic[[#This Row],[Active DnD]]&gt;6),1.6,1),0)</f>
        <v>0</v>
      </c>
      <c r="AA52" s="144"/>
      <c r="AB52" s="145">
        <f ca="1">Overview!$I$16 + IF(Magic!AF52&gt;0,Constants!$F$78) + ROUND(6*(Construction!BM53+Construction!CK52)/IF(Explore!S53&gt;0,Construction!F53-20,Construction!F53),4) + tech_6_5_2*Techs!BJ52 + tech_8_4*Techs!BT52</f>
        <v>0</v>
      </c>
      <c r="AC52" s="141">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45734.041666666548</v>
      </c>
      <c r="C53" s="96">
        <f ca="1">OFFSET(TblPop[[#This Row],[Peasants]],-1,0)+OFFSET(TblPop[[#This Row],[Net Peasant]],-1,0)+TblMili[[#This Row],[Release Draft]]</f>
        <v>1532</v>
      </c>
      <c r="D53" s="96">
        <f ca="1">TblMili[[#This Row],[Military]]</f>
        <v>826</v>
      </c>
      <c r="E53" s="96">
        <f ca="1">TblMili[[#This Row],[Draftees]]</f>
        <v>626</v>
      </c>
      <c r="F53" s="96">
        <f ca="1">TblPop[[#This Row],[Peasants]]+TblPop[[#This Row],[Military]]</f>
        <v>2358</v>
      </c>
      <c r="G53" s="141">
        <f ca="1">TblPop[[#This Row],[Military]]/TblPop[[#This Row],[Total]]</f>
        <v>0.35029686174724345</v>
      </c>
      <c r="H53" s="142">
        <f ca="1">MIN(TblPop[[#This Row],[Peasants]],TblPop[[#This Row],[Jobs]])</f>
        <v>1532</v>
      </c>
      <c r="I53" s="141">
        <f ca="1">MIN(OFFSET(TblPop[[#This Row],[Jobs]],1,0)/TblPop[[#This Row],[Peasants]],1)</f>
        <v>1</v>
      </c>
      <c r="J53" s="142">
        <f ca="1">SUM(TblConstr[[#This Row],[Tot Alc]:[Tot GT]],TblConstr[[#This Row],[Tot Shr]:[Tot Doc]],TblConstr[[#This Row],[Dest Alc]:[Dest GT]],TblConstr[[#This Row],[Dest Shr]:[Dest Doc]])*building_employment + TblConstr[[#This Row],[Tot Fac]]*bonus_jobs_facts</f>
        <v>1600</v>
      </c>
      <c r="K53" s="143"/>
      <c r="L53" s="61">
        <f ca="1">TblPop[[#This Row],[Draftees]]</f>
        <v>626</v>
      </c>
      <c r="M53" s="61">
        <f ca="1">TblMili[[#This Row],[Unit 1]]</f>
        <v>0</v>
      </c>
      <c r="N53" s="61">
        <f ca="1">TblMili[[#This Row],[Unit 2]]</f>
        <v>150</v>
      </c>
      <c r="O53" s="61">
        <f ca="1">TblMili[[#This Row],[Unit 3]]</f>
        <v>0</v>
      </c>
      <c r="P53" s="61">
        <f ca="1">TblMili[[#This Row],[Unit 4]]</f>
        <v>0</v>
      </c>
      <c r="Q53" s="61">
        <f ca="1">TblMili[[#This Row],[Spies]]</f>
        <v>25</v>
      </c>
      <c r="R53" s="61">
        <f ca="1">TblMili[[#This Row],[Wizards]]</f>
        <v>25</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2358</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6">
        <f ca="1">MAX(-5%*TblPop[[#This Row],[Peasants]]-TblPop[[#This Row],[Draft Growth]],MIN(OFFSET(TblPop[[#This Row],[Net max]],1,0)-TblPop[[#This Row],[Peasants]]-TblPop[[#This Row],[Military]]-TblPop[[#This Row],[Draft Growth]],TblPop[[#This Row],[Modded Birth]]-TblPop[[#This Row],[Draft Growth]]))</f>
        <v>0</v>
      </c>
      <c r="X53" s="96">
        <f ca="1">ROUND(TblPop[[#This Row],[Raw Birth]]*(1+TblPop[[#This Row],[Growth]]),0)</f>
        <v>46</v>
      </c>
      <c r="Y53" s="96">
        <f ca="1">(TblPop[[#This Row],[Peasants]]-TblPop[[#This Row],[Draft Growth]])*raw_pop_growth</f>
        <v>45.96</v>
      </c>
      <c r="Z53" s="96">
        <f ca="1">ROUND(IF(TblPop[[#This Row],[Military%]]&lt;TblMili[[#This Row],[Draftrate]],ROUND(TblPop[[#This Row],[Peasants]]*Constants!$B$55,0), 0) * IF(AND(TblMagic[[#This Row],[Active DnD]]&lt;=12,TblMagic[[#This Row],[Active DnD]]&gt;6),1.6,1),0)</f>
        <v>0</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45734.083333333212</v>
      </c>
      <c r="C54" s="96">
        <f ca="1">OFFSET(TblPop[[#This Row],[Peasants]],-1,0)+OFFSET(TblPop[[#This Row],[Net Peasant]],-1,0)+TblMili[[#This Row],[Release Draft]]</f>
        <v>1532</v>
      </c>
      <c r="D54" s="96">
        <f ca="1">TblMili[[#This Row],[Military]]</f>
        <v>826</v>
      </c>
      <c r="E54" s="96">
        <f ca="1">TblMili[[#This Row],[Draftees]]</f>
        <v>626</v>
      </c>
      <c r="F54" s="96">
        <f ca="1">TblPop[[#This Row],[Peasants]]+TblPop[[#This Row],[Military]]</f>
        <v>2358</v>
      </c>
      <c r="G54" s="141">
        <f ca="1">TblPop[[#This Row],[Military]]/TblPop[[#This Row],[Total]]</f>
        <v>0.35029686174724345</v>
      </c>
      <c r="H54" s="142">
        <f ca="1">MIN(TblPop[[#This Row],[Peasants]],TblPop[[#This Row],[Jobs]])</f>
        <v>1532</v>
      </c>
      <c r="I54" s="141">
        <f ca="1">MIN(OFFSET(TblPop[[#This Row],[Jobs]],1,0)/TblPop[[#This Row],[Peasants]],1)</f>
        <v>1</v>
      </c>
      <c r="J54" s="142">
        <f ca="1">SUM(TblConstr[[#This Row],[Tot Alc]:[Tot GT]],TblConstr[[#This Row],[Tot Shr]:[Tot Doc]],TblConstr[[#This Row],[Dest Alc]:[Dest GT]],TblConstr[[#This Row],[Dest Shr]:[Dest Doc]])*building_employment + TblConstr[[#This Row],[Tot Fac]]*bonus_jobs_facts</f>
        <v>1600</v>
      </c>
      <c r="K54" s="143"/>
      <c r="L54" s="61">
        <f ca="1">TblPop[[#This Row],[Draftees]]</f>
        <v>626</v>
      </c>
      <c r="M54" s="61">
        <f ca="1">TblMili[[#This Row],[Unit 1]]</f>
        <v>0</v>
      </c>
      <c r="N54" s="61">
        <f ca="1">TblMili[[#This Row],[Unit 2]]</f>
        <v>150</v>
      </c>
      <c r="O54" s="61">
        <f ca="1">TblMili[[#This Row],[Unit 3]]</f>
        <v>0</v>
      </c>
      <c r="P54" s="61">
        <f ca="1">TblMili[[#This Row],[Unit 4]]</f>
        <v>0</v>
      </c>
      <c r="Q54" s="61">
        <f ca="1">TblMili[[#This Row],[Spies]]</f>
        <v>25</v>
      </c>
      <c r="R54" s="61">
        <f ca="1">TblMili[[#This Row],[Wizards]]</f>
        <v>25</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2358</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6">
        <f ca="1">MAX(-5%*TblPop[[#This Row],[Peasants]]-TblPop[[#This Row],[Draft Growth]],MIN(OFFSET(TblPop[[#This Row],[Net max]],1,0)-TblPop[[#This Row],[Peasants]]-TblPop[[#This Row],[Military]]-TblPop[[#This Row],[Draft Growth]],TblPop[[#This Row],[Modded Birth]]-TblPop[[#This Row],[Draft Growth]]))</f>
        <v>0</v>
      </c>
      <c r="X54" s="96">
        <f ca="1">ROUND(TblPop[[#This Row],[Raw Birth]]*(1+TblPop[[#This Row],[Growth]]),0)</f>
        <v>46</v>
      </c>
      <c r="Y54" s="96">
        <f ca="1">(TblPop[[#This Row],[Peasants]]-TblPop[[#This Row],[Draft Growth]])*raw_pop_growth</f>
        <v>45.96</v>
      </c>
      <c r="Z54" s="96">
        <f ca="1">ROUND(IF(TblPop[[#This Row],[Military%]]&lt;TblMili[[#This Row],[Draftrate]],ROUND(TblPop[[#This Row],[Peasants]]*Constants!$B$55,0), 0) * IF(AND(TblMagic[[#This Row],[Active DnD]]&lt;=12,TblMagic[[#This Row],[Active DnD]]&gt;6),1.6,1),0)</f>
        <v>0</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45734.124999999876</v>
      </c>
      <c r="C55" s="96">
        <f ca="1">OFFSET(TblPop[[#This Row],[Peasants]],-1,0)+OFFSET(TblPop[[#This Row],[Net Peasant]],-1,0)+TblMili[[#This Row],[Release Draft]]</f>
        <v>1532</v>
      </c>
      <c r="D55" s="96">
        <f ca="1">TblMili[[#This Row],[Military]]</f>
        <v>826</v>
      </c>
      <c r="E55" s="96">
        <f ca="1">TblMili[[#This Row],[Draftees]]</f>
        <v>626</v>
      </c>
      <c r="F55" s="96">
        <f ca="1">TblPop[[#This Row],[Peasants]]+TblPop[[#This Row],[Military]]</f>
        <v>2358</v>
      </c>
      <c r="G55" s="141">
        <f ca="1">TblPop[[#This Row],[Military]]/TblPop[[#This Row],[Total]]</f>
        <v>0.35029686174724345</v>
      </c>
      <c r="H55" s="142">
        <f ca="1">MIN(TblPop[[#This Row],[Peasants]],TblPop[[#This Row],[Jobs]])</f>
        <v>1532</v>
      </c>
      <c r="I55" s="141">
        <f ca="1">MIN(OFFSET(TblPop[[#This Row],[Jobs]],1,0)/TblPop[[#This Row],[Peasants]],1)</f>
        <v>1</v>
      </c>
      <c r="J55" s="142">
        <f ca="1">SUM(TblConstr[[#This Row],[Tot Alc]:[Tot GT]],TblConstr[[#This Row],[Tot Shr]:[Tot Doc]],TblConstr[[#This Row],[Dest Alc]:[Dest GT]],TblConstr[[#This Row],[Dest Shr]:[Dest Doc]])*building_employment + TblConstr[[#This Row],[Tot Fac]]*bonus_jobs_facts</f>
        <v>1600</v>
      </c>
      <c r="K55" s="143"/>
      <c r="L55" s="61">
        <f ca="1">TblPop[[#This Row],[Draftees]]</f>
        <v>626</v>
      </c>
      <c r="M55" s="61">
        <f ca="1">TblMili[[#This Row],[Unit 1]]</f>
        <v>0</v>
      </c>
      <c r="N55" s="61">
        <f ca="1">TblMili[[#This Row],[Unit 2]]</f>
        <v>150</v>
      </c>
      <c r="O55" s="61">
        <f ca="1">TblMili[[#This Row],[Unit 3]]</f>
        <v>0</v>
      </c>
      <c r="P55" s="61">
        <f ca="1">TblMili[[#This Row],[Unit 4]]</f>
        <v>0</v>
      </c>
      <c r="Q55" s="61">
        <f ca="1">TblMili[[#This Row],[Spies]]</f>
        <v>25</v>
      </c>
      <c r="R55" s="61">
        <f ca="1">TblMili[[#This Row],[Wizards]]</f>
        <v>25</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2358</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6">
        <f ca="1">MAX(-5%*TblPop[[#This Row],[Peasants]]-TblPop[[#This Row],[Draft Growth]],MIN(OFFSET(TblPop[[#This Row],[Net max]],1,0)-TblPop[[#This Row],[Peasants]]-TblPop[[#This Row],[Military]]-TblPop[[#This Row],[Draft Growth]],TblPop[[#This Row],[Modded Birth]]-TblPop[[#This Row],[Draft Growth]]))</f>
        <v>0</v>
      </c>
      <c r="X55" s="96">
        <f ca="1">ROUND(TblPop[[#This Row],[Raw Birth]]*(1+TblPop[[#This Row],[Growth]]),0)</f>
        <v>46</v>
      </c>
      <c r="Y55" s="96">
        <f ca="1">(TblPop[[#This Row],[Peasants]]-TblPop[[#This Row],[Draft Growth]])*raw_pop_growth</f>
        <v>45.96</v>
      </c>
      <c r="Z55" s="96">
        <f ca="1">ROUND(IF(TblPop[[#This Row],[Military%]]&lt;TblMili[[#This Row],[Draftrate]],ROUND(TblPop[[#This Row],[Peasants]]*Constants!$B$55,0), 0) * IF(AND(TblMagic[[#This Row],[Active DnD]]&lt;=12,TblMagic[[#This Row],[Active DnD]]&gt;6),1.6,1),0)</f>
        <v>0</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45734.166666666541</v>
      </c>
      <c r="C56" s="96">
        <f ca="1">OFFSET(TblPop[[#This Row],[Peasants]],-1,0)+OFFSET(TblPop[[#This Row],[Net Peasant]],-1,0)+TblMili[[#This Row],[Release Draft]]</f>
        <v>1532</v>
      </c>
      <c r="D56" s="96">
        <f ca="1">TblMili[[#This Row],[Military]]</f>
        <v>826</v>
      </c>
      <c r="E56" s="96">
        <f ca="1">TblMili[[#This Row],[Draftees]]</f>
        <v>626</v>
      </c>
      <c r="F56" s="96">
        <f ca="1">TblPop[[#This Row],[Peasants]]+TblPop[[#This Row],[Military]]</f>
        <v>2358</v>
      </c>
      <c r="G56" s="141">
        <f ca="1">TblPop[[#This Row],[Military]]/TblPop[[#This Row],[Total]]</f>
        <v>0.35029686174724345</v>
      </c>
      <c r="H56" s="142">
        <f ca="1">MIN(TblPop[[#This Row],[Peasants]],TblPop[[#This Row],[Jobs]])</f>
        <v>1532</v>
      </c>
      <c r="I56" s="141">
        <f ca="1">MIN(OFFSET(TblPop[[#This Row],[Jobs]],1,0)/TblPop[[#This Row],[Peasants]],1)</f>
        <v>1</v>
      </c>
      <c r="J56" s="142">
        <f ca="1">SUM(TblConstr[[#This Row],[Tot Alc]:[Tot GT]],TblConstr[[#This Row],[Tot Shr]:[Tot Doc]],TblConstr[[#This Row],[Dest Alc]:[Dest GT]],TblConstr[[#This Row],[Dest Shr]:[Dest Doc]])*building_employment + TblConstr[[#This Row],[Tot Fac]]*bonus_jobs_facts</f>
        <v>1600</v>
      </c>
      <c r="K56" s="143"/>
      <c r="L56" s="61">
        <f ca="1">TblPop[[#This Row],[Draftees]]</f>
        <v>626</v>
      </c>
      <c r="M56" s="61">
        <f ca="1">TblMili[[#This Row],[Unit 1]]</f>
        <v>0</v>
      </c>
      <c r="N56" s="61">
        <f ca="1">TblMili[[#This Row],[Unit 2]]</f>
        <v>150</v>
      </c>
      <c r="O56" s="61">
        <f ca="1">TblMili[[#This Row],[Unit 3]]</f>
        <v>0</v>
      </c>
      <c r="P56" s="61">
        <f ca="1">TblMili[[#This Row],[Unit 4]]</f>
        <v>0</v>
      </c>
      <c r="Q56" s="61">
        <f ca="1">TblMili[[#This Row],[Spies]]</f>
        <v>25</v>
      </c>
      <c r="R56" s="61">
        <f ca="1">TblMili[[#This Row],[Wizards]]</f>
        <v>25</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2358</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6">
        <f ca="1">MAX(-5%*TblPop[[#This Row],[Peasants]]-TblPop[[#This Row],[Draft Growth]],MIN(OFFSET(TblPop[[#This Row],[Net max]],1,0)-TblPop[[#This Row],[Peasants]]-TblPop[[#This Row],[Military]]-TblPop[[#This Row],[Draft Growth]],TblPop[[#This Row],[Modded Birth]]-TblPop[[#This Row],[Draft Growth]]))</f>
        <v>0</v>
      </c>
      <c r="X56" s="96">
        <f ca="1">ROUND(TblPop[[#This Row],[Raw Birth]]*(1+TblPop[[#This Row],[Growth]]),0)</f>
        <v>46</v>
      </c>
      <c r="Y56" s="96">
        <f ca="1">(TblPop[[#This Row],[Peasants]]-TblPop[[#This Row],[Draft Growth]])*raw_pop_growth</f>
        <v>45.96</v>
      </c>
      <c r="Z56" s="96">
        <f ca="1">ROUND(IF(TblPop[[#This Row],[Military%]]&lt;TblMili[[#This Row],[Draftrate]],ROUND(TblPop[[#This Row],[Peasants]]*Constants!$B$55,0), 0) * IF(AND(TblMagic[[#This Row],[Active DnD]]&lt;=12,TblMagic[[#This Row],[Active DnD]]&gt;6),1.6,1),0)</f>
        <v>0</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45734.208333333205</v>
      </c>
      <c r="C57" s="96">
        <f ca="1">OFFSET(TblPop[[#This Row],[Peasants]],-1,0)+OFFSET(TblPop[[#This Row],[Net Peasant]],-1,0)+TblMili[[#This Row],[Release Draft]]</f>
        <v>1532</v>
      </c>
      <c r="D57" s="96">
        <f ca="1">TblMili[[#This Row],[Military]]</f>
        <v>826</v>
      </c>
      <c r="E57" s="96">
        <f ca="1">TblMili[[#This Row],[Draftees]]</f>
        <v>626</v>
      </c>
      <c r="F57" s="96">
        <f ca="1">TblPop[[#This Row],[Peasants]]+TblPop[[#This Row],[Military]]</f>
        <v>2358</v>
      </c>
      <c r="G57" s="141">
        <f ca="1">TblPop[[#This Row],[Military]]/TblPop[[#This Row],[Total]]</f>
        <v>0.35029686174724345</v>
      </c>
      <c r="H57" s="142">
        <f ca="1">MIN(TblPop[[#This Row],[Peasants]],TblPop[[#This Row],[Jobs]])</f>
        <v>1532</v>
      </c>
      <c r="I57" s="141">
        <f ca="1">MIN(OFFSET(TblPop[[#This Row],[Jobs]],1,0)/TblPop[[#This Row],[Peasants]],1)</f>
        <v>1</v>
      </c>
      <c r="J57" s="142">
        <f ca="1">SUM(TblConstr[[#This Row],[Tot Alc]:[Tot GT]],TblConstr[[#This Row],[Tot Shr]:[Tot Doc]],TblConstr[[#This Row],[Dest Alc]:[Dest GT]],TblConstr[[#This Row],[Dest Shr]:[Dest Doc]])*building_employment + TblConstr[[#This Row],[Tot Fac]]*bonus_jobs_facts</f>
        <v>1600</v>
      </c>
      <c r="K57" s="143"/>
      <c r="L57" s="61">
        <f ca="1">TblPop[[#This Row],[Draftees]]</f>
        <v>626</v>
      </c>
      <c r="M57" s="61">
        <f ca="1">TblMili[[#This Row],[Unit 1]]</f>
        <v>0</v>
      </c>
      <c r="N57" s="61">
        <f ca="1">TblMili[[#This Row],[Unit 2]]</f>
        <v>150</v>
      </c>
      <c r="O57" s="61">
        <f ca="1">TblMili[[#This Row],[Unit 3]]</f>
        <v>0</v>
      </c>
      <c r="P57" s="61">
        <f ca="1">TblMili[[#This Row],[Unit 4]]</f>
        <v>0</v>
      </c>
      <c r="Q57" s="61">
        <f ca="1">TblMili[[#This Row],[Spies]]</f>
        <v>25</v>
      </c>
      <c r="R57" s="61">
        <f ca="1">TblMili[[#This Row],[Wizards]]</f>
        <v>25</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2358</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6">
        <f ca="1">MAX(-5%*TblPop[[#This Row],[Peasants]]-TblPop[[#This Row],[Draft Growth]],MIN(OFFSET(TblPop[[#This Row],[Net max]],1,0)-TblPop[[#This Row],[Peasants]]-TblPop[[#This Row],[Military]]-TblPop[[#This Row],[Draft Growth]],TblPop[[#This Row],[Modded Birth]]-TblPop[[#This Row],[Draft Growth]]))</f>
        <v>0</v>
      </c>
      <c r="X57" s="96">
        <f ca="1">ROUND(TblPop[[#This Row],[Raw Birth]]*(1+TblPop[[#This Row],[Growth]]),0)</f>
        <v>46</v>
      </c>
      <c r="Y57" s="96">
        <f ca="1">(TblPop[[#This Row],[Peasants]]-TblPop[[#This Row],[Draft Growth]])*raw_pop_growth</f>
        <v>45.96</v>
      </c>
      <c r="Z57" s="96">
        <f ca="1">ROUND(IF(TblPop[[#This Row],[Military%]]&lt;TblMili[[#This Row],[Draftrate]],ROUND(TblPop[[#This Row],[Peasants]]*Constants!$B$55,0), 0) * IF(AND(TblMagic[[#This Row],[Active DnD]]&lt;=12,TblMagic[[#This Row],[Active DnD]]&gt;6),1.6,1),0)</f>
        <v>0</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45734.249999999869</v>
      </c>
      <c r="C58" s="96">
        <f ca="1">OFFSET(TblPop[[#This Row],[Peasants]],-1,0)+OFFSET(TblPop[[#This Row],[Net Peasant]],-1,0)+TblMili[[#This Row],[Release Draft]]</f>
        <v>1532</v>
      </c>
      <c r="D58" s="96">
        <f ca="1">TblMili[[#This Row],[Military]]</f>
        <v>826</v>
      </c>
      <c r="E58" s="96">
        <f ca="1">TblMili[[#This Row],[Draftees]]</f>
        <v>626</v>
      </c>
      <c r="F58" s="96">
        <f ca="1">TblPop[[#This Row],[Peasants]]+TblPop[[#This Row],[Military]]</f>
        <v>2358</v>
      </c>
      <c r="G58" s="141">
        <f ca="1">TblPop[[#This Row],[Military]]/TblPop[[#This Row],[Total]]</f>
        <v>0.35029686174724345</v>
      </c>
      <c r="H58" s="142">
        <f ca="1">MIN(TblPop[[#This Row],[Peasants]],TblPop[[#This Row],[Jobs]])</f>
        <v>1532</v>
      </c>
      <c r="I58" s="141">
        <f ca="1">MIN(OFFSET(TblPop[[#This Row],[Jobs]],1,0)/TblPop[[#This Row],[Peasants]],1)</f>
        <v>1</v>
      </c>
      <c r="J58" s="142">
        <f ca="1">SUM(TblConstr[[#This Row],[Tot Alc]:[Tot GT]],TblConstr[[#This Row],[Tot Shr]:[Tot Doc]],TblConstr[[#This Row],[Dest Alc]:[Dest GT]],TblConstr[[#This Row],[Dest Shr]:[Dest Doc]])*building_employment + TblConstr[[#This Row],[Tot Fac]]*bonus_jobs_facts</f>
        <v>1600</v>
      </c>
      <c r="K58" s="143"/>
      <c r="L58" s="61">
        <f ca="1">TblPop[[#This Row],[Draftees]]</f>
        <v>626</v>
      </c>
      <c r="M58" s="61">
        <f ca="1">TblMili[[#This Row],[Unit 1]]</f>
        <v>0</v>
      </c>
      <c r="N58" s="61">
        <f ca="1">TblMili[[#This Row],[Unit 2]]</f>
        <v>150</v>
      </c>
      <c r="O58" s="61">
        <f ca="1">TblMili[[#This Row],[Unit 3]]</f>
        <v>0</v>
      </c>
      <c r="P58" s="61">
        <f ca="1">TblMili[[#This Row],[Unit 4]]</f>
        <v>0</v>
      </c>
      <c r="Q58" s="61">
        <f ca="1">TblMili[[#This Row],[Spies]]</f>
        <v>25</v>
      </c>
      <c r="R58" s="61">
        <f ca="1">TblMili[[#This Row],[Wizards]]</f>
        <v>25</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2358</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6">
        <f ca="1">MAX(-5%*TblPop[[#This Row],[Peasants]]-TblPop[[#This Row],[Draft Growth]],MIN(OFFSET(TblPop[[#This Row],[Net max]],1,0)-TblPop[[#This Row],[Peasants]]-TblPop[[#This Row],[Military]]-TblPop[[#This Row],[Draft Growth]],TblPop[[#This Row],[Modded Birth]]-TblPop[[#This Row],[Draft Growth]]))</f>
        <v>0</v>
      </c>
      <c r="X58" s="96">
        <f ca="1">ROUND(TblPop[[#This Row],[Raw Birth]]*(1+TblPop[[#This Row],[Growth]]),0)</f>
        <v>46</v>
      </c>
      <c r="Y58" s="96">
        <f ca="1">(TblPop[[#This Row],[Peasants]]-TblPop[[#This Row],[Draft Growth]])*raw_pop_growth</f>
        <v>45.96</v>
      </c>
      <c r="Z58" s="96">
        <f ca="1">ROUND(IF(TblPop[[#This Row],[Military%]]&lt;TblMili[[#This Row],[Draftrate]],ROUND(TblPop[[#This Row],[Peasants]]*Constants!$B$55,0), 0) * IF(AND(TblMagic[[#This Row],[Active DnD]]&lt;=12,TblMagic[[#This Row],[Active DnD]]&gt;6),1.6,1),0)</f>
        <v>0</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45734.291666666533</v>
      </c>
      <c r="C59" s="96">
        <f ca="1">OFFSET(TblPop[[#This Row],[Peasants]],-1,0)+OFFSET(TblPop[[#This Row],[Net Peasant]],-1,0)+TblMili[[#This Row],[Release Draft]]</f>
        <v>1532</v>
      </c>
      <c r="D59" s="96">
        <f ca="1">TblMili[[#This Row],[Military]]</f>
        <v>826</v>
      </c>
      <c r="E59" s="96">
        <f ca="1">TblMili[[#This Row],[Draftees]]</f>
        <v>626</v>
      </c>
      <c r="F59" s="96">
        <f ca="1">TblPop[[#This Row],[Peasants]]+TblPop[[#This Row],[Military]]</f>
        <v>2358</v>
      </c>
      <c r="G59" s="141">
        <f ca="1">TblPop[[#This Row],[Military]]/TblPop[[#This Row],[Total]]</f>
        <v>0.35029686174724345</v>
      </c>
      <c r="H59" s="142">
        <f ca="1">MIN(TblPop[[#This Row],[Peasants]],TblPop[[#This Row],[Jobs]])</f>
        <v>1532</v>
      </c>
      <c r="I59" s="141">
        <f ca="1">MIN(OFFSET(TblPop[[#This Row],[Jobs]],1,0)/TblPop[[#This Row],[Peasants]],1)</f>
        <v>1</v>
      </c>
      <c r="J59" s="142">
        <f ca="1">SUM(TblConstr[[#This Row],[Tot Alc]:[Tot GT]],TblConstr[[#This Row],[Tot Shr]:[Tot Doc]],TblConstr[[#This Row],[Dest Alc]:[Dest GT]],TblConstr[[#This Row],[Dest Shr]:[Dest Doc]])*building_employment + TblConstr[[#This Row],[Tot Fac]]*bonus_jobs_facts</f>
        <v>1600</v>
      </c>
      <c r="K59" s="143"/>
      <c r="L59" s="61">
        <f ca="1">TblPop[[#This Row],[Draftees]]</f>
        <v>626</v>
      </c>
      <c r="M59" s="61">
        <f ca="1">TblMili[[#This Row],[Unit 1]]</f>
        <v>0</v>
      </c>
      <c r="N59" s="61">
        <f ca="1">TblMili[[#This Row],[Unit 2]]</f>
        <v>150</v>
      </c>
      <c r="O59" s="61">
        <f ca="1">TblMili[[#This Row],[Unit 3]]</f>
        <v>0</v>
      </c>
      <c r="P59" s="61">
        <f ca="1">TblMili[[#This Row],[Unit 4]]</f>
        <v>0</v>
      </c>
      <c r="Q59" s="61">
        <f ca="1">TblMili[[#This Row],[Spies]]</f>
        <v>25</v>
      </c>
      <c r="R59" s="61">
        <f ca="1">TblMili[[#This Row],[Wizards]]</f>
        <v>25</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2358</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6">
        <f ca="1">MAX(-5%*TblPop[[#This Row],[Peasants]]-TblPop[[#This Row],[Draft Growth]],MIN(OFFSET(TblPop[[#This Row],[Net max]],1,0)-TblPop[[#This Row],[Peasants]]-TblPop[[#This Row],[Military]]-TblPop[[#This Row],[Draft Growth]],TblPop[[#This Row],[Modded Birth]]-TblPop[[#This Row],[Draft Growth]]))</f>
        <v>0</v>
      </c>
      <c r="X59" s="96">
        <f ca="1">ROUND(TblPop[[#This Row],[Raw Birth]]*(1+TblPop[[#This Row],[Growth]]),0)</f>
        <v>46</v>
      </c>
      <c r="Y59" s="96">
        <f ca="1">(TblPop[[#This Row],[Peasants]]-TblPop[[#This Row],[Draft Growth]])*raw_pop_growth</f>
        <v>45.96</v>
      </c>
      <c r="Z59" s="96">
        <f ca="1">ROUND(IF(TblPop[[#This Row],[Military%]]&lt;TblMili[[#This Row],[Draftrate]],ROUND(TblPop[[#This Row],[Peasants]]*Constants!$B$55,0), 0) * IF(AND(TblMagic[[#This Row],[Active DnD]]&lt;=12,TblMagic[[#This Row],[Active DnD]]&gt;6),1.6,1),0)</f>
        <v>0</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45734.333333333198</v>
      </c>
      <c r="C60" s="96">
        <f ca="1">OFFSET(TblPop[[#This Row],[Peasants]],-1,0)+OFFSET(TblPop[[#This Row],[Net Peasant]],-1,0)+TblMili[[#This Row],[Release Draft]]</f>
        <v>1532</v>
      </c>
      <c r="D60" s="96">
        <f ca="1">TblMili[[#This Row],[Military]]</f>
        <v>826</v>
      </c>
      <c r="E60" s="96">
        <f ca="1">TblMili[[#This Row],[Draftees]]</f>
        <v>626</v>
      </c>
      <c r="F60" s="96">
        <f ca="1">TblPop[[#This Row],[Peasants]]+TblPop[[#This Row],[Military]]</f>
        <v>2358</v>
      </c>
      <c r="G60" s="141">
        <f ca="1">TblPop[[#This Row],[Military]]/TblPop[[#This Row],[Total]]</f>
        <v>0.35029686174724345</v>
      </c>
      <c r="H60" s="142">
        <f ca="1">MIN(TblPop[[#This Row],[Peasants]],TblPop[[#This Row],[Jobs]])</f>
        <v>1532</v>
      </c>
      <c r="I60" s="141">
        <f ca="1">MIN(OFFSET(TblPop[[#This Row],[Jobs]],1,0)/TblPop[[#This Row],[Peasants]],1)</f>
        <v>1</v>
      </c>
      <c r="J60" s="142">
        <f ca="1">SUM(TblConstr[[#This Row],[Tot Alc]:[Tot GT]],TblConstr[[#This Row],[Tot Shr]:[Tot Doc]],TblConstr[[#This Row],[Dest Alc]:[Dest GT]],TblConstr[[#This Row],[Dest Shr]:[Dest Doc]])*building_employment + TblConstr[[#This Row],[Tot Fac]]*bonus_jobs_facts</f>
        <v>1600</v>
      </c>
      <c r="K60" s="143"/>
      <c r="L60" s="61">
        <f ca="1">TblPop[[#This Row],[Draftees]]</f>
        <v>626</v>
      </c>
      <c r="M60" s="61">
        <f ca="1">TblMili[[#This Row],[Unit 1]]</f>
        <v>0</v>
      </c>
      <c r="N60" s="61">
        <f ca="1">TblMili[[#This Row],[Unit 2]]</f>
        <v>150</v>
      </c>
      <c r="O60" s="61">
        <f ca="1">TblMili[[#This Row],[Unit 3]]</f>
        <v>0</v>
      </c>
      <c r="P60" s="61">
        <f ca="1">TblMili[[#This Row],[Unit 4]]</f>
        <v>0</v>
      </c>
      <c r="Q60" s="61">
        <f ca="1">TblMili[[#This Row],[Spies]]</f>
        <v>25</v>
      </c>
      <c r="R60" s="61">
        <f ca="1">TblMili[[#This Row],[Wizards]]</f>
        <v>25</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2358</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6">
        <f ca="1">MAX(-5%*TblPop[[#This Row],[Peasants]]-TblPop[[#This Row],[Draft Growth]],MIN(OFFSET(TblPop[[#This Row],[Net max]],1,0)-TblPop[[#This Row],[Peasants]]-TblPop[[#This Row],[Military]]-TblPop[[#This Row],[Draft Growth]],TblPop[[#This Row],[Modded Birth]]-TblPop[[#This Row],[Draft Growth]]))</f>
        <v>0</v>
      </c>
      <c r="X60" s="96">
        <f ca="1">ROUND(TblPop[[#This Row],[Raw Birth]]*(1+TblPop[[#This Row],[Growth]]),0)</f>
        <v>46</v>
      </c>
      <c r="Y60" s="96">
        <f ca="1">(TblPop[[#This Row],[Peasants]]-TblPop[[#This Row],[Draft Growth]])*raw_pop_growth</f>
        <v>45.96</v>
      </c>
      <c r="Z60" s="96">
        <f ca="1">ROUND(IF(TblPop[[#This Row],[Military%]]&lt;TblMili[[#This Row],[Draftrate]],ROUND(TblPop[[#This Row],[Peasants]]*Constants!$B$55,0), 0) * IF(AND(TblMagic[[#This Row],[Active DnD]]&lt;=12,TblMagic[[#This Row],[Active DnD]]&gt;6),1.6,1),0)</f>
        <v>0</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45734.374999999862</v>
      </c>
      <c r="C61" s="96">
        <f ca="1">OFFSET(TblPop[[#This Row],[Peasants]],-1,0)+OFFSET(TblPop[[#This Row],[Net Peasant]],-1,0)+TblMili[[#This Row],[Release Draft]]</f>
        <v>1532</v>
      </c>
      <c r="D61" s="96">
        <f ca="1">TblMili[[#This Row],[Military]]</f>
        <v>826</v>
      </c>
      <c r="E61" s="96">
        <f ca="1">TblMili[[#This Row],[Draftees]]</f>
        <v>626</v>
      </c>
      <c r="F61" s="96">
        <f ca="1">TblPop[[#This Row],[Peasants]]+TblPop[[#This Row],[Military]]</f>
        <v>2358</v>
      </c>
      <c r="G61" s="141">
        <f ca="1">TblPop[[#This Row],[Military]]/TblPop[[#This Row],[Total]]</f>
        <v>0.35029686174724345</v>
      </c>
      <c r="H61" s="142">
        <f ca="1">MIN(TblPop[[#This Row],[Peasants]],TblPop[[#This Row],[Jobs]])</f>
        <v>1532</v>
      </c>
      <c r="I61" s="141">
        <f ca="1">MIN(OFFSET(TblPop[[#This Row],[Jobs]],1,0)/TblPop[[#This Row],[Peasants]],1)</f>
        <v>1</v>
      </c>
      <c r="J61" s="142">
        <f ca="1">SUM(TblConstr[[#This Row],[Tot Alc]:[Tot GT]],TblConstr[[#This Row],[Tot Shr]:[Tot Doc]],TblConstr[[#This Row],[Dest Alc]:[Dest GT]],TblConstr[[#This Row],[Dest Shr]:[Dest Doc]])*building_employment + TblConstr[[#This Row],[Tot Fac]]*bonus_jobs_facts</f>
        <v>1600</v>
      </c>
      <c r="K61" s="143"/>
      <c r="L61" s="61">
        <f ca="1">TblPop[[#This Row],[Draftees]]</f>
        <v>626</v>
      </c>
      <c r="M61" s="61">
        <f ca="1">TblMili[[#This Row],[Unit 1]]</f>
        <v>0</v>
      </c>
      <c r="N61" s="61">
        <f ca="1">TblMili[[#This Row],[Unit 2]]</f>
        <v>150</v>
      </c>
      <c r="O61" s="61">
        <f ca="1">TblMili[[#This Row],[Unit 3]]</f>
        <v>0</v>
      </c>
      <c r="P61" s="61">
        <f ca="1">TblMili[[#This Row],[Unit 4]]</f>
        <v>0</v>
      </c>
      <c r="Q61" s="61">
        <f ca="1">TblMili[[#This Row],[Spies]]</f>
        <v>25</v>
      </c>
      <c r="R61" s="61">
        <f ca="1">TblMili[[#This Row],[Wizards]]</f>
        <v>25</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2358</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6">
        <f ca="1">MAX(-5%*TblPop[[#This Row],[Peasants]]-TblPop[[#This Row],[Draft Growth]],MIN(OFFSET(TblPop[[#This Row],[Net max]],1,0)-TblPop[[#This Row],[Peasants]]-TblPop[[#This Row],[Military]]-TblPop[[#This Row],[Draft Growth]],TblPop[[#This Row],[Modded Birth]]-TblPop[[#This Row],[Draft Growth]]))</f>
        <v>0</v>
      </c>
      <c r="X61" s="96">
        <f ca="1">ROUND(TblPop[[#This Row],[Raw Birth]]*(1+TblPop[[#This Row],[Growth]]),0)</f>
        <v>46</v>
      </c>
      <c r="Y61" s="96">
        <f ca="1">(TblPop[[#This Row],[Peasants]]-TblPop[[#This Row],[Draft Growth]])*raw_pop_growth</f>
        <v>45.96</v>
      </c>
      <c r="Z61" s="96">
        <f ca="1">ROUND(IF(TblPop[[#This Row],[Military%]]&lt;TblMili[[#This Row],[Draftrate]],ROUND(TblPop[[#This Row],[Peasants]]*Constants!$B$55,0), 0) * IF(AND(TblMagic[[#This Row],[Active DnD]]&lt;=12,TblMagic[[#This Row],[Active DnD]]&gt;6),1.6,1),0)</f>
        <v>0</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45734.416666666526</v>
      </c>
      <c r="C62" s="96">
        <f ca="1">OFFSET(TblPop[[#This Row],[Peasants]],-1,0)+OFFSET(TblPop[[#This Row],[Net Peasant]],-1,0)+TblMili[[#This Row],[Release Draft]]</f>
        <v>1532</v>
      </c>
      <c r="D62" s="96">
        <f ca="1">TblMili[[#This Row],[Military]]</f>
        <v>826</v>
      </c>
      <c r="E62" s="96">
        <f ca="1">TblMili[[#This Row],[Draftees]]</f>
        <v>626</v>
      </c>
      <c r="F62" s="96">
        <f ca="1">TblPop[[#This Row],[Peasants]]+TblPop[[#This Row],[Military]]</f>
        <v>2358</v>
      </c>
      <c r="G62" s="141">
        <f ca="1">TblPop[[#This Row],[Military]]/TblPop[[#This Row],[Total]]</f>
        <v>0.35029686174724345</v>
      </c>
      <c r="H62" s="142">
        <f ca="1">MIN(TblPop[[#This Row],[Peasants]],TblPop[[#This Row],[Jobs]])</f>
        <v>1532</v>
      </c>
      <c r="I62" s="141">
        <f ca="1">MIN(OFFSET(TblPop[[#This Row],[Jobs]],1,0)/TblPop[[#This Row],[Peasants]],1)</f>
        <v>1</v>
      </c>
      <c r="J62" s="142">
        <f ca="1">SUM(TblConstr[[#This Row],[Tot Alc]:[Tot GT]],TblConstr[[#This Row],[Tot Shr]:[Tot Doc]],TblConstr[[#This Row],[Dest Alc]:[Dest GT]],TblConstr[[#This Row],[Dest Shr]:[Dest Doc]])*building_employment + TblConstr[[#This Row],[Tot Fac]]*bonus_jobs_facts</f>
        <v>1600</v>
      </c>
      <c r="K62" s="143"/>
      <c r="L62" s="61">
        <f ca="1">TblPop[[#This Row],[Draftees]]</f>
        <v>626</v>
      </c>
      <c r="M62" s="61">
        <f ca="1">TblMili[[#This Row],[Unit 1]]</f>
        <v>0</v>
      </c>
      <c r="N62" s="61">
        <f ca="1">TblMili[[#This Row],[Unit 2]]</f>
        <v>150</v>
      </c>
      <c r="O62" s="61">
        <f ca="1">TblMili[[#This Row],[Unit 3]]</f>
        <v>0</v>
      </c>
      <c r="P62" s="61">
        <f ca="1">TblMili[[#This Row],[Unit 4]]</f>
        <v>0</v>
      </c>
      <c r="Q62" s="61">
        <f ca="1">TblMili[[#This Row],[Spies]]</f>
        <v>25</v>
      </c>
      <c r="R62" s="61">
        <f ca="1">TblMili[[#This Row],[Wizards]]</f>
        <v>25</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2358</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6">
        <f ca="1">MAX(-5%*TblPop[[#This Row],[Peasants]]-TblPop[[#This Row],[Draft Growth]],MIN(OFFSET(TblPop[[#This Row],[Net max]],1,0)-TblPop[[#This Row],[Peasants]]-TblPop[[#This Row],[Military]]-TblPop[[#This Row],[Draft Growth]],TblPop[[#This Row],[Modded Birth]]-TblPop[[#This Row],[Draft Growth]]))</f>
        <v>0</v>
      </c>
      <c r="X62" s="96">
        <f ca="1">ROUND(TblPop[[#This Row],[Raw Birth]]*(1+TblPop[[#This Row],[Growth]]),0)</f>
        <v>46</v>
      </c>
      <c r="Y62" s="96">
        <f ca="1">(TblPop[[#This Row],[Peasants]]-TblPop[[#This Row],[Draft Growth]])*raw_pop_growth</f>
        <v>45.96</v>
      </c>
      <c r="Z62" s="96">
        <f ca="1">ROUND(IF(TblPop[[#This Row],[Military%]]&lt;TblMili[[#This Row],[Draftrate]],ROUND(TblPop[[#This Row],[Peasants]]*Constants!$B$55,0), 0) * IF(AND(TblMagic[[#This Row],[Active DnD]]&lt;=12,TblMagic[[#This Row],[Active DnD]]&gt;6),1.6,1),0)</f>
        <v>0</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45734.45833333319</v>
      </c>
      <c r="C63" s="96">
        <f ca="1">OFFSET(TblPop[[#This Row],[Peasants]],-1,0)+OFFSET(TblPop[[#This Row],[Net Peasant]],-1,0)+TblMili[[#This Row],[Release Draft]]</f>
        <v>1532</v>
      </c>
      <c r="D63" s="96">
        <f ca="1">TblMili[[#This Row],[Military]]</f>
        <v>826</v>
      </c>
      <c r="E63" s="96">
        <f ca="1">TblMili[[#This Row],[Draftees]]</f>
        <v>626</v>
      </c>
      <c r="F63" s="96">
        <f ca="1">TblPop[[#This Row],[Peasants]]+TblPop[[#This Row],[Military]]</f>
        <v>2358</v>
      </c>
      <c r="G63" s="141">
        <f ca="1">TblPop[[#This Row],[Military]]/TblPop[[#This Row],[Total]]</f>
        <v>0.35029686174724345</v>
      </c>
      <c r="H63" s="142">
        <f ca="1">MIN(TblPop[[#This Row],[Peasants]],TblPop[[#This Row],[Jobs]])</f>
        <v>1532</v>
      </c>
      <c r="I63" s="141">
        <f ca="1">MIN(OFFSET(TblPop[[#This Row],[Jobs]],1,0)/TblPop[[#This Row],[Peasants]],1)</f>
        <v>1</v>
      </c>
      <c r="J63" s="142">
        <f ca="1">SUM(TblConstr[[#This Row],[Tot Alc]:[Tot GT]],TblConstr[[#This Row],[Tot Shr]:[Tot Doc]],TblConstr[[#This Row],[Dest Alc]:[Dest GT]],TblConstr[[#This Row],[Dest Shr]:[Dest Doc]])*building_employment + TblConstr[[#This Row],[Tot Fac]]*bonus_jobs_facts</f>
        <v>1600</v>
      </c>
      <c r="K63" s="143"/>
      <c r="L63" s="61">
        <f ca="1">TblPop[[#This Row],[Draftees]]</f>
        <v>626</v>
      </c>
      <c r="M63" s="61">
        <f ca="1">TblMili[[#This Row],[Unit 1]]</f>
        <v>0</v>
      </c>
      <c r="N63" s="61">
        <f ca="1">TblMili[[#This Row],[Unit 2]]</f>
        <v>150</v>
      </c>
      <c r="O63" s="61">
        <f ca="1">TblMili[[#This Row],[Unit 3]]</f>
        <v>0</v>
      </c>
      <c r="P63" s="61">
        <f ca="1">TblMili[[#This Row],[Unit 4]]</f>
        <v>0</v>
      </c>
      <c r="Q63" s="61">
        <f ca="1">TblMili[[#This Row],[Spies]]</f>
        <v>25</v>
      </c>
      <c r="R63" s="61">
        <f ca="1">TblMili[[#This Row],[Wizards]]</f>
        <v>25</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2358</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6">
        <f ca="1">MAX(-5%*TblPop[[#This Row],[Peasants]]-TblPop[[#This Row],[Draft Growth]],MIN(OFFSET(TblPop[[#This Row],[Net max]],1,0)-TblPop[[#This Row],[Peasants]]-TblPop[[#This Row],[Military]]-TblPop[[#This Row],[Draft Growth]],TblPop[[#This Row],[Modded Birth]]-TblPop[[#This Row],[Draft Growth]]))</f>
        <v>0</v>
      </c>
      <c r="X63" s="96">
        <f ca="1">ROUND(TblPop[[#This Row],[Raw Birth]]*(1+TblPop[[#This Row],[Growth]]),0)</f>
        <v>46</v>
      </c>
      <c r="Y63" s="96">
        <f ca="1">(TblPop[[#This Row],[Peasants]]-TblPop[[#This Row],[Draft Growth]])*raw_pop_growth</f>
        <v>45.96</v>
      </c>
      <c r="Z63" s="96">
        <f ca="1">ROUND(IF(TblPop[[#This Row],[Military%]]&lt;TblMili[[#This Row],[Draftrate]],ROUND(TblPop[[#This Row],[Peasants]]*Constants!$B$55,0), 0) * IF(AND(TblMagic[[#This Row],[Active DnD]]&lt;=12,TblMagic[[#This Row],[Active DnD]]&gt;6),1.6,1),0)</f>
        <v>0</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45734.499999999854</v>
      </c>
      <c r="C64" s="96">
        <f ca="1">OFFSET(TblPop[[#This Row],[Peasants]],-1,0)+OFFSET(TblPop[[#This Row],[Net Peasant]],-1,0)+TblMili[[#This Row],[Release Draft]]</f>
        <v>1532</v>
      </c>
      <c r="D64" s="96">
        <f ca="1">TblMili[[#This Row],[Military]]</f>
        <v>826</v>
      </c>
      <c r="E64" s="96">
        <f ca="1">TblMili[[#This Row],[Draftees]]</f>
        <v>626</v>
      </c>
      <c r="F64" s="96">
        <f ca="1">TblPop[[#This Row],[Peasants]]+TblPop[[#This Row],[Military]]</f>
        <v>2358</v>
      </c>
      <c r="G64" s="141">
        <f ca="1">TblPop[[#This Row],[Military]]/TblPop[[#This Row],[Total]]</f>
        <v>0.35029686174724345</v>
      </c>
      <c r="H64" s="142">
        <f ca="1">MIN(TblPop[[#This Row],[Peasants]],TblPop[[#This Row],[Jobs]])</f>
        <v>1532</v>
      </c>
      <c r="I64" s="141">
        <f ca="1">MIN(OFFSET(TblPop[[#This Row],[Jobs]],1,0)/TblPop[[#This Row],[Peasants]],1)</f>
        <v>1</v>
      </c>
      <c r="J64" s="142">
        <f ca="1">SUM(TblConstr[[#This Row],[Tot Alc]:[Tot GT]],TblConstr[[#This Row],[Tot Shr]:[Tot Doc]],TblConstr[[#This Row],[Dest Alc]:[Dest GT]],TblConstr[[#This Row],[Dest Shr]:[Dest Doc]])*building_employment + TblConstr[[#This Row],[Tot Fac]]*bonus_jobs_facts</f>
        <v>1600</v>
      </c>
      <c r="K64" s="143"/>
      <c r="L64" s="61">
        <f ca="1">TblPop[[#This Row],[Draftees]]</f>
        <v>626</v>
      </c>
      <c r="M64" s="61">
        <f ca="1">TblMili[[#This Row],[Unit 1]]</f>
        <v>0</v>
      </c>
      <c r="N64" s="61">
        <f ca="1">TblMili[[#This Row],[Unit 2]]</f>
        <v>150</v>
      </c>
      <c r="O64" s="61">
        <f ca="1">TblMili[[#This Row],[Unit 3]]</f>
        <v>0</v>
      </c>
      <c r="P64" s="61">
        <f ca="1">TblMili[[#This Row],[Unit 4]]</f>
        <v>0</v>
      </c>
      <c r="Q64" s="61">
        <f ca="1">TblMili[[#This Row],[Spies]]</f>
        <v>25</v>
      </c>
      <c r="R64" s="61">
        <f ca="1">TblMili[[#This Row],[Wizards]]</f>
        <v>25</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2358</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6">
        <f ca="1">MAX(-5%*TblPop[[#This Row],[Peasants]]-TblPop[[#This Row],[Draft Growth]],MIN(OFFSET(TblPop[[#This Row],[Net max]],1,0)-TblPop[[#This Row],[Peasants]]-TblPop[[#This Row],[Military]]-TblPop[[#This Row],[Draft Growth]],TblPop[[#This Row],[Modded Birth]]-TblPop[[#This Row],[Draft Growth]]))</f>
        <v>0</v>
      </c>
      <c r="X64" s="96">
        <f ca="1">ROUND(TblPop[[#This Row],[Raw Birth]]*(1+TblPop[[#This Row],[Growth]]),0)</f>
        <v>46</v>
      </c>
      <c r="Y64" s="96">
        <f ca="1">(TblPop[[#This Row],[Peasants]]-TblPop[[#This Row],[Draft Growth]])*raw_pop_growth</f>
        <v>45.96</v>
      </c>
      <c r="Z64" s="96">
        <f ca="1">ROUND(IF(TblPop[[#This Row],[Military%]]&lt;TblMili[[#This Row],[Draftrate]],ROUND(TblPop[[#This Row],[Peasants]]*Constants!$B$55,0), 0) * IF(AND(TblMagic[[#This Row],[Active DnD]]&lt;=12,TblMagic[[#This Row],[Active DnD]]&gt;6),1.6,1),0)</f>
        <v>0</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45734.541666666519</v>
      </c>
      <c r="C65" s="96">
        <f ca="1">OFFSET(TblPop[[#This Row],[Peasants]],-1,0)+OFFSET(TblPop[[#This Row],[Net Peasant]],-1,0)+TblMili[[#This Row],[Release Draft]]</f>
        <v>1532</v>
      </c>
      <c r="D65" s="96">
        <f ca="1">TblMili[[#This Row],[Military]]</f>
        <v>826</v>
      </c>
      <c r="E65" s="96">
        <f ca="1">TblMili[[#This Row],[Draftees]]</f>
        <v>626</v>
      </c>
      <c r="F65" s="96">
        <f ca="1">TblPop[[#This Row],[Peasants]]+TblPop[[#This Row],[Military]]</f>
        <v>2358</v>
      </c>
      <c r="G65" s="141">
        <f ca="1">TblPop[[#This Row],[Military]]/TblPop[[#This Row],[Total]]</f>
        <v>0.35029686174724345</v>
      </c>
      <c r="H65" s="142">
        <f ca="1">MIN(TblPop[[#This Row],[Peasants]],TblPop[[#This Row],[Jobs]])</f>
        <v>1532</v>
      </c>
      <c r="I65" s="141">
        <f ca="1">MIN(OFFSET(TblPop[[#This Row],[Jobs]],1,0)/TblPop[[#This Row],[Peasants]],1)</f>
        <v>1</v>
      </c>
      <c r="J65" s="142">
        <f ca="1">SUM(TblConstr[[#This Row],[Tot Alc]:[Tot GT]],TblConstr[[#This Row],[Tot Shr]:[Tot Doc]],TblConstr[[#This Row],[Dest Alc]:[Dest GT]],TblConstr[[#This Row],[Dest Shr]:[Dest Doc]])*building_employment + TblConstr[[#This Row],[Tot Fac]]*bonus_jobs_facts</f>
        <v>1600</v>
      </c>
      <c r="K65" s="143"/>
      <c r="L65" s="61">
        <f ca="1">TblPop[[#This Row],[Draftees]]</f>
        <v>626</v>
      </c>
      <c r="M65" s="61">
        <f ca="1">TblMili[[#This Row],[Unit 1]]</f>
        <v>0</v>
      </c>
      <c r="N65" s="61">
        <f ca="1">TblMili[[#This Row],[Unit 2]]</f>
        <v>150</v>
      </c>
      <c r="O65" s="61">
        <f ca="1">TblMili[[#This Row],[Unit 3]]</f>
        <v>0</v>
      </c>
      <c r="P65" s="61">
        <f ca="1">TblMili[[#This Row],[Unit 4]]</f>
        <v>0</v>
      </c>
      <c r="Q65" s="61">
        <f ca="1">TblMili[[#This Row],[Spies]]</f>
        <v>25</v>
      </c>
      <c r="R65" s="61">
        <f ca="1">TblMili[[#This Row],[Wizards]]</f>
        <v>25</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2358</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6">
        <f ca="1">MAX(-5%*TblPop[[#This Row],[Peasants]]-TblPop[[#This Row],[Draft Growth]],MIN(OFFSET(TblPop[[#This Row],[Net max]],1,0)-TblPop[[#This Row],[Peasants]]-TblPop[[#This Row],[Military]]-TblPop[[#This Row],[Draft Growth]],TblPop[[#This Row],[Modded Birth]]-TblPop[[#This Row],[Draft Growth]]))</f>
        <v>0</v>
      </c>
      <c r="X65" s="96">
        <f ca="1">ROUND(TblPop[[#This Row],[Raw Birth]]*(1+TblPop[[#This Row],[Growth]]),0)</f>
        <v>46</v>
      </c>
      <c r="Y65" s="96">
        <f ca="1">(TblPop[[#This Row],[Peasants]]-TblPop[[#This Row],[Draft Growth]])*raw_pop_growth</f>
        <v>45.96</v>
      </c>
      <c r="Z65" s="96">
        <f ca="1">ROUND(IF(TblPop[[#This Row],[Military%]]&lt;TblMili[[#This Row],[Draftrate]],ROUND(TblPop[[#This Row],[Peasants]]*Constants!$B$55,0), 0) * IF(AND(TblMagic[[#This Row],[Active DnD]]&lt;=12,TblMagic[[#This Row],[Active DnD]]&gt;6),1.6,1),0)</f>
        <v>0</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45734.583333333183</v>
      </c>
      <c r="C66" s="96">
        <f ca="1">OFFSET(TblPop[[#This Row],[Peasants]],-1,0)+OFFSET(TblPop[[#This Row],[Net Peasant]],-1,0)+TblMili[[#This Row],[Release Draft]]</f>
        <v>1532</v>
      </c>
      <c r="D66" s="96">
        <f ca="1">TblMili[[#This Row],[Military]]</f>
        <v>826</v>
      </c>
      <c r="E66" s="96">
        <f ca="1">TblMili[[#This Row],[Draftees]]</f>
        <v>626</v>
      </c>
      <c r="F66" s="96">
        <f ca="1">TblPop[[#This Row],[Peasants]]+TblPop[[#This Row],[Military]]</f>
        <v>2358</v>
      </c>
      <c r="G66" s="141">
        <f ca="1">TblPop[[#This Row],[Military]]/TblPop[[#This Row],[Total]]</f>
        <v>0.35029686174724345</v>
      </c>
      <c r="H66" s="142">
        <f ca="1">MIN(TblPop[[#This Row],[Peasants]],TblPop[[#This Row],[Jobs]])</f>
        <v>1532</v>
      </c>
      <c r="I66" s="141">
        <f ca="1">MIN(OFFSET(TblPop[[#This Row],[Jobs]],1,0)/TblPop[[#This Row],[Peasants]],1)</f>
        <v>1</v>
      </c>
      <c r="J66" s="142">
        <f ca="1">SUM(TblConstr[[#This Row],[Tot Alc]:[Tot GT]],TblConstr[[#This Row],[Tot Shr]:[Tot Doc]],TblConstr[[#This Row],[Dest Alc]:[Dest GT]],TblConstr[[#This Row],[Dest Shr]:[Dest Doc]])*building_employment + TblConstr[[#This Row],[Tot Fac]]*bonus_jobs_facts</f>
        <v>1600</v>
      </c>
      <c r="K66" s="143"/>
      <c r="L66" s="61">
        <f ca="1">TblPop[[#This Row],[Draftees]]</f>
        <v>626</v>
      </c>
      <c r="M66" s="61">
        <f ca="1">TblMili[[#This Row],[Unit 1]]</f>
        <v>0</v>
      </c>
      <c r="N66" s="61">
        <f ca="1">TblMili[[#This Row],[Unit 2]]</f>
        <v>150</v>
      </c>
      <c r="O66" s="61">
        <f ca="1">TblMili[[#This Row],[Unit 3]]</f>
        <v>0</v>
      </c>
      <c r="P66" s="61">
        <f ca="1">TblMili[[#This Row],[Unit 4]]</f>
        <v>0</v>
      </c>
      <c r="Q66" s="61">
        <f ca="1">TblMili[[#This Row],[Spies]]</f>
        <v>25</v>
      </c>
      <c r="R66" s="61">
        <f ca="1">TblMili[[#This Row],[Wizards]]</f>
        <v>25</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2358</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6">
        <f ca="1">MAX(-5%*TblPop[[#This Row],[Peasants]]-TblPop[[#This Row],[Draft Growth]],MIN(OFFSET(TblPop[[#This Row],[Net max]],1,0)-TblPop[[#This Row],[Peasants]]-TblPop[[#This Row],[Military]]-TblPop[[#This Row],[Draft Growth]],TblPop[[#This Row],[Modded Birth]]-TblPop[[#This Row],[Draft Growth]]))</f>
        <v>0</v>
      </c>
      <c r="X66" s="96">
        <f ca="1">ROUND(TblPop[[#This Row],[Raw Birth]]*(1+TblPop[[#This Row],[Growth]]),0)</f>
        <v>46</v>
      </c>
      <c r="Y66" s="96">
        <f ca="1">(TblPop[[#This Row],[Peasants]]-TblPop[[#This Row],[Draft Growth]])*raw_pop_growth</f>
        <v>45.96</v>
      </c>
      <c r="Z66" s="96">
        <f ca="1">ROUND(IF(TblPop[[#This Row],[Military%]]&lt;TblMili[[#This Row],[Draftrate]],ROUND(TblPop[[#This Row],[Peasants]]*Constants!$B$55,0), 0) * IF(AND(TblMagic[[#This Row],[Active DnD]]&lt;=12,TblMagic[[#This Row],[Active DnD]]&gt;6),1.6,1),0)</f>
        <v>0</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45734.624999999847</v>
      </c>
      <c r="C67" s="96">
        <f ca="1">OFFSET(TblPop[[#This Row],[Peasants]],-1,0)+OFFSET(TblPop[[#This Row],[Net Peasant]],-1,0)+TblMili[[#This Row],[Release Draft]]</f>
        <v>1532</v>
      </c>
      <c r="D67" s="96">
        <f ca="1">TblMili[[#This Row],[Military]]</f>
        <v>826</v>
      </c>
      <c r="E67" s="96">
        <f ca="1">TblMili[[#This Row],[Draftees]]</f>
        <v>626</v>
      </c>
      <c r="F67" s="96">
        <f ca="1">TblPop[[#This Row],[Peasants]]+TblPop[[#This Row],[Military]]</f>
        <v>2358</v>
      </c>
      <c r="G67" s="141">
        <f ca="1">TblPop[[#This Row],[Military]]/TblPop[[#This Row],[Total]]</f>
        <v>0.35029686174724345</v>
      </c>
      <c r="H67" s="142">
        <f ca="1">MIN(TblPop[[#This Row],[Peasants]],TblPop[[#This Row],[Jobs]])</f>
        <v>1532</v>
      </c>
      <c r="I67" s="141">
        <f ca="1">MIN(OFFSET(TblPop[[#This Row],[Jobs]],1,0)/TblPop[[#This Row],[Peasants]],1)</f>
        <v>1</v>
      </c>
      <c r="J67" s="142">
        <f ca="1">SUM(TblConstr[[#This Row],[Tot Alc]:[Tot GT]],TblConstr[[#This Row],[Tot Shr]:[Tot Doc]],TblConstr[[#This Row],[Dest Alc]:[Dest GT]],TblConstr[[#This Row],[Dest Shr]:[Dest Doc]])*building_employment + TblConstr[[#This Row],[Tot Fac]]*bonus_jobs_facts</f>
        <v>1600</v>
      </c>
      <c r="K67" s="143"/>
      <c r="L67" s="61">
        <f ca="1">TblPop[[#This Row],[Draftees]]</f>
        <v>626</v>
      </c>
      <c r="M67" s="61">
        <f ca="1">TblMili[[#This Row],[Unit 1]]</f>
        <v>0</v>
      </c>
      <c r="N67" s="61">
        <f ca="1">TblMili[[#This Row],[Unit 2]]</f>
        <v>150</v>
      </c>
      <c r="O67" s="61">
        <f ca="1">TblMili[[#This Row],[Unit 3]]</f>
        <v>0</v>
      </c>
      <c r="P67" s="61">
        <f ca="1">TblMili[[#This Row],[Unit 4]]</f>
        <v>0</v>
      </c>
      <c r="Q67" s="61">
        <f ca="1">TblMili[[#This Row],[Spies]]</f>
        <v>25</v>
      </c>
      <c r="R67" s="61">
        <f ca="1">TblMili[[#This Row],[Wizards]]</f>
        <v>25</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2358</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6">
        <f ca="1">MAX(-5%*TblPop[[#This Row],[Peasants]]-TblPop[[#This Row],[Draft Growth]],MIN(OFFSET(TblPop[[#This Row],[Net max]],1,0)-TblPop[[#This Row],[Peasants]]-TblPop[[#This Row],[Military]]-TblPop[[#This Row],[Draft Growth]],TblPop[[#This Row],[Modded Birth]]-TblPop[[#This Row],[Draft Growth]]))</f>
        <v>0</v>
      </c>
      <c r="X67" s="96">
        <f ca="1">ROUND(TblPop[[#This Row],[Raw Birth]]*(1+TblPop[[#This Row],[Growth]]),0)</f>
        <v>46</v>
      </c>
      <c r="Y67" s="96">
        <f ca="1">(TblPop[[#This Row],[Peasants]]-TblPop[[#This Row],[Draft Growth]])*raw_pop_growth</f>
        <v>45.96</v>
      </c>
      <c r="Z67" s="96">
        <f ca="1">ROUND(IF(TblPop[[#This Row],[Military%]]&lt;TblMili[[#This Row],[Draftrate]],ROUND(TblPop[[#This Row],[Peasants]]*Constants!$B$55,0), 0) * IF(AND(TblMagic[[#This Row],[Active DnD]]&lt;=12,TblMagic[[#This Row],[Active DnD]]&gt;6),1.6,1),0)</f>
        <v>0</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45734.666666666511</v>
      </c>
      <c r="C68" s="96">
        <f ca="1">OFFSET(TblPop[[#This Row],[Peasants]],-1,0)+OFFSET(TblPop[[#This Row],[Net Peasant]],-1,0)+TblMili[[#This Row],[Release Draft]]</f>
        <v>1532</v>
      </c>
      <c r="D68" s="96">
        <f ca="1">TblMili[[#This Row],[Military]]</f>
        <v>826</v>
      </c>
      <c r="E68" s="96">
        <f ca="1">TblMili[[#This Row],[Draftees]]</f>
        <v>626</v>
      </c>
      <c r="F68" s="96">
        <f ca="1">TblPop[[#This Row],[Peasants]]+TblPop[[#This Row],[Military]]</f>
        <v>2358</v>
      </c>
      <c r="G68" s="141">
        <f ca="1">TblPop[[#This Row],[Military]]/TblPop[[#This Row],[Total]]</f>
        <v>0.35029686174724345</v>
      </c>
      <c r="H68" s="142">
        <f ca="1">MIN(TblPop[[#This Row],[Peasants]],TblPop[[#This Row],[Jobs]])</f>
        <v>1532</v>
      </c>
      <c r="I68" s="141">
        <f ca="1">MIN(OFFSET(TblPop[[#This Row],[Jobs]],1,0)/TblPop[[#This Row],[Peasants]],1)</f>
        <v>1</v>
      </c>
      <c r="J68" s="142">
        <f ca="1">SUM(TblConstr[[#This Row],[Tot Alc]:[Tot GT]],TblConstr[[#This Row],[Tot Shr]:[Tot Doc]],TblConstr[[#This Row],[Dest Alc]:[Dest GT]],TblConstr[[#This Row],[Dest Shr]:[Dest Doc]])*building_employment + TblConstr[[#This Row],[Tot Fac]]*bonus_jobs_facts</f>
        <v>1600</v>
      </c>
      <c r="K68" s="143"/>
      <c r="L68" s="61">
        <f ca="1">TblPop[[#This Row],[Draftees]]</f>
        <v>626</v>
      </c>
      <c r="M68" s="61">
        <f ca="1">TblMili[[#This Row],[Unit 1]]</f>
        <v>0</v>
      </c>
      <c r="N68" s="61">
        <f ca="1">TblMili[[#This Row],[Unit 2]]</f>
        <v>150</v>
      </c>
      <c r="O68" s="61">
        <f ca="1">TblMili[[#This Row],[Unit 3]]</f>
        <v>0</v>
      </c>
      <c r="P68" s="61">
        <f ca="1">TblMili[[#This Row],[Unit 4]]</f>
        <v>0</v>
      </c>
      <c r="Q68" s="61">
        <f ca="1">TblMili[[#This Row],[Spies]]</f>
        <v>25</v>
      </c>
      <c r="R68" s="61">
        <f ca="1">TblMili[[#This Row],[Wizards]]</f>
        <v>25</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2358</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6">
        <f ca="1">MAX(-5%*TblPop[[#This Row],[Peasants]]-TblPop[[#This Row],[Draft Growth]],MIN(OFFSET(TblPop[[#This Row],[Net max]],1,0)-TblPop[[#This Row],[Peasants]]-TblPop[[#This Row],[Military]]-TblPop[[#This Row],[Draft Growth]],TblPop[[#This Row],[Modded Birth]]-TblPop[[#This Row],[Draft Growth]]))</f>
        <v>0</v>
      </c>
      <c r="X68" s="96">
        <f ca="1">ROUND(TblPop[[#This Row],[Raw Birth]]*(1+TblPop[[#This Row],[Growth]]),0)</f>
        <v>46</v>
      </c>
      <c r="Y68" s="96">
        <f ca="1">(TblPop[[#This Row],[Peasants]]-TblPop[[#This Row],[Draft Growth]])*raw_pop_growth</f>
        <v>45.96</v>
      </c>
      <c r="Z68" s="96">
        <f ca="1">ROUND(IF(TblPop[[#This Row],[Military%]]&lt;TblMili[[#This Row],[Draftrate]],ROUND(TblPop[[#This Row],[Peasants]]*Constants!$B$55,0), 0) * IF(AND(TblMagic[[#This Row],[Active DnD]]&lt;=12,TblMagic[[#This Row],[Active DnD]]&gt;6),1.6,1),0)</f>
        <v>0</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45734.708333333176</v>
      </c>
      <c r="C69" s="96">
        <f ca="1">OFFSET(TblPop[[#This Row],[Peasants]],-1,0)+OFFSET(TblPop[[#This Row],[Net Peasant]],-1,0)+TblMili[[#This Row],[Release Draft]]</f>
        <v>1532</v>
      </c>
      <c r="D69" s="96">
        <f ca="1">TblMili[[#This Row],[Military]]</f>
        <v>826</v>
      </c>
      <c r="E69" s="96">
        <f ca="1">TblMili[[#This Row],[Draftees]]</f>
        <v>626</v>
      </c>
      <c r="F69" s="96">
        <f ca="1">TblPop[[#This Row],[Peasants]]+TblPop[[#This Row],[Military]]</f>
        <v>2358</v>
      </c>
      <c r="G69" s="141">
        <f ca="1">TblPop[[#This Row],[Military]]/TblPop[[#This Row],[Total]]</f>
        <v>0.35029686174724345</v>
      </c>
      <c r="H69" s="142">
        <f ca="1">MIN(TblPop[[#This Row],[Peasants]],TblPop[[#This Row],[Jobs]])</f>
        <v>1532</v>
      </c>
      <c r="I69" s="141">
        <f ca="1">MIN(OFFSET(TblPop[[#This Row],[Jobs]],1,0)/TblPop[[#This Row],[Peasants]],1)</f>
        <v>1</v>
      </c>
      <c r="J69" s="142">
        <f ca="1">SUM(TblConstr[[#This Row],[Tot Alc]:[Tot GT]],TblConstr[[#This Row],[Tot Shr]:[Tot Doc]],TblConstr[[#This Row],[Dest Alc]:[Dest GT]],TblConstr[[#This Row],[Dest Shr]:[Dest Doc]])*building_employment + TblConstr[[#This Row],[Tot Fac]]*bonus_jobs_facts</f>
        <v>1600</v>
      </c>
      <c r="K69" s="143"/>
      <c r="L69" s="61">
        <f ca="1">TblPop[[#This Row],[Draftees]]</f>
        <v>626</v>
      </c>
      <c r="M69" s="61">
        <f ca="1">TblMili[[#This Row],[Unit 1]]</f>
        <v>0</v>
      </c>
      <c r="N69" s="61">
        <f ca="1">TblMili[[#This Row],[Unit 2]]</f>
        <v>150</v>
      </c>
      <c r="O69" s="61">
        <f ca="1">TblMili[[#This Row],[Unit 3]]</f>
        <v>0</v>
      </c>
      <c r="P69" s="61">
        <f ca="1">TblMili[[#This Row],[Unit 4]]</f>
        <v>0</v>
      </c>
      <c r="Q69" s="61">
        <f ca="1">TblMili[[#This Row],[Spies]]</f>
        <v>25</v>
      </c>
      <c r="R69" s="61">
        <f ca="1">TblMili[[#This Row],[Wizards]]</f>
        <v>25</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2358</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6">
        <f ca="1">MAX(-5%*TblPop[[#This Row],[Peasants]]-TblPop[[#This Row],[Draft Growth]],MIN(OFFSET(TblPop[[#This Row],[Net max]],1,0)-TblPop[[#This Row],[Peasants]]-TblPop[[#This Row],[Military]]-TblPop[[#This Row],[Draft Growth]],TblPop[[#This Row],[Modded Birth]]-TblPop[[#This Row],[Draft Growth]]))</f>
        <v>0</v>
      </c>
      <c r="X69" s="96">
        <f ca="1">ROUND(TblPop[[#This Row],[Raw Birth]]*(1+TblPop[[#This Row],[Growth]]),0)</f>
        <v>46</v>
      </c>
      <c r="Y69" s="96">
        <f ca="1">(TblPop[[#This Row],[Peasants]]-TblPop[[#This Row],[Draft Growth]])*raw_pop_growth</f>
        <v>45.96</v>
      </c>
      <c r="Z69" s="96">
        <f ca="1">ROUND(IF(TblPop[[#This Row],[Military%]]&lt;TblMili[[#This Row],[Draftrate]],ROUND(TblPop[[#This Row],[Peasants]]*Constants!$B$55,0), 0) * IF(AND(TblMagic[[#This Row],[Active DnD]]&lt;=12,TblMagic[[#This Row],[Active DnD]]&gt;6),1.6,1),0)</f>
        <v>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45734.74999999984</v>
      </c>
      <c r="C70" s="96">
        <f ca="1">OFFSET(TblPop[[#This Row],[Peasants]],-1,0)+OFFSET(TblPop[[#This Row],[Net Peasant]],-1,0)+TblMili[[#This Row],[Release Draft]]</f>
        <v>1532</v>
      </c>
      <c r="D70" s="96">
        <f ca="1">TblMili[[#This Row],[Military]]</f>
        <v>826</v>
      </c>
      <c r="E70" s="96">
        <f ca="1">TblMili[[#This Row],[Draftees]]</f>
        <v>626</v>
      </c>
      <c r="F70" s="96">
        <f ca="1">TblPop[[#This Row],[Peasants]]+TblPop[[#This Row],[Military]]</f>
        <v>2358</v>
      </c>
      <c r="G70" s="141">
        <f ca="1">TblPop[[#This Row],[Military]]/TblPop[[#This Row],[Total]]</f>
        <v>0.35029686174724345</v>
      </c>
      <c r="H70" s="142">
        <f ca="1">MIN(TblPop[[#This Row],[Peasants]],TblPop[[#This Row],[Jobs]])</f>
        <v>1532</v>
      </c>
      <c r="I70" s="141">
        <f ca="1">MIN(OFFSET(TblPop[[#This Row],[Jobs]],1,0)/TblPop[[#This Row],[Peasants]],1)</f>
        <v>1</v>
      </c>
      <c r="J70" s="142">
        <f ca="1">SUM(TblConstr[[#This Row],[Tot Alc]:[Tot GT]],TblConstr[[#This Row],[Tot Shr]:[Tot Doc]],TblConstr[[#This Row],[Dest Alc]:[Dest GT]],TblConstr[[#This Row],[Dest Shr]:[Dest Doc]])*building_employment + TblConstr[[#This Row],[Tot Fac]]*bonus_jobs_facts</f>
        <v>1600</v>
      </c>
      <c r="K70" s="143"/>
      <c r="L70" s="61">
        <f ca="1">TblPop[[#This Row],[Draftees]]</f>
        <v>626</v>
      </c>
      <c r="M70" s="61">
        <f ca="1">TblMili[[#This Row],[Unit 1]]</f>
        <v>0</v>
      </c>
      <c r="N70" s="61">
        <f ca="1">TblMili[[#This Row],[Unit 2]]</f>
        <v>150</v>
      </c>
      <c r="O70" s="61">
        <f ca="1">TblMili[[#This Row],[Unit 3]]</f>
        <v>0</v>
      </c>
      <c r="P70" s="61">
        <f ca="1">TblMili[[#This Row],[Unit 4]]</f>
        <v>0</v>
      </c>
      <c r="Q70" s="61">
        <f ca="1">TblMili[[#This Row],[Spies]]</f>
        <v>25</v>
      </c>
      <c r="R70" s="61">
        <f ca="1">TblMili[[#This Row],[Wizards]]</f>
        <v>25</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2358</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6">
        <f ca="1">MAX(-5%*TblPop[[#This Row],[Peasants]]-TblPop[[#This Row],[Draft Growth]],MIN(OFFSET(TblPop[[#This Row],[Net max]],1,0)-TblPop[[#This Row],[Peasants]]-TblPop[[#This Row],[Military]]-TblPop[[#This Row],[Draft Growth]],TblPop[[#This Row],[Modded Birth]]-TblPop[[#This Row],[Draft Growth]]))</f>
        <v>0</v>
      </c>
      <c r="X70" s="96">
        <f ca="1">ROUND(TblPop[[#This Row],[Raw Birth]]*(1+TblPop[[#This Row],[Growth]]),0)</f>
        <v>46</v>
      </c>
      <c r="Y70" s="96">
        <f ca="1">(TblPop[[#This Row],[Peasants]]-TblPop[[#This Row],[Draft Growth]])*raw_pop_growth</f>
        <v>45.96</v>
      </c>
      <c r="Z70" s="96">
        <f ca="1">ROUND(IF(TblPop[[#This Row],[Military%]]&lt;TblMili[[#This Row],[Draftrate]],ROUND(TblPop[[#This Row],[Peasants]]*Constants!$B$55,0), 0) * IF(AND(TblMagic[[#This Row],[Active DnD]]&lt;=12,TblMagic[[#This Row],[Active DnD]]&gt;6),1.6,1),0)</f>
        <v>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45734.791666666504</v>
      </c>
      <c r="C71" s="96">
        <f ca="1">OFFSET(TblPop[[#This Row],[Peasants]],-1,0)+OFFSET(TblPop[[#This Row],[Net Peasant]],-1,0)+TblMili[[#This Row],[Release Draft]]</f>
        <v>1532</v>
      </c>
      <c r="D71" s="96">
        <f ca="1">TblMili[[#This Row],[Military]]</f>
        <v>826</v>
      </c>
      <c r="E71" s="96">
        <f ca="1">TblMili[[#This Row],[Draftees]]</f>
        <v>626</v>
      </c>
      <c r="F71" s="96">
        <f ca="1">TblPop[[#This Row],[Peasants]]+TblPop[[#This Row],[Military]]</f>
        <v>2358</v>
      </c>
      <c r="G71" s="141">
        <f ca="1">TblPop[[#This Row],[Military]]/TblPop[[#This Row],[Total]]</f>
        <v>0.35029686174724345</v>
      </c>
      <c r="H71" s="142">
        <f ca="1">MIN(TblPop[[#This Row],[Peasants]],TblPop[[#This Row],[Jobs]])</f>
        <v>1532</v>
      </c>
      <c r="I71" s="141">
        <f ca="1">MIN(OFFSET(TblPop[[#This Row],[Jobs]],1,0)/TblPop[[#This Row],[Peasants]],1)</f>
        <v>1</v>
      </c>
      <c r="J71" s="142">
        <f ca="1">SUM(TblConstr[[#This Row],[Tot Alc]:[Tot GT]],TblConstr[[#This Row],[Tot Shr]:[Tot Doc]],TblConstr[[#This Row],[Dest Alc]:[Dest GT]],TblConstr[[#This Row],[Dest Shr]:[Dest Doc]])*building_employment + TblConstr[[#This Row],[Tot Fac]]*bonus_jobs_facts</f>
        <v>1600</v>
      </c>
      <c r="K71" s="143"/>
      <c r="L71" s="61">
        <f ca="1">TblPop[[#This Row],[Draftees]]</f>
        <v>626</v>
      </c>
      <c r="M71" s="61">
        <f ca="1">TblMili[[#This Row],[Unit 1]]</f>
        <v>0</v>
      </c>
      <c r="N71" s="61">
        <f ca="1">TblMili[[#This Row],[Unit 2]]</f>
        <v>150</v>
      </c>
      <c r="O71" s="61">
        <f ca="1">TblMili[[#This Row],[Unit 3]]</f>
        <v>0</v>
      </c>
      <c r="P71" s="61">
        <f ca="1">TblMili[[#This Row],[Unit 4]]</f>
        <v>0</v>
      </c>
      <c r="Q71" s="61">
        <f ca="1">TblMili[[#This Row],[Spies]]</f>
        <v>25</v>
      </c>
      <c r="R71" s="61">
        <f ca="1">TblMili[[#This Row],[Wizards]]</f>
        <v>25</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2358</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6">
        <f ca="1">MAX(-5%*TblPop[[#This Row],[Peasants]]-TblPop[[#This Row],[Draft Growth]],MIN(OFFSET(TblPop[[#This Row],[Net max]],1,0)-TblPop[[#This Row],[Peasants]]-TblPop[[#This Row],[Military]]-TblPop[[#This Row],[Draft Growth]],TblPop[[#This Row],[Modded Birth]]-TblPop[[#This Row],[Draft Growth]]))</f>
        <v>0</v>
      </c>
      <c r="X71" s="96">
        <f ca="1">ROUND(TblPop[[#This Row],[Raw Birth]]*(1+TblPop[[#This Row],[Growth]]),0)</f>
        <v>46</v>
      </c>
      <c r="Y71" s="96">
        <f ca="1">(TblPop[[#This Row],[Peasants]]-TblPop[[#This Row],[Draft Growth]])*raw_pop_growth</f>
        <v>45.96</v>
      </c>
      <c r="Z71" s="96">
        <f ca="1">ROUND(IF(TblPop[[#This Row],[Military%]]&lt;TblMili[[#This Row],[Draftrate]],ROUND(TblPop[[#This Row],[Peasants]]*Constants!$B$55,0), 0) * IF(AND(TblMagic[[#This Row],[Active DnD]]&lt;=12,TblMagic[[#This Row],[Active DnD]]&gt;6),1.6,1),0)</f>
        <v>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45734.833333333168</v>
      </c>
      <c r="C72" s="96">
        <f ca="1">OFFSET(TblPop[[#This Row],[Peasants]],-1,0)+OFFSET(TblPop[[#This Row],[Net Peasant]],-1,0)+TblMili[[#This Row],[Release Draft]]</f>
        <v>1532</v>
      </c>
      <c r="D72" s="96">
        <f ca="1">TblMili[[#This Row],[Military]]</f>
        <v>826</v>
      </c>
      <c r="E72" s="96">
        <f ca="1">TblMili[[#This Row],[Draftees]]</f>
        <v>626</v>
      </c>
      <c r="F72" s="96">
        <f ca="1">TblPop[[#This Row],[Peasants]]+TblPop[[#This Row],[Military]]</f>
        <v>2358</v>
      </c>
      <c r="G72" s="141">
        <f ca="1">TblPop[[#This Row],[Military]]/TblPop[[#This Row],[Total]]</f>
        <v>0.35029686174724345</v>
      </c>
      <c r="H72" s="142">
        <f ca="1">MIN(TblPop[[#This Row],[Peasants]],TblPop[[#This Row],[Jobs]])</f>
        <v>1532</v>
      </c>
      <c r="I72" s="141">
        <f ca="1">MIN(OFFSET(TblPop[[#This Row],[Jobs]],1,0)/TblPop[[#This Row],[Peasants]],1)</f>
        <v>1</v>
      </c>
      <c r="J72" s="142">
        <f ca="1">SUM(TblConstr[[#This Row],[Tot Alc]:[Tot GT]],TblConstr[[#This Row],[Tot Shr]:[Tot Doc]],TblConstr[[#This Row],[Dest Alc]:[Dest GT]],TblConstr[[#This Row],[Dest Shr]:[Dest Doc]])*building_employment + TblConstr[[#This Row],[Tot Fac]]*bonus_jobs_facts</f>
        <v>1600</v>
      </c>
      <c r="K72" s="143"/>
      <c r="L72" s="61">
        <f ca="1">TblPop[[#This Row],[Draftees]]</f>
        <v>626</v>
      </c>
      <c r="M72" s="61">
        <f ca="1">TblMili[[#This Row],[Unit 1]]</f>
        <v>0</v>
      </c>
      <c r="N72" s="61">
        <f ca="1">TblMili[[#This Row],[Unit 2]]</f>
        <v>150</v>
      </c>
      <c r="O72" s="61">
        <f ca="1">TblMili[[#This Row],[Unit 3]]</f>
        <v>0</v>
      </c>
      <c r="P72" s="61">
        <f ca="1">TblMili[[#This Row],[Unit 4]]</f>
        <v>0</v>
      </c>
      <c r="Q72" s="61">
        <f ca="1">TblMili[[#This Row],[Spies]]</f>
        <v>25</v>
      </c>
      <c r="R72" s="61">
        <f ca="1">TblMili[[#This Row],[Wizards]]</f>
        <v>25</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2358</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6">
        <f ca="1">MAX(-5%*TblPop[[#This Row],[Peasants]]-TblPop[[#This Row],[Draft Growth]],MIN(OFFSET(TblPop[[#This Row],[Net max]],1,0)-TblPop[[#This Row],[Peasants]]-TblPop[[#This Row],[Military]]-TblPop[[#This Row],[Draft Growth]],TblPop[[#This Row],[Modded Birth]]-TblPop[[#This Row],[Draft Growth]]))</f>
        <v>0</v>
      </c>
      <c r="X72" s="96">
        <f ca="1">ROUND(TblPop[[#This Row],[Raw Birth]]*(1+TblPop[[#This Row],[Growth]]),0)</f>
        <v>46</v>
      </c>
      <c r="Y72" s="96">
        <f ca="1">(TblPop[[#This Row],[Peasants]]-TblPop[[#This Row],[Draft Growth]])*raw_pop_growth</f>
        <v>45.96</v>
      </c>
      <c r="Z72" s="96">
        <f ca="1">ROUND(IF(TblPop[[#This Row],[Military%]]&lt;TblMili[[#This Row],[Draftrate]],ROUND(TblPop[[#This Row],[Peasants]]*Constants!$B$55,0), 0) * IF(AND(TblMagic[[#This Row],[Active DnD]]&lt;=12,TblMagic[[#This Row],[Active DnD]]&gt;6),1.6,1),0)</f>
        <v>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45734.874999999833</v>
      </c>
      <c r="C73" s="96">
        <f ca="1">OFFSET(TblPop[[#This Row],[Peasants]],-1,0)+OFFSET(TblPop[[#This Row],[Net Peasant]],-1,0)+TblMili[[#This Row],[Release Draft]]</f>
        <v>1532</v>
      </c>
      <c r="D73" s="96">
        <f ca="1">TblMili[[#This Row],[Military]]</f>
        <v>826</v>
      </c>
      <c r="E73" s="96">
        <f ca="1">TblMili[[#This Row],[Draftees]]</f>
        <v>626</v>
      </c>
      <c r="F73" s="96">
        <f ca="1">TblPop[[#This Row],[Peasants]]+TblPop[[#This Row],[Military]]</f>
        <v>2358</v>
      </c>
      <c r="G73" s="141">
        <f ca="1">TblPop[[#This Row],[Military]]/TblPop[[#This Row],[Total]]</f>
        <v>0.35029686174724345</v>
      </c>
      <c r="H73" s="142">
        <f ca="1">MIN(TblPop[[#This Row],[Peasants]],TblPop[[#This Row],[Jobs]])</f>
        <v>1532</v>
      </c>
      <c r="I73" s="141">
        <f ca="1">MIN(OFFSET(TblPop[[#This Row],[Jobs]],1,0)/TblPop[[#This Row],[Peasants]],1)</f>
        <v>1</v>
      </c>
      <c r="J73" s="142">
        <f ca="1">SUM(TblConstr[[#This Row],[Tot Alc]:[Tot GT]],TblConstr[[#This Row],[Tot Shr]:[Tot Doc]],TblConstr[[#This Row],[Dest Alc]:[Dest GT]],TblConstr[[#This Row],[Dest Shr]:[Dest Doc]])*building_employment + TblConstr[[#This Row],[Tot Fac]]*bonus_jobs_facts</f>
        <v>1600</v>
      </c>
      <c r="K73" s="143"/>
      <c r="L73" s="61">
        <f ca="1">TblPop[[#This Row],[Draftees]]</f>
        <v>626</v>
      </c>
      <c r="M73" s="61">
        <f ca="1">TblMili[[#This Row],[Unit 1]]</f>
        <v>0</v>
      </c>
      <c r="N73" s="61">
        <f ca="1">TblMili[[#This Row],[Unit 2]]</f>
        <v>150</v>
      </c>
      <c r="O73" s="61">
        <f ca="1">TblMili[[#This Row],[Unit 3]]</f>
        <v>0</v>
      </c>
      <c r="P73" s="61">
        <f ca="1">TblMili[[#This Row],[Unit 4]]</f>
        <v>0</v>
      </c>
      <c r="Q73" s="61">
        <f ca="1">TblMili[[#This Row],[Spies]]</f>
        <v>25</v>
      </c>
      <c r="R73" s="61">
        <f ca="1">TblMili[[#This Row],[Wizards]]</f>
        <v>25</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2358</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6">
        <f ca="1">MAX(-5%*TblPop[[#This Row],[Peasants]]-TblPop[[#This Row],[Draft Growth]],MIN(OFFSET(TblPop[[#This Row],[Net max]],1,0)-TblPop[[#This Row],[Peasants]]-TblPop[[#This Row],[Military]]-TblPop[[#This Row],[Draft Growth]],TblPop[[#This Row],[Modded Birth]]-TblPop[[#This Row],[Draft Growth]]))</f>
        <v>0</v>
      </c>
      <c r="X73" s="96">
        <f ca="1">ROUND(TblPop[[#This Row],[Raw Birth]]*(1+TblPop[[#This Row],[Growth]]),0)</f>
        <v>46</v>
      </c>
      <c r="Y73" s="96">
        <f ca="1">(TblPop[[#This Row],[Peasants]]-TblPop[[#This Row],[Draft Growth]])*raw_pop_growth</f>
        <v>45.96</v>
      </c>
      <c r="Z73" s="96">
        <f ca="1">ROUND(IF(TblPop[[#This Row],[Military%]]&lt;TblMili[[#This Row],[Draftrate]],ROUND(TblPop[[#This Row],[Peasants]]*Constants!$B$55,0), 0) * IF(AND(TblMagic[[#This Row],[Active DnD]]&lt;=12,TblMagic[[#This Row],[Active DnD]]&gt;6),1.6,1),0)</f>
        <v>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45734.916666666497</v>
      </c>
      <c r="C74" s="96">
        <f ca="1">OFFSET(TblPop[[#This Row],[Peasants]],-1,0)+OFFSET(TblPop[[#This Row],[Net Peasant]],-1,0)+TblMili[[#This Row],[Release Draft]]</f>
        <v>1532</v>
      </c>
      <c r="D74" s="96">
        <f ca="1">TblMili[[#This Row],[Military]]</f>
        <v>826</v>
      </c>
      <c r="E74" s="96">
        <f ca="1">TblMili[[#This Row],[Draftees]]</f>
        <v>626</v>
      </c>
      <c r="F74" s="96">
        <f ca="1">TblPop[[#This Row],[Peasants]]+TblPop[[#This Row],[Military]]</f>
        <v>2358</v>
      </c>
      <c r="G74" s="141">
        <f ca="1">TblPop[[#This Row],[Military]]/TblPop[[#This Row],[Total]]</f>
        <v>0.35029686174724345</v>
      </c>
      <c r="H74" s="142">
        <f ca="1">MIN(TblPop[[#This Row],[Peasants]],TblPop[[#This Row],[Jobs]])</f>
        <v>1532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1600</v>
      </c>
      <c r="K74" s="143"/>
      <c r="L74" s="61">
        <f ca="1">TblPop[[#This Row],[Draftees]]</f>
        <v>626</v>
      </c>
      <c r="M74" s="61">
        <f ca="1">TblMili[[#This Row],[Unit 1]]</f>
        <v>0</v>
      </c>
      <c r="N74" s="61">
        <f ca="1">TblMili[[#This Row],[Unit 2]]</f>
        <v>150</v>
      </c>
      <c r="O74" s="61">
        <f ca="1">TblMili[[#This Row],[Unit 3]]</f>
        <v>0</v>
      </c>
      <c r="P74" s="61">
        <f ca="1">TblMili[[#This Row],[Unit 4]]</f>
        <v>0</v>
      </c>
      <c r="Q74" s="61">
        <f ca="1">TblMili[[#This Row],[Spies]]</f>
        <v>25</v>
      </c>
      <c r="R74" s="61">
        <f ca="1">TblMili[[#This Row],[Wizards]]</f>
        <v>25</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2358</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6">
        <f ca="1">MAX(-5%*TblPop[[#This Row],[Peasants]]-TblPop[[#This Row],[Draft Growth]],MIN(OFFSET(TblPop[[#This Row],[Net max]],1,0)-TblPop[[#This Row],[Peasants]]-TblPop[[#This Row],[Military]]-TblPop[[#This Row],[Draft Growth]],TblPop[[#This Row],[Modded Birth]]-TblPop[[#This Row],[Draft Growth]]))</f>
        <v>0</v>
      </c>
      <c r="X74" s="96">
        <f ca="1">ROUND(TblPop[[#This Row],[Raw Birth]]*(1+TblPop[[#This Row],[Growth]]),0)</f>
        <v>46</v>
      </c>
      <c r="Y74" s="96">
        <f ca="1">(TblPop[[#This Row],[Peasants]]-TblPop[[#This Row],[Draft Growth]])*raw_pop_growth</f>
        <v>45.96</v>
      </c>
      <c r="Z74" s="96">
        <f ca="1">ROUND(IF(TblPop[[#This Row],[Military%]]&lt;TblMili[[#This Row],[Draftrate]],ROUND(TblPop[[#This Row],[Peasants]]*Constants!$B$55,0), 0) * IF(AND(TblMagic[[#This Row],[Active DnD]]&lt;=12,TblMagic[[#This Row],[Active DnD]]&gt;6),1.6,1),0)</f>
        <v>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45734.958333333161</v>
      </c>
      <c r="C75" s="96">
        <f ca="1">OFFSET(TblPop[[#This Row],[Peasants]],-1,0)+OFFSET(TblPop[[#This Row],[Net Peasant]],-1,0)+TblMili[[#This Row],[Release Draft]]</f>
        <v>1532</v>
      </c>
      <c r="D75" s="96">
        <f ca="1">TblMili[[#This Row],[Military]]</f>
        <v>826</v>
      </c>
      <c r="E75" s="96">
        <f ca="1">TblMili[[#This Row],[Draftees]]</f>
        <v>626</v>
      </c>
      <c r="F75" s="96">
        <f ca="1">TblPop[[#This Row],[Peasants]]+TblPop[[#This Row],[Military]]</f>
        <v>2358</v>
      </c>
      <c r="G75" s="141">
        <f ca="1">TblPop[[#This Row],[Military]]/TblPop[[#This Row],[Total]]</f>
        <v>0.35029686174724345</v>
      </c>
      <c r="H75" s="142">
        <f ca="1">MIN(TblPop[[#This Row],[Peasants]],TblPop[[#This Row],[Jobs]])</f>
        <v>1532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1600</v>
      </c>
      <c r="K75" s="143"/>
      <c r="L75" s="61">
        <f ca="1">TblPop[[#This Row],[Draftees]]</f>
        <v>626</v>
      </c>
      <c r="M75" s="61">
        <f ca="1">TblMili[[#This Row],[Unit 1]]</f>
        <v>0</v>
      </c>
      <c r="N75" s="61">
        <f ca="1">TblMili[[#This Row],[Unit 2]]</f>
        <v>150</v>
      </c>
      <c r="O75" s="61">
        <f ca="1">TblMili[[#This Row],[Unit 3]]</f>
        <v>0</v>
      </c>
      <c r="P75" s="61">
        <f ca="1">TblMili[[#This Row],[Unit 4]]</f>
        <v>0</v>
      </c>
      <c r="Q75" s="61">
        <f ca="1">TblMili[[#This Row],[Spies]]</f>
        <v>25</v>
      </c>
      <c r="R75" s="61">
        <f ca="1">TblMili[[#This Row],[Wizards]]</f>
        <v>25</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2358</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6">
        <f ca="1">MAX(-5%*TblPop[[#This Row],[Peasants]]-TblPop[[#This Row],[Draft Growth]],MIN(OFFSET(TblPop[[#This Row],[Net max]],1,0)-TblPop[[#This Row],[Peasants]]-TblPop[[#This Row],[Military]]-TblPop[[#This Row],[Draft Growth]],TblPop[[#This Row],[Modded Birth]]-TblPop[[#This Row],[Draft Growth]]))</f>
        <v>0</v>
      </c>
      <c r="X75" s="96">
        <f ca="1">ROUND(TblPop[[#This Row],[Raw Birth]]*(1+TblPop[[#This Row],[Growth]]),0)</f>
        <v>46</v>
      </c>
      <c r="Y75" s="96">
        <f ca="1">(TblPop[[#This Row],[Peasants]]-TblPop[[#This Row],[Draft Growth]])*raw_pop_growth</f>
        <v>45.96</v>
      </c>
      <c r="Z75" s="96">
        <f ca="1">ROUND(IF(TblPop[[#This Row],[Military%]]&lt;TblMili[[#This Row],[Draftrate]],ROUND(TblPop[[#This Row],[Peasants]]*Constants!$B$55,0), 0) * IF(AND(TblMagic[[#This Row],[Active DnD]]&lt;=12,TblMagic[[#This Row],[Active DnD]]&gt;6),1.6,1),0)</f>
        <v>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6">
        <f>TblRezone[[#This Row],[Hour]]</f>
        <v>73</v>
      </c>
      <c r="B76" s="147">
        <f ca="1">TblImps[[#This Row],[Time]]</f>
        <v>45734.999999999825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8">
        <f ca="1">TblPop[[#This Row],[Military]]/TblPop[[#This Row],[Total]]</f>
        <v>0.35029686174724345</v>
      </c>
      <c r="H76" s="149">
        <f ca="1">MIN(TblPop[[#This Row],[Peasants]],TblPop[[#This Row],[Jobs]])</f>
        <v>1532</v>
      </c>
      <c r="I76" s="148">
        <f ca="1">MIN(OFFSET(TblPop[[#This Row],[Jobs]],1,0)/TblPop[[#This Row],[Peasants]],1)</f>
        <v>1</v>
      </c>
      <c r="J76" s="142">
        <f ca="1">SUM(TblConstr[[#This Row],[Tot Alc]:[Tot GT]],TblConstr[[#This Row],[Tot Shr]:[Tot Doc]],TblConstr[[#This Row],[Dest Alc]:[Dest GT]],TblConstr[[#This Row],[Dest Shr]:[Dest Doc]])*building_employment + TblConstr[[#This Row],[Tot Fac]]*bonus_jobs_facts</f>
        <v>1600</v>
      </c>
      <c r="K76" s="143"/>
      <c r="L76" s="150">
        <f ca="1">TblPop[[#This Row],[Draftees]]</f>
        <v>626</v>
      </c>
      <c r="M76" s="150">
        <f ca="1">TblMili[[#This Row],[Unit 1]]</f>
        <v>0</v>
      </c>
      <c r="N76" s="150">
        <f ca="1">TblMili[[#This Row],[Unit 2]]</f>
        <v>150</v>
      </c>
      <c r="O76" s="150">
        <f ca="1">TblMili[[#This Row],[Unit 3]]</f>
        <v>0</v>
      </c>
      <c r="P76" s="150">
        <f ca="1">TblMili[[#This Row],[Unit 4]]</f>
        <v>0</v>
      </c>
      <c r="Q76" s="150">
        <f ca="1">TblMili[[#This Row],[Spies]]</f>
        <v>25</v>
      </c>
      <c r="R76" s="150">
        <f ca="1">TblMili[[#This Row],[Wizards]]</f>
        <v>25</v>
      </c>
      <c r="S76" s="150">
        <f ca="1">TblMili[[#This Row],[Archmages]]</f>
        <v>0</v>
      </c>
      <c r="T76" s="151"/>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1"/>
      <c r="AB76" s="152">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45735.04166666649</v>
      </c>
      <c r="C77" s="96">
        <f ca="1">OFFSET(TblPop[[#This Row],[Peasants]],-1,0)+OFFSET(TblPop[[#This Row],[Net Peasant]],-1,0)+TblMili[[#This Row],[Release Draft]]</f>
        <v>1532</v>
      </c>
      <c r="D77" s="96">
        <f ca="1">TblMili[[#This Row],[Military]]</f>
        <v>826</v>
      </c>
      <c r="E77" s="96">
        <f ca="1">TblMili[[#This Row],[Draftees]]</f>
        <v>626</v>
      </c>
      <c r="F77" s="96">
        <f ca="1">TblPop[[#This Row],[Peasants]]+TblPop[[#This Row],[Military]]</f>
        <v>2358</v>
      </c>
      <c r="G77" s="141">
        <f ca="1">TblPop[[#This Row],[Military]]/TblPop[[#This Row],[Total]]</f>
        <v>0.35029686174724345</v>
      </c>
      <c r="H77" s="142">
        <f ca="1">MIN(TblPop[[#This Row],[Peasants]],TblPop[[#This Row],[Jobs]])</f>
        <v>1532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1600</v>
      </c>
      <c r="K77" s="143"/>
      <c r="L77" s="61">
        <f ca="1">TblPop[[#This Row],[Draftees]]</f>
        <v>626</v>
      </c>
      <c r="M77" s="61">
        <f ca="1">TblMili[[#This Row],[Unit 1]]</f>
        <v>0</v>
      </c>
      <c r="N77" s="61">
        <f ca="1">TblMili[[#This Row],[Unit 2]]</f>
        <v>150</v>
      </c>
      <c r="O77" s="61">
        <f ca="1">TblMili[[#This Row],[Unit 3]]</f>
        <v>0</v>
      </c>
      <c r="P77" s="61">
        <f ca="1">TblMili[[#This Row],[Unit 4]]</f>
        <v>0</v>
      </c>
      <c r="Q77" s="61">
        <f ca="1">TblMili[[#This Row],[Spies]]</f>
        <v>25</v>
      </c>
      <c r="R77" s="61">
        <f ca="1">TblMili[[#This Row],[Wizards]]</f>
        <v>25</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2358</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6">
        <f ca="1">MAX(-5%*TblPop[[#This Row],[Peasants]]-TblPop[[#This Row],[Draft Growth]],MIN(OFFSET(TblPop[[#This Row],[Net max]],1,0)-TblPop[[#This Row],[Peasants]]-TblPop[[#This Row],[Military]]-TblPop[[#This Row],[Draft Growth]],TblPop[[#This Row],[Modded Birth]]-TblPop[[#This Row],[Draft Growth]]))</f>
        <v>0</v>
      </c>
      <c r="X77" s="96">
        <f ca="1">ROUND(TblPop[[#This Row],[Raw Birth]]*(1+TblPop[[#This Row],[Growth]]),0)</f>
        <v>46</v>
      </c>
      <c r="Y77" s="96">
        <f ca="1">(TblPop[[#This Row],[Peasants]]-TblPop[[#This Row],[Draft Growth]])*raw_pop_growth</f>
        <v>45.96</v>
      </c>
      <c r="Z77" s="96">
        <f ca="1">ROUND(IF(TblPop[[#This Row],[Military%]]&lt;TblMili[[#This Row],[Draftrate]],ROUND(TblPop[[#This Row],[Peasants]]*Constants!$B$55,0), 0) * IF(AND(TblMagic[[#This Row],[Active DnD]]&lt;=12,TblMagic[[#This Row],[Active DnD]]&gt;6),1.6,1),0)</f>
        <v>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45735.083333333154</v>
      </c>
      <c r="C78" s="96">
        <f ca="1">OFFSET(TblPop[[#This Row],[Peasants]],-1,0)+OFFSET(TblPop[[#This Row],[Net Peasant]],-1,0)+TblMili[[#This Row],[Release Draft]]</f>
        <v>1532</v>
      </c>
      <c r="D78" s="96">
        <f ca="1">TblMili[[#This Row],[Military]]</f>
        <v>826</v>
      </c>
      <c r="E78" s="96">
        <f ca="1">TblMili[[#This Row],[Draftees]]</f>
        <v>626</v>
      </c>
      <c r="F78" s="96">
        <f ca="1">TblPop[[#This Row],[Peasants]]+TblPop[[#This Row],[Military]]</f>
        <v>2358</v>
      </c>
      <c r="G78" s="141">
        <f ca="1">TblPop[[#This Row],[Military]]/TblPop[[#This Row],[Total]]</f>
        <v>0.35029686174724345</v>
      </c>
      <c r="H78" s="142">
        <f ca="1">MIN(TblPop[[#This Row],[Peasants]],TblPop[[#This Row],[Jobs]])</f>
        <v>1532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1600</v>
      </c>
      <c r="K78" s="143"/>
      <c r="L78" s="61">
        <f ca="1">TblPop[[#This Row],[Draftees]]</f>
        <v>626</v>
      </c>
      <c r="M78" s="61">
        <f ca="1">TblMili[[#This Row],[Unit 1]]</f>
        <v>0</v>
      </c>
      <c r="N78" s="61">
        <f ca="1">TblMili[[#This Row],[Unit 2]]</f>
        <v>150</v>
      </c>
      <c r="O78" s="61">
        <f ca="1">TblMili[[#This Row],[Unit 3]]</f>
        <v>0</v>
      </c>
      <c r="P78" s="61">
        <f ca="1">TblMili[[#This Row],[Unit 4]]</f>
        <v>0</v>
      </c>
      <c r="Q78" s="61">
        <f ca="1">TblMili[[#This Row],[Spies]]</f>
        <v>25</v>
      </c>
      <c r="R78" s="61">
        <f ca="1">TblMili[[#This Row],[Wizards]]</f>
        <v>25</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2358</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6">
        <f ca="1">MAX(-5%*TblPop[[#This Row],[Peasants]]-TblPop[[#This Row],[Draft Growth]],MIN(OFFSET(TblPop[[#This Row],[Net max]],1,0)-TblPop[[#This Row],[Peasants]]-TblPop[[#This Row],[Military]]-TblPop[[#This Row],[Draft Growth]],TblPop[[#This Row],[Modded Birth]]-TblPop[[#This Row],[Draft Growth]]))</f>
        <v>0</v>
      </c>
      <c r="X78" s="96">
        <f ca="1">ROUND(TblPop[[#This Row],[Raw Birth]]*(1+TblPop[[#This Row],[Growth]]),0)</f>
        <v>46</v>
      </c>
      <c r="Y78" s="96">
        <f ca="1">(TblPop[[#This Row],[Peasants]]-TblPop[[#This Row],[Draft Growth]])*raw_pop_growth</f>
        <v>45.96</v>
      </c>
      <c r="Z78" s="96">
        <f ca="1">ROUND(IF(TblPop[[#This Row],[Military%]]&lt;TblMili[[#This Row],[Draftrate]],ROUND(TblPop[[#This Row],[Peasants]]*Constants!$B$55,0), 0) * IF(AND(TblMagic[[#This Row],[Active DnD]]&lt;=12,TblMagic[[#This Row],[Active DnD]]&gt;6),1.6,1),0)</f>
        <v>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45735.124999999818</v>
      </c>
      <c r="C79" s="96">
        <f ca="1">OFFSET(TblPop[[#This Row],[Peasants]],-1,0)+OFFSET(TblPop[[#This Row],[Net Peasant]],-1,0)+TblMili[[#This Row],[Release Draft]]</f>
        <v>1532</v>
      </c>
      <c r="D79" s="96">
        <f ca="1">TblMili[[#This Row],[Military]]</f>
        <v>826</v>
      </c>
      <c r="E79" s="96">
        <f ca="1">TblMili[[#This Row],[Draftees]]</f>
        <v>626</v>
      </c>
      <c r="F79" s="96">
        <f ca="1">TblPop[[#This Row],[Peasants]]+TblPop[[#This Row],[Military]]</f>
        <v>2358</v>
      </c>
      <c r="G79" s="141">
        <f ca="1">TblPop[[#This Row],[Military]]/TblPop[[#This Row],[Total]]</f>
        <v>0.35029686174724345</v>
      </c>
      <c r="H79" s="142">
        <f ca="1">MIN(TblPop[[#This Row],[Peasants]],TblPop[[#This Row],[Jobs]])</f>
        <v>1532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1600</v>
      </c>
      <c r="K79" s="143"/>
      <c r="L79" s="61">
        <f ca="1">TblPop[[#This Row],[Draftees]]</f>
        <v>626</v>
      </c>
      <c r="M79" s="61">
        <f ca="1">TblMili[[#This Row],[Unit 1]]</f>
        <v>0</v>
      </c>
      <c r="N79" s="61">
        <f ca="1">TblMili[[#This Row],[Unit 2]]</f>
        <v>150</v>
      </c>
      <c r="O79" s="61">
        <f ca="1">TblMili[[#This Row],[Unit 3]]</f>
        <v>0</v>
      </c>
      <c r="P79" s="61">
        <f ca="1">TblMili[[#This Row],[Unit 4]]</f>
        <v>0</v>
      </c>
      <c r="Q79" s="61">
        <f ca="1">TblMili[[#This Row],[Spies]]</f>
        <v>25</v>
      </c>
      <c r="R79" s="61">
        <f ca="1">TblMili[[#This Row],[Wizards]]</f>
        <v>25</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2358</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6">
        <f ca="1">MAX(-5%*TblPop[[#This Row],[Peasants]]-TblPop[[#This Row],[Draft Growth]],MIN(OFFSET(TblPop[[#This Row],[Net max]],1,0)-TblPop[[#This Row],[Peasants]]-TblPop[[#This Row],[Military]]-TblPop[[#This Row],[Draft Growth]],TblPop[[#This Row],[Modded Birth]]-TblPop[[#This Row],[Draft Growth]]))</f>
        <v>0</v>
      </c>
      <c r="X79" s="96">
        <f ca="1">ROUND(TblPop[[#This Row],[Raw Birth]]*(1+TblPop[[#This Row],[Growth]]),0)</f>
        <v>46</v>
      </c>
      <c r="Y79" s="96">
        <f ca="1">(TblPop[[#This Row],[Peasants]]-TblPop[[#This Row],[Draft Growth]])*raw_pop_growth</f>
        <v>45.96</v>
      </c>
      <c r="Z79" s="96">
        <f ca="1">ROUND(IF(TblPop[[#This Row],[Military%]]&lt;TblMili[[#This Row],[Draftrate]],ROUND(TblPop[[#This Row],[Peasants]]*Constants!$B$55,0), 0) * IF(AND(TblMagic[[#This Row],[Active DnD]]&lt;=12,TblMagic[[#This Row],[Active DnD]]&gt;6),1.6,1),0)</f>
        <v>0</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45735.166666666482</v>
      </c>
      <c r="C80" s="96">
        <f ca="1">OFFSET(TblPop[[#This Row],[Peasants]],-1,0)+OFFSET(TblPop[[#This Row],[Net Peasant]],-1,0)+TblMili[[#This Row],[Release Draft]]</f>
        <v>1532</v>
      </c>
      <c r="D80" s="96">
        <f ca="1">TblMili[[#This Row],[Military]]</f>
        <v>826</v>
      </c>
      <c r="E80" s="96">
        <f ca="1">TblMili[[#This Row],[Draftees]]</f>
        <v>626</v>
      </c>
      <c r="F80" s="96">
        <f ca="1">TblPop[[#This Row],[Peasants]]+TblPop[[#This Row],[Military]]</f>
        <v>2358</v>
      </c>
      <c r="G80" s="141">
        <f ca="1">TblPop[[#This Row],[Military]]/TblPop[[#This Row],[Total]]</f>
        <v>0.35029686174724345</v>
      </c>
      <c r="H80" s="142">
        <f ca="1">MIN(TblPop[[#This Row],[Peasants]],TblPop[[#This Row],[Jobs]])</f>
        <v>1532</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1600</v>
      </c>
      <c r="K80" s="143"/>
      <c r="L80" s="61">
        <f ca="1">TblPop[[#This Row],[Draftees]]</f>
        <v>626</v>
      </c>
      <c r="M80" s="61">
        <f ca="1">TblMili[[#This Row],[Unit 1]]</f>
        <v>0</v>
      </c>
      <c r="N80" s="61">
        <f ca="1">TblMili[[#This Row],[Unit 2]]</f>
        <v>150</v>
      </c>
      <c r="O80" s="61">
        <f ca="1">TblMili[[#This Row],[Unit 3]]</f>
        <v>0</v>
      </c>
      <c r="P80" s="61">
        <f ca="1">TblMili[[#This Row],[Unit 4]]</f>
        <v>0</v>
      </c>
      <c r="Q80" s="61">
        <f ca="1">TblMili[[#This Row],[Spies]]</f>
        <v>25</v>
      </c>
      <c r="R80" s="61">
        <f ca="1">TblMili[[#This Row],[Wizards]]</f>
        <v>25</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2358</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6">
        <f ca="1">MAX(-5%*TblPop[[#This Row],[Peasants]]-TblPop[[#This Row],[Draft Growth]],MIN(OFFSET(TblPop[[#This Row],[Net max]],1,0)-TblPop[[#This Row],[Peasants]]-TblPop[[#This Row],[Military]]-TblPop[[#This Row],[Draft Growth]],TblPop[[#This Row],[Modded Birth]]-TblPop[[#This Row],[Draft Growth]]))</f>
        <v>0</v>
      </c>
      <c r="X80" s="96">
        <f ca="1">ROUND(TblPop[[#This Row],[Raw Birth]]*(1+TblPop[[#This Row],[Growth]]),0)</f>
        <v>46</v>
      </c>
      <c r="Y80" s="96">
        <f ca="1">(TblPop[[#This Row],[Peasants]]-TblPop[[#This Row],[Draft Growth]])*raw_pop_growth</f>
        <v>45.96</v>
      </c>
      <c r="Z80" s="96">
        <f ca="1">ROUND(IF(TblPop[[#This Row],[Military%]]&lt;TblMili[[#This Row],[Draftrate]],ROUND(TblPop[[#This Row],[Peasants]]*Constants!$B$55,0), 0) * IF(AND(TblMagic[[#This Row],[Active DnD]]&lt;=12,TblMagic[[#This Row],[Active DnD]]&gt;6),1.6,1),0)</f>
        <v>0</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45735.208333333147</v>
      </c>
      <c r="C81" s="96">
        <f ca="1">OFFSET(TblPop[[#This Row],[Peasants]],-1,0)+OFFSET(TblPop[[#This Row],[Net Peasant]],-1,0)+TblMili[[#This Row],[Release Draft]]</f>
        <v>1532</v>
      </c>
      <c r="D81" s="96">
        <f ca="1">TblMili[[#This Row],[Military]]</f>
        <v>826</v>
      </c>
      <c r="E81" s="96">
        <f ca="1">TblMili[[#This Row],[Draftees]]</f>
        <v>626</v>
      </c>
      <c r="F81" s="96">
        <f ca="1">TblPop[[#This Row],[Peasants]]+TblPop[[#This Row],[Military]]</f>
        <v>2358</v>
      </c>
      <c r="G81" s="141">
        <f ca="1">TblPop[[#This Row],[Military]]/TblPop[[#This Row],[Total]]</f>
        <v>0.35029686174724345</v>
      </c>
      <c r="H81" s="142">
        <f ca="1">MIN(TblPop[[#This Row],[Peasants]],TblPop[[#This Row],[Jobs]])</f>
        <v>1532</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1600</v>
      </c>
      <c r="K81" s="143"/>
      <c r="L81" s="61">
        <f ca="1">TblPop[[#This Row],[Draftees]]</f>
        <v>626</v>
      </c>
      <c r="M81" s="61">
        <f ca="1">TblMili[[#This Row],[Unit 1]]</f>
        <v>0</v>
      </c>
      <c r="N81" s="61">
        <f ca="1">TblMili[[#This Row],[Unit 2]]</f>
        <v>150</v>
      </c>
      <c r="O81" s="61">
        <f ca="1">TblMili[[#This Row],[Unit 3]]</f>
        <v>0</v>
      </c>
      <c r="P81" s="61">
        <f ca="1">TblMili[[#This Row],[Unit 4]]</f>
        <v>0</v>
      </c>
      <c r="Q81" s="61">
        <f ca="1">TblMili[[#This Row],[Spies]]</f>
        <v>25</v>
      </c>
      <c r="R81" s="61">
        <f ca="1">TblMili[[#This Row],[Wizards]]</f>
        <v>25</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2358</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6">
        <f ca="1">MAX(-5%*TblPop[[#This Row],[Peasants]]-TblPop[[#This Row],[Draft Growth]],MIN(OFFSET(TblPop[[#This Row],[Net max]],1,0)-TblPop[[#This Row],[Peasants]]-TblPop[[#This Row],[Military]]-TblPop[[#This Row],[Draft Growth]],TblPop[[#This Row],[Modded Birth]]-TblPop[[#This Row],[Draft Growth]]))</f>
        <v>0</v>
      </c>
      <c r="X81" s="96">
        <f ca="1">ROUND(TblPop[[#This Row],[Raw Birth]]*(1+TblPop[[#This Row],[Growth]]),0)</f>
        <v>46</v>
      </c>
      <c r="Y81" s="96">
        <f ca="1">(TblPop[[#This Row],[Peasants]]-TblPop[[#This Row],[Draft Growth]])*raw_pop_growth</f>
        <v>45.96</v>
      </c>
      <c r="Z81" s="96">
        <f ca="1">ROUND(IF(TblPop[[#This Row],[Military%]]&lt;TblMili[[#This Row],[Draftrate]],ROUND(TblPop[[#This Row],[Peasants]]*Constants!$B$55,0), 0) * IF(AND(TblMagic[[#This Row],[Active DnD]]&lt;=12,TblMagic[[#This Row],[Active DnD]]&gt;6),1.6,1),0)</f>
        <v>0</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45735.249999999811</v>
      </c>
      <c r="C82" s="96">
        <f ca="1">OFFSET(TblPop[[#This Row],[Peasants]],-1,0)+OFFSET(TblPop[[#This Row],[Net Peasant]],-1,0)+TblMili[[#This Row],[Release Draft]]</f>
        <v>1532</v>
      </c>
      <c r="D82" s="96">
        <f ca="1">TblMili[[#This Row],[Military]]</f>
        <v>826</v>
      </c>
      <c r="E82" s="96">
        <f ca="1">TblMili[[#This Row],[Draftees]]</f>
        <v>626</v>
      </c>
      <c r="F82" s="96">
        <f ca="1">TblPop[[#This Row],[Peasants]]+TblPop[[#This Row],[Military]]</f>
        <v>2358</v>
      </c>
      <c r="G82" s="141">
        <f ca="1">TblPop[[#This Row],[Military]]/TblPop[[#This Row],[Total]]</f>
        <v>0.35029686174724345</v>
      </c>
      <c r="H82" s="142">
        <f ca="1">MIN(TblPop[[#This Row],[Peasants]],TblPop[[#This Row],[Jobs]])</f>
        <v>1532</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1600</v>
      </c>
      <c r="K82" s="143"/>
      <c r="L82" s="61">
        <f ca="1">TblPop[[#This Row],[Draftees]]</f>
        <v>626</v>
      </c>
      <c r="M82" s="61">
        <f ca="1">TblMili[[#This Row],[Unit 1]]</f>
        <v>0</v>
      </c>
      <c r="N82" s="61">
        <f ca="1">TblMili[[#This Row],[Unit 2]]</f>
        <v>150</v>
      </c>
      <c r="O82" s="61">
        <f ca="1">TblMili[[#This Row],[Unit 3]]</f>
        <v>0</v>
      </c>
      <c r="P82" s="61">
        <f ca="1">TblMili[[#This Row],[Unit 4]]</f>
        <v>0</v>
      </c>
      <c r="Q82" s="61">
        <f ca="1">TblMili[[#This Row],[Spies]]</f>
        <v>25</v>
      </c>
      <c r="R82" s="61">
        <f ca="1">TblMili[[#This Row],[Wizards]]</f>
        <v>25</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2358</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6">
        <f ca="1">MAX(-5%*TblPop[[#This Row],[Peasants]]-TblPop[[#This Row],[Draft Growth]],MIN(OFFSET(TblPop[[#This Row],[Net max]],1,0)-TblPop[[#This Row],[Peasants]]-TblPop[[#This Row],[Military]]-TblPop[[#This Row],[Draft Growth]],TblPop[[#This Row],[Modded Birth]]-TblPop[[#This Row],[Draft Growth]]))</f>
        <v>0</v>
      </c>
      <c r="X82" s="96">
        <f ca="1">ROUND(TblPop[[#This Row],[Raw Birth]]*(1+TblPop[[#This Row],[Growth]]),0)</f>
        <v>46</v>
      </c>
      <c r="Y82" s="96">
        <f ca="1">(TblPop[[#This Row],[Peasants]]-TblPop[[#This Row],[Draft Growth]])*raw_pop_growth</f>
        <v>45.96</v>
      </c>
      <c r="Z82" s="96">
        <f ca="1">ROUND(IF(TblPop[[#This Row],[Military%]]&lt;TblMili[[#This Row],[Draftrate]],ROUND(TblPop[[#This Row],[Peasants]]*Constants!$B$55,0), 0) * IF(AND(TblMagic[[#This Row],[Active DnD]]&lt;=12,TblMagic[[#This Row],[Active DnD]]&gt;6),1.6,1),0)</f>
        <v>0</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45735.291666666475</v>
      </c>
      <c r="C83" s="96">
        <f ca="1">OFFSET(TblPop[[#This Row],[Peasants]],-1,0)+OFFSET(TblPop[[#This Row],[Net Peasant]],-1,0)+TblMili[[#This Row],[Release Draft]]</f>
        <v>1532</v>
      </c>
      <c r="D83" s="96">
        <f ca="1">TblMili[[#This Row],[Military]]</f>
        <v>826</v>
      </c>
      <c r="E83" s="96">
        <f ca="1">TblMili[[#This Row],[Draftees]]</f>
        <v>626</v>
      </c>
      <c r="F83" s="96">
        <f ca="1">TblPop[[#This Row],[Peasants]]+TblPop[[#This Row],[Military]]</f>
        <v>2358</v>
      </c>
      <c r="G83" s="141">
        <f ca="1">TblPop[[#This Row],[Military]]/TblPop[[#This Row],[Total]]</f>
        <v>0.35029686174724345</v>
      </c>
      <c r="H83" s="142">
        <f ca="1">MIN(TblPop[[#This Row],[Peasants]],TblPop[[#This Row],[Jobs]])</f>
        <v>1532</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1600</v>
      </c>
      <c r="K83" s="143"/>
      <c r="L83" s="61">
        <f ca="1">TblPop[[#This Row],[Draftees]]</f>
        <v>626</v>
      </c>
      <c r="M83" s="61">
        <f ca="1">TblMili[[#This Row],[Unit 1]]</f>
        <v>0</v>
      </c>
      <c r="N83" s="61">
        <f ca="1">TblMili[[#This Row],[Unit 2]]</f>
        <v>150</v>
      </c>
      <c r="O83" s="61">
        <f ca="1">TblMili[[#This Row],[Unit 3]]</f>
        <v>0</v>
      </c>
      <c r="P83" s="61">
        <f ca="1">TblMili[[#This Row],[Unit 4]]</f>
        <v>0</v>
      </c>
      <c r="Q83" s="61">
        <f ca="1">TblMili[[#This Row],[Spies]]</f>
        <v>25</v>
      </c>
      <c r="R83" s="61">
        <f ca="1">TblMili[[#This Row],[Wizards]]</f>
        <v>25</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2358</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6">
        <f ca="1">MAX(-5%*TblPop[[#This Row],[Peasants]]-TblPop[[#This Row],[Draft Growth]],MIN(OFFSET(TblPop[[#This Row],[Net max]],1,0)-TblPop[[#This Row],[Peasants]]-TblPop[[#This Row],[Military]]-TblPop[[#This Row],[Draft Growth]],TblPop[[#This Row],[Modded Birth]]-TblPop[[#This Row],[Draft Growth]]))</f>
        <v>0</v>
      </c>
      <c r="X83" s="96">
        <f ca="1">ROUND(TblPop[[#This Row],[Raw Birth]]*(1+TblPop[[#This Row],[Growth]]),0)</f>
        <v>46</v>
      </c>
      <c r="Y83" s="96">
        <f ca="1">(TblPop[[#This Row],[Peasants]]-TblPop[[#This Row],[Draft Growth]])*raw_pop_growth</f>
        <v>45.96</v>
      </c>
      <c r="Z83" s="96">
        <f ca="1">ROUND(IF(TblPop[[#This Row],[Military%]]&lt;TblMili[[#This Row],[Draftrate]],ROUND(TblPop[[#This Row],[Peasants]]*Constants!$B$55,0), 0) * IF(AND(TblMagic[[#This Row],[Active DnD]]&lt;=12,TblMagic[[#This Row],[Active DnD]]&gt;6),1.6,1),0)</f>
        <v>0</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45735.333333333139</v>
      </c>
      <c r="C84" s="96">
        <f ca="1">OFFSET(TblPop[[#This Row],[Peasants]],-1,0)+OFFSET(TblPop[[#This Row],[Net Peasant]],-1,0)+TblMili[[#This Row],[Release Draft]]</f>
        <v>1532</v>
      </c>
      <c r="D84" s="96">
        <f ca="1">TblMili[[#This Row],[Military]]</f>
        <v>826</v>
      </c>
      <c r="E84" s="96">
        <f ca="1">TblMili[[#This Row],[Draftees]]</f>
        <v>626</v>
      </c>
      <c r="F84" s="96">
        <f ca="1">TblPop[[#This Row],[Peasants]]+TblPop[[#This Row],[Military]]</f>
        <v>2358</v>
      </c>
      <c r="G84" s="141">
        <f ca="1">TblPop[[#This Row],[Military]]/TblPop[[#This Row],[Total]]</f>
        <v>0.35029686174724345</v>
      </c>
      <c r="H84" s="142">
        <f ca="1">MIN(TblPop[[#This Row],[Peasants]],TblPop[[#This Row],[Jobs]])</f>
        <v>1532</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1600</v>
      </c>
      <c r="K84" s="143"/>
      <c r="L84" s="61">
        <f ca="1">TblPop[[#This Row],[Draftees]]</f>
        <v>626</v>
      </c>
      <c r="M84" s="61">
        <f ca="1">TblMili[[#This Row],[Unit 1]]</f>
        <v>0</v>
      </c>
      <c r="N84" s="61">
        <f ca="1">TblMili[[#This Row],[Unit 2]]</f>
        <v>150</v>
      </c>
      <c r="O84" s="61">
        <f ca="1">TblMili[[#This Row],[Unit 3]]</f>
        <v>0</v>
      </c>
      <c r="P84" s="61">
        <f ca="1">TblMili[[#This Row],[Unit 4]]</f>
        <v>0</v>
      </c>
      <c r="Q84" s="61">
        <f ca="1">TblMili[[#This Row],[Spies]]</f>
        <v>25</v>
      </c>
      <c r="R84" s="61">
        <f ca="1">TblMili[[#This Row],[Wizards]]</f>
        <v>25</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2358</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6">
        <f ca="1">MAX(-5%*TblPop[[#This Row],[Peasants]]-TblPop[[#This Row],[Draft Growth]],MIN(OFFSET(TblPop[[#This Row],[Net max]],1,0)-TblPop[[#This Row],[Peasants]]-TblPop[[#This Row],[Military]]-TblPop[[#This Row],[Draft Growth]],TblPop[[#This Row],[Modded Birth]]-TblPop[[#This Row],[Draft Growth]]))</f>
        <v>0</v>
      </c>
      <c r="X84" s="96">
        <f ca="1">ROUND(TblPop[[#This Row],[Raw Birth]]*(1+TblPop[[#This Row],[Growth]]),0)</f>
        <v>46</v>
      </c>
      <c r="Y84" s="96">
        <f ca="1">(TblPop[[#This Row],[Peasants]]-TblPop[[#This Row],[Draft Growth]])*raw_pop_growth</f>
        <v>45.96</v>
      </c>
      <c r="Z84" s="96">
        <f ca="1">ROUND(IF(TblPop[[#This Row],[Military%]]&lt;TblMili[[#This Row],[Draftrate]],ROUND(TblPop[[#This Row],[Peasants]]*Constants!$B$55,0), 0) * IF(AND(TblMagic[[#This Row],[Active DnD]]&lt;=12,TblMagic[[#This Row],[Active DnD]]&gt;6),1.6,1),0)</f>
        <v>0</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45735.374999999804</v>
      </c>
      <c r="C85" s="96">
        <f ca="1">OFFSET(TblPop[[#This Row],[Peasants]],-1,0)+OFFSET(TblPop[[#This Row],[Net Peasant]],-1,0)+TblMili[[#This Row],[Release Draft]]</f>
        <v>1532</v>
      </c>
      <c r="D85" s="96">
        <f ca="1">TblMili[[#This Row],[Military]]</f>
        <v>826</v>
      </c>
      <c r="E85" s="96">
        <f ca="1">TblMili[[#This Row],[Draftees]]</f>
        <v>626</v>
      </c>
      <c r="F85" s="96">
        <f ca="1">TblPop[[#This Row],[Peasants]]+TblPop[[#This Row],[Military]]</f>
        <v>2358</v>
      </c>
      <c r="G85" s="141">
        <f ca="1">TblPop[[#This Row],[Military]]/TblPop[[#This Row],[Total]]</f>
        <v>0.35029686174724345</v>
      </c>
      <c r="H85" s="142">
        <f ca="1">MIN(TblPop[[#This Row],[Peasants]],TblPop[[#This Row],[Jobs]])</f>
        <v>1532</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1600</v>
      </c>
      <c r="K85" s="143"/>
      <c r="L85" s="61">
        <f ca="1">TblPop[[#This Row],[Draftees]]</f>
        <v>626</v>
      </c>
      <c r="M85" s="61">
        <f ca="1">TblMili[[#This Row],[Unit 1]]</f>
        <v>0</v>
      </c>
      <c r="N85" s="61">
        <f ca="1">TblMili[[#This Row],[Unit 2]]</f>
        <v>150</v>
      </c>
      <c r="O85" s="61">
        <f ca="1">TblMili[[#This Row],[Unit 3]]</f>
        <v>0</v>
      </c>
      <c r="P85" s="61">
        <f ca="1">TblMili[[#This Row],[Unit 4]]</f>
        <v>0</v>
      </c>
      <c r="Q85" s="61">
        <f ca="1">TblMili[[#This Row],[Spies]]</f>
        <v>25</v>
      </c>
      <c r="R85" s="61">
        <f ca="1">TblMili[[#This Row],[Wizards]]</f>
        <v>25</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2358</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6">
        <f ca="1">MAX(-5%*TblPop[[#This Row],[Peasants]]-TblPop[[#This Row],[Draft Growth]],MIN(OFFSET(TblPop[[#This Row],[Net max]],1,0)-TblPop[[#This Row],[Peasants]]-TblPop[[#This Row],[Military]]-TblPop[[#This Row],[Draft Growth]],TblPop[[#This Row],[Modded Birth]]-TblPop[[#This Row],[Draft Growth]]))</f>
        <v>0</v>
      </c>
      <c r="X85" s="96">
        <f ca="1">ROUND(TblPop[[#This Row],[Raw Birth]]*(1+TblPop[[#This Row],[Growth]]),0)</f>
        <v>46</v>
      </c>
      <c r="Y85" s="96">
        <f ca="1">(TblPop[[#This Row],[Peasants]]-TblPop[[#This Row],[Draft Growth]])*raw_pop_growth</f>
        <v>45.96</v>
      </c>
      <c r="Z85" s="96">
        <f ca="1">ROUND(IF(TblPop[[#This Row],[Military%]]&lt;TblMili[[#This Row],[Draftrate]],ROUND(TblPop[[#This Row],[Peasants]]*Constants!$B$55,0), 0) * IF(AND(TblMagic[[#This Row],[Active DnD]]&lt;=12,TblMagic[[#This Row],[Active DnD]]&gt;6),1.6,1),0)</f>
        <v>0</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45735.416666666468</v>
      </c>
      <c r="C86" s="96">
        <f ca="1">OFFSET(TblPop[[#This Row],[Peasants]],-1,0)+OFFSET(TblPop[[#This Row],[Net Peasant]],-1,0)+TblMili[[#This Row],[Release Draft]]</f>
        <v>1532</v>
      </c>
      <c r="D86" s="96">
        <f ca="1">TblMili[[#This Row],[Military]]</f>
        <v>826</v>
      </c>
      <c r="E86" s="96">
        <f ca="1">TblMili[[#This Row],[Draftees]]</f>
        <v>626</v>
      </c>
      <c r="F86" s="96">
        <f ca="1">TblPop[[#This Row],[Peasants]]+TblPop[[#This Row],[Military]]</f>
        <v>2358</v>
      </c>
      <c r="G86" s="141">
        <f ca="1">TblPop[[#This Row],[Military]]/TblPop[[#This Row],[Total]]</f>
        <v>0.35029686174724345</v>
      </c>
      <c r="H86" s="142">
        <f ca="1">MIN(TblPop[[#This Row],[Peasants]],TblPop[[#This Row],[Jobs]])</f>
        <v>1532</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1600</v>
      </c>
      <c r="K86" s="143"/>
      <c r="L86" s="61">
        <f ca="1">TblPop[[#This Row],[Draftees]]</f>
        <v>626</v>
      </c>
      <c r="M86" s="61">
        <f ca="1">TblMili[[#This Row],[Unit 1]]</f>
        <v>0</v>
      </c>
      <c r="N86" s="61">
        <f ca="1">TblMili[[#This Row],[Unit 2]]</f>
        <v>150</v>
      </c>
      <c r="O86" s="61">
        <f ca="1">TblMili[[#This Row],[Unit 3]]</f>
        <v>0</v>
      </c>
      <c r="P86" s="61">
        <f ca="1">TblMili[[#This Row],[Unit 4]]</f>
        <v>0</v>
      </c>
      <c r="Q86" s="61">
        <f ca="1">TblMili[[#This Row],[Spies]]</f>
        <v>25</v>
      </c>
      <c r="R86" s="61">
        <f ca="1">TblMili[[#This Row],[Wizards]]</f>
        <v>25</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2358</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6">
        <f ca="1">MAX(-5%*TblPop[[#This Row],[Peasants]]-TblPop[[#This Row],[Draft Growth]],MIN(OFFSET(TblPop[[#This Row],[Net max]],1,0)-TblPop[[#This Row],[Peasants]]-TblPop[[#This Row],[Military]]-TblPop[[#This Row],[Draft Growth]],TblPop[[#This Row],[Modded Birth]]-TblPop[[#This Row],[Draft Growth]]))</f>
        <v>0</v>
      </c>
      <c r="X86" s="96">
        <f ca="1">ROUND(TblPop[[#This Row],[Raw Birth]]*(1+TblPop[[#This Row],[Growth]]),0)</f>
        <v>46</v>
      </c>
      <c r="Y86" s="96">
        <f ca="1">(TblPop[[#This Row],[Peasants]]-TblPop[[#This Row],[Draft Growth]])*raw_pop_growth</f>
        <v>45.96</v>
      </c>
      <c r="Z86" s="96">
        <f ca="1">ROUND(IF(TblPop[[#This Row],[Military%]]&lt;TblMili[[#This Row],[Draftrate]],ROUND(TblPop[[#This Row],[Peasants]]*Constants!$B$55,0), 0) * IF(AND(TblMagic[[#This Row],[Active DnD]]&lt;=12,TblMagic[[#This Row],[Active DnD]]&gt;6),1.6,1),0)</f>
        <v>0</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45735.458333333132</v>
      </c>
      <c r="C87" s="96">
        <f ca="1">OFFSET(TblPop[[#This Row],[Peasants]],-1,0)+OFFSET(TblPop[[#This Row],[Net Peasant]],-1,0)+TblMili[[#This Row],[Release Draft]]</f>
        <v>1532</v>
      </c>
      <c r="D87" s="96">
        <f ca="1">TblMili[[#This Row],[Military]]</f>
        <v>826</v>
      </c>
      <c r="E87" s="96">
        <f ca="1">TblMili[[#This Row],[Draftees]]</f>
        <v>626</v>
      </c>
      <c r="F87" s="96">
        <f ca="1">TblPop[[#This Row],[Peasants]]+TblPop[[#This Row],[Military]]</f>
        <v>2358</v>
      </c>
      <c r="G87" s="141">
        <f ca="1">TblPop[[#This Row],[Military]]/TblPop[[#This Row],[Total]]</f>
        <v>0.35029686174724345</v>
      </c>
      <c r="H87" s="142">
        <f ca="1">MIN(TblPop[[#This Row],[Peasants]],TblPop[[#This Row],[Jobs]])</f>
        <v>1532</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1600</v>
      </c>
      <c r="K87" s="143"/>
      <c r="L87" s="61">
        <f ca="1">TblPop[[#This Row],[Draftees]]</f>
        <v>626</v>
      </c>
      <c r="M87" s="61">
        <f ca="1">TblMili[[#This Row],[Unit 1]]</f>
        <v>0</v>
      </c>
      <c r="N87" s="61">
        <f ca="1">TblMili[[#This Row],[Unit 2]]</f>
        <v>150</v>
      </c>
      <c r="O87" s="61">
        <f ca="1">TblMili[[#This Row],[Unit 3]]</f>
        <v>0</v>
      </c>
      <c r="P87" s="61">
        <f ca="1">TblMili[[#This Row],[Unit 4]]</f>
        <v>0</v>
      </c>
      <c r="Q87" s="61">
        <f ca="1">TblMili[[#This Row],[Spies]]</f>
        <v>25</v>
      </c>
      <c r="R87" s="61">
        <f ca="1">TblMili[[#This Row],[Wizards]]</f>
        <v>25</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2358</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6">
        <f ca="1">MAX(-5%*TblPop[[#This Row],[Peasants]]-TblPop[[#This Row],[Draft Growth]],MIN(OFFSET(TblPop[[#This Row],[Net max]],1,0)-TblPop[[#This Row],[Peasants]]-TblPop[[#This Row],[Military]]-TblPop[[#This Row],[Draft Growth]],TblPop[[#This Row],[Modded Birth]]-TblPop[[#This Row],[Draft Growth]]))</f>
        <v>0</v>
      </c>
      <c r="X87" s="96">
        <f ca="1">ROUND(TblPop[[#This Row],[Raw Birth]]*(1+TblPop[[#This Row],[Growth]]),0)</f>
        <v>46</v>
      </c>
      <c r="Y87" s="96">
        <f ca="1">(TblPop[[#This Row],[Peasants]]-TblPop[[#This Row],[Draft Growth]])*raw_pop_growth</f>
        <v>45.96</v>
      </c>
      <c r="Z87" s="96">
        <f ca="1">ROUND(IF(TblPop[[#This Row],[Military%]]&lt;TblMili[[#This Row],[Draftrate]],ROUND(TblPop[[#This Row],[Peasants]]*Constants!$B$55,0), 0) * IF(AND(TblMagic[[#This Row],[Active DnD]]&lt;=12,TblMagic[[#This Row],[Active DnD]]&gt;6),1.6,1),0)</f>
        <v>0</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45735.499999999796</v>
      </c>
      <c r="C88" s="96">
        <f ca="1">OFFSET(TblPop[[#This Row],[Peasants]],-1,0)+OFFSET(TblPop[[#This Row],[Net Peasant]],-1,0)+TblMili[[#This Row],[Release Draft]]</f>
        <v>1532</v>
      </c>
      <c r="D88" s="96">
        <f ca="1">TblMili[[#This Row],[Military]]</f>
        <v>826</v>
      </c>
      <c r="E88" s="96">
        <f ca="1">TblMili[[#This Row],[Draftees]]</f>
        <v>626</v>
      </c>
      <c r="F88" s="96">
        <f ca="1">TblPop[[#This Row],[Peasants]]+TblPop[[#This Row],[Military]]</f>
        <v>2358</v>
      </c>
      <c r="G88" s="141">
        <f ca="1">TblPop[[#This Row],[Military]]/TblPop[[#This Row],[Total]]</f>
        <v>0.35029686174724345</v>
      </c>
      <c r="H88" s="142">
        <f ca="1">MIN(TblPop[[#This Row],[Peasants]],TblPop[[#This Row],[Jobs]])</f>
        <v>1532</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1600</v>
      </c>
      <c r="K88" s="143"/>
      <c r="L88" s="61">
        <f ca="1">TblPop[[#This Row],[Draftees]]</f>
        <v>626</v>
      </c>
      <c r="M88" s="61">
        <f ca="1">TblMili[[#This Row],[Unit 1]]</f>
        <v>0</v>
      </c>
      <c r="N88" s="61">
        <f ca="1">TblMili[[#This Row],[Unit 2]]</f>
        <v>150</v>
      </c>
      <c r="O88" s="61">
        <f ca="1">TblMili[[#This Row],[Unit 3]]</f>
        <v>0</v>
      </c>
      <c r="P88" s="61">
        <f ca="1">TblMili[[#This Row],[Unit 4]]</f>
        <v>0</v>
      </c>
      <c r="Q88" s="61">
        <f ca="1">TblMili[[#This Row],[Spies]]</f>
        <v>25</v>
      </c>
      <c r="R88" s="61">
        <f ca="1">TblMili[[#This Row],[Wizards]]</f>
        <v>25</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2358</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6">
        <f ca="1">MAX(-5%*TblPop[[#This Row],[Peasants]]-TblPop[[#This Row],[Draft Growth]],MIN(OFFSET(TblPop[[#This Row],[Net max]],1,0)-TblPop[[#This Row],[Peasants]]-TblPop[[#This Row],[Military]]-TblPop[[#This Row],[Draft Growth]],TblPop[[#This Row],[Modded Birth]]-TblPop[[#This Row],[Draft Growth]]))</f>
        <v>0</v>
      </c>
      <c r="X88" s="96">
        <f ca="1">ROUND(TblPop[[#This Row],[Raw Birth]]*(1+TblPop[[#This Row],[Growth]]),0)</f>
        <v>46</v>
      </c>
      <c r="Y88" s="96">
        <f ca="1">(TblPop[[#This Row],[Peasants]]-TblPop[[#This Row],[Draft Growth]])*raw_pop_growth</f>
        <v>45.96</v>
      </c>
      <c r="Z88" s="96">
        <f ca="1">ROUND(IF(TblPop[[#This Row],[Military%]]&lt;TblMili[[#This Row],[Draftrate]],ROUND(TblPop[[#This Row],[Peasants]]*Constants!$B$55,0), 0) * IF(AND(TblMagic[[#This Row],[Active DnD]]&lt;=12,TblMagic[[#This Row],[Active DnD]]&gt;6),1.6,1),0)</f>
        <v>0</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45735.541666666461</v>
      </c>
      <c r="C89" s="96">
        <f ca="1">OFFSET(TblPop[[#This Row],[Peasants]],-1,0)+OFFSET(TblPop[[#This Row],[Net Peasant]],-1,0)+TblMili[[#This Row],[Release Draft]]</f>
        <v>1532</v>
      </c>
      <c r="D89" s="96">
        <f ca="1">TblMili[[#This Row],[Military]]</f>
        <v>826</v>
      </c>
      <c r="E89" s="96">
        <f ca="1">TblMili[[#This Row],[Draftees]]</f>
        <v>626</v>
      </c>
      <c r="F89" s="96">
        <f ca="1">TblPop[[#This Row],[Peasants]]+TblPop[[#This Row],[Military]]</f>
        <v>2358</v>
      </c>
      <c r="G89" s="141">
        <f ca="1">TblPop[[#This Row],[Military]]/TblPop[[#This Row],[Total]]</f>
        <v>0.35029686174724345</v>
      </c>
      <c r="H89" s="142">
        <f ca="1">MIN(TblPop[[#This Row],[Peasants]],TblPop[[#This Row],[Jobs]])</f>
        <v>1532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1600</v>
      </c>
      <c r="K89" s="143"/>
      <c r="L89" s="61">
        <f ca="1">TblPop[[#This Row],[Draftees]]</f>
        <v>626</v>
      </c>
      <c r="M89" s="61">
        <f ca="1">TblMili[[#This Row],[Unit 1]]</f>
        <v>0</v>
      </c>
      <c r="N89" s="61">
        <f ca="1">TblMili[[#This Row],[Unit 2]]</f>
        <v>150</v>
      </c>
      <c r="O89" s="61">
        <f ca="1">TblMili[[#This Row],[Unit 3]]</f>
        <v>0</v>
      </c>
      <c r="P89" s="61">
        <f ca="1">TblMili[[#This Row],[Unit 4]]</f>
        <v>0</v>
      </c>
      <c r="Q89" s="61">
        <f ca="1">TblMili[[#This Row],[Spies]]</f>
        <v>25</v>
      </c>
      <c r="R89" s="61">
        <f ca="1">TblMili[[#This Row],[Wizards]]</f>
        <v>25</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2358</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6">
        <f ca="1">MAX(-5%*TblPop[[#This Row],[Peasants]]-TblPop[[#This Row],[Draft Growth]],MIN(OFFSET(TblPop[[#This Row],[Net max]],1,0)-TblPop[[#This Row],[Peasants]]-TblPop[[#This Row],[Military]]-TblPop[[#This Row],[Draft Growth]],TblPop[[#This Row],[Modded Birth]]-TblPop[[#This Row],[Draft Growth]]))</f>
        <v>0</v>
      </c>
      <c r="X89" s="96">
        <f ca="1">ROUND(TblPop[[#This Row],[Raw Birth]]*(1+TblPop[[#This Row],[Growth]]),0)</f>
        <v>46</v>
      </c>
      <c r="Y89" s="96">
        <f ca="1">(TblPop[[#This Row],[Peasants]]-TblPop[[#This Row],[Draft Growth]])*raw_pop_growth</f>
        <v>45.96</v>
      </c>
      <c r="Z89" s="96">
        <f ca="1">ROUND(IF(TblPop[[#This Row],[Military%]]&lt;TblMili[[#This Row],[Draftrate]],ROUND(TblPop[[#This Row],[Peasants]]*Constants!$B$55,0), 0) * IF(AND(TblMagic[[#This Row],[Active DnD]]&lt;=12,TblMagic[[#This Row],[Active DnD]]&gt;6),1.6,1),0)</f>
        <v>0</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45735.583333333125</v>
      </c>
      <c r="C90" s="96">
        <f ca="1">OFFSET(TblPop[[#This Row],[Peasants]],-1,0)+OFFSET(TblPop[[#This Row],[Net Peasant]],-1,0)+TblMili[[#This Row],[Release Draft]]</f>
        <v>1532</v>
      </c>
      <c r="D90" s="96">
        <f ca="1">TblMili[[#This Row],[Military]]</f>
        <v>826</v>
      </c>
      <c r="E90" s="96">
        <f ca="1">TblMili[[#This Row],[Draftees]]</f>
        <v>626</v>
      </c>
      <c r="F90" s="96">
        <f ca="1">TblPop[[#This Row],[Peasants]]+TblPop[[#This Row],[Military]]</f>
        <v>2358</v>
      </c>
      <c r="G90" s="141">
        <f ca="1">TblPop[[#This Row],[Military]]/TblPop[[#This Row],[Total]]</f>
        <v>0.35029686174724345</v>
      </c>
      <c r="H90" s="142">
        <f ca="1">MIN(TblPop[[#This Row],[Peasants]],TblPop[[#This Row],[Jobs]])</f>
        <v>1532</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1600</v>
      </c>
      <c r="K90" s="143"/>
      <c r="L90" s="61">
        <f ca="1">TblPop[[#This Row],[Draftees]]</f>
        <v>626</v>
      </c>
      <c r="M90" s="61">
        <f ca="1">TblMili[[#This Row],[Unit 1]]</f>
        <v>0</v>
      </c>
      <c r="N90" s="61">
        <f ca="1">TblMili[[#This Row],[Unit 2]]</f>
        <v>150</v>
      </c>
      <c r="O90" s="61">
        <f ca="1">TblMili[[#This Row],[Unit 3]]</f>
        <v>0</v>
      </c>
      <c r="P90" s="61">
        <f ca="1">TblMili[[#This Row],[Unit 4]]</f>
        <v>0</v>
      </c>
      <c r="Q90" s="61">
        <f ca="1">TblMili[[#This Row],[Spies]]</f>
        <v>25</v>
      </c>
      <c r="R90" s="61">
        <f ca="1">TblMili[[#This Row],[Wizards]]</f>
        <v>25</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2358</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6">
        <f ca="1">MAX(-5%*TblPop[[#This Row],[Peasants]]-TblPop[[#This Row],[Draft Growth]],MIN(OFFSET(TblPop[[#This Row],[Net max]],1,0)-TblPop[[#This Row],[Peasants]]-TblPop[[#This Row],[Military]]-TblPop[[#This Row],[Draft Growth]],TblPop[[#This Row],[Modded Birth]]-TblPop[[#This Row],[Draft Growth]]))</f>
        <v>0</v>
      </c>
      <c r="X90" s="96">
        <f ca="1">ROUND(TblPop[[#This Row],[Raw Birth]]*(1+TblPop[[#This Row],[Growth]]),0)</f>
        <v>46</v>
      </c>
      <c r="Y90" s="96">
        <f ca="1">(TblPop[[#This Row],[Peasants]]-TblPop[[#This Row],[Draft Growth]])*raw_pop_growth</f>
        <v>45.96</v>
      </c>
      <c r="Z90" s="96">
        <f ca="1">ROUND(IF(TblPop[[#This Row],[Military%]]&lt;TblMili[[#This Row],[Draftrate]],ROUND(TblPop[[#This Row],[Peasants]]*Constants!$B$55,0), 0) * IF(AND(TblMagic[[#This Row],[Active DnD]]&lt;=12,TblMagic[[#This Row],[Active DnD]]&gt;6),1.6,1),0)</f>
        <v>0</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45735.624999999789</v>
      </c>
      <c r="C91" s="96">
        <f ca="1">OFFSET(TblPop[[#This Row],[Peasants]],-1,0)+OFFSET(TblPop[[#This Row],[Net Peasant]],-1,0)+TblMili[[#This Row],[Release Draft]]</f>
        <v>1532</v>
      </c>
      <c r="D91" s="96">
        <f ca="1">TblMili[[#This Row],[Military]]</f>
        <v>826</v>
      </c>
      <c r="E91" s="96">
        <f ca="1">TblMili[[#This Row],[Draftees]]</f>
        <v>626</v>
      </c>
      <c r="F91" s="96">
        <f ca="1">TblPop[[#This Row],[Peasants]]+TblPop[[#This Row],[Military]]</f>
        <v>2358</v>
      </c>
      <c r="G91" s="141">
        <f ca="1">TblPop[[#This Row],[Military]]/TblPop[[#This Row],[Total]]</f>
        <v>0.35029686174724345</v>
      </c>
      <c r="H91" s="142">
        <f ca="1">MIN(TblPop[[#This Row],[Peasants]],TblPop[[#This Row],[Jobs]])</f>
        <v>1532</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1600</v>
      </c>
      <c r="K91" s="143"/>
      <c r="L91" s="61">
        <f ca="1">TblPop[[#This Row],[Draftees]]</f>
        <v>626</v>
      </c>
      <c r="M91" s="61">
        <f ca="1">TblMili[[#This Row],[Unit 1]]</f>
        <v>0</v>
      </c>
      <c r="N91" s="61">
        <f ca="1">TblMili[[#This Row],[Unit 2]]</f>
        <v>150</v>
      </c>
      <c r="O91" s="61">
        <f ca="1">TblMili[[#This Row],[Unit 3]]</f>
        <v>0</v>
      </c>
      <c r="P91" s="61">
        <f ca="1">TblMili[[#This Row],[Unit 4]]</f>
        <v>0</v>
      </c>
      <c r="Q91" s="61">
        <f ca="1">TblMili[[#This Row],[Spies]]</f>
        <v>25</v>
      </c>
      <c r="R91" s="61">
        <f ca="1">TblMili[[#This Row],[Wizards]]</f>
        <v>25</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2358</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6">
        <f ca="1">MAX(-5%*TblPop[[#This Row],[Peasants]]-TblPop[[#This Row],[Draft Growth]],MIN(OFFSET(TblPop[[#This Row],[Net max]],1,0)-TblPop[[#This Row],[Peasants]]-TblPop[[#This Row],[Military]]-TblPop[[#This Row],[Draft Growth]],TblPop[[#This Row],[Modded Birth]]-TblPop[[#This Row],[Draft Growth]]))</f>
        <v>0</v>
      </c>
      <c r="X91" s="96">
        <f ca="1">ROUND(TblPop[[#This Row],[Raw Birth]]*(1+TblPop[[#This Row],[Growth]]),0)</f>
        <v>46</v>
      </c>
      <c r="Y91" s="96">
        <f ca="1">(TblPop[[#This Row],[Peasants]]-TblPop[[#This Row],[Draft Growth]])*raw_pop_growth</f>
        <v>45.96</v>
      </c>
      <c r="Z91" s="96">
        <f ca="1">ROUND(IF(TblPop[[#This Row],[Military%]]&lt;TblMili[[#This Row],[Draftrate]],ROUND(TblPop[[#This Row],[Peasants]]*Constants!$B$55,0), 0) * IF(AND(TblMagic[[#This Row],[Active DnD]]&lt;=12,TblMagic[[#This Row],[Active DnD]]&gt;6),1.6,1),0)</f>
        <v>0</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45735.666666666453</v>
      </c>
      <c r="C92" s="96">
        <f ca="1">OFFSET(TblPop[[#This Row],[Peasants]],-1,0)+OFFSET(TblPop[[#This Row],[Net Peasant]],-1,0)+TblMili[[#This Row],[Release Draft]]</f>
        <v>1532</v>
      </c>
      <c r="D92" s="96">
        <f ca="1">TblMili[[#This Row],[Military]]</f>
        <v>826</v>
      </c>
      <c r="E92" s="96">
        <f ca="1">TblMili[[#This Row],[Draftees]]</f>
        <v>626</v>
      </c>
      <c r="F92" s="96">
        <f ca="1">TblPop[[#This Row],[Peasants]]+TblPop[[#This Row],[Military]]</f>
        <v>2358</v>
      </c>
      <c r="G92" s="141">
        <f ca="1">TblPop[[#This Row],[Military]]/TblPop[[#This Row],[Total]]</f>
        <v>0.35029686174724345</v>
      </c>
      <c r="H92" s="142">
        <f ca="1">MIN(TblPop[[#This Row],[Peasants]],TblPop[[#This Row],[Jobs]])</f>
        <v>1532</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1600</v>
      </c>
      <c r="K92" s="143"/>
      <c r="L92" s="61">
        <f ca="1">TblPop[[#This Row],[Draftees]]</f>
        <v>626</v>
      </c>
      <c r="M92" s="61">
        <f ca="1">TblMili[[#This Row],[Unit 1]]</f>
        <v>0</v>
      </c>
      <c r="N92" s="61">
        <f ca="1">TblMili[[#This Row],[Unit 2]]</f>
        <v>150</v>
      </c>
      <c r="O92" s="61">
        <f ca="1">TblMili[[#This Row],[Unit 3]]</f>
        <v>0</v>
      </c>
      <c r="P92" s="61">
        <f ca="1">TblMili[[#This Row],[Unit 4]]</f>
        <v>0</v>
      </c>
      <c r="Q92" s="61">
        <f ca="1">TblMili[[#This Row],[Spies]]</f>
        <v>25</v>
      </c>
      <c r="R92" s="61">
        <f ca="1">TblMili[[#This Row],[Wizards]]</f>
        <v>25</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2358</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6">
        <f ca="1">MAX(-5%*TblPop[[#This Row],[Peasants]]-TblPop[[#This Row],[Draft Growth]],MIN(OFFSET(TblPop[[#This Row],[Net max]],1,0)-TblPop[[#This Row],[Peasants]]-TblPop[[#This Row],[Military]]-TblPop[[#This Row],[Draft Growth]],TblPop[[#This Row],[Modded Birth]]-TblPop[[#This Row],[Draft Growth]]))</f>
        <v>0</v>
      </c>
      <c r="X92" s="96">
        <f ca="1">ROUND(TblPop[[#This Row],[Raw Birth]]*(1+TblPop[[#This Row],[Growth]]),0)</f>
        <v>46</v>
      </c>
      <c r="Y92" s="96">
        <f ca="1">(TblPop[[#This Row],[Peasants]]-TblPop[[#This Row],[Draft Growth]])*raw_pop_growth</f>
        <v>45.96</v>
      </c>
      <c r="Z92" s="96">
        <f ca="1">ROUND(IF(TblPop[[#This Row],[Military%]]&lt;TblMili[[#This Row],[Draftrate]],ROUND(TblPop[[#This Row],[Peasants]]*Constants!$B$55,0), 0) * IF(AND(TblMagic[[#This Row],[Active DnD]]&lt;=12,TblMagic[[#This Row],[Active DnD]]&gt;6),1.6,1),0)</f>
        <v>0</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45735.708333333117</v>
      </c>
      <c r="C93" s="96">
        <f ca="1">OFFSET(TblPop[[#This Row],[Peasants]],-1,0)+OFFSET(TblPop[[#This Row],[Net Peasant]],-1,0)+TblMili[[#This Row],[Release Draft]]</f>
        <v>1532</v>
      </c>
      <c r="D93" s="96">
        <f ca="1">TblMili[[#This Row],[Military]]</f>
        <v>826</v>
      </c>
      <c r="E93" s="96">
        <f ca="1">TblMili[[#This Row],[Draftees]]</f>
        <v>626</v>
      </c>
      <c r="F93" s="96">
        <f ca="1">TblPop[[#This Row],[Peasants]]+TblPop[[#This Row],[Military]]</f>
        <v>2358</v>
      </c>
      <c r="G93" s="141">
        <f ca="1">TblPop[[#This Row],[Military]]/TblPop[[#This Row],[Total]]</f>
        <v>0.35029686174724345</v>
      </c>
      <c r="H93" s="142">
        <f ca="1">MIN(TblPop[[#This Row],[Peasants]],TblPop[[#This Row],[Jobs]])</f>
        <v>1532</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1600</v>
      </c>
      <c r="K93" s="143"/>
      <c r="L93" s="61">
        <f ca="1">TblPop[[#This Row],[Draftees]]</f>
        <v>626</v>
      </c>
      <c r="M93" s="61">
        <f ca="1">TblMili[[#This Row],[Unit 1]]</f>
        <v>0</v>
      </c>
      <c r="N93" s="61">
        <f ca="1">TblMili[[#This Row],[Unit 2]]</f>
        <v>150</v>
      </c>
      <c r="O93" s="61">
        <f ca="1">TblMili[[#This Row],[Unit 3]]</f>
        <v>0</v>
      </c>
      <c r="P93" s="61">
        <f ca="1">TblMili[[#This Row],[Unit 4]]</f>
        <v>0</v>
      </c>
      <c r="Q93" s="61">
        <f ca="1">TblMili[[#This Row],[Spies]]</f>
        <v>25</v>
      </c>
      <c r="R93" s="61">
        <f ca="1">TblMili[[#This Row],[Wizards]]</f>
        <v>25</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2358</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6">
        <f ca="1">MAX(-5%*TblPop[[#This Row],[Peasants]]-TblPop[[#This Row],[Draft Growth]],MIN(OFFSET(TblPop[[#This Row],[Net max]],1,0)-TblPop[[#This Row],[Peasants]]-TblPop[[#This Row],[Military]]-TblPop[[#This Row],[Draft Growth]],TblPop[[#This Row],[Modded Birth]]-TblPop[[#This Row],[Draft Growth]]))</f>
        <v>0</v>
      </c>
      <c r="X93" s="96">
        <f ca="1">ROUND(TblPop[[#This Row],[Raw Birth]]*(1+TblPop[[#This Row],[Growth]]),0)</f>
        <v>46</v>
      </c>
      <c r="Y93" s="96">
        <f ca="1">(TblPop[[#This Row],[Peasants]]-TblPop[[#This Row],[Draft Growth]])*raw_pop_growth</f>
        <v>45.96</v>
      </c>
      <c r="Z93" s="96">
        <f ca="1">ROUND(IF(TblPop[[#This Row],[Military%]]&lt;TblMili[[#This Row],[Draftrate]],ROUND(TblPop[[#This Row],[Peasants]]*Constants!$B$55,0), 0) * IF(AND(TblMagic[[#This Row],[Active DnD]]&lt;=12,TblMagic[[#This Row],[Active DnD]]&gt;6),1.6,1),0)</f>
        <v>0</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45735.749999999782</v>
      </c>
      <c r="C94" s="96">
        <f ca="1">OFFSET(TblPop[[#This Row],[Peasants]],-1,0)+OFFSET(TblPop[[#This Row],[Net Peasant]],-1,0)+TblMili[[#This Row],[Release Draft]]</f>
        <v>1532</v>
      </c>
      <c r="D94" s="96">
        <f ca="1">TblMili[[#This Row],[Military]]</f>
        <v>826</v>
      </c>
      <c r="E94" s="96">
        <f ca="1">TblMili[[#This Row],[Draftees]]</f>
        <v>626</v>
      </c>
      <c r="F94" s="96">
        <f ca="1">TblPop[[#This Row],[Peasants]]+TblPop[[#This Row],[Military]]</f>
        <v>2358</v>
      </c>
      <c r="G94" s="141">
        <f ca="1">TblPop[[#This Row],[Military]]/TblPop[[#This Row],[Total]]</f>
        <v>0.35029686174724345</v>
      </c>
      <c r="H94" s="142">
        <f ca="1">MIN(TblPop[[#This Row],[Peasants]],TblPop[[#This Row],[Jobs]])</f>
        <v>1532</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1600</v>
      </c>
      <c r="K94" s="143"/>
      <c r="L94" s="61">
        <f ca="1">TblPop[[#This Row],[Draftees]]</f>
        <v>626</v>
      </c>
      <c r="M94" s="61">
        <f ca="1">TblMili[[#This Row],[Unit 1]]</f>
        <v>0</v>
      </c>
      <c r="N94" s="61">
        <f ca="1">TblMili[[#This Row],[Unit 2]]</f>
        <v>150</v>
      </c>
      <c r="O94" s="61">
        <f ca="1">TblMili[[#This Row],[Unit 3]]</f>
        <v>0</v>
      </c>
      <c r="P94" s="61">
        <f ca="1">TblMili[[#This Row],[Unit 4]]</f>
        <v>0</v>
      </c>
      <c r="Q94" s="61">
        <f ca="1">TblMili[[#This Row],[Spies]]</f>
        <v>25</v>
      </c>
      <c r="R94" s="61">
        <f ca="1">TblMili[[#This Row],[Wizards]]</f>
        <v>25</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2358</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6">
        <f ca="1">MAX(-5%*TblPop[[#This Row],[Peasants]]-TblPop[[#This Row],[Draft Growth]],MIN(OFFSET(TblPop[[#This Row],[Net max]],1,0)-TblPop[[#This Row],[Peasants]]-TblPop[[#This Row],[Military]]-TblPop[[#This Row],[Draft Growth]],TblPop[[#This Row],[Modded Birth]]-TblPop[[#This Row],[Draft Growth]]))</f>
        <v>0</v>
      </c>
      <c r="X94" s="96">
        <f ca="1">ROUND(TblPop[[#This Row],[Raw Birth]]*(1+TblPop[[#This Row],[Growth]]),0)</f>
        <v>46</v>
      </c>
      <c r="Y94" s="96">
        <f ca="1">(TblPop[[#This Row],[Peasants]]-TblPop[[#This Row],[Draft Growth]])*raw_pop_growth</f>
        <v>45.96</v>
      </c>
      <c r="Z94" s="96">
        <f ca="1">ROUND(IF(TblPop[[#This Row],[Military%]]&lt;TblMili[[#This Row],[Draftrate]],ROUND(TblPop[[#This Row],[Peasants]]*Constants!$B$55,0), 0) * IF(AND(TblMagic[[#This Row],[Active DnD]]&lt;=12,TblMagic[[#This Row],[Active DnD]]&gt;6),1.6,1),0)</f>
        <v>0</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45735.791666666446</v>
      </c>
      <c r="C95" s="96">
        <f ca="1">OFFSET(TblPop[[#This Row],[Peasants]],-1,0)+OFFSET(TblPop[[#This Row],[Net Peasant]],-1,0)+TblMili[[#This Row],[Release Draft]]</f>
        <v>1532</v>
      </c>
      <c r="D95" s="96">
        <f ca="1">TblMili[[#This Row],[Military]]</f>
        <v>826</v>
      </c>
      <c r="E95" s="96">
        <f ca="1">TblMili[[#This Row],[Draftees]]</f>
        <v>626</v>
      </c>
      <c r="F95" s="96">
        <f ca="1">TblPop[[#This Row],[Peasants]]+TblPop[[#This Row],[Military]]</f>
        <v>2358</v>
      </c>
      <c r="G95" s="141">
        <f ca="1">TblPop[[#This Row],[Military]]/TblPop[[#This Row],[Total]]</f>
        <v>0.35029686174724345</v>
      </c>
      <c r="H95" s="142">
        <f ca="1">MIN(TblPop[[#This Row],[Peasants]],TblPop[[#This Row],[Jobs]])</f>
        <v>1532</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1600</v>
      </c>
      <c r="K95" s="143"/>
      <c r="L95" s="61">
        <f ca="1">TblPop[[#This Row],[Draftees]]</f>
        <v>626</v>
      </c>
      <c r="M95" s="61">
        <f ca="1">TblMili[[#This Row],[Unit 1]]</f>
        <v>0</v>
      </c>
      <c r="N95" s="61">
        <f ca="1">TblMili[[#This Row],[Unit 2]]</f>
        <v>150</v>
      </c>
      <c r="O95" s="61">
        <f ca="1">TblMili[[#This Row],[Unit 3]]</f>
        <v>0</v>
      </c>
      <c r="P95" s="61">
        <f ca="1">TblMili[[#This Row],[Unit 4]]</f>
        <v>0</v>
      </c>
      <c r="Q95" s="61">
        <f ca="1">TblMili[[#This Row],[Spies]]</f>
        <v>25</v>
      </c>
      <c r="R95" s="61">
        <f ca="1">TblMili[[#This Row],[Wizards]]</f>
        <v>25</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2358</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6">
        <f ca="1">MAX(-5%*TblPop[[#This Row],[Peasants]]-TblPop[[#This Row],[Draft Growth]],MIN(OFFSET(TblPop[[#This Row],[Net max]],1,0)-TblPop[[#This Row],[Peasants]]-TblPop[[#This Row],[Military]]-TblPop[[#This Row],[Draft Growth]],TblPop[[#This Row],[Modded Birth]]-TblPop[[#This Row],[Draft Growth]]))</f>
        <v>0</v>
      </c>
      <c r="X95" s="96">
        <f ca="1">ROUND(TblPop[[#This Row],[Raw Birth]]*(1+TblPop[[#This Row],[Growth]]),0)</f>
        <v>46</v>
      </c>
      <c r="Y95" s="96">
        <f ca="1">(TblPop[[#This Row],[Peasants]]-TblPop[[#This Row],[Draft Growth]])*raw_pop_growth</f>
        <v>45.96</v>
      </c>
      <c r="Z95" s="96">
        <f ca="1">ROUND(IF(TblPop[[#This Row],[Military%]]&lt;TblMili[[#This Row],[Draftrate]],ROUND(TblPop[[#This Row],[Peasants]]*Constants!$B$55,0), 0) * IF(AND(TblMagic[[#This Row],[Active DnD]]&lt;=12,TblMagic[[#This Row],[Active DnD]]&gt;6),1.6,1),0)</f>
        <v>0</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45735.83333333311</v>
      </c>
      <c r="C96" s="96">
        <f ca="1">OFFSET(TblPop[[#This Row],[Peasants]],-1,0)+OFFSET(TblPop[[#This Row],[Net Peasant]],-1,0)+TblMili[[#This Row],[Release Draft]]</f>
        <v>1532</v>
      </c>
      <c r="D96" s="96">
        <f ca="1">TblMili[[#This Row],[Military]]</f>
        <v>826</v>
      </c>
      <c r="E96" s="96">
        <f ca="1">TblMili[[#This Row],[Draftees]]</f>
        <v>626</v>
      </c>
      <c r="F96" s="96">
        <f ca="1">TblPop[[#This Row],[Peasants]]+TblPop[[#This Row],[Military]]</f>
        <v>2358</v>
      </c>
      <c r="G96" s="141">
        <f ca="1">TblPop[[#This Row],[Military]]/TblPop[[#This Row],[Total]]</f>
        <v>0.35029686174724345</v>
      </c>
      <c r="H96" s="142">
        <f ca="1">MIN(TblPop[[#This Row],[Peasants]],TblPop[[#This Row],[Jobs]])</f>
        <v>1532</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1600</v>
      </c>
      <c r="K96" s="143"/>
      <c r="L96" s="61">
        <f ca="1">TblPop[[#This Row],[Draftees]]</f>
        <v>626</v>
      </c>
      <c r="M96" s="61">
        <f ca="1">TblMili[[#This Row],[Unit 1]]</f>
        <v>0</v>
      </c>
      <c r="N96" s="61">
        <f ca="1">TblMili[[#This Row],[Unit 2]]</f>
        <v>150</v>
      </c>
      <c r="O96" s="61">
        <f ca="1">TblMili[[#This Row],[Unit 3]]</f>
        <v>0</v>
      </c>
      <c r="P96" s="61">
        <f ca="1">TblMili[[#This Row],[Unit 4]]</f>
        <v>0</v>
      </c>
      <c r="Q96" s="61">
        <f ca="1">TblMili[[#This Row],[Spies]]</f>
        <v>25</v>
      </c>
      <c r="R96" s="61">
        <f ca="1">TblMili[[#This Row],[Wizards]]</f>
        <v>25</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2358</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6">
        <f ca="1">MAX(-5%*TblPop[[#This Row],[Peasants]]-TblPop[[#This Row],[Draft Growth]],MIN(OFFSET(TblPop[[#This Row],[Net max]],1,0)-TblPop[[#This Row],[Peasants]]-TblPop[[#This Row],[Military]]-TblPop[[#This Row],[Draft Growth]],TblPop[[#This Row],[Modded Birth]]-TblPop[[#This Row],[Draft Growth]]))</f>
        <v>0</v>
      </c>
      <c r="X96" s="96">
        <f ca="1">ROUND(TblPop[[#This Row],[Raw Birth]]*(1+TblPop[[#This Row],[Growth]]),0)</f>
        <v>46</v>
      </c>
      <c r="Y96" s="96">
        <f ca="1">(TblPop[[#This Row],[Peasants]]-TblPop[[#This Row],[Draft Growth]])*raw_pop_growth</f>
        <v>45.96</v>
      </c>
      <c r="Z96" s="96">
        <f ca="1">ROUND(IF(TblPop[[#This Row],[Military%]]&lt;TblMili[[#This Row],[Draftrate]],ROUND(TblPop[[#This Row],[Peasants]]*Constants!$B$55,0), 0) * IF(AND(TblMagic[[#This Row],[Active DnD]]&lt;=12,TblMagic[[#This Row],[Active DnD]]&gt;6),1.6,1),0)</f>
        <v>0</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45735.874999999774</v>
      </c>
      <c r="C97" s="96">
        <f ca="1">OFFSET(TblPop[[#This Row],[Peasants]],-1,0)+OFFSET(TblPop[[#This Row],[Net Peasant]],-1,0)+TblMili[[#This Row],[Release Draft]]</f>
        <v>1532</v>
      </c>
      <c r="D97" s="96">
        <f ca="1">TblMili[[#This Row],[Military]]</f>
        <v>826</v>
      </c>
      <c r="E97" s="96">
        <f ca="1">TblMili[[#This Row],[Draftees]]</f>
        <v>626</v>
      </c>
      <c r="F97" s="96">
        <f ca="1">TblPop[[#This Row],[Peasants]]+TblPop[[#This Row],[Military]]</f>
        <v>2358</v>
      </c>
      <c r="G97" s="141">
        <f ca="1">TblPop[[#This Row],[Military]]/TblPop[[#This Row],[Total]]</f>
        <v>0.35029686174724345</v>
      </c>
      <c r="H97" s="142">
        <f ca="1">MIN(TblPop[[#This Row],[Peasants]],TblPop[[#This Row],[Jobs]])</f>
        <v>1532</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1600</v>
      </c>
      <c r="K97" s="143"/>
      <c r="L97" s="61">
        <f ca="1">TblPop[[#This Row],[Draftees]]</f>
        <v>626</v>
      </c>
      <c r="M97" s="61">
        <f ca="1">TblMili[[#This Row],[Unit 1]]</f>
        <v>0</v>
      </c>
      <c r="N97" s="61">
        <f ca="1">TblMili[[#This Row],[Unit 2]]</f>
        <v>150</v>
      </c>
      <c r="O97" s="61">
        <f ca="1">TblMili[[#This Row],[Unit 3]]</f>
        <v>0</v>
      </c>
      <c r="P97" s="61">
        <f ca="1">TblMili[[#This Row],[Unit 4]]</f>
        <v>0</v>
      </c>
      <c r="Q97" s="61">
        <f ca="1">TblMili[[#This Row],[Spies]]</f>
        <v>25</v>
      </c>
      <c r="R97" s="61">
        <f ca="1">TblMili[[#This Row],[Wizards]]</f>
        <v>25</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2358</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6">
        <f ca="1">MAX(-5%*TblPop[[#This Row],[Peasants]]-TblPop[[#This Row],[Draft Growth]],MIN(OFFSET(TblPop[[#This Row],[Net max]],1,0)-TblPop[[#This Row],[Peasants]]-TblPop[[#This Row],[Military]]-TblPop[[#This Row],[Draft Growth]],TblPop[[#This Row],[Modded Birth]]-TblPop[[#This Row],[Draft Growth]]))</f>
        <v>0</v>
      </c>
      <c r="X97" s="96">
        <f ca="1">ROUND(TblPop[[#This Row],[Raw Birth]]*(1+TblPop[[#This Row],[Growth]]),0)</f>
        <v>46</v>
      </c>
      <c r="Y97" s="96">
        <f ca="1">(TblPop[[#This Row],[Peasants]]-TblPop[[#This Row],[Draft Growth]])*raw_pop_growth</f>
        <v>45.96</v>
      </c>
      <c r="Z97" s="96">
        <f ca="1">ROUND(IF(TblPop[[#This Row],[Military%]]&lt;TblMili[[#This Row],[Draftrate]],ROUND(TblPop[[#This Row],[Peasants]]*Constants!$B$55,0), 0) * IF(AND(TblMagic[[#This Row],[Active DnD]]&lt;=12,TblMagic[[#This Row],[Active DnD]]&gt;6),1.6,1),0)</f>
        <v>0</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45735.916666666439</v>
      </c>
      <c r="C98" s="96">
        <f ca="1">OFFSET(TblPop[[#This Row],[Peasants]],-1,0)+OFFSET(TblPop[[#This Row],[Net Peasant]],-1,0)+TblMili[[#This Row],[Release Draft]]</f>
        <v>1532</v>
      </c>
      <c r="D98" s="96">
        <f ca="1">TblMili[[#This Row],[Military]]</f>
        <v>826</v>
      </c>
      <c r="E98" s="96">
        <f ca="1">TblMili[[#This Row],[Draftees]]</f>
        <v>626</v>
      </c>
      <c r="F98" s="96">
        <f ca="1">TblPop[[#This Row],[Peasants]]+TblPop[[#This Row],[Military]]</f>
        <v>2358</v>
      </c>
      <c r="G98" s="141">
        <f ca="1">TblPop[[#This Row],[Military]]/TblPop[[#This Row],[Total]]</f>
        <v>0.35029686174724345</v>
      </c>
      <c r="H98" s="142">
        <f ca="1">MIN(TblPop[[#This Row],[Peasants]],TblPop[[#This Row],[Jobs]])</f>
        <v>1532</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1600</v>
      </c>
      <c r="K98" s="143"/>
      <c r="L98" s="61">
        <f ca="1">TblPop[[#This Row],[Draftees]]</f>
        <v>626</v>
      </c>
      <c r="M98" s="61">
        <f ca="1">TblMili[[#This Row],[Unit 1]]</f>
        <v>0</v>
      </c>
      <c r="N98" s="61">
        <f ca="1">TblMili[[#This Row],[Unit 2]]</f>
        <v>150</v>
      </c>
      <c r="O98" s="61">
        <f ca="1">TblMili[[#This Row],[Unit 3]]</f>
        <v>0</v>
      </c>
      <c r="P98" s="61">
        <f ca="1">TblMili[[#This Row],[Unit 4]]</f>
        <v>0</v>
      </c>
      <c r="Q98" s="61">
        <f ca="1">TblMili[[#This Row],[Spies]]</f>
        <v>25</v>
      </c>
      <c r="R98" s="61">
        <f ca="1">TblMili[[#This Row],[Wizards]]</f>
        <v>25</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2358</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6">
        <f ca="1">MAX(-5%*TblPop[[#This Row],[Peasants]]-TblPop[[#This Row],[Draft Growth]],MIN(OFFSET(TblPop[[#This Row],[Net max]],1,0)-TblPop[[#This Row],[Peasants]]-TblPop[[#This Row],[Military]]-TblPop[[#This Row],[Draft Growth]],TblPop[[#This Row],[Modded Birth]]-TblPop[[#This Row],[Draft Growth]]))</f>
        <v>0</v>
      </c>
      <c r="X98" s="96">
        <f ca="1">ROUND(TblPop[[#This Row],[Raw Birth]]*(1+TblPop[[#This Row],[Growth]]),0)</f>
        <v>46</v>
      </c>
      <c r="Y98" s="96">
        <f ca="1">(TblPop[[#This Row],[Peasants]]-TblPop[[#This Row],[Draft Growth]])*raw_pop_growth</f>
        <v>45.96</v>
      </c>
      <c r="Z98" s="96">
        <f ca="1">ROUND(IF(TblPop[[#This Row],[Military%]]&lt;TblMili[[#This Row],[Draftrate]],ROUND(TblPop[[#This Row],[Peasants]]*Constants!$B$55,0), 0) * IF(AND(TblMagic[[#This Row],[Active DnD]]&lt;=12,TblMagic[[#This Row],[Active DnD]]&gt;6),1.6,1),0)</f>
        <v>0</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45735.958333333103</v>
      </c>
      <c r="C99" s="96">
        <f ca="1">OFFSET(TblPop[[#This Row],[Peasants]],-1,0)+OFFSET(TblPop[[#This Row],[Net Peasant]],-1,0)+TblMili[[#This Row],[Release Draft]]</f>
        <v>1532</v>
      </c>
      <c r="D99" s="96">
        <f ca="1">TblMili[[#This Row],[Military]]</f>
        <v>826</v>
      </c>
      <c r="E99" s="96">
        <f ca="1">TblMili[[#This Row],[Draftees]]</f>
        <v>626</v>
      </c>
      <c r="F99" s="96">
        <f ca="1">TblPop[[#This Row],[Peasants]]+TblPop[[#This Row],[Military]]</f>
        <v>2358</v>
      </c>
      <c r="G99" s="141">
        <f ca="1">TblPop[[#This Row],[Military]]/TblPop[[#This Row],[Total]]</f>
        <v>0.35029686174724345</v>
      </c>
      <c r="H99" s="142">
        <f ca="1">MIN(TblPop[[#This Row],[Peasants]],TblPop[[#This Row],[Jobs]])</f>
        <v>1532</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1600</v>
      </c>
      <c r="K99" s="143"/>
      <c r="L99" s="61">
        <f ca="1">TblPop[[#This Row],[Draftees]]</f>
        <v>626</v>
      </c>
      <c r="M99" s="61">
        <f ca="1">TblMili[[#This Row],[Unit 1]]</f>
        <v>0</v>
      </c>
      <c r="N99" s="61">
        <f ca="1">TblMili[[#This Row],[Unit 2]]</f>
        <v>150</v>
      </c>
      <c r="O99" s="61">
        <f ca="1">TblMili[[#This Row],[Unit 3]]</f>
        <v>0</v>
      </c>
      <c r="P99" s="61">
        <f ca="1">TblMili[[#This Row],[Unit 4]]</f>
        <v>0</v>
      </c>
      <c r="Q99" s="61">
        <f ca="1">TblMili[[#This Row],[Spies]]</f>
        <v>25</v>
      </c>
      <c r="R99" s="61">
        <f ca="1">TblMili[[#This Row],[Wizards]]</f>
        <v>25</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2358</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6">
        <f ca="1">MAX(-5%*TblPop[[#This Row],[Peasants]]-TblPop[[#This Row],[Draft Growth]],MIN(OFFSET(TblPop[[#This Row],[Net max]],1,0)-TblPop[[#This Row],[Peasants]]-TblPop[[#This Row],[Military]]-TblPop[[#This Row],[Draft Growth]],TblPop[[#This Row],[Modded Birth]]-TblPop[[#This Row],[Draft Growth]]))</f>
        <v>0</v>
      </c>
      <c r="X99" s="96">
        <f ca="1">ROUND(TblPop[[#This Row],[Raw Birth]]*(1+TblPop[[#This Row],[Growth]]),0)</f>
        <v>46</v>
      </c>
      <c r="Y99" s="96">
        <f ca="1">(TblPop[[#This Row],[Peasants]]-TblPop[[#This Row],[Draft Growth]])*raw_pop_growth</f>
        <v>45.96</v>
      </c>
      <c r="Z99" s="96">
        <f ca="1">ROUND(IF(TblPop[[#This Row],[Military%]]&lt;TblMili[[#This Row],[Draftrate]],ROUND(TblPop[[#This Row],[Peasants]]*Constants!$B$55,0), 0) * IF(AND(TblMagic[[#This Row],[Active DnD]]&lt;=12,TblMagic[[#This Row],[Active DnD]]&gt;6),1.6,1),0)</f>
        <v>0</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45735.999999999767</v>
      </c>
      <c r="C100" s="96">
        <f ca="1">OFFSET(TblPop[[#This Row],[Peasants]],-1,0)+OFFSET(TblPop[[#This Row],[Net Peasant]],-1,0)+TblMili[[#This Row],[Release Draft]]</f>
        <v>1532</v>
      </c>
      <c r="D100" s="96">
        <f ca="1">TblMili[[#This Row],[Military]]</f>
        <v>826</v>
      </c>
      <c r="E100" s="96">
        <f ca="1">TblMili[[#This Row],[Draftees]]</f>
        <v>626</v>
      </c>
      <c r="F100" s="96">
        <f ca="1">TblPop[[#This Row],[Peasants]]+TblPop[[#This Row],[Military]]</f>
        <v>2358</v>
      </c>
      <c r="G100" s="141">
        <f ca="1">TblPop[[#This Row],[Military]]/TblPop[[#This Row],[Total]]</f>
        <v>0.35029686174724345</v>
      </c>
      <c r="H100" s="142">
        <f ca="1">MIN(TblPop[[#This Row],[Peasants]],TblPop[[#This Row],[Jobs]])</f>
        <v>1532</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1600</v>
      </c>
      <c r="K100" s="143"/>
      <c r="L100" s="61">
        <f ca="1">TblPop[[#This Row],[Draftees]]</f>
        <v>626</v>
      </c>
      <c r="M100" s="61">
        <f ca="1">TblMili[[#This Row],[Unit 1]]</f>
        <v>0</v>
      </c>
      <c r="N100" s="61">
        <f ca="1">TblMili[[#This Row],[Unit 2]]</f>
        <v>150</v>
      </c>
      <c r="O100" s="61">
        <f ca="1">TblMili[[#This Row],[Unit 3]]</f>
        <v>0</v>
      </c>
      <c r="P100" s="61">
        <f ca="1">TblMili[[#This Row],[Unit 4]]</f>
        <v>0</v>
      </c>
      <c r="Q100" s="61">
        <f ca="1">TblMili[[#This Row],[Spies]]</f>
        <v>25</v>
      </c>
      <c r="R100" s="61">
        <f ca="1">TblMili[[#This Row],[Wizards]]</f>
        <v>25</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2358</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6">
        <f ca="1">MAX(-5%*TblPop[[#This Row],[Peasants]]-TblPop[[#This Row],[Draft Growth]],MIN(OFFSET(TblPop[[#This Row],[Net max]],1,0)-TblPop[[#This Row],[Peasants]]-TblPop[[#This Row],[Military]]-TblPop[[#This Row],[Draft Growth]],TblPop[[#This Row],[Modded Birth]]-TblPop[[#This Row],[Draft Growth]]))</f>
        <v>0</v>
      </c>
      <c r="X100" s="96">
        <f ca="1">ROUND(TblPop[[#This Row],[Raw Birth]]*(1+TblPop[[#This Row],[Growth]]),0)</f>
        <v>46</v>
      </c>
      <c r="Y100" s="96">
        <f ca="1">(TblPop[[#This Row],[Peasants]]-TblPop[[#This Row],[Draft Growth]])*raw_pop_growth</f>
        <v>45.96</v>
      </c>
      <c r="Z100" s="96">
        <f ca="1">ROUND(IF(TblPop[[#This Row],[Military%]]&lt;TblMili[[#This Row],[Draftrate]],ROUND(TblPop[[#This Row],[Peasants]]*Constants!$B$55,0), 0) * IF(AND(TblMagic[[#This Row],[Active DnD]]&lt;=12,TblMagic[[#This Row],[Active DnD]]&gt;6),1.6,1),0)</f>
        <v>0</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45736.041666666431</v>
      </c>
      <c r="C101" s="96">
        <f ca="1">OFFSET(TblPop[[#This Row],[Peasants]],-1,0)+OFFSET(TblPop[[#This Row],[Net Peasant]],-1,0)+TblMili[[#This Row],[Release Draft]]</f>
        <v>1532</v>
      </c>
      <c r="D101" s="96">
        <f ca="1">TblMili[[#This Row],[Military]]</f>
        <v>826</v>
      </c>
      <c r="E101" s="96">
        <f ca="1">TblMili[[#This Row],[Draftees]]</f>
        <v>626</v>
      </c>
      <c r="F101" s="96">
        <f ca="1">TblPop[[#This Row],[Peasants]]+TblPop[[#This Row],[Military]]</f>
        <v>2358</v>
      </c>
      <c r="G101" s="141">
        <f ca="1">TblPop[[#This Row],[Military]]/TblPop[[#This Row],[Total]]</f>
        <v>0.35029686174724345</v>
      </c>
      <c r="H101" s="142">
        <f ca="1">MIN(TblPop[[#This Row],[Peasants]],TblPop[[#This Row],[Jobs]])</f>
        <v>1532</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1600</v>
      </c>
      <c r="K101" s="143"/>
      <c r="L101" s="61">
        <f ca="1">TblPop[[#This Row],[Draftees]]</f>
        <v>626</v>
      </c>
      <c r="M101" s="61">
        <f ca="1">TblMili[[#This Row],[Unit 1]]</f>
        <v>0</v>
      </c>
      <c r="N101" s="61">
        <f ca="1">TblMili[[#This Row],[Unit 2]]</f>
        <v>150</v>
      </c>
      <c r="O101" s="61">
        <f ca="1">TblMili[[#This Row],[Unit 3]]</f>
        <v>0</v>
      </c>
      <c r="P101" s="61">
        <f ca="1">TblMili[[#This Row],[Unit 4]]</f>
        <v>0</v>
      </c>
      <c r="Q101" s="61">
        <f ca="1">TblMili[[#This Row],[Spies]]</f>
        <v>25</v>
      </c>
      <c r="R101" s="61">
        <f ca="1">TblMili[[#This Row],[Wizards]]</f>
        <v>25</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2358</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6">
        <f ca="1">MAX(-5%*TblPop[[#This Row],[Peasants]]-TblPop[[#This Row],[Draft Growth]],MIN(OFFSET(TblPop[[#This Row],[Net max]],1,0)-TblPop[[#This Row],[Peasants]]-TblPop[[#This Row],[Military]]-TblPop[[#This Row],[Draft Growth]],TblPop[[#This Row],[Modded Birth]]-TblPop[[#This Row],[Draft Growth]]))</f>
        <v>0</v>
      </c>
      <c r="X101" s="96">
        <f ca="1">ROUND(TblPop[[#This Row],[Raw Birth]]*(1+TblPop[[#This Row],[Growth]]),0)</f>
        <v>46</v>
      </c>
      <c r="Y101" s="96">
        <f ca="1">(TblPop[[#This Row],[Peasants]]-TblPop[[#This Row],[Draft Growth]])*raw_pop_growth</f>
        <v>45.96</v>
      </c>
      <c r="Z101" s="96">
        <f ca="1">ROUND(IF(TblPop[[#This Row],[Military%]]&lt;TblMili[[#This Row],[Draftrate]],ROUND(TblPop[[#This Row],[Peasants]]*Constants!$B$55,0), 0) * IF(AND(TblMagic[[#This Row],[Active DnD]]&lt;=12,TblMagic[[#This Row],[Active DnD]]&gt;6),1.6,1),0)</f>
        <v>0</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45736.083333333096</v>
      </c>
      <c r="C102" s="96">
        <f ca="1">OFFSET(TblPop[[#This Row],[Peasants]],-1,0)+OFFSET(TblPop[[#This Row],[Net Peasant]],-1,0)+TblMili[[#This Row],[Release Draft]]</f>
        <v>1532</v>
      </c>
      <c r="D102" s="96">
        <f ca="1">TblMili[[#This Row],[Military]]</f>
        <v>826</v>
      </c>
      <c r="E102" s="96">
        <f ca="1">TblMili[[#This Row],[Draftees]]</f>
        <v>626</v>
      </c>
      <c r="F102" s="96">
        <f ca="1">TblPop[[#This Row],[Peasants]]+TblPop[[#This Row],[Military]]</f>
        <v>2358</v>
      </c>
      <c r="G102" s="141">
        <f ca="1">TblPop[[#This Row],[Military]]/TblPop[[#This Row],[Total]]</f>
        <v>0.35029686174724345</v>
      </c>
      <c r="H102" s="142">
        <f ca="1">MIN(TblPop[[#This Row],[Peasants]],TblPop[[#This Row],[Jobs]])</f>
        <v>1532</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1600</v>
      </c>
      <c r="K102" s="143"/>
      <c r="L102" s="61">
        <f ca="1">TblPop[[#This Row],[Draftees]]</f>
        <v>626</v>
      </c>
      <c r="M102" s="61">
        <f ca="1">TblMili[[#This Row],[Unit 1]]</f>
        <v>0</v>
      </c>
      <c r="N102" s="61">
        <f ca="1">TblMili[[#This Row],[Unit 2]]</f>
        <v>150</v>
      </c>
      <c r="O102" s="61">
        <f ca="1">TblMili[[#This Row],[Unit 3]]</f>
        <v>0</v>
      </c>
      <c r="P102" s="61">
        <f ca="1">TblMili[[#This Row],[Unit 4]]</f>
        <v>0</v>
      </c>
      <c r="Q102" s="61">
        <f ca="1">TblMili[[#This Row],[Spies]]</f>
        <v>25</v>
      </c>
      <c r="R102" s="61">
        <f ca="1">TblMili[[#This Row],[Wizards]]</f>
        <v>25</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2358</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6">
        <f ca="1">MAX(-5%*TblPop[[#This Row],[Peasants]]-TblPop[[#This Row],[Draft Growth]],MIN(OFFSET(TblPop[[#This Row],[Net max]],1,0)-TblPop[[#This Row],[Peasants]]-TblPop[[#This Row],[Military]]-TblPop[[#This Row],[Draft Growth]],TblPop[[#This Row],[Modded Birth]]-TblPop[[#This Row],[Draft Growth]]))</f>
        <v>0</v>
      </c>
      <c r="X102" s="96">
        <f ca="1">ROUND(TblPop[[#This Row],[Raw Birth]]*(1+TblPop[[#This Row],[Growth]]),0)</f>
        <v>46</v>
      </c>
      <c r="Y102" s="96">
        <f ca="1">(TblPop[[#This Row],[Peasants]]-TblPop[[#This Row],[Draft Growth]])*raw_pop_growth</f>
        <v>45.96</v>
      </c>
      <c r="Z102" s="96">
        <f ca="1">ROUND(IF(TblPop[[#This Row],[Military%]]&lt;TblMili[[#This Row],[Draftrate]],ROUND(TblPop[[#This Row],[Peasants]]*Constants!$B$55,0), 0) * IF(AND(TblMagic[[#This Row],[Active DnD]]&lt;=12,TblMagic[[#This Row],[Active DnD]]&gt;6),1.6,1),0)</f>
        <v>0</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45736.12499999976</v>
      </c>
      <c r="C103" s="96">
        <f ca="1">OFFSET(TblPop[[#This Row],[Peasants]],-1,0)+OFFSET(TblPop[[#This Row],[Net Peasant]],-1,0)+TblMili[[#This Row],[Release Draft]]</f>
        <v>1532</v>
      </c>
      <c r="D103" s="96">
        <f ca="1">TblMili[[#This Row],[Military]]</f>
        <v>826</v>
      </c>
      <c r="E103" s="96">
        <f ca="1">TblMili[[#This Row],[Draftees]]</f>
        <v>626</v>
      </c>
      <c r="F103" s="96">
        <f ca="1">TblPop[[#This Row],[Peasants]]+TblPop[[#This Row],[Military]]</f>
        <v>2358</v>
      </c>
      <c r="G103" s="141">
        <f ca="1">TblPop[[#This Row],[Military]]/TblPop[[#This Row],[Total]]</f>
        <v>0.35029686174724345</v>
      </c>
      <c r="H103" s="142">
        <f ca="1">MIN(TblPop[[#This Row],[Peasants]],TblPop[[#This Row],[Jobs]])</f>
        <v>1532</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1600</v>
      </c>
      <c r="K103" s="143"/>
      <c r="L103" s="61">
        <f ca="1">TblPop[[#This Row],[Draftees]]</f>
        <v>626</v>
      </c>
      <c r="M103" s="61">
        <f ca="1">TblMili[[#This Row],[Unit 1]]</f>
        <v>0</v>
      </c>
      <c r="N103" s="61">
        <f ca="1">TblMili[[#This Row],[Unit 2]]</f>
        <v>150</v>
      </c>
      <c r="O103" s="61">
        <f ca="1">TblMili[[#This Row],[Unit 3]]</f>
        <v>0</v>
      </c>
      <c r="P103" s="61">
        <f ca="1">TblMili[[#This Row],[Unit 4]]</f>
        <v>0</v>
      </c>
      <c r="Q103" s="61">
        <f ca="1">TblMili[[#This Row],[Spies]]</f>
        <v>25</v>
      </c>
      <c r="R103" s="61">
        <f ca="1">TblMili[[#This Row],[Wizards]]</f>
        <v>25</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2358</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6">
        <f ca="1">MAX(-5%*TblPop[[#This Row],[Peasants]]-TblPop[[#This Row],[Draft Growth]],MIN(OFFSET(TblPop[[#This Row],[Net max]],1,0)-TblPop[[#This Row],[Peasants]]-TblPop[[#This Row],[Military]]-TblPop[[#This Row],[Draft Growth]],TblPop[[#This Row],[Modded Birth]]-TblPop[[#This Row],[Draft Growth]]))</f>
        <v>0</v>
      </c>
      <c r="X103" s="96">
        <f ca="1">ROUND(TblPop[[#This Row],[Raw Birth]]*(1+TblPop[[#This Row],[Growth]]),0)</f>
        <v>46</v>
      </c>
      <c r="Y103" s="96">
        <f ca="1">(TblPop[[#This Row],[Peasants]]-TblPop[[#This Row],[Draft Growth]])*raw_pop_growth</f>
        <v>45.96</v>
      </c>
      <c r="Z103" s="96">
        <f ca="1">ROUND(IF(TblPop[[#This Row],[Military%]]&lt;TblMili[[#This Row],[Draftrate]],ROUND(TblPop[[#This Row],[Peasants]]*Constants!$B$55,0), 0) * IF(AND(TblMagic[[#This Row],[Active DnD]]&lt;=12,TblMagic[[#This Row],[Active DnD]]&gt;6),1.6,1),0)</f>
        <v>0</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45736.166666666424</v>
      </c>
      <c r="C104" s="96">
        <f ca="1">OFFSET(TblPop[[#This Row],[Peasants]],-1,0)+OFFSET(TblPop[[#This Row],[Net Peasant]],-1,0)+TblMili[[#This Row],[Release Draft]]</f>
        <v>1532</v>
      </c>
      <c r="D104" s="96">
        <f ca="1">TblMili[[#This Row],[Military]]</f>
        <v>826</v>
      </c>
      <c r="E104" s="96">
        <f ca="1">TblMili[[#This Row],[Draftees]]</f>
        <v>626</v>
      </c>
      <c r="F104" s="96">
        <f ca="1">TblPop[[#This Row],[Peasants]]+TblPop[[#This Row],[Military]]</f>
        <v>2358</v>
      </c>
      <c r="G104" s="141">
        <f ca="1">TblPop[[#This Row],[Military]]/TblPop[[#This Row],[Total]]</f>
        <v>0.35029686174724345</v>
      </c>
      <c r="H104" s="142">
        <f ca="1">MIN(TblPop[[#This Row],[Peasants]],TblPop[[#This Row],[Jobs]])</f>
        <v>1532</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1600</v>
      </c>
      <c r="K104" s="143"/>
      <c r="L104" s="61">
        <f ca="1">TblPop[[#This Row],[Draftees]]</f>
        <v>626</v>
      </c>
      <c r="M104" s="61">
        <f ca="1">TblMili[[#This Row],[Unit 1]]</f>
        <v>0</v>
      </c>
      <c r="N104" s="61">
        <f ca="1">TblMili[[#This Row],[Unit 2]]</f>
        <v>150</v>
      </c>
      <c r="O104" s="61">
        <f ca="1">TblMili[[#This Row],[Unit 3]]</f>
        <v>0</v>
      </c>
      <c r="P104" s="61">
        <f ca="1">TblMili[[#This Row],[Unit 4]]</f>
        <v>0</v>
      </c>
      <c r="Q104" s="61">
        <f ca="1">TblMili[[#This Row],[Spies]]</f>
        <v>25</v>
      </c>
      <c r="R104" s="61">
        <f ca="1">TblMili[[#This Row],[Wizards]]</f>
        <v>25</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2358</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6">
        <f ca="1">MAX(-5%*TblPop[[#This Row],[Peasants]]-TblPop[[#This Row],[Draft Growth]],MIN(OFFSET(TblPop[[#This Row],[Net max]],1,0)-TblPop[[#This Row],[Peasants]]-TblPop[[#This Row],[Military]]-TblPop[[#This Row],[Draft Growth]],TblPop[[#This Row],[Modded Birth]]-TblPop[[#This Row],[Draft Growth]]))</f>
        <v>0</v>
      </c>
      <c r="X104" s="96">
        <f ca="1">ROUND(TblPop[[#This Row],[Raw Birth]]*(1+TblPop[[#This Row],[Growth]]),0)</f>
        <v>46</v>
      </c>
      <c r="Y104" s="96">
        <f ca="1">(TblPop[[#This Row],[Peasants]]-TblPop[[#This Row],[Draft Growth]])*raw_pop_growth</f>
        <v>45.96</v>
      </c>
      <c r="Z104" s="96">
        <f ca="1">ROUND(IF(TblPop[[#This Row],[Military%]]&lt;TblMili[[#This Row],[Draftrate]],ROUND(TblPop[[#This Row],[Peasants]]*Constants!$B$55,0), 0) * IF(AND(TblMagic[[#This Row],[Active DnD]]&lt;=12,TblMagic[[#This Row],[Active DnD]]&gt;6),1.6,1),0)</f>
        <v>0</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45736.208333333088</v>
      </c>
      <c r="C105" s="96">
        <f ca="1">OFFSET(TblPop[[#This Row],[Peasants]],-1,0)+OFFSET(TblPop[[#This Row],[Net Peasant]],-1,0)+TblMili[[#This Row],[Release Draft]]</f>
        <v>1532</v>
      </c>
      <c r="D105" s="96">
        <f ca="1">TblMili[[#This Row],[Military]]</f>
        <v>826</v>
      </c>
      <c r="E105" s="96">
        <f ca="1">TblMili[[#This Row],[Draftees]]</f>
        <v>626</v>
      </c>
      <c r="F105" s="96">
        <f ca="1">TblPop[[#This Row],[Peasants]]+TblPop[[#This Row],[Military]]</f>
        <v>2358</v>
      </c>
      <c r="G105" s="141">
        <f ca="1">TblPop[[#This Row],[Military]]/TblPop[[#This Row],[Total]]</f>
        <v>0.35029686174724345</v>
      </c>
      <c r="H105" s="142">
        <f ca="1">MIN(TblPop[[#This Row],[Peasants]],TblPop[[#This Row],[Jobs]])</f>
        <v>1532</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1600</v>
      </c>
      <c r="K105" s="143"/>
      <c r="L105" s="61">
        <f ca="1">TblPop[[#This Row],[Draftees]]</f>
        <v>626</v>
      </c>
      <c r="M105" s="61">
        <f ca="1">TblMili[[#This Row],[Unit 1]]</f>
        <v>0</v>
      </c>
      <c r="N105" s="61">
        <f ca="1">TblMili[[#This Row],[Unit 2]]</f>
        <v>150</v>
      </c>
      <c r="O105" s="61">
        <f ca="1">TblMili[[#This Row],[Unit 3]]</f>
        <v>0</v>
      </c>
      <c r="P105" s="61">
        <f ca="1">TblMili[[#This Row],[Unit 4]]</f>
        <v>0</v>
      </c>
      <c r="Q105" s="61">
        <f ca="1">TblMili[[#This Row],[Spies]]</f>
        <v>25</v>
      </c>
      <c r="R105" s="61">
        <f ca="1">TblMili[[#This Row],[Wizards]]</f>
        <v>25</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2358</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6">
        <f ca="1">MAX(-5%*TblPop[[#This Row],[Peasants]]-TblPop[[#This Row],[Draft Growth]],MIN(OFFSET(TblPop[[#This Row],[Net max]],1,0)-TblPop[[#This Row],[Peasants]]-TblPop[[#This Row],[Military]]-TblPop[[#This Row],[Draft Growth]],TblPop[[#This Row],[Modded Birth]]-TblPop[[#This Row],[Draft Growth]]))</f>
        <v>0</v>
      </c>
      <c r="X105" s="96">
        <f ca="1">ROUND(TblPop[[#This Row],[Raw Birth]]*(1+TblPop[[#This Row],[Growth]]),0)</f>
        <v>46</v>
      </c>
      <c r="Y105" s="96">
        <f ca="1">(TblPop[[#This Row],[Peasants]]-TblPop[[#This Row],[Draft Growth]])*raw_pop_growth</f>
        <v>45.96</v>
      </c>
      <c r="Z105" s="96">
        <f ca="1">ROUND(IF(TblPop[[#This Row],[Military%]]&lt;TblMili[[#This Row],[Draftrate]],ROUND(TblPop[[#This Row],[Peasants]]*Constants!$B$55,0), 0) * IF(AND(TblMagic[[#This Row],[Active DnD]]&lt;=12,TblMagic[[#This Row],[Active DnD]]&gt;6),1.6,1),0)</f>
        <v>0</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45736.249999999753</v>
      </c>
      <c r="C106" s="96">
        <f ca="1">OFFSET(TblPop[[#This Row],[Peasants]],-1,0)+OFFSET(TblPop[[#This Row],[Net Peasant]],-1,0)+TblMili[[#This Row],[Release Draft]]</f>
        <v>1532</v>
      </c>
      <c r="D106" s="96">
        <f ca="1">TblMili[[#This Row],[Military]]</f>
        <v>826</v>
      </c>
      <c r="E106" s="96">
        <f ca="1">TblMili[[#This Row],[Draftees]]</f>
        <v>626</v>
      </c>
      <c r="F106" s="96">
        <f ca="1">TblPop[[#This Row],[Peasants]]+TblPop[[#This Row],[Military]]</f>
        <v>2358</v>
      </c>
      <c r="G106" s="141">
        <f ca="1">TblPop[[#This Row],[Military]]/TblPop[[#This Row],[Total]]</f>
        <v>0.35029686174724345</v>
      </c>
      <c r="H106" s="142">
        <f ca="1">MIN(TblPop[[#This Row],[Peasants]],TblPop[[#This Row],[Jobs]])</f>
        <v>1532</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1600</v>
      </c>
      <c r="K106" s="143"/>
      <c r="L106" s="61">
        <f ca="1">TblPop[[#This Row],[Draftees]]</f>
        <v>626</v>
      </c>
      <c r="M106" s="61">
        <f ca="1">TblMili[[#This Row],[Unit 1]]</f>
        <v>0</v>
      </c>
      <c r="N106" s="61">
        <f ca="1">TblMili[[#This Row],[Unit 2]]</f>
        <v>150</v>
      </c>
      <c r="O106" s="61">
        <f ca="1">TblMili[[#This Row],[Unit 3]]</f>
        <v>0</v>
      </c>
      <c r="P106" s="61">
        <f ca="1">TblMili[[#This Row],[Unit 4]]</f>
        <v>0</v>
      </c>
      <c r="Q106" s="61">
        <f ca="1">TblMili[[#This Row],[Spies]]</f>
        <v>25</v>
      </c>
      <c r="R106" s="61">
        <f ca="1">TblMili[[#This Row],[Wizards]]</f>
        <v>25</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2358</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6">
        <f ca="1">MAX(-5%*TblPop[[#This Row],[Peasants]]-TblPop[[#This Row],[Draft Growth]],MIN(OFFSET(TblPop[[#This Row],[Net max]],1,0)-TblPop[[#This Row],[Peasants]]-TblPop[[#This Row],[Military]]-TblPop[[#This Row],[Draft Growth]],TblPop[[#This Row],[Modded Birth]]-TblPop[[#This Row],[Draft Growth]]))</f>
        <v>0</v>
      </c>
      <c r="X106" s="96">
        <f ca="1">ROUND(TblPop[[#This Row],[Raw Birth]]*(1+TblPop[[#This Row],[Growth]]),0)</f>
        <v>46</v>
      </c>
      <c r="Y106" s="96">
        <f ca="1">(TblPop[[#This Row],[Peasants]]-TblPop[[#This Row],[Draft Growth]])*raw_pop_growth</f>
        <v>45.96</v>
      </c>
      <c r="Z106" s="96">
        <f ca="1">ROUND(IF(TblPop[[#This Row],[Military%]]&lt;TblMili[[#This Row],[Draftrate]],ROUND(TblPop[[#This Row],[Peasants]]*Constants!$B$55,0), 0) * IF(AND(TblMagic[[#This Row],[Active DnD]]&lt;=12,TblMagic[[#This Row],[Active DnD]]&gt;6),1.6,1),0)</f>
        <v>0</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45736.291666666417</v>
      </c>
      <c r="C107" s="96">
        <f ca="1">OFFSET(TblPop[[#This Row],[Peasants]],-1,0)+OFFSET(TblPop[[#This Row],[Net Peasant]],-1,0)+TblMili[[#This Row],[Release Draft]]</f>
        <v>1532</v>
      </c>
      <c r="D107" s="96">
        <f ca="1">TblMili[[#This Row],[Military]]</f>
        <v>826</v>
      </c>
      <c r="E107" s="96">
        <f ca="1">TblMili[[#This Row],[Draftees]]</f>
        <v>626</v>
      </c>
      <c r="F107" s="96">
        <f ca="1">TblPop[[#This Row],[Peasants]]+TblPop[[#This Row],[Military]]</f>
        <v>2358</v>
      </c>
      <c r="G107" s="141">
        <f ca="1">TblPop[[#This Row],[Military]]/TblPop[[#This Row],[Total]]</f>
        <v>0.35029686174724345</v>
      </c>
      <c r="H107" s="142">
        <f ca="1">MIN(TblPop[[#This Row],[Peasants]],TblPop[[#This Row],[Jobs]])</f>
        <v>1532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1600</v>
      </c>
      <c r="K107" s="143"/>
      <c r="L107" s="61">
        <f ca="1">TblPop[[#This Row],[Draftees]]</f>
        <v>626</v>
      </c>
      <c r="M107" s="61">
        <f ca="1">TblMili[[#This Row],[Unit 1]]</f>
        <v>0</v>
      </c>
      <c r="N107" s="61">
        <f ca="1">TblMili[[#This Row],[Unit 2]]</f>
        <v>150</v>
      </c>
      <c r="O107" s="61">
        <f ca="1">TblMili[[#This Row],[Unit 3]]</f>
        <v>0</v>
      </c>
      <c r="P107" s="61">
        <f ca="1">TblMili[[#This Row],[Unit 4]]</f>
        <v>0</v>
      </c>
      <c r="Q107" s="61">
        <f ca="1">TblMili[[#This Row],[Spies]]</f>
        <v>25</v>
      </c>
      <c r="R107" s="61">
        <f ca="1">TblMili[[#This Row],[Wizards]]</f>
        <v>25</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2358</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6">
        <f ca="1">MAX(-5%*TblPop[[#This Row],[Peasants]]-TblPop[[#This Row],[Draft Growth]],MIN(OFFSET(TblPop[[#This Row],[Net max]],1,0)-TblPop[[#This Row],[Peasants]]-TblPop[[#This Row],[Military]]-TblPop[[#This Row],[Draft Growth]],TblPop[[#This Row],[Modded Birth]]-TblPop[[#This Row],[Draft Growth]]))</f>
        <v>0</v>
      </c>
      <c r="X107" s="96">
        <f ca="1">ROUND(TblPop[[#This Row],[Raw Birth]]*(1+TblPop[[#This Row],[Growth]]),0)</f>
        <v>46</v>
      </c>
      <c r="Y107" s="96">
        <f ca="1">(TblPop[[#This Row],[Peasants]]-TblPop[[#This Row],[Draft Growth]])*raw_pop_growth</f>
        <v>45.96</v>
      </c>
      <c r="Z107" s="96">
        <f ca="1">ROUND(IF(TblPop[[#This Row],[Military%]]&lt;TblMili[[#This Row],[Draftrate]],ROUND(TblPop[[#This Row],[Peasants]]*Constants!$B$55,0), 0) * IF(AND(TblMagic[[#This Row],[Active DnD]]&lt;=12,TblMagic[[#This Row],[Active DnD]]&gt;6),1.6,1),0)</f>
        <v>0</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45736.333333333081</v>
      </c>
      <c r="C108" s="96">
        <f ca="1">OFFSET(TblPop[[#This Row],[Peasants]],-1,0)+OFFSET(TblPop[[#This Row],[Net Peasant]],-1,0)+TblMili[[#This Row],[Release Draft]]</f>
        <v>1532</v>
      </c>
      <c r="D108" s="96">
        <f ca="1">TblMili[[#This Row],[Military]]</f>
        <v>826</v>
      </c>
      <c r="E108" s="96">
        <f ca="1">TblMili[[#This Row],[Draftees]]</f>
        <v>626</v>
      </c>
      <c r="F108" s="96">
        <f ca="1">TblPop[[#This Row],[Peasants]]+TblPop[[#This Row],[Military]]</f>
        <v>2358</v>
      </c>
      <c r="G108" s="141">
        <f ca="1">TblPop[[#This Row],[Military]]/TblPop[[#This Row],[Total]]</f>
        <v>0.35029686174724345</v>
      </c>
      <c r="H108" s="142">
        <f ca="1">MIN(TblPop[[#This Row],[Peasants]],TblPop[[#This Row],[Jobs]])</f>
        <v>1532</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1600</v>
      </c>
      <c r="K108" s="143"/>
      <c r="L108" s="61">
        <f ca="1">TblPop[[#This Row],[Draftees]]</f>
        <v>626</v>
      </c>
      <c r="M108" s="61">
        <f ca="1">TblMili[[#This Row],[Unit 1]]</f>
        <v>0</v>
      </c>
      <c r="N108" s="61">
        <f ca="1">TblMili[[#This Row],[Unit 2]]</f>
        <v>150</v>
      </c>
      <c r="O108" s="61">
        <f ca="1">TblMili[[#This Row],[Unit 3]]</f>
        <v>0</v>
      </c>
      <c r="P108" s="61">
        <f ca="1">TblMili[[#This Row],[Unit 4]]</f>
        <v>0</v>
      </c>
      <c r="Q108" s="61">
        <f ca="1">TblMili[[#This Row],[Spies]]</f>
        <v>25</v>
      </c>
      <c r="R108" s="61">
        <f ca="1">TblMili[[#This Row],[Wizards]]</f>
        <v>25</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2358</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6">
        <f ca="1">MAX(-5%*TblPop[[#This Row],[Peasants]]-TblPop[[#This Row],[Draft Growth]],MIN(OFFSET(TblPop[[#This Row],[Net max]],1,0)-TblPop[[#This Row],[Peasants]]-TblPop[[#This Row],[Military]]-TblPop[[#This Row],[Draft Growth]],TblPop[[#This Row],[Modded Birth]]-TblPop[[#This Row],[Draft Growth]]))</f>
        <v>0</v>
      </c>
      <c r="X108" s="96">
        <f ca="1">ROUND(TblPop[[#This Row],[Raw Birth]]*(1+TblPop[[#This Row],[Growth]]),0)</f>
        <v>46</v>
      </c>
      <c r="Y108" s="96">
        <f ca="1">(TblPop[[#This Row],[Peasants]]-TblPop[[#This Row],[Draft Growth]])*raw_pop_growth</f>
        <v>45.96</v>
      </c>
      <c r="Z108" s="96">
        <f ca="1">ROUND(IF(TblPop[[#This Row],[Military%]]&lt;TblMili[[#This Row],[Draftrate]],ROUND(TblPop[[#This Row],[Peasants]]*Constants!$B$55,0), 0) * IF(AND(TblMagic[[#This Row],[Active DnD]]&lt;=12,TblMagic[[#This Row],[Active DnD]]&gt;6),1.6,1),0)</f>
        <v>0</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45736.374999999745</v>
      </c>
      <c r="C109" s="96">
        <f ca="1">OFFSET(TblPop[[#This Row],[Peasants]],-1,0)+OFFSET(TblPop[[#This Row],[Net Peasant]],-1,0)+TblMili[[#This Row],[Release Draft]]</f>
        <v>1532</v>
      </c>
      <c r="D109" s="96">
        <f ca="1">TblMili[[#This Row],[Military]]</f>
        <v>826</v>
      </c>
      <c r="E109" s="96">
        <f ca="1">TblMili[[#This Row],[Draftees]]</f>
        <v>626</v>
      </c>
      <c r="F109" s="96">
        <f ca="1">TblPop[[#This Row],[Peasants]]+TblPop[[#This Row],[Military]]</f>
        <v>2358</v>
      </c>
      <c r="G109" s="141">
        <f ca="1">TblPop[[#This Row],[Military]]/TblPop[[#This Row],[Total]]</f>
        <v>0.35029686174724345</v>
      </c>
      <c r="H109" s="142">
        <f ca="1">MIN(TblPop[[#This Row],[Peasants]],TblPop[[#This Row],[Jobs]])</f>
        <v>1532</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1600</v>
      </c>
      <c r="K109" s="143"/>
      <c r="L109" s="61">
        <f ca="1">TblPop[[#This Row],[Draftees]]</f>
        <v>626</v>
      </c>
      <c r="M109" s="61">
        <f ca="1">TblMili[[#This Row],[Unit 1]]</f>
        <v>0</v>
      </c>
      <c r="N109" s="61">
        <f ca="1">TblMili[[#This Row],[Unit 2]]</f>
        <v>150</v>
      </c>
      <c r="O109" s="61">
        <f ca="1">TblMili[[#This Row],[Unit 3]]</f>
        <v>0</v>
      </c>
      <c r="P109" s="61">
        <f ca="1">TblMili[[#This Row],[Unit 4]]</f>
        <v>0</v>
      </c>
      <c r="Q109" s="61">
        <f ca="1">TblMili[[#This Row],[Spies]]</f>
        <v>25</v>
      </c>
      <c r="R109" s="61">
        <f ca="1">TblMili[[#This Row],[Wizards]]</f>
        <v>25</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2358</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6">
        <f ca="1">MAX(-5%*TblPop[[#This Row],[Peasants]]-TblPop[[#This Row],[Draft Growth]],MIN(OFFSET(TblPop[[#This Row],[Net max]],1,0)-TblPop[[#This Row],[Peasants]]-TblPop[[#This Row],[Military]]-TblPop[[#This Row],[Draft Growth]],TblPop[[#This Row],[Modded Birth]]-TblPop[[#This Row],[Draft Growth]]))</f>
        <v>0</v>
      </c>
      <c r="X109" s="96">
        <f ca="1">ROUND(TblPop[[#This Row],[Raw Birth]]*(1+TblPop[[#This Row],[Growth]]),0)</f>
        <v>46</v>
      </c>
      <c r="Y109" s="96">
        <f ca="1">(TblPop[[#This Row],[Peasants]]-TblPop[[#This Row],[Draft Growth]])*raw_pop_growth</f>
        <v>45.96</v>
      </c>
      <c r="Z109" s="96">
        <f ca="1">ROUND(IF(TblPop[[#This Row],[Military%]]&lt;TblMili[[#This Row],[Draftrate]],ROUND(TblPop[[#This Row],[Peasants]]*Constants!$B$55,0), 0) * IF(AND(TblMagic[[#This Row],[Active DnD]]&lt;=12,TblMagic[[#This Row],[Active DnD]]&gt;6),1.6,1),0)</f>
        <v>0</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45736.41666666641</v>
      </c>
      <c r="C110" s="96">
        <f ca="1">OFFSET(TblPop[[#This Row],[Peasants]],-1,0)+OFFSET(TblPop[[#This Row],[Net Peasant]],-1,0)+TblMili[[#This Row],[Release Draft]]</f>
        <v>1532</v>
      </c>
      <c r="D110" s="96">
        <f ca="1">TblMili[[#This Row],[Military]]</f>
        <v>826</v>
      </c>
      <c r="E110" s="96">
        <f ca="1">TblMili[[#This Row],[Draftees]]</f>
        <v>626</v>
      </c>
      <c r="F110" s="96">
        <f ca="1">TblPop[[#This Row],[Peasants]]+TblPop[[#This Row],[Military]]</f>
        <v>2358</v>
      </c>
      <c r="G110" s="141">
        <f ca="1">TblPop[[#This Row],[Military]]/TblPop[[#This Row],[Total]]</f>
        <v>0.35029686174724345</v>
      </c>
      <c r="H110" s="142">
        <f ca="1">MIN(TblPop[[#This Row],[Peasants]],TblPop[[#This Row],[Jobs]])</f>
        <v>1532</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1600</v>
      </c>
      <c r="K110" s="143"/>
      <c r="L110" s="61">
        <f ca="1">TblPop[[#This Row],[Draftees]]</f>
        <v>626</v>
      </c>
      <c r="M110" s="61">
        <f ca="1">TblMili[[#This Row],[Unit 1]]</f>
        <v>0</v>
      </c>
      <c r="N110" s="61">
        <f ca="1">TblMili[[#This Row],[Unit 2]]</f>
        <v>150</v>
      </c>
      <c r="O110" s="61">
        <f ca="1">TblMili[[#This Row],[Unit 3]]</f>
        <v>0</v>
      </c>
      <c r="P110" s="61">
        <f ca="1">TblMili[[#This Row],[Unit 4]]</f>
        <v>0</v>
      </c>
      <c r="Q110" s="61">
        <f ca="1">TblMili[[#This Row],[Spies]]</f>
        <v>25</v>
      </c>
      <c r="R110" s="61">
        <f ca="1">TblMili[[#This Row],[Wizards]]</f>
        <v>25</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2358</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6">
        <f ca="1">MAX(-5%*TblPop[[#This Row],[Peasants]]-TblPop[[#This Row],[Draft Growth]],MIN(OFFSET(TblPop[[#This Row],[Net max]],1,0)-TblPop[[#This Row],[Peasants]]-TblPop[[#This Row],[Military]]-TblPop[[#This Row],[Draft Growth]],TblPop[[#This Row],[Modded Birth]]-TblPop[[#This Row],[Draft Growth]]))</f>
        <v>0</v>
      </c>
      <c r="X110" s="96">
        <f ca="1">ROUND(TblPop[[#This Row],[Raw Birth]]*(1+TblPop[[#This Row],[Growth]]),0)</f>
        <v>46</v>
      </c>
      <c r="Y110" s="96">
        <f ca="1">(TblPop[[#This Row],[Peasants]]-TblPop[[#This Row],[Draft Growth]])*raw_pop_growth</f>
        <v>45.96</v>
      </c>
      <c r="Z110" s="96">
        <f ca="1">ROUND(IF(TblPop[[#This Row],[Military%]]&lt;TblMili[[#This Row],[Draftrate]],ROUND(TblPop[[#This Row],[Peasants]]*Constants!$B$55,0), 0) * IF(AND(TblMagic[[#This Row],[Active DnD]]&lt;=12,TblMagic[[#This Row],[Active DnD]]&gt;6),1.6,1),0)</f>
        <v>0</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45736.458333333074</v>
      </c>
      <c r="C111" s="96">
        <f ca="1">OFFSET(TblPop[[#This Row],[Peasants]],-1,0)+OFFSET(TblPop[[#This Row],[Net Peasant]],-1,0)+TblMili[[#This Row],[Release Draft]]</f>
        <v>1532</v>
      </c>
      <c r="D111" s="96">
        <f ca="1">TblMili[[#This Row],[Military]]</f>
        <v>826</v>
      </c>
      <c r="E111" s="96">
        <f ca="1">TblMili[[#This Row],[Draftees]]</f>
        <v>626</v>
      </c>
      <c r="F111" s="96">
        <f ca="1">TblPop[[#This Row],[Peasants]]+TblPop[[#This Row],[Military]]</f>
        <v>2358</v>
      </c>
      <c r="G111" s="141">
        <f ca="1">TblPop[[#This Row],[Military]]/TblPop[[#This Row],[Total]]</f>
        <v>0.35029686174724345</v>
      </c>
      <c r="H111" s="142">
        <f ca="1">MIN(TblPop[[#This Row],[Peasants]],TblPop[[#This Row],[Jobs]])</f>
        <v>1532</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1600</v>
      </c>
      <c r="K111" s="143"/>
      <c r="L111" s="61">
        <f ca="1">TblPop[[#This Row],[Draftees]]</f>
        <v>626</v>
      </c>
      <c r="M111" s="61">
        <f ca="1">TblMili[[#This Row],[Unit 1]]</f>
        <v>0</v>
      </c>
      <c r="N111" s="61">
        <f ca="1">TblMili[[#This Row],[Unit 2]]</f>
        <v>150</v>
      </c>
      <c r="O111" s="61">
        <f ca="1">TblMili[[#This Row],[Unit 3]]</f>
        <v>0</v>
      </c>
      <c r="P111" s="61">
        <f ca="1">TblMili[[#This Row],[Unit 4]]</f>
        <v>0</v>
      </c>
      <c r="Q111" s="61">
        <f ca="1">TblMili[[#This Row],[Spies]]</f>
        <v>25</v>
      </c>
      <c r="R111" s="61">
        <f ca="1">TblMili[[#This Row],[Wizards]]</f>
        <v>25</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2358</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6">
        <f ca="1">MAX(-5%*TblPop[[#This Row],[Peasants]]-TblPop[[#This Row],[Draft Growth]],MIN(OFFSET(TblPop[[#This Row],[Net max]],1,0)-TblPop[[#This Row],[Peasants]]-TblPop[[#This Row],[Military]]-TblPop[[#This Row],[Draft Growth]],TblPop[[#This Row],[Modded Birth]]-TblPop[[#This Row],[Draft Growth]]))</f>
        <v>0</v>
      </c>
      <c r="X111" s="96">
        <f ca="1">ROUND(TblPop[[#This Row],[Raw Birth]]*(1+TblPop[[#This Row],[Growth]]),0)</f>
        <v>46</v>
      </c>
      <c r="Y111" s="96">
        <f ca="1">(TblPop[[#This Row],[Peasants]]-TblPop[[#This Row],[Draft Growth]])*raw_pop_growth</f>
        <v>45.96</v>
      </c>
      <c r="Z111" s="96">
        <f ca="1">ROUND(IF(TblPop[[#This Row],[Military%]]&lt;TblMili[[#This Row],[Draftrate]],ROUND(TblPop[[#This Row],[Peasants]]*Constants!$B$55,0), 0) * IF(AND(TblMagic[[#This Row],[Active DnD]]&lt;=12,TblMagic[[#This Row],[Active DnD]]&gt;6),1.6,1),0)</f>
        <v>0</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45736.499999999738</v>
      </c>
      <c r="C112" s="96">
        <f ca="1">OFFSET(TblPop[[#This Row],[Peasants]],-1,0)+OFFSET(TblPop[[#This Row],[Net Peasant]],-1,0)+TblMili[[#This Row],[Release Draft]]</f>
        <v>1532</v>
      </c>
      <c r="D112" s="96">
        <f ca="1">TblMili[[#This Row],[Military]]</f>
        <v>826</v>
      </c>
      <c r="E112" s="96">
        <f ca="1">TblMili[[#This Row],[Draftees]]</f>
        <v>626</v>
      </c>
      <c r="F112" s="96">
        <f ca="1">TblPop[[#This Row],[Peasants]]+TblPop[[#This Row],[Military]]</f>
        <v>2358</v>
      </c>
      <c r="G112" s="141">
        <f ca="1">TblPop[[#This Row],[Military]]/TblPop[[#This Row],[Total]]</f>
        <v>0.35029686174724345</v>
      </c>
      <c r="H112" s="142">
        <f ca="1">MIN(TblPop[[#This Row],[Peasants]],TblPop[[#This Row],[Jobs]])</f>
        <v>1532</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1600</v>
      </c>
      <c r="K112" s="143"/>
      <c r="L112" s="61">
        <f ca="1">TblPop[[#This Row],[Draftees]]</f>
        <v>626</v>
      </c>
      <c r="M112" s="61">
        <f ca="1">TblMili[[#This Row],[Unit 1]]</f>
        <v>0</v>
      </c>
      <c r="N112" s="61">
        <f ca="1">TblMili[[#This Row],[Unit 2]]</f>
        <v>150</v>
      </c>
      <c r="O112" s="61">
        <f ca="1">TblMili[[#This Row],[Unit 3]]</f>
        <v>0</v>
      </c>
      <c r="P112" s="61">
        <f ca="1">TblMili[[#This Row],[Unit 4]]</f>
        <v>0</v>
      </c>
      <c r="Q112" s="61">
        <f ca="1">TblMili[[#This Row],[Spies]]</f>
        <v>25</v>
      </c>
      <c r="R112" s="61">
        <f ca="1">TblMili[[#This Row],[Wizards]]</f>
        <v>25</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2358</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6">
        <f ca="1">MAX(-5%*TblPop[[#This Row],[Peasants]]-TblPop[[#This Row],[Draft Growth]],MIN(OFFSET(TblPop[[#This Row],[Net max]],1,0)-TblPop[[#This Row],[Peasants]]-TblPop[[#This Row],[Military]]-TblPop[[#This Row],[Draft Growth]],TblPop[[#This Row],[Modded Birth]]-TblPop[[#This Row],[Draft Growth]]))</f>
        <v>0</v>
      </c>
      <c r="X112" s="96">
        <f ca="1">ROUND(TblPop[[#This Row],[Raw Birth]]*(1+TblPop[[#This Row],[Growth]]),0)</f>
        <v>46</v>
      </c>
      <c r="Y112" s="96">
        <f ca="1">(TblPop[[#This Row],[Peasants]]-TblPop[[#This Row],[Draft Growth]])*raw_pop_growth</f>
        <v>45.96</v>
      </c>
      <c r="Z112" s="96">
        <f ca="1">ROUND(IF(TblPop[[#This Row],[Military%]]&lt;TblMili[[#This Row],[Draftrate]],ROUND(TblPop[[#This Row],[Peasants]]*Constants!$B$55,0), 0) * IF(AND(TblMagic[[#This Row],[Active DnD]]&lt;=12,TblMagic[[#This Row],[Active DnD]]&gt;6),1.6,1),0)</f>
        <v>0</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45736.541666666402</v>
      </c>
      <c r="C113" s="96">
        <f ca="1">OFFSET(TblPop[[#This Row],[Peasants]],-1,0)+OFFSET(TblPop[[#This Row],[Net Peasant]],-1,0)+TblMili[[#This Row],[Release Draft]]</f>
        <v>1532</v>
      </c>
      <c r="D113" s="96">
        <f ca="1">TblMili[[#This Row],[Military]]</f>
        <v>826</v>
      </c>
      <c r="E113" s="96">
        <f ca="1">TblMili[[#This Row],[Draftees]]</f>
        <v>626</v>
      </c>
      <c r="F113" s="96">
        <f ca="1">TblPop[[#This Row],[Peasants]]+TblPop[[#This Row],[Military]]</f>
        <v>2358</v>
      </c>
      <c r="G113" s="141">
        <f ca="1">TblPop[[#This Row],[Military]]/TblPop[[#This Row],[Total]]</f>
        <v>0.35029686174724345</v>
      </c>
      <c r="H113" s="142">
        <f ca="1">MIN(TblPop[[#This Row],[Peasants]],TblPop[[#This Row],[Jobs]])</f>
        <v>1532</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1600</v>
      </c>
      <c r="K113" s="143"/>
      <c r="L113" s="61">
        <f ca="1">TblPop[[#This Row],[Draftees]]</f>
        <v>626</v>
      </c>
      <c r="M113" s="61">
        <f ca="1">TblMili[[#This Row],[Unit 1]]</f>
        <v>0</v>
      </c>
      <c r="N113" s="61">
        <f ca="1">TblMili[[#This Row],[Unit 2]]</f>
        <v>150</v>
      </c>
      <c r="O113" s="61">
        <f ca="1">TblMili[[#This Row],[Unit 3]]</f>
        <v>0</v>
      </c>
      <c r="P113" s="61">
        <f ca="1">TblMili[[#This Row],[Unit 4]]</f>
        <v>0</v>
      </c>
      <c r="Q113" s="61">
        <f ca="1">TblMili[[#This Row],[Spies]]</f>
        <v>25</v>
      </c>
      <c r="R113" s="61">
        <f ca="1">TblMili[[#This Row],[Wizards]]</f>
        <v>25</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2358</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6">
        <f ca="1">MAX(-5%*TblPop[[#This Row],[Peasants]]-TblPop[[#This Row],[Draft Growth]],MIN(OFFSET(TblPop[[#This Row],[Net max]],1,0)-TblPop[[#This Row],[Peasants]]-TblPop[[#This Row],[Military]]-TblPop[[#This Row],[Draft Growth]],TblPop[[#This Row],[Modded Birth]]-TblPop[[#This Row],[Draft Growth]]))</f>
        <v>0</v>
      </c>
      <c r="X113" s="96">
        <f ca="1">ROUND(TblPop[[#This Row],[Raw Birth]]*(1+TblPop[[#This Row],[Growth]]),0)</f>
        <v>46</v>
      </c>
      <c r="Y113" s="96">
        <f ca="1">(TblPop[[#This Row],[Peasants]]-TblPop[[#This Row],[Draft Growth]])*raw_pop_growth</f>
        <v>45.96</v>
      </c>
      <c r="Z113" s="96">
        <f ca="1">ROUND(IF(TblPop[[#This Row],[Military%]]&lt;TblMili[[#This Row],[Draftrate]],ROUND(TblPop[[#This Row],[Peasants]]*Constants!$B$55,0), 0) * IF(AND(TblMagic[[#This Row],[Active DnD]]&lt;=12,TblMagic[[#This Row],[Active DnD]]&gt;6),1.6,1),0)</f>
        <v>0</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45736.583333333067</v>
      </c>
      <c r="C114" s="96">
        <f ca="1">OFFSET(TblPop[[#This Row],[Peasants]],-1,0)+OFFSET(TblPop[[#This Row],[Net Peasant]],-1,0)+TblMili[[#This Row],[Release Draft]]</f>
        <v>1532</v>
      </c>
      <c r="D114" s="96">
        <f ca="1">TblMili[[#This Row],[Military]]</f>
        <v>826</v>
      </c>
      <c r="E114" s="96">
        <f ca="1">TblMili[[#This Row],[Draftees]]</f>
        <v>626</v>
      </c>
      <c r="F114" s="96">
        <f ca="1">TblPop[[#This Row],[Peasants]]+TblPop[[#This Row],[Military]]</f>
        <v>2358</v>
      </c>
      <c r="G114" s="141">
        <f ca="1">TblPop[[#This Row],[Military]]/TblPop[[#This Row],[Total]]</f>
        <v>0.35029686174724345</v>
      </c>
      <c r="H114" s="142">
        <f ca="1">MIN(TblPop[[#This Row],[Peasants]],TblPop[[#This Row],[Jobs]])</f>
        <v>1532</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1600</v>
      </c>
      <c r="K114" s="143"/>
      <c r="L114" s="61">
        <f ca="1">TblPop[[#This Row],[Draftees]]</f>
        <v>626</v>
      </c>
      <c r="M114" s="61">
        <f ca="1">TblMili[[#This Row],[Unit 1]]</f>
        <v>0</v>
      </c>
      <c r="N114" s="61">
        <f ca="1">TblMili[[#This Row],[Unit 2]]</f>
        <v>150</v>
      </c>
      <c r="O114" s="61">
        <f ca="1">TblMili[[#This Row],[Unit 3]]</f>
        <v>0</v>
      </c>
      <c r="P114" s="61">
        <f ca="1">TblMili[[#This Row],[Unit 4]]</f>
        <v>0</v>
      </c>
      <c r="Q114" s="61">
        <f ca="1">TblMili[[#This Row],[Spies]]</f>
        <v>25</v>
      </c>
      <c r="R114" s="61">
        <f ca="1">TblMili[[#This Row],[Wizards]]</f>
        <v>25</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2358</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6">
        <f ca="1">MAX(-5%*TblPop[[#This Row],[Peasants]]-TblPop[[#This Row],[Draft Growth]],MIN(OFFSET(TblPop[[#This Row],[Net max]],1,0)-TblPop[[#This Row],[Peasants]]-TblPop[[#This Row],[Military]]-TblPop[[#This Row],[Draft Growth]],TblPop[[#This Row],[Modded Birth]]-TblPop[[#This Row],[Draft Growth]]))</f>
        <v>0</v>
      </c>
      <c r="X114" s="96">
        <f ca="1">ROUND(TblPop[[#This Row],[Raw Birth]]*(1+TblPop[[#This Row],[Growth]]),0)</f>
        <v>46</v>
      </c>
      <c r="Y114" s="96">
        <f ca="1">(TblPop[[#This Row],[Peasants]]-TblPop[[#This Row],[Draft Growth]])*raw_pop_growth</f>
        <v>45.96</v>
      </c>
      <c r="Z114" s="96">
        <f ca="1">ROUND(IF(TblPop[[#This Row],[Military%]]&lt;TblMili[[#This Row],[Draftrate]],ROUND(TblPop[[#This Row],[Peasants]]*Constants!$B$55,0), 0) * IF(AND(TblMagic[[#This Row],[Active DnD]]&lt;=12,TblMagic[[#This Row],[Active DnD]]&gt;6),1.6,1),0)</f>
        <v>0</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45736.624999999731</v>
      </c>
      <c r="C115" s="96">
        <f ca="1">OFFSET(TblPop[[#This Row],[Peasants]],-1,0)+OFFSET(TblPop[[#This Row],[Net Peasant]],-1,0)+TblMili[[#This Row],[Release Draft]]</f>
        <v>1532</v>
      </c>
      <c r="D115" s="96">
        <f ca="1">TblMili[[#This Row],[Military]]</f>
        <v>826</v>
      </c>
      <c r="E115" s="96">
        <f ca="1">TblMili[[#This Row],[Draftees]]</f>
        <v>626</v>
      </c>
      <c r="F115" s="96">
        <f ca="1">TblPop[[#This Row],[Peasants]]+TblPop[[#This Row],[Military]]</f>
        <v>2358</v>
      </c>
      <c r="G115" s="141">
        <f ca="1">TblPop[[#This Row],[Military]]/TblPop[[#This Row],[Total]]</f>
        <v>0.35029686174724345</v>
      </c>
      <c r="H115" s="142">
        <f ca="1">MIN(TblPop[[#This Row],[Peasants]],TblPop[[#This Row],[Jobs]])</f>
        <v>1532</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1600</v>
      </c>
      <c r="K115" s="143"/>
      <c r="L115" s="61">
        <f ca="1">TblPop[[#This Row],[Draftees]]</f>
        <v>626</v>
      </c>
      <c r="M115" s="61">
        <f ca="1">TblMili[[#This Row],[Unit 1]]</f>
        <v>0</v>
      </c>
      <c r="N115" s="61">
        <f ca="1">TblMili[[#This Row],[Unit 2]]</f>
        <v>150</v>
      </c>
      <c r="O115" s="61">
        <f ca="1">TblMili[[#This Row],[Unit 3]]</f>
        <v>0</v>
      </c>
      <c r="P115" s="61">
        <f ca="1">TblMili[[#This Row],[Unit 4]]</f>
        <v>0</v>
      </c>
      <c r="Q115" s="61">
        <f ca="1">TblMili[[#This Row],[Spies]]</f>
        <v>25</v>
      </c>
      <c r="R115" s="61">
        <f ca="1">TblMili[[#This Row],[Wizards]]</f>
        <v>25</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2358</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6">
        <f ca="1">MAX(-5%*TblPop[[#This Row],[Peasants]]-TblPop[[#This Row],[Draft Growth]],MIN(OFFSET(TblPop[[#This Row],[Net max]],1,0)-TblPop[[#This Row],[Peasants]]-TblPop[[#This Row],[Military]]-TblPop[[#This Row],[Draft Growth]],TblPop[[#This Row],[Modded Birth]]-TblPop[[#This Row],[Draft Growth]]))</f>
        <v>0</v>
      </c>
      <c r="X115" s="96">
        <f ca="1">ROUND(TblPop[[#This Row],[Raw Birth]]*(1+TblPop[[#This Row],[Growth]]),0)</f>
        <v>46</v>
      </c>
      <c r="Y115" s="96">
        <f ca="1">(TblPop[[#This Row],[Peasants]]-TblPop[[#This Row],[Draft Growth]])*raw_pop_growth</f>
        <v>45.96</v>
      </c>
      <c r="Z115" s="96">
        <f ca="1">ROUND(IF(TblPop[[#This Row],[Military%]]&lt;TblMili[[#This Row],[Draftrate]],ROUND(TblPop[[#This Row],[Peasants]]*Constants!$B$55,0), 0) * IF(AND(TblMagic[[#This Row],[Active DnD]]&lt;=12,TblMagic[[#This Row],[Active DnD]]&gt;6),1.6,1),0)</f>
        <v>0</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45736.666666666395</v>
      </c>
      <c r="C116" s="96">
        <f ca="1">OFFSET(TblPop[[#This Row],[Peasants]],-1,0)+OFFSET(TblPop[[#This Row],[Net Peasant]],-1,0)+TblMili[[#This Row],[Release Draft]]</f>
        <v>1532</v>
      </c>
      <c r="D116" s="96">
        <f ca="1">TblMili[[#This Row],[Military]]</f>
        <v>826</v>
      </c>
      <c r="E116" s="96">
        <f ca="1">TblMili[[#This Row],[Draftees]]</f>
        <v>626</v>
      </c>
      <c r="F116" s="96">
        <f ca="1">TblPop[[#This Row],[Peasants]]+TblPop[[#This Row],[Military]]</f>
        <v>2358</v>
      </c>
      <c r="G116" s="141">
        <f ca="1">TblPop[[#This Row],[Military]]/TblPop[[#This Row],[Total]]</f>
        <v>0.35029686174724345</v>
      </c>
      <c r="H116" s="142">
        <f ca="1">MIN(TblPop[[#This Row],[Peasants]],TblPop[[#This Row],[Jobs]])</f>
        <v>1532</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1600</v>
      </c>
      <c r="K116" s="143"/>
      <c r="L116" s="61">
        <f ca="1">TblPop[[#This Row],[Draftees]]</f>
        <v>626</v>
      </c>
      <c r="M116" s="61">
        <f ca="1">TblMili[[#This Row],[Unit 1]]</f>
        <v>0</v>
      </c>
      <c r="N116" s="61">
        <f ca="1">TblMili[[#This Row],[Unit 2]]</f>
        <v>150</v>
      </c>
      <c r="O116" s="61">
        <f ca="1">TblMili[[#This Row],[Unit 3]]</f>
        <v>0</v>
      </c>
      <c r="P116" s="61">
        <f ca="1">TblMili[[#This Row],[Unit 4]]</f>
        <v>0</v>
      </c>
      <c r="Q116" s="61">
        <f ca="1">TblMili[[#This Row],[Spies]]</f>
        <v>25</v>
      </c>
      <c r="R116" s="61">
        <f ca="1">TblMili[[#This Row],[Wizards]]</f>
        <v>25</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2358</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6">
        <f ca="1">MAX(-5%*TblPop[[#This Row],[Peasants]]-TblPop[[#This Row],[Draft Growth]],MIN(OFFSET(TblPop[[#This Row],[Net max]],1,0)-TblPop[[#This Row],[Peasants]]-TblPop[[#This Row],[Military]]-TblPop[[#This Row],[Draft Growth]],TblPop[[#This Row],[Modded Birth]]-TblPop[[#This Row],[Draft Growth]]))</f>
        <v>0</v>
      </c>
      <c r="X116" s="96">
        <f ca="1">ROUND(TblPop[[#This Row],[Raw Birth]]*(1+TblPop[[#This Row],[Growth]]),0)</f>
        <v>46</v>
      </c>
      <c r="Y116" s="96">
        <f ca="1">(TblPop[[#This Row],[Peasants]]-TblPop[[#This Row],[Draft Growth]])*raw_pop_growth</f>
        <v>45.96</v>
      </c>
      <c r="Z116" s="96">
        <f ca="1">ROUND(IF(TblPop[[#This Row],[Military%]]&lt;TblMili[[#This Row],[Draftrate]],ROUND(TblPop[[#This Row],[Peasants]]*Constants!$B$55,0), 0) * IF(AND(TblMagic[[#This Row],[Active DnD]]&lt;=12,TblMagic[[#This Row],[Active DnD]]&gt;6),1.6,1),0)</f>
        <v>0</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45736.708333333059</v>
      </c>
      <c r="C117" s="96">
        <f ca="1">OFFSET(TblPop[[#This Row],[Peasants]],-1,0)+OFFSET(TblPop[[#This Row],[Net Peasant]],-1,0)+TblMili[[#This Row],[Release Draft]]</f>
        <v>1532</v>
      </c>
      <c r="D117" s="96">
        <f ca="1">TblMili[[#This Row],[Military]]</f>
        <v>826</v>
      </c>
      <c r="E117" s="96">
        <f ca="1">TblMili[[#This Row],[Draftees]]</f>
        <v>626</v>
      </c>
      <c r="F117" s="96">
        <f ca="1">TblPop[[#This Row],[Peasants]]+TblPop[[#This Row],[Military]]</f>
        <v>2358</v>
      </c>
      <c r="G117" s="141">
        <f ca="1">TblPop[[#This Row],[Military]]/TblPop[[#This Row],[Total]]</f>
        <v>0.35029686174724345</v>
      </c>
      <c r="H117" s="142">
        <f ca="1">MIN(TblPop[[#This Row],[Peasants]],TblPop[[#This Row],[Jobs]])</f>
        <v>1532</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1600</v>
      </c>
      <c r="K117" s="143"/>
      <c r="L117" s="61">
        <f ca="1">TblPop[[#This Row],[Draftees]]</f>
        <v>626</v>
      </c>
      <c r="M117" s="61">
        <f ca="1">TblMili[[#This Row],[Unit 1]]</f>
        <v>0</v>
      </c>
      <c r="N117" s="61">
        <f ca="1">TblMili[[#This Row],[Unit 2]]</f>
        <v>150</v>
      </c>
      <c r="O117" s="61">
        <f ca="1">TblMili[[#This Row],[Unit 3]]</f>
        <v>0</v>
      </c>
      <c r="P117" s="61">
        <f ca="1">TblMili[[#This Row],[Unit 4]]</f>
        <v>0</v>
      </c>
      <c r="Q117" s="61">
        <f ca="1">TblMili[[#This Row],[Spies]]</f>
        <v>25</v>
      </c>
      <c r="R117" s="61">
        <f ca="1">TblMili[[#This Row],[Wizards]]</f>
        <v>25</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2358</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6">
        <f ca="1">MAX(-5%*TblPop[[#This Row],[Peasants]]-TblPop[[#This Row],[Draft Growth]],MIN(OFFSET(TblPop[[#This Row],[Net max]],1,0)-TblPop[[#This Row],[Peasants]]-TblPop[[#This Row],[Military]]-TblPop[[#This Row],[Draft Growth]],TblPop[[#This Row],[Modded Birth]]-TblPop[[#This Row],[Draft Growth]]))</f>
        <v>0</v>
      </c>
      <c r="X117" s="96">
        <f ca="1">ROUND(TblPop[[#This Row],[Raw Birth]]*(1+TblPop[[#This Row],[Growth]]),0)</f>
        <v>46</v>
      </c>
      <c r="Y117" s="96">
        <f ca="1">(TblPop[[#This Row],[Peasants]]-TblPop[[#This Row],[Draft Growth]])*raw_pop_growth</f>
        <v>45.96</v>
      </c>
      <c r="Z117" s="96">
        <f ca="1">ROUND(IF(TblPop[[#This Row],[Military%]]&lt;TblMili[[#This Row],[Draftrate]],ROUND(TblPop[[#This Row],[Peasants]]*Constants!$B$55,0), 0) * IF(AND(TblMagic[[#This Row],[Active DnD]]&lt;=12,TblMagic[[#This Row],[Active DnD]]&gt;6),1.6,1),0)</f>
        <v>0</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45736.749999999724</v>
      </c>
      <c r="C118" s="96">
        <f ca="1">OFFSET(TblPop[[#This Row],[Peasants]],-1,0)+OFFSET(TblPop[[#This Row],[Net Peasant]],-1,0)+TblMili[[#This Row],[Release Draft]]</f>
        <v>1532</v>
      </c>
      <c r="D118" s="96">
        <f ca="1">TblMili[[#This Row],[Military]]</f>
        <v>826</v>
      </c>
      <c r="E118" s="96">
        <f ca="1">TblMili[[#This Row],[Draftees]]</f>
        <v>626</v>
      </c>
      <c r="F118" s="96">
        <f ca="1">TblPop[[#This Row],[Peasants]]+TblPop[[#This Row],[Military]]</f>
        <v>2358</v>
      </c>
      <c r="G118" s="141">
        <f ca="1">TblPop[[#This Row],[Military]]/TblPop[[#This Row],[Total]]</f>
        <v>0.35029686174724345</v>
      </c>
      <c r="H118" s="142">
        <f ca="1">MIN(TblPop[[#This Row],[Peasants]],TblPop[[#This Row],[Jobs]])</f>
        <v>1532</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1600</v>
      </c>
      <c r="K118" s="143"/>
      <c r="L118" s="61">
        <f ca="1">TblPop[[#This Row],[Draftees]]</f>
        <v>626</v>
      </c>
      <c r="M118" s="61">
        <f ca="1">TblMili[[#This Row],[Unit 1]]</f>
        <v>0</v>
      </c>
      <c r="N118" s="61">
        <f ca="1">TblMili[[#This Row],[Unit 2]]</f>
        <v>150</v>
      </c>
      <c r="O118" s="61">
        <f ca="1">TblMili[[#This Row],[Unit 3]]</f>
        <v>0</v>
      </c>
      <c r="P118" s="61">
        <f ca="1">TblMili[[#This Row],[Unit 4]]</f>
        <v>0</v>
      </c>
      <c r="Q118" s="61">
        <f ca="1">TblMili[[#This Row],[Spies]]</f>
        <v>25</v>
      </c>
      <c r="R118" s="61">
        <f ca="1">TblMili[[#This Row],[Wizards]]</f>
        <v>25</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2358</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6">
        <f ca="1">MAX(-5%*TblPop[[#This Row],[Peasants]]-TblPop[[#This Row],[Draft Growth]],MIN(OFFSET(TblPop[[#This Row],[Net max]],1,0)-TblPop[[#This Row],[Peasants]]-TblPop[[#This Row],[Military]]-TblPop[[#This Row],[Draft Growth]],TblPop[[#This Row],[Modded Birth]]-TblPop[[#This Row],[Draft Growth]]))</f>
        <v>0</v>
      </c>
      <c r="X118" s="96">
        <f ca="1">ROUND(TblPop[[#This Row],[Raw Birth]]*(1+TblPop[[#This Row],[Growth]]),0)</f>
        <v>46</v>
      </c>
      <c r="Y118" s="96">
        <f ca="1">(TblPop[[#This Row],[Peasants]]-TblPop[[#This Row],[Draft Growth]])*raw_pop_growth</f>
        <v>45.96</v>
      </c>
      <c r="Z118" s="96">
        <f ca="1">ROUND(IF(TblPop[[#This Row],[Military%]]&lt;TblMili[[#This Row],[Draftrate]],ROUND(TblPop[[#This Row],[Peasants]]*Constants!$B$55,0), 0) * IF(AND(TblMagic[[#This Row],[Active DnD]]&lt;=12,TblMagic[[#This Row],[Active DnD]]&gt;6),1.6,1),0)</f>
        <v>0</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45736.791666666388</v>
      </c>
      <c r="C119" s="96">
        <f ca="1">OFFSET(TblPop[[#This Row],[Peasants]],-1,0)+OFFSET(TblPop[[#This Row],[Net Peasant]],-1,0)+TblMili[[#This Row],[Release Draft]]</f>
        <v>1532</v>
      </c>
      <c r="D119" s="96">
        <f ca="1">TblMili[[#This Row],[Military]]</f>
        <v>826</v>
      </c>
      <c r="E119" s="96">
        <f ca="1">TblMili[[#This Row],[Draftees]]</f>
        <v>626</v>
      </c>
      <c r="F119" s="96">
        <f ca="1">TblPop[[#This Row],[Peasants]]+TblPop[[#This Row],[Military]]</f>
        <v>2358</v>
      </c>
      <c r="G119" s="141">
        <f ca="1">TblPop[[#This Row],[Military]]/TblPop[[#This Row],[Total]]</f>
        <v>0.35029686174724345</v>
      </c>
      <c r="H119" s="142">
        <f ca="1">MIN(TblPop[[#This Row],[Peasants]],TblPop[[#This Row],[Jobs]])</f>
        <v>1532</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1600</v>
      </c>
      <c r="K119" s="143"/>
      <c r="L119" s="61">
        <f ca="1">TblPop[[#This Row],[Draftees]]</f>
        <v>626</v>
      </c>
      <c r="M119" s="61">
        <f ca="1">TblMili[[#This Row],[Unit 1]]</f>
        <v>0</v>
      </c>
      <c r="N119" s="61">
        <f ca="1">TblMili[[#This Row],[Unit 2]]</f>
        <v>150</v>
      </c>
      <c r="O119" s="61">
        <f ca="1">TblMili[[#This Row],[Unit 3]]</f>
        <v>0</v>
      </c>
      <c r="P119" s="61">
        <f ca="1">TblMili[[#This Row],[Unit 4]]</f>
        <v>0</v>
      </c>
      <c r="Q119" s="61">
        <f ca="1">TblMili[[#This Row],[Spies]]</f>
        <v>25</v>
      </c>
      <c r="R119" s="61">
        <f ca="1">TblMili[[#This Row],[Wizards]]</f>
        <v>25</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2358</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6">
        <f ca="1">MAX(-5%*TblPop[[#This Row],[Peasants]]-TblPop[[#This Row],[Draft Growth]],MIN(OFFSET(TblPop[[#This Row],[Net max]],1,0)-TblPop[[#This Row],[Peasants]]-TblPop[[#This Row],[Military]]-TblPop[[#This Row],[Draft Growth]],TblPop[[#This Row],[Modded Birth]]-TblPop[[#This Row],[Draft Growth]]))</f>
        <v>0</v>
      </c>
      <c r="X119" s="96">
        <f ca="1">ROUND(TblPop[[#This Row],[Raw Birth]]*(1+TblPop[[#This Row],[Growth]]),0)</f>
        <v>46</v>
      </c>
      <c r="Y119" s="96">
        <f ca="1">(TblPop[[#This Row],[Peasants]]-TblPop[[#This Row],[Draft Growth]])*raw_pop_growth</f>
        <v>45.96</v>
      </c>
      <c r="Z119" s="96">
        <f ca="1">ROUND(IF(TblPop[[#This Row],[Military%]]&lt;TblMili[[#This Row],[Draftrate]],ROUND(TblPop[[#This Row],[Peasants]]*Constants!$B$55,0), 0) * IF(AND(TblMagic[[#This Row],[Active DnD]]&lt;=12,TblMagic[[#This Row],[Active DnD]]&gt;6),1.6,1),0)</f>
        <v>0</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45736.833333333052</v>
      </c>
      <c r="C120" s="96">
        <f ca="1">OFFSET(TblPop[[#This Row],[Peasants]],-1,0)+OFFSET(TblPop[[#This Row],[Net Peasant]],-1,0)+TblMili[[#This Row],[Release Draft]]</f>
        <v>1532</v>
      </c>
      <c r="D120" s="96">
        <f ca="1">TblMili[[#This Row],[Military]]</f>
        <v>826</v>
      </c>
      <c r="E120" s="96">
        <f ca="1">TblMili[[#This Row],[Draftees]]</f>
        <v>626</v>
      </c>
      <c r="F120" s="96">
        <f ca="1">TblPop[[#This Row],[Peasants]]+TblPop[[#This Row],[Military]]</f>
        <v>2358</v>
      </c>
      <c r="G120" s="141">
        <f ca="1">TblPop[[#This Row],[Military]]/TblPop[[#This Row],[Total]]</f>
        <v>0.35029686174724345</v>
      </c>
      <c r="H120" s="142">
        <f ca="1">MIN(TblPop[[#This Row],[Peasants]],TblPop[[#This Row],[Jobs]])</f>
        <v>1532</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1600</v>
      </c>
      <c r="K120" s="143"/>
      <c r="L120" s="61">
        <f ca="1">TblPop[[#This Row],[Draftees]]</f>
        <v>626</v>
      </c>
      <c r="M120" s="61">
        <f ca="1">TblMili[[#This Row],[Unit 1]]</f>
        <v>0</v>
      </c>
      <c r="N120" s="61">
        <f ca="1">TblMili[[#This Row],[Unit 2]]</f>
        <v>150</v>
      </c>
      <c r="O120" s="61">
        <f ca="1">TblMili[[#This Row],[Unit 3]]</f>
        <v>0</v>
      </c>
      <c r="P120" s="61">
        <f ca="1">TblMili[[#This Row],[Unit 4]]</f>
        <v>0</v>
      </c>
      <c r="Q120" s="61">
        <f ca="1">TblMili[[#This Row],[Spies]]</f>
        <v>25</v>
      </c>
      <c r="R120" s="61">
        <f ca="1">TblMili[[#This Row],[Wizards]]</f>
        <v>25</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2358</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6">
        <f ca="1">MAX(-5%*TblPop[[#This Row],[Peasants]]-TblPop[[#This Row],[Draft Growth]],MIN(OFFSET(TblPop[[#This Row],[Net max]],1,0)-TblPop[[#This Row],[Peasants]]-TblPop[[#This Row],[Military]]-TblPop[[#This Row],[Draft Growth]],TblPop[[#This Row],[Modded Birth]]-TblPop[[#This Row],[Draft Growth]]))</f>
        <v>0</v>
      </c>
      <c r="X120" s="96">
        <f ca="1">ROUND(TblPop[[#This Row],[Raw Birth]]*(1+TblPop[[#This Row],[Growth]]),0)</f>
        <v>46</v>
      </c>
      <c r="Y120" s="96">
        <f ca="1">(TblPop[[#This Row],[Peasants]]-TblPop[[#This Row],[Draft Growth]])*raw_pop_growth</f>
        <v>45.96</v>
      </c>
      <c r="Z120" s="96">
        <f ca="1">ROUND(IF(TblPop[[#This Row],[Military%]]&lt;TblMili[[#This Row],[Draftrate]],ROUND(TblPop[[#This Row],[Peasants]]*Constants!$B$55,0), 0) * IF(AND(TblMagic[[#This Row],[Active DnD]]&lt;=12,TblMagic[[#This Row],[Active DnD]]&gt;6),1.6,1),0)</f>
        <v>0</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45736.874999999716</v>
      </c>
      <c r="C121" s="96">
        <f ca="1">OFFSET(TblPop[[#This Row],[Peasants]],-1,0)+OFFSET(TblPop[[#This Row],[Net Peasant]],-1,0)+TblMili[[#This Row],[Release Draft]]</f>
        <v>1532</v>
      </c>
      <c r="D121" s="96">
        <f ca="1">TblMili[[#This Row],[Military]]</f>
        <v>826</v>
      </c>
      <c r="E121" s="96">
        <f ca="1">TblMili[[#This Row],[Draftees]]</f>
        <v>626</v>
      </c>
      <c r="F121" s="96">
        <f ca="1">TblPop[[#This Row],[Peasants]]+TblPop[[#This Row],[Military]]</f>
        <v>2358</v>
      </c>
      <c r="G121" s="141">
        <f ca="1">TblPop[[#This Row],[Military]]/TblPop[[#This Row],[Total]]</f>
        <v>0.35029686174724345</v>
      </c>
      <c r="H121" s="142">
        <f ca="1">MIN(TblPop[[#This Row],[Peasants]],TblPop[[#This Row],[Jobs]])</f>
        <v>1532</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1600</v>
      </c>
      <c r="K121" s="143"/>
      <c r="L121" s="61">
        <f ca="1">TblPop[[#This Row],[Draftees]]</f>
        <v>626</v>
      </c>
      <c r="M121" s="61">
        <f ca="1">TblMili[[#This Row],[Unit 1]]</f>
        <v>0</v>
      </c>
      <c r="N121" s="61">
        <f ca="1">TblMili[[#This Row],[Unit 2]]</f>
        <v>150</v>
      </c>
      <c r="O121" s="61">
        <f ca="1">TblMili[[#This Row],[Unit 3]]</f>
        <v>0</v>
      </c>
      <c r="P121" s="61">
        <f ca="1">TblMili[[#This Row],[Unit 4]]</f>
        <v>0</v>
      </c>
      <c r="Q121" s="61">
        <f ca="1">TblMili[[#This Row],[Spies]]</f>
        <v>25</v>
      </c>
      <c r="R121" s="61">
        <f ca="1">TblMili[[#This Row],[Wizards]]</f>
        <v>25</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2358</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6">
        <f ca="1">MAX(-5%*TblPop[[#This Row],[Peasants]]-TblPop[[#This Row],[Draft Growth]],MIN(OFFSET(TblPop[[#This Row],[Net max]],1,0)-TblPop[[#This Row],[Peasants]]-TblPop[[#This Row],[Military]]-TblPop[[#This Row],[Draft Growth]],TblPop[[#This Row],[Modded Birth]]-TblPop[[#This Row],[Draft Growth]]))</f>
        <v>0</v>
      </c>
      <c r="X121" s="96">
        <f ca="1">ROUND(TblPop[[#This Row],[Raw Birth]]*(1+TblPop[[#This Row],[Growth]]),0)</f>
        <v>46</v>
      </c>
      <c r="Y121" s="96">
        <f ca="1">(TblPop[[#This Row],[Peasants]]-TblPop[[#This Row],[Draft Growth]])*raw_pop_growth</f>
        <v>45.96</v>
      </c>
      <c r="Z121" s="96">
        <f ca="1">ROUND(IF(TblPop[[#This Row],[Military%]]&lt;TblMili[[#This Row],[Draftrate]],ROUND(TblPop[[#This Row],[Peasants]]*Constants!$B$55,0), 0) * IF(AND(TblMagic[[#This Row],[Active DnD]]&lt;=12,TblMagic[[#This Row],[Active DnD]]&gt;6),1.6,1),0)</f>
        <v>0</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45736.91666666638</v>
      </c>
      <c r="C122" s="96">
        <f ca="1">OFFSET(TblPop[[#This Row],[Peasants]],-1,0)+OFFSET(TblPop[[#This Row],[Net Peasant]],-1,0)+TblMili[[#This Row],[Release Draft]]</f>
        <v>1532</v>
      </c>
      <c r="D122" s="96">
        <f ca="1">TblMili[[#This Row],[Military]]</f>
        <v>826</v>
      </c>
      <c r="E122" s="96">
        <f ca="1">TblMili[[#This Row],[Draftees]]</f>
        <v>626</v>
      </c>
      <c r="F122" s="96">
        <f ca="1">TblPop[[#This Row],[Peasants]]+TblPop[[#This Row],[Military]]</f>
        <v>2358</v>
      </c>
      <c r="G122" s="141">
        <f ca="1">TblPop[[#This Row],[Military]]/TblPop[[#This Row],[Total]]</f>
        <v>0.35029686174724345</v>
      </c>
      <c r="H122" s="142">
        <f ca="1">MIN(TblPop[[#This Row],[Peasants]],TblPop[[#This Row],[Jobs]])</f>
        <v>1532</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1600</v>
      </c>
      <c r="K122" s="143"/>
      <c r="L122" s="61">
        <f ca="1">TblPop[[#This Row],[Draftees]]</f>
        <v>626</v>
      </c>
      <c r="M122" s="61">
        <f ca="1">TblMili[[#This Row],[Unit 1]]</f>
        <v>0</v>
      </c>
      <c r="N122" s="61">
        <f ca="1">TblMili[[#This Row],[Unit 2]]</f>
        <v>150</v>
      </c>
      <c r="O122" s="61">
        <f ca="1">TblMili[[#This Row],[Unit 3]]</f>
        <v>0</v>
      </c>
      <c r="P122" s="61">
        <f ca="1">TblMili[[#This Row],[Unit 4]]</f>
        <v>0</v>
      </c>
      <c r="Q122" s="61">
        <f ca="1">TblMili[[#This Row],[Spies]]</f>
        <v>25</v>
      </c>
      <c r="R122" s="61">
        <f ca="1">TblMili[[#This Row],[Wizards]]</f>
        <v>25</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2358</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6">
        <f ca="1">MAX(-5%*TblPop[[#This Row],[Peasants]]-TblPop[[#This Row],[Draft Growth]],MIN(OFFSET(TblPop[[#This Row],[Net max]],1,0)-TblPop[[#This Row],[Peasants]]-TblPop[[#This Row],[Military]]-TblPop[[#This Row],[Draft Growth]],TblPop[[#This Row],[Modded Birth]]-TblPop[[#This Row],[Draft Growth]]))</f>
        <v>0</v>
      </c>
      <c r="X122" s="96">
        <f ca="1">ROUND(TblPop[[#This Row],[Raw Birth]]*(1+TblPop[[#This Row],[Growth]]),0)</f>
        <v>46</v>
      </c>
      <c r="Y122" s="96">
        <f ca="1">(TblPop[[#This Row],[Peasants]]-TblPop[[#This Row],[Draft Growth]])*raw_pop_growth</f>
        <v>45.96</v>
      </c>
      <c r="Z122" s="96">
        <f ca="1">ROUND(IF(TblPop[[#This Row],[Military%]]&lt;TblMili[[#This Row],[Draftrate]],ROUND(TblPop[[#This Row],[Peasants]]*Constants!$B$55,0), 0) * IF(AND(TblMagic[[#This Row],[Active DnD]]&lt;=12,TblMagic[[#This Row],[Active DnD]]&gt;6),1.6,1),0)</f>
        <v>0</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45736.958333333045</v>
      </c>
      <c r="C123" s="96">
        <f ca="1">OFFSET(TblPop[[#This Row],[Peasants]],-1,0)+OFFSET(TblPop[[#This Row],[Net Peasant]],-1,0)+TblMili[[#This Row],[Release Draft]]</f>
        <v>1532</v>
      </c>
      <c r="D123" s="96">
        <f ca="1">TblMili[[#This Row],[Military]]</f>
        <v>826</v>
      </c>
      <c r="E123" s="96">
        <f ca="1">TblMili[[#This Row],[Draftees]]</f>
        <v>626</v>
      </c>
      <c r="F123" s="96">
        <f ca="1">TblPop[[#This Row],[Peasants]]+TblPop[[#This Row],[Military]]</f>
        <v>2358</v>
      </c>
      <c r="G123" s="141">
        <f ca="1">TblPop[[#This Row],[Military]]/TblPop[[#This Row],[Total]]</f>
        <v>0.35029686174724345</v>
      </c>
      <c r="H123" s="142">
        <f ca="1">MIN(TblPop[[#This Row],[Peasants]],TblPop[[#This Row],[Jobs]])</f>
        <v>1532</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1600</v>
      </c>
      <c r="K123" s="143"/>
      <c r="L123" s="61">
        <f ca="1">TblPop[[#This Row],[Draftees]]</f>
        <v>626</v>
      </c>
      <c r="M123" s="61">
        <f ca="1">TblMili[[#This Row],[Unit 1]]</f>
        <v>0</v>
      </c>
      <c r="N123" s="61">
        <f ca="1">TblMili[[#This Row],[Unit 2]]</f>
        <v>150</v>
      </c>
      <c r="O123" s="61">
        <f ca="1">TblMili[[#This Row],[Unit 3]]</f>
        <v>0</v>
      </c>
      <c r="P123" s="61">
        <f ca="1">TblMili[[#This Row],[Unit 4]]</f>
        <v>0</v>
      </c>
      <c r="Q123" s="61">
        <f ca="1">TblMili[[#This Row],[Spies]]</f>
        <v>25</v>
      </c>
      <c r="R123" s="61">
        <f ca="1">TblMili[[#This Row],[Wizards]]</f>
        <v>25</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2358</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6">
        <f ca="1">MAX(-5%*TblPop[[#This Row],[Peasants]]-TblPop[[#This Row],[Draft Growth]],MIN(OFFSET(TblPop[[#This Row],[Net max]],1,0)-TblPop[[#This Row],[Peasants]]-TblPop[[#This Row],[Military]]-TblPop[[#This Row],[Draft Growth]],TblPop[[#This Row],[Modded Birth]]-TblPop[[#This Row],[Draft Growth]]))</f>
        <v>0</v>
      </c>
      <c r="X123" s="96">
        <f ca="1">ROUND(TblPop[[#This Row],[Raw Birth]]*(1+TblPop[[#This Row],[Growth]]),0)</f>
        <v>46</v>
      </c>
      <c r="Y123" s="96">
        <f ca="1">(TblPop[[#This Row],[Peasants]]-TblPop[[#This Row],[Draft Growth]])*raw_pop_growth</f>
        <v>45.96</v>
      </c>
      <c r="Z123" s="96">
        <f ca="1">ROUND(IF(TblPop[[#This Row],[Military%]]&lt;TblMili[[#This Row],[Draftrate]],ROUND(TblPop[[#This Row],[Peasants]]*Constants!$B$55,0), 0) * IF(AND(TblMagic[[#This Row],[Active DnD]]&lt;=12,TblMagic[[#This Row],[Active DnD]]&gt;6),1.6,1),0)</f>
        <v>0</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45736.999999999709</v>
      </c>
      <c r="C124" s="96">
        <f ca="1">OFFSET(TblPop[[#This Row],[Peasants]],-1,0)+OFFSET(TblPop[[#This Row],[Net Peasant]],-1,0)+TblMili[[#This Row],[Release Draft]]</f>
        <v>1532</v>
      </c>
      <c r="D124" s="96">
        <f ca="1">TblMili[[#This Row],[Military]]</f>
        <v>826</v>
      </c>
      <c r="E124" s="96">
        <f ca="1">TblMili[[#This Row],[Draftees]]</f>
        <v>626</v>
      </c>
      <c r="F124" s="96">
        <f ca="1">TblPop[[#This Row],[Peasants]]+TblPop[[#This Row],[Military]]</f>
        <v>2358</v>
      </c>
      <c r="G124" s="141">
        <f ca="1">TblPop[[#This Row],[Military]]/TblPop[[#This Row],[Total]]</f>
        <v>0.35029686174724345</v>
      </c>
      <c r="H124" s="142">
        <f ca="1">MIN(TblPop[[#This Row],[Peasants]],TblPop[[#This Row],[Jobs]])</f>
        <v>1532</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1600</v>
      </c>
      <c r="K124" s="143"/>
      <c r="L124" s="61">
        <f ca="1">TblPop[[#This Row],[Draftees]]</f>
        <v>626</v>
      </c>
      <c r="M124" s="61">
        <f ca="1">TblMili[[#This Row],[Unit 1]]</f>
        <v>0</v>
      </c>
      <c r="N124" s="61">
        <f ca="1">TblMili[[#This Row],[Unit 2]]</f>
        <v>150</v>
      </c>
      <c r="O124" s="61">
        <f ca="1">TblMili[[#This Row],[Unit 3]]</f>
        <v>0</v>
      </c>
      <c r="P124" s="61">
        <f ca="1">TblMili[[#This Row],[Unit 4]]</f>
        <v>0</v>
      </c>
      <c r="Q124" s="61">
        <f ca="1">TblMili[[#This Row],[Spies]]</f>
        <v>25</v>
      </c>
      <c r="R124" s="61">
        <f ca="1">TblMili[[#This Row],[Wizards]]</f>
        <v>25</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2358</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6">
        <f ca="1">MAX(-5%*TblPop[[#This Row],[Peasants]]-TblPop[[#This Row],[Draft Growth]],MIN(OFFSET(TblPop[[#This Row],[Net max]],1,0)-TblPop[[#This Row],[Peasants]]-TblPop[[#This Row],[Military]]-TblPop[[#This Row],[Draft Growth]],TblPop[[#This Row],[Modded Birth]]-TblPop[[#This Row],[Draft Growth]]))</f>
        <v>0</v>
      </c>
      <c r="X124" s="96">
        <f ca="1">ROUND(TblPop[[#This Row],[Raw Birth]]*(1+TblPop[[#This Row],[Growth]]),0)</f>
        <v>46</v>
      </c>
      <c r="Y124" s="96">
        <f ca="1">(TblPop[[#This Row],[Peasants]]-TblPop[[#This Row],[Draft Growth]])*raw_pop_growth</f>
        <v>45.96</v>
      </c>
      <c r="Z124" s="96">
        <f ca="1">ROUND(IF(TblPop[[#This Row],[Military%]]&lt;TblMili[[#This Row],[Draftrate]],ROUND(TblPop[[#This Row],[Peasants]]*Constants!$B$55,0), 0) * IF(AND(TblMagic[[#This Row],[Active DnD]]&lt;=12,TblMagic[[#This Row],[Active DnD]]&gt;6),1.6,1),0)</f>
        <v>0</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45737.041666666373</v>
      </c>
      <c r="C125" s="96">
        <f ca="1">OFFSET(TblPop[[#This Row],[Peasants]],-1,0)+OFFSET(TblPop[[#This Row],[Net Peasant]],-1,0)+TblMili[[#This Row],[Release Draft]]</f>
        <v>1532</v>
      </c>
      <c r="D125" s="96">
        <f ca="1">TblMili[[#This Row],[Military]]</f>
        <v>826</v>
      </c>
      <c r="E125" s="96">
        <f ca="1">TblMili[[#This Row],[Draftees]]</f>
        <v>626</v>
      </c>
      <c r="F125" s="96">
        <f ca="1">TblPop[[#This Row],[Peasants]]+TblPop[[#This Row],[Military]]</f>
        <v>2358</v>
      </c>
      <c r="G125" s="141">
        <f ca="1">TblPop[[#This Row],[Military]]/TblPop[[#This Row],[Total]]</f>
        <v>0.35029686174724345</v>
      </c>
      <c r="H125" s="142">
        <f ca="1">MIN(TblPop[[#This Row],[Peasants]],TblPop[[#This Row],[Jobs]])</f>
        <v>1532</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1600</v>
      </c>
      <c r="K125" s="143"/>
      <c r="L125" s="61">
        <f ca="1">TblPop[[#This Row],[Draftees]]</f>
        <v>626</v>
      </c>
      <c r="M125" s="61">
        <f ca="1">TblMili[[#This Row],[Unit 1]]</f>
        <v>0</v>
      </c>
      <c r="N125" s="61">
        <f ca="1">TblMili[[#This Row],[Unit 2]]</f>
        <v>150</v>
      </c>
      <c r="O125" s="61">
        <f ca="1">TblMili[[#This Row],[Unit 3]]</f>
        <v>0</v>
      </c>
      <c r="P125" s="61">
        <f ca="1">TblMili[[#This Row],[Unit 4]]</f>
        <v>0</v>
      </c>
      <c r="Q125" s="61">
        <f ca="1">TblMili[[#This Row],[Spies]]</f>
        <v>25</v>
      </c>
      <c r="R125" s="61">
        <f ca="1">TblMili[[#This Row],[Wizards]]</f>
        <v>25</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2358</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6">
        <f ca="1">MAX(-5%*TblPop[[#This Row],[Peasants]]-TblPop[[#This Row],[Draft Growth]],MIN(OFFSET(TblPop[[#This Row],[Net max]],1,0)-TblPop[[#This Row],[Peasants]]-TblPop[[#This Row],[Military]]-TblPop[[#This Row],[Draft Growth]],TblPop[[#This Row],[Modded Birth]]-TblPop[[#This Row],[Draft Growth]]))</f>
        <v>0</v>
      </c>
      <c r="X125" s="96">
        <f ca="1">ROUND(TblPop[[#This Row],[Raw Birth]]*(1+TblPop[[#This Row],[Growth]]),0)</f>
        <v>46</v>
      </c>
      <c r="Y125" s="96">
        <f ca="1">(TblPop[[#This Row],[Peasants]]-TblPop[[#This Row],[Draft Growth]])*raw_pop_growth</f>
        <v>45.96</v>
      </c>
      <c r="Z125" s="96">
        <f ca="1">ROUND(IF(TblPop[[#This Row],[Military%]]&lt;TblMili[[#This Row],[Draftrate]],ROUND(TblPop[[#This Row],[Peasants]]*Constants!$B$55,0), 0) * IF(AND(TblMagic[[#This Row],[Active DnD]]&lt;=12,TblMagic[[#This Row],[Active DnD]]&gt;6),1.6,1),0)</f>
        <v>0</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45737.083333333037</v>
      </c>
      <c r="C126" s="96">
        <f ca="1">OFFSET(TblPop[[#This Row],[Peasants]],-1,0)+OFFSET(TblPop[[#This Row],[Net Peasant]],-1,0)+TblMili[[#This Row],[Release Draft]]</f>
        <v>1532</v>
      </c>
      <c r="D126" s="96">
        <f ca="1">TblMili[[#This Row],[Military]]</f>
        <v>826</v>
      </c>
      <c r="E126" s="96">
        <f ca="1">TblMili[[#This Row],[Draftees]]</f>
        <v>626</v>
      </c>
      <c r="F126" s="96">
        <f ca="1">TblPop[[#This Row],[Peasants]]+TblPop[[#This Row],[Military]]</f>
        <v>2358</v>
      </c>
      <c r="G126" s="141">
        <f ca="1">TblPop[[#This Row],[Military]]/TblPop[[#This Row],[Total]]</f>
        <v>0.35029686174724345</v>
      </c>
      <c r="H126" s="142">
        <f ca="1">MIN(TblPop[[#This Row],[Peasants]],TblPop[[#This Row],[Jobs]])</f>
        <v>1532</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1600</v>
      </c>
      <c r="K126" s="143"/>
      <c r="L126" s="61">
        <f ca="1">TblPop[[#This Row],[Draftees]]</f>
        <v>626</v>
      </c>
      <c r="M126" s="61">
        <f ca="1">TblMili[[#This Row],[Unit 1]]</f>
        <v>0</v>
      </c>
      <c r="N126" s="61">
        <f ca="1">TblMili[[#This Row],[Unit 2]]</f>
        <v>150</v>
      </c>
      <c r="O126" s="61">
        <f ca="1">TblMili[[#This Row],[Unit 3]]</f>
        <v>0</v>
      </c>
      <c r="P126" s="61">
        <f ca="1">TblMili[[#This Row],[Unit 4]]</f>
        <v>0</v>
      </c>
      <c r="Q126" s="61">
        <f ca="1">TblMili[[#This Row],[Spies]]</f>
        <v>25</v>
      </c>
      <c r="R126" s="61">
        <f ca="1">TblMili[[#This Row],[Wizards]]</f>
        <v>25</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2358</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6">
        <f ca="1">MAX(-5%*TblPop[[#This Row],[Peasants]]-TblPop[[#This Row],[Draft Growth]],MIN(OFFSET(TblPop[[#This Row],[Net max]],1,0)-TblPop[[#This Row],[Peasants]]-TblPop[[#This Row],[Military]]-TblPop[[#This Row],[Draft Growth]],TblPop[[#This Row],[Modded Birth]]-TblPop[[#This Row],[Draft Growth]]))</f>
        <v>0</v>
      </c>
      <c r="X126" s="96">
        <f ca="1">ROUND(TblPop[[#This Row],[Raw Birth]]*(1+TblPop[[#This Row],[Growth]]),0)</f>
        <v>46</v>
      </c>
      <c r="Y126" s="96">
        <f ca="1">(TblPop[[#This Row],[Peasants]]-TblPop[[#This Row],[Draft Growth]])*raw_pop_growth</f>
        <v>45.96</v>
      </c>
      <c r="Z126" s="96">
        <f ca="1">ROUND(IF(TblPop[[#This Row],[Military%]]&lt;TblMili[[#This Row],[Draftrate]],ROUND(TblPop[[#This Row],[Peasants]]*Constants!$B$55,0), 0) * IF(AND(TblMagic[[#This Row],[Active DnD]]&lt;=12,TblMagic[[#This Row],[Active DnD]]&gt;6),1.6,1),0)</f>
        <v>0</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45737.124999999702</v>
      </c>
      <c r="C127" s="96">
        <f ca="1">OFFSET(TblPop[[#This Row],[Peasants]],-1,0)+OFFSET(TblPop[[#This Row],[Net Peasant]],-1,0)+TblMili[[#This Row],[Release Draft]]</f>
        <v>1532</v>
      </c>
      <c r="D127" s="96">
        <f ca="1">TblMili[[#This Row],[Military]]</f>
        <v>826</v>
      </c>
      <c r="E127" s="96">
        <f ca="1">TblMili[[#This Row],[Draftees]]</f>
        <v>626</v>
      </c>
      <c r="F127" s="96">
        <f ca="1">TblPop[[#This Row],[Peasants]]+TblPop[[#This Row],[Military]]</f>
        <v>2358</v>
      </c>
      <c r="G127" s="141">
        <f ca="1">TblPop[[#This Row],[Military]]/TblPop[[#This Row],[Total]]</f>
        <v>0.35029686174724345</v>
      </c>
      <c r="H127" s="142">
        <f ca="1">MIN(TblPop[[#This Row],[Peasants]],TblPop[[#This Row],[Jobs]])</f>
        <v>1532</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1600</v>
      </c>
      <c r="K127" s="143"/>
      <c r="L127" s="61">
        <f ca="1">TblPop[[#This Row],[Draftees]]</f>
        <v>626</v>
      </c>
      <c r="M127" s="61">
        <f ca="1">TblMili[[#This Row],[Unit 1]]</f>
        <v>0</v>
      </c>
      <c r="N127" s="61">
        <f ca="1">TblMili[[#This Row],[Unit 2]]</f>
        <v>150</v>
      </c>
      <c r="O127" s="61">
        <f ca="1">TblMili[[#This Row],[Unit 3]]</f>
        <v>0</v>
      </c>
      <c r="P127" s="61">
        <f ca="1">TblMili[[#This Row],[Unit 4]]</f>
        <v>0</v>
      </c>
      <c r="Q127" s="61">
        <f ca="1">TblMili[[#This Row],[Spies]]</f>
        <v>25</v>
      </c>
      <c r="R127" s="61">
        <f ca="1">TblMili[[#This Row],[Wizards]]</f>
        <v>25</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2358</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6">
        <f ca="1">MAX(-5%*TblPop[[#This Row],[Peasants]]-TblPop[[#This Row],[Draft Growth]],MIN(OFFSET(TblPop[[#This Row],[Net max]],1,0)-TblPop[[#This Row],[Peasants]]-TblPop[[#This Row],[Military]]-TblPop[[#This Row],[Draft Growth]],TblPop[[#This Row],[Modded Birth]]-TblPop[[#This Row],[Draft Growth]]))</f>
        <v>0</v>
      </c>
      <c r="X127" s="96">
        <f ca="1">ROUND(TblPop[[#This Row],[Raw Birth]]*(1+TblPop[[#This Row],[Growth]]),0)</f>
        <v>46</v>
      </c>
      <c r="Y127" s="96">
        <f ca="1">(TblPop[[#This Row],[Peasants]]-TblPop[[#This Row],[Draft Growth]])*raw_pop_growth</f>
        <v>45.96</v>
      </c>
      <c r="Z127" s="96">
        <f ca="1">ROUND(IF(TblPop[[#This Row],[Military%]]&lt;TblMili[[#This Row],[Draftrate]],ROUND(TblPop[[#This Row],[Peasants]]*Constants!$B$55,0), 0) * IF(AND(TblMagic[[#This Row],[Active DnD]]&lt;=12,TblMagic[[#This Row],[Active DnD]]&gt;6),1.6,1),0)</f>
        <v>0</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45737.166666666366</v>
      </c>
      <c r="C128" s="96">
        <f ca="1">OFFSET(TblPop[[#This Row],[Peasants]],-1,0)+OFFSET(TblPop[[#This Row],[Net Peasant]],-1,0)+TblMili[[#This Row],[Release Draft]]</f>
        <v>1532</v>
      </c>
      <c r="D128" s="96">
        <f ca="1">TblMili[[#This Row],[Military]]</f>
        <v>826</v>
      </c>
      <c r="E128" s="96">
        <f ca="1">TblMili[[#This Row],[Draftees]]</f>
        <v>626</v>
      </c>
      <c r="F128" s="96">
        <f ca="1">TblPop[[#This Row],[Peasants]]+TblPop[[#This Row],[Military]]</f>
        <v>2358</v>
      </c>
      <c r="G128" s="141">
        <f ca="1">TblPop[[#This Row],[Military]]/TblPop[[#This Row],[Total]]</f>
        <v>0.35029686174724345</v>
      </c>
      <c r="H128" s="142">
        <f ca="1">MIN(TblPop[[#This Row],[Peasants]],TblPop[[#This Row],[Jobs]])</f>
        <v>1532</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1600</v>
      </c>
      <c r="K128" s="143"/>
      <c r="L128" s="61">
        <f ca="1">TblPop[[#This Row],[Draftees]]</f>
        <v>626</v>
      </c>
      <c r="M128" s="61">
        <f ca="1">TblMili[[#This Row],[Unit 1]]</f>
        <v>0</v>
      </c>
      <c r="N128" s="61">
        <f ca="1">TblMili[[#This Row],[Unit 2]]</f>
        <v>150</v>
      </c>
      <c r="O128" s="61">
        <f ca="1">TblMili[[#This Row],[Unit 3]]</f>
        <v>0</v>
      </c>
      <c r="P128" s="61">
        <f ca="1">TblMili[[#This Row],[Unit 4]]</f>
        <v>0</v>
      </c>
      <c r="Q128" s="61">
        <f ca="1">TblMili[[#This Row],[Spies]]</f>
        <v>25</v>
      </c>
      <c r="R128" s="61">
        <f ca="1">TblMili[[#This Row],[Wizards]]</f>
        <v>25</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2358</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6">
        <f ca="1">MAX(-5%*TblPop[[#This Row],[Peasants]]-TblPop[[#This Row],[Draft Growth]],MIN(OFFSET(TblPop[[#This Row],[Net max]],1,0)-TblPop[[#This Row],[Peasants]]-TblPop[[#This Row],[Military]]-TblPop[[#This Row],[Draft Growth]],TblPop[[#This Row],[Modded Birth]]-TblPop[[#This Row],[Draft Growth]]))</f>
        <v>0</v>
      </c>
      <c r="X128" s="96">
        <f ca="1">ROUND(TblPop[[#This Row],[Raw Birth]]*(1+TblPop[[#This Row],[Growth]]),0)</f>
        <v>46</v>
      </c>
      <c r="Y128" s="96">
        <f ca="1">(TblPop[[#This Row],[Peasants]]-TblPop[[#This Row],[Draft Growth]])*raw_pop_growth</f>
        <v>45.96</v>
      </c>
      <c r="Z128" s="96">
        <f ca="1">ROUND(IF(TblPop[[#This Row],[Military%]]&lt;TblMili[[#This Row],[Draftrate]],ROUND(TblPop[[#This Row],[Peasants]]*Constants!$B$55,0), 0) * IF(AND(TblMagic[[#This Row],[Active DnD]]&lt;=12,TblMagic[[#This Row],[Active DnD]]&gt;6),1.6,1),0)</f>
        <v>0</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45737.20833333303</v>
      </c>
      <c r="C129" s="96">
        <f ca="1">OFFSET(TblPop[[#This Row],[Peasants]],-1,0)+OFFSET(TblPop[[#This Row],[Net Peasant]],-1,0)+TblMili[[#This Row],[Release Draft]]</f>
        <v>1532</v>
      </c>
      <c r="D129" s="96">
        <f ca="1">TblMili[[#This Row],[Military]]</f>
        <v>826</v>
      </c>
      <c r="E129" s="96">
        <f ca="1">TblMili[[#This Row],[Draftees]]</f>
        <v>626</v>
      </c>
      <c r="F129" s="96">
        <f ca="1">TblPop[[#This Row],[Peasants]]+TblPop[[#This Row],[Military]]</f>
        <v>2358</v>
      </c>
      <c r="G129" s="141">
        <f ca="1">TblPop[[#This Row],[Military]]/TblPop[[#This Row],[Total]]</f>
        <v>0.35029686174724345</v>
      </c>
      <c r="H129" s="142">
        <f ca="1">MIN(TblPop[[#This Row],[Peasants]],TblPop[[#This Row],[Jobs]])</f>
        <v>1532</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1600</v>
      </c>
      <c r="K129" s="143"/>
      <c r="L129" s="61">
        <f ca="1">TblPop[[#This Row],[Draftees]]</f>
        <v>626</v>
      </c>
      <c r="M129" s="61">
        <f ca="1">TblMili[[#This Row],[Unit 1]]</f>
        <v>0</v>
      </c>
      <c r="N129" s="61">
        <f ca="1">TblMili[[#This Row],[Unit 2]]</f>
        <v>150</v>
      </c>
      <c r="O129" s="61">
        <f ca="1">TblMili[[#This Row],[Unit 3]]</f>
        <v>0</v>
      </c>
      <c r="P129" s="61">
        <f ca="1">TblMili[[#This Row],[Unit 4]]</f>
        <v>0</v>
      </c>
      <c r="Q129" s="61">
        <f ca="1">TblMili[[#This Row],[Spies]]</f>
        <v>25</v>
      </c>
      <c r="R129" s="61">
        <f ca="1">TblMili[[#This Row],[Wizards]]</f>
        <v>25</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2358</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6">
        <f ca="1">MAX(-5%*TblPop[[#This Row],[Peasants]]-TblPop[[#This Row],[Draft Growth]],MIN(OFFSET(TblPop[[#This Row],[Net max]],1,0)-TblPop[[#This Row],[Peasants]]-TblPop[[#This Row],[Military]]-TblPop[[#This Row],[Draft Growth]],TblPop[[#This Row],[Modded Birth]]-TblPop[[#This Row],[Draft Growth]]))</f>
        <v>0</v>
      </c>
      <c r="X129" s="96">
        <f ca="1">ROUND(TblPop[[#This Row],[Raw Birth]]*(1+TblPop[[#This Row],[Growth]]),0)</f>
        <v>46</v>
      </c>
      <c r="Y129" s="96">
        <f ca="1">(TblPop[[#This Row],[Peasants]]-TblPop[[#This Row],[Draft Growth]])*raw_pop_growth</f>
        <v>45.96</v>
      </c>
      <c r="Z129" s="96">
        <f ca="1">ROUND(IF(TblPop[[#This Row],[Military%]]&lt;TblMili[[#This Row],[Draftrate]],ROUND(TblPop[[#This Row],[Peasants]]*Constants!$B$55,0), 0) * IF(AND(TblMagic[[#This Row],[Active DnD]]&lt;=12,TblMagic[[#This Row],[Active DnD]]&gt;6),1.6,1),0)</f>
        <v>0</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45737.249999999694</v>
      </c>
      <c r="C130" s="96">
        <f ca="1">OFFSET(TblPop[[#This Row],[Peasants]],-1,0)+OFFSET(TblPop[[#This Row],[Net Peasant]],-1,0)+TblMili[[#This Row],[Release Draft]]</f>
        <v>1532</v>
      </c>
      <c r="D130" s="96">
        <f ca="1">TblMili[[#This Row],[Military]]</f>
        <v>826</v>
      </c>
      <c r="E130" s="96">
        <f ca="1">TblMili[[#This Row],[Draftees]]</f>
        <v>626</v>
      </c>
      <c r="F130" s="96">
        <f ca="1">TblPop[[#This Row],[Peasants]]+TblPop[[#This Row],[Military]]</f>
        <v>2358</v>
      </c>
      <c r="G130" s="141">
        <f ca="1">TblPop[[#This Row],[Military]]/TblPop[[#This Row],[Total]]</f>
        <v>0.35029686174724345</v>
      </c>
      <c r="H130" s="142">
        <f ca="1">MIN(TblPop[[#This Row],[Peasants]],TblPop[[#This Row],[Jobs]])</f>
        <v>1532</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1600</v>
      </c>
      <c r="K130" s="143"/>
      <c r="L130" s="61">
        <f ca="1">TblPop[[#This Row],[Draftees]]</f>
        <v>626</v>
      </c>
      <c r="M130" s="61">
        <f ca="1">TblMili[[#This Row],[Unit 1]]</f>
        <v>0</v>
      </c>
      <c r="N130" s="61">
        <f ca="1">TblMili[[#This Row],[Unit 2]]</f>
        <v>150</v>
      </c>
      <c r="O130" s="61">
        <f ca="1">TblMili[[#This Row],[Unit 3]]</f>
        <v>0</v>
      </c>
      <c r="P130" s="61">
        <f ca="1">TblMili[[#This Row],[Unit 4]]</f>
        <v>0</v>
      </c>
      <c r="Q130" s="61">
        <f ca="1">TblMili[[#This Row],[Spies]]</f>
        <v>25</v>
      </c>
      <c r="R130" s="61">
        <f ca="1">TblMili[[#This Row],[Wizards]]</f>
        <v>25</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2358</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6">
        <f ca="1">MAX(-5%*TblPop[[#This Row],[Peasants]]-TblPop[[#This Row],[Draft Growth]],MIN(OFFSET(TblPop[[#This Row],[Net max]],1,0)-TblPop[[#This Row],[Peasants]]-TblPop[[#This Row],[Military]]-TblPop[[#This Row],[Draft Growth]],TblPop[[#This Row],[Modded Birth]]-TblPop[[#This Row],[Draft Growth]]))</f>
        <v>0</v>
      </c>
      <c r="X130" s="96">
        <f ca="1">ROUND(TblPop[[#This Row],[Raw Birth]]*(1+TblPop[[#This Row],[Growth]]),0)</f>
        <v>46</v>
      </c>
      <c r="Y130" s="96">
        <f ca="1">(TblPop[[#This Row],[Peasants]]-TblPop[[#This Row],[Draft Growth]])*raw_pop_growth</f>
        <v>45.96</v>
      </c>
      <c r="Z130" s="96">
        <f ca="1">ROUND(IF(TblPop[[#This Row],[Military%]]&lt;TblMili[[#This Row],[Draftrate]],ROUND(TblPop[[#This Row],[Peasants]]*Constants!$B$55,0), 0) * IF(AND(TblMagic[[#This Row],[Active DnD]]&lt;=12,TblMagic[[#This Row],[Active DnD]]&gt;6),1.6,1),0)</f>
        <v>0</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45737.291666666359</v>
      </c>
      <c r="C131" s="96">
        <f ca="1">OFFSET(TblPop[[#This Row],[Peasants]],-1,0)+OFFSET(TblPop[[#This Row],[Net Peasant]],-1,0)+TblMili[[#This Row],[Release Draft]]</f>
        <v>1532</v>
      </c>
      <c r="D131" s="96">
        <f ca="1">TblMili[[#This Row],[Military]]</f>
        <v>826</v>
      </c>
      <c r="E131" s="96">
        <f ca="1">TblMili[[#This Row],[Draftees]]</f>
        <v>626</v>
      </c>
      <c r="F131" s="96">
        <f ca="1">TblPop[[#This Row],[Peasants]]+TblPop[[#This Row],[Military]]</f>
        <v>2358</v>
      </c>
      <c r="G131" s="141">
        <f ca="1">TblPop[[#This Row],[Military]]/TblPop[[#This Row],[Total]]</f>
        <v>0.35029686174724345</v>
      </c>
      <c r="H131" s="142">
        <f ca="1">MIN(TblPop[[#This Row],[Peasants]],TblPop[[#This Row],[Jobs]])</f>
        <v>1532</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1600</v>
      </c>
      <c r="K131" s="143"/>
      <c r="L131" s="61">
        <f ca="1">TblPop[[#This Row],[Draftees]]</f>
        <v>626</v>
      </c>
      <c r="M131" s="61">
        <f ca="1">TblMili[[#This Row],[Unit 1]]</f>
        <v>0</v>
      </c>
      <c r="N131" s="61">
        <f ca="1">TblMili[[#This Row],[Unit 2]]</f>
        <v>150</v>
      </c>
      <c r="O131" s="61">
        <f ca="1">TblMili[[#This Row],[Unit 3]]</f>
        <v>0</v>
      </c>
      <c r="P131" s="61">
        <f ca="1">TblMili[[#This Row],[Unit 4]]</f>
        <v>0</v>
      </c>
      <c r="Q131" s="61">
        <f ca="1">TblMili[[#This Row],[Spies]]</f>
        <v>25</v>
      </c>
      <c r="R131" s="61">
        <f ca="1">TblMili[[#This Row],[Wizards]]</f>
        <v>25</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2358</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6">
        <f ca="1">MAX(-5%*TblPop[[#This Row],[Peasants]]-TblPop[[#This Row],[Draft Growth]],MIN(OFFSET(TblPop[[#This Row],[Net max]],1,0)-TblPop[[#This Row],[Peasants]]-TblPop[[#This Row],[Military]]-TblPop[[#This Row],[Draft Growth]],TblPop[[#This Row],[Modded Birth]]-TblPop[[#This Row],[Draft Growth]]))</f>
        <v>0</v>
      </c>
      <c r="X131" s="96">
        <f ca="1">ROUND(TblPop[[#This Row],[Raw Birth]]*(1+TblPop[[#This Row],[Growth]]),0)</f>
        <v>46</v>
      </c>
      <c r="Y131" s="96">
        <f ca="1">(TblPop[[#This Row],[Peasants]]-TblPop[[#This Row],[Draft Growth]])*raw_pop_growth</f>
        <v>45.96</v>
      </c>
      <c r="Z131" s="96">
        <f ca="1">ROUND(IF(TblPop[[#This Row],[Military%]]&lt;TblMili[[#This Row],[Draftrate]],ROUND(TblPop[[#This Row],[Peasants]]*Constants!$B$55,0), 0) * IF(AND(TblMagic[[#This Row],[Active DnD]]&lt;=12,TblMagic[[#This Row],[Active DnD]]&gt;6),1.6,1),0)</f>
        <v>0</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45737.333333333023</v>
      </c>
      <c r="C132" s="96">
        <f ca="1">OFFSET(TblPop[[#This Row],[Peasants]],-1,0)+OFFSET(TblPop[[#This Row],[Net Peasant]],-1,0)+TblMili[[#This Row],[Release Draft]]</f>
        <v>1532</v>
      </c>
      <c r="D132" s="96">
        <f ca="1">TblMili[[#This Row],[Military]]</f>
        <v>826</v>
      </c>
      <c r="E132" s="96">
        <f ca="1">TblMili[[#This Row],[Draftees]]</f>
        <v>626</v>
      </c>
      <c r="F132" s="96">
        <f ca="1">TblPop[[#This Row],[Peasants]]+TblPop[[#This Row],[Military]]</f>
        <v>2358</v>
      </c>
      <c r="G132" s="141">
        <f ca="1">TblPop[[#This Row],[Military]]/TblPop[[#This Row],[Total]]</f>
        <v>0.35029686174724345</v>
      </c>
      <c r="H132" s="142">
        <f ca="1">MIN(TblPop[[#This Row],[Peasants]],TblPop[[#This Row],[Jobs]])</f>
        <v>1532</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1600</v>
      </c>
      <c r="K132" s="143"/>
      <c r="L132" s="61">
        <f ca="1">TblPop[[#This Row],[Draftees]]</f>
        <v>626</v>
      </c>
      <c r="M132" s="61">
        <f ca="1">TblMili[[#This Row],[Unit 1]]</f>
        <v>0</v>
      </c>
      <c r="N132" s="61">
        <f ca="1">TblMili[[#This Row],[Unit 2]]</f>
        <v>150</v>
      </c>
      <c r="O132" s="61">
        <f ca="1">TblMili[[#This Row],[Unit 3]]</f>
        <v>0</v>
      </c>
      <c r="P132" s="61">
        <f ca="1">TblMili[[#This Row],[Unit 4]]</f>
        <v>0</v>
      </c>
      <c r="Q132" s="61">
        <f ca="1">TblMili[[#This Row],[Spies]]</f>
        <v>25</v>
      </c>
      <c r="R132" s="61">
        <f ca="1">TblMili[[#This Row],[Wizards]]</f>
        <v>25</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2358</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6">
        <f ca="1">MAX(-5%*TblPop[[#This Row],[Peasants]]-TblPop[[#This Row],[Draft Growth]],MIN(OFFSET(TblPop[[#This Row],[Net max]],1,0)-TblPop[[#This Row],[Peasants]]-TblPop[[#This Row],[Military]]-TblPop[[#This Row],[Draft Growth]],TblPop[[#This Row],[Modded Birth]]-TblPop[[#This Row],[Draft Growth]]))</f>
        <v>0</v>
      </c>
      <c r="X132" s="96">
        <f ca="1">ROUND(TblPop[[#This Row],[Raw Birth]]*(1+TblPop[[#This Row],[Growth]]),0)</f>
        <v>46</v>
      </c>
      <c r="Y132" s="96">
        <f ca="1">(TblPop[[#This Row],[Peasants]]-TblPop[[#This Row],[Draft Growth]])*raw_pop_growth</f>
        <v>45.96</v>
      </c>
      <c r="Z132" s="96">
        <f ca="1">ROUND(IF(TblPop[[#This Row],[Military%]]&lt;TblMili[[#This Row],[Draftrate]],ROUND(TblPop[[#This Row],[Peasants]]*Constants!$B$55,0), 0) * IF(AND(TblMagic[[#This Row],[Active DnD]]&lt;=12,TblMagic[[#This Row],[Active DnD]]&gt;6),1.6,1),0)</f>
        <v>0</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45737.374999999687</v>
      </c>
      <c r="C133" s="96">
        <f ca="1">OFFSET(TblPop[[#This Row],[Peasants]],-1,0)+OFFSET(TblPop[[#This Row],[Net Peasant]],-1,0)+TblMili[[#This Row],[Release Draft]]</f>
        <v>1532</v>
      </c>
      <c r="D133" s="96">
        <f ca="1">TblMili[[#This Row],[Military]]</f>
        <v>826</v>
      </c>
      <c r="E133" s="96">
        <f ca="1">TblMili[[#This Row],[Draftees]]</f>
        <v>626</v>
      </c>
      <c r="F133" s="96">
        <f ca="1">TblPop[[#This Row],[Peasants]]+TblPop[[#This Row],[Military]]</f>
        <v>2358</v>
      </c>
      <c r="G133" s="141">
        <f ca="1">TblPop[[#This Row],[Military]]/TblPop[[#This Row],[Total]]</f>
        <v>0.35029686174724345</v>
      </c>
      <c r="H133" s="142">
        <f ca="1">MIN(TblPop[[#This Row],[Peasants]],TblPop[[#This Row],[Jobs]])</f>
        <v>1532</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1600</v>
      </c>
      <c r="K133" s="143"/>
      <c r="L133" s="61">
        <f ca="1">TblPop[[#This Row],[Draftees]]</f>
        <v>626</v>
      </c>
      <c r="M133" s="61">
        <f ca="1">TblMili[[#This Row],[Unit 1]]</f>
        <v>0</v>
      </c>
      <c r="N133" s="61">
        <f ca="1">TblMili[[#This Row],[Unit 2]]</f>
        <v>150</v>
      </c>
      <c r="O133" s="61">
        <f ca="1">TblMili[[#This Row],[Unit 3]]</f>
        <v>0</v>
      </c>
      <c r="P133" s="61">
        <f ca="1">TblMili[[#This Row],[Unit 4]]</f>
        <v>0</v>
      </c>
      <c r="Q133" s="61">
        <f ca="1">TblMili[[#This Row],[Spies]]</f>
        <v>25</v>
      </c>
      <c r="R133" s="61">
        <f ca="1">TblMili[[#This Row],[Wizards]]</f>
        <v>25</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2358</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6">
        <f ca="1">MAX(-5%*TblPop[[#This Row],[Peasants]]-TblPop[[#This Row],[Draft Growth]],MIN(OFFSET(TblPop[[#This Row],[Net max]],1,0)-TblPop[[#This Row],[Peasants]]-TblPop[[#This Row],[Military]]-TblPop[[#This Row],[Draft Growth]],TblPop[[#This Row],[Modded Birth]]-TblPop[[#This Row],[Draft Growth]]))</f>
        <v>0</v>
      </c>
      <c r="X133" s="96">
        <f ca="1">ROUND(TblPop[[#This Row],[Raw Birth]]*(1+TblPop[[#This Row],[Growth]]),0)</f>
        <v>46</v>
      </c>
      <c r="Y133" s="96">
        <f ca="1">(TblPop[[#This Row],[Peasants]]-TblPop[[#This Row],[Draft Growth]])*raw_pop_growth</f>
        <v>45.96</v>
      </c>
      <c r="Z133" s="96">
        <f ca="1">ROUND(IF(TblPop[[#This Row],[Military%]]&lt;TblMili[[#This Row],[Draftrate]],ROUND(TblPop[[#This Row],[Peasants]]*Constants!$B$55,0), 0) * IF(AND(TblMagic[[#This Row],[Active DnD]]&lt;=12,TblMagic[[#This Row],[Active DnD]]&gt;6),1.6,1),0)</f>
        <v>0</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45737.416666666351</v>
      </c>
      <c r="C134" s="96">
        <f ca="1">OFFSET(TblPop[[#This Row],[Peasants]],-1,0)+OFFSET(TblPop[[#This Row],[Net Peasant]],-1,0)+TblMili[[#This Row],[Release Draft]]</f>
        <v>1532</v>
      </c>
      <c r="D134" s="96">
        <f ca="1">TblMili[[#This Row],[Military]]</f>
        <v>826</v>
      </c>
      <c r="E134" s="96">
        <f ca="1">TblMili[[#This Row],[Draftees]]</f>
        <v>626</v>
      </c>
      <c r="F134" s="96">
        <f ca="1">TblPop[[#This Row],[Peasants]]+TblPop[[#This Row],[Military]]</f>
        <v>2358</v>
      </c>
      <c r="G134" s="141">
        <f ca="1">TblPop[[#This Row],[Military]]/TblPop[[#This Row],[Total]]</f>
        <v>0.35029686174724345</v>
      </c>
      <c r="H134" s="142">
        <f ca="1">MIN(TblPop[[#This Row],[Peasants]],TblPop[[#This Row],[Jobs]])</f>
        <v>1532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1600</v>
      </c>
      <c r="K134" s="143"/>
      <c r="L134" s="61">
        <f ca="1">TblPop[[#This Row],[Draftees]]</f>
        <v>626</v>
      </c>
      <c r="M134" s="61">
        <f ca="1">TblMili[[#This Row],[Unit 1]]</f>
        <v>0</v>
      </c>
      <c r="N134" s="61">
        <f ca="1">TblMili[[#This Row],[Unit 2]]</f>
        <v>150</v>
      </c>
      <c r="O134" s="61">
        <f ca="1">TblMili[[#This Row],[Unit 3]]</f>
        <v>0</v>
      </c>
      <c r="P134" s="61">
        <f ca="1">TblMili[[#This Row],[Unit 4]]</f>
        <v>0</v>
      </c>
      <c r="Q134" s="61">
        <f ca="1">TblMili[[#This Row],[Spies]]</f>
        <v>25</v>
      </c>
      <c r="R134" s="61">
        <f ca="1">TblMili[[#This Row],[Wizards]]</f>
        <v>25</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2358</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6">
        <f ca="1">MAX(-5%*TblPop[[#This Row],[Peasants]]-TblPop[[#This Row],[Draft Growth]],MIN(OFFSET(TblPop[[#This Row],[Net max]],1,0)-TblPop[[#This Row],[Peasants]]-TblPop[[#This Row],[Military]]-TblPop[[#This Row],[Draft Growth]],TblPop[[#This Row],[Modded Birth]]-TblPop[[#This Row],[Draft Growth]]))</f>
        <v>0</v>
      </c>
      <c r="X134" s="96">
        <f ca="1">ROUND(TblPop[[#This Row],[Raw Birth]]*(1+TblPop[[#This Row],[Growth]]),0)</f>
        <v>46</v>
      </c>
      <c r="Y134" s="96">
        <f ca="1">(TblPop[[#This Row],[Peasants]]-TblPop[[#This Row],[Draft Growth]])*raw_pop_growth</f>
        <v>45.96</v>
      </c>
      <c r="Z134" s="96">
        <f ca="1">ROUND(IF(TblPop[[#This Row],[Military%]]&lt;TblMili[[#This Row],[Draftrate]],ROUND(TblPop[[#This Row],[Peasants]]*Constants!$B$55,0), 0) * IF(AND(TblMagic[[#This Row],[Active DnD]]&lt;=12,TblMagic[[#This Row],[Active DnD]]&gt;6),1.6,1),0)</f>
        <v>0</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45737.458333333016</v>
      </c>
      <c r="C135" s="96">
        <f ca="1">OFFSET(TblPop[[#This Row],[Peasants]],-1,0)+OFFSET(TblPop[[#This Row],[Net Peasant]],-1,0)+TblMili[[#This Row],[Release Draft]]</f>
        <v>1532</v>
      </c>
      <c r="D135" s="96">
        <f ca="1">TblMili[[#This Row],[Military]]</f>
        <v>826</v>
      </c>
      <c r="E135" s="96">
        <f ca="1">TblMili[[#This Row],[Draftees]]</f>
        <v>626</v>
      </c>
      <c r="F135" s="96">
        <f ca="1">TblPop[[#This Row],[Peasants]]+TblPop[[#This Row],[Military]]</f>
        <v>2358</v>
      </c>
      <c r="G135" s="141">
        <f ca="1">TblPop[[#This Row],[Military]]/TblPop[[#This Row],[Total]]</f>
        <v>0.35029686174724345</v>
      </c>
      <c r="H135" s="142">
        <f ca="1">MIN(TblPop[[#This Row],[Peasants]],TblPop[[#This Row],[Jobs]])</f>
        <v>1532</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1600</v>
      </c>
      <c r="K135" s="143"/>
      <c r="L135" s="61">
        <f ca="1">TblPop[[#This Row],[Draftees]]</f>
        <v>626</v>
      </c>
      <c r="M135" s="61">
        <f ca="1">TblMili[[#This Row],[Unit 1]]</f>
        <v>0</v>
      </c>
      <c r="N135" s="61">
        <f ca="1">TblMili[[#This Row],[Unit 2]]</f>
        <v>150</v>
      </c>
      <c r="O135" s="61">
        <f ca="1">TblMili[[#This Row],[Unit 3]]</f>
        <v>0</v>
      </c>
      <c r="P135" s="61">
        <f ca="1">TblMili[[#This Row],[Unit 4]]</f>
        <v>0</v>
      </c>
      <c r="Q135" s="61">
        <f ca="1">TblMili[[#This Row],[Spies]]</f>
        <v>25</v>
      </c>
      <c r="R135" s="61">
        <f ca="1">TblMili[[#This Row],[Wizards]]</f>
        <v>25</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2358</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6">
        <f ca="1">MAX(-5%*TblPop[[#This Row],[Peasants]]-TblPop[[#This Row],[Draft Growth]],MIN(OFFSET(TblPop[[#This Row],[Net max]],1,0)-TblPop[[#This Row],[Peasants]]-TblPop[[#This Row],[Military]]-TblPop[[#This Row],[Draft Growth]],TblPop[[#This Row],[Modded Birth]]-TblPop[[#This Row],[Draft Growth]]))</f>
        <v>0</v>
      </c>
      <c r="X135" s="96">
        <f ca="1">ROUND(TblPop[[#This Row],[Raw Birth]]*(1+TblPop[[#This Row],[Growth]]),0)</f>
        <v>46</v>
      </c>
      <c r="Y135" s="96">
        <f ca="1">(TblPop[[#This Row],[Peasants]]-TblPop[[#This Row],[Draft Growth]])*raw_pop_growth</f>
        <v>45.96</v>
      </c>
      <c r="Z135" s="96">
        <f ca="1">ROUND(IF(TblPop[[#This Row],[Military%]]&lt;TblMili[[#This Row],[Draftrate]],ROUND(TblPop[[#This Row],[Peasants]]*Constants!$B$55,0), 0) * IF(AND(TblMagic[[#This Row],[Active DnD]]&lt;=12,TblMagic[[#This Row],[Active DnD]]&gt;6),1.6,1),0)</f>
        <v>0</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45737.49999999968</v>
      </c>
      <c r="C136" s="96">
        <f ca="1">OFFSET(TblPop[[#This Row],[Peasants]],-1,0)+OFFSET(TblPop[[#This Row],[Net Peasant]],-1,0)+TblMili[[#This Row],[Release Draft]]</f>
        <v>1532</v>
      </c>
      <c r="D136" s="96">
        <f ca="1">TblMili[[#This Row],[Military]]</f>
        <v>826</v>
      </c>
      <c r="E136" s="96">
        <f ca="1">TblMili[[#This Row],[Draftees]]</f>
        <v>626</v>
      </c>
      <c r="F136" s="96">
        <f ca="1">TblPop[[#This Row],[Peasants]]+TblPop[[#This Row],[Military]]</f>
        <v>2358</v>
      </c>
      <c r="G136" s="141">
        <f ca="1">TblPop[[#This Row],[Military]]/TblPop[[#This Row],[Total]]</f>
        <v>0.35029686174724345</v>
      </c>
      <c r="H136" s="142">
        <f ca="1">MIN(TblPop[[#This Row],[Peasants]],TblPop[[#This Row],[Jobs]])</f>
        <v>1532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1600</v>
      </c>
      <c r="K136" s="143"/>
      <c r="L136" s="61">
        <f ca="1">TblPop[[#This Row],[Draftees]]</f>
        <v>626</v>
      </c>
      <c r="M136" s="61">
        <f ca="1">TblMili[[#This Row],[Unit 1]]</f>
        <v>0</v>
      </c>
      <c r="N136" s="61">
        <f ca="1">TblMili[[#This Row],[Unit 2]]</f>
        <v>150</v>
      </c>
      <c r="O136" s="61">
        <f ca="1">TblMili[[#This Row],[Unit 3]]</f>
        <v>0</v>
      </c>
      <c r="P136" s="61">
        <f ca="1">TblMili[[#This Row],[Unit 4]]</f>
        <v>0</v>
      </c>
      <c r="Q136" s="61">
        <f ca="1">TblMili[[#This Row],[Spies]]</f>
        <v>25</v>
      </c>
      <c r="R136" s="61">
        <f ca="1">TblMili[[#This Row],[Wizards]]</f>
        <v>25</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2358</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45.96</v>
      </c>
      <c r="Z136" s="96">
        <f ca="1">ROUND(IF(TblPop[[#This Row],[Military%]]&lt;TblMili[[#This Row],[Draftrate]],ROUND(TblPop[[#This Row],[Peasants]]*Constants!$B$55,0), 0) * IF(AND(TblMagic[[#This Row],[Active DnD]]&lt;=12,TblMagic[[#This Row],[Active DnD]]&gt;6),1.6,1),0)</f>
        <v>0</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00" t="s">
        <v>314</v>
      </c>
      <c r="D1269" s="453"/>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$A4=73</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P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03" t="s">
        <v>247</v>
      </c>
      <c r="T1" s="503"/>
      <c r="U1" s="503"/>
      <c r="AA1" s="503" t="s">
        <v>85</v>
      </c>
      <c r="AB1" s="503"/>
      <c r="AH1" s="503" t="s">
        <v>164</v>
      </c>
      <c r="AI1" s="503"/>
      <c r="AJ1" s="503"/>
      <c r="AK1" s="503"/>
      <c r="AL1" s="503"/>
      <c r="AM1" s="503"/>
      <c r="AO1" s="5" t="s">
        <v>19</v>
      </c>
      <c r="AT1" s="503" t="s">
        <v>184</v>
      </c>
      <c r="AU1" s="503"/>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833</v>
      </c>
      <c r="AB3" s="137" t="s">
        <v>834</v>
      </c>
      <c r="AC3" s="137" t="s">
        <v>835</v>
      </c>
      <c r="AD3" s="137" t="s">
        <v>836</v>
      </c>
      <c r="AE3" s="137" t="s">
        <v>837</v>
      </c>
      <c r="AF3" s="137" t="s">
        <v>838</v>
      </c>
      <c r="AG3" s="137" t="s">
        <v>772</v>
      </c>
      <c r="AH3" s="137" t="s">
        <v>839</v>
      </c>
      <c r="AI3" s="137" t="s">
        <v>840</v>
      </c>
      <c r="AJ3" s="137" t="s">
        <v>841</v>
      </c>
      <c r="AK3" s="137" t="s">
        <v>842</v>
      </c>
      <c r="AL3" s="137" t="s">
        <v>843</v>
      </c>
      <c r="AM3" s="137" t="s">
        <v>844</v>
      </c>
      <c r="AN3" s="137" t="s">
        <v>785</v>
      </c>
      <c r="AO3" s="137" t="s">
        <v>14</v>
      </c>
      <c r="AP3" s="137" t="s">
        <v>20</v>
      </c>
      <c r="AQ3" s="137" t="s">
        <v>16</v>
      </c>
      <c r="AR3" s="137" t="s">
        <v>15</v>
      </c>
      <c r="AS3" s="137" t="s">
        <v>786</v>
      </c>
      <c r="AT3" s="137" t="s">
        <v>845</v>
      </c>
      <c r="AU3" s="137" t="s">
        <v>846</v>
      </c>
      <c r="AV3" s="137" t="s">
        <v>847</v>
      </c>
      <c r="AW3" s="137" t="s">
        <v>848</v>
      </c>
      <c r="AX3" s="137" t="s">
        <v>849</v>
      </c>
      <c r="AY3" s="137" t="s">
        <v>787</v>
      </c>
      <c r="AZ3" s="137" t="s">
        <v>324</v>
      </c>
      <c r="BA3" s="137" t="s">
        <v>325</v>
      </c>
      <c r="BB3" s="137" t="s">
        <v>850</v>
      </c>
      <c r="BC3" s="137" t="s">
        <v>851</v>
      </c>
      <c r="BD3" s="137" t="s">
        <v>852</v>
      </c>
      <c r="BE3" s="137" t="s">
        <v>853</v>
      </c>
      <c r="BF3" s="137" t="s">
        <v>854</v>
      </c>
      <c r="BG3" s="137" t="s">
        <v>855</v>
      </c>
      <c r="BH3" s="137" t="s">
        <v>193</v>
      </c>
      <c r="BI3" s="137" t="s">
        <v>856</v>
      </c>
      <c r="BJ3" s="137" t="s">
        <v>857</v>
      </c>
      <c r="BK3" s="137" t="s">
        <v>858</v>
      </c>
      <c r="BL3" s="137" t="s">
        <v>859</v>
      </c>
      <c r="BM3" s="137" t="s">
        <v>860</v>
      </c>
    </row>
    <row r="4" spans="1:65" x14ac:dyDescent="0.2">
      <c r="A4" s="139">
        <f>TblRezone[[#This Row],[Hour]]</f>
        <v>1</v>
      </c>
      <c r="B4" s="154">
        <f>TblImps[[#This Row],[Time]]</f>
        <v>45732</v>
      </c>
      <c r="C4" s="155"/>
      <c r="D4" s="156"/>
      <c r="E4" s="96">
        <f ca="1">TblConstr[[#This Row],[Land]]</f>
        <v>250</v>
      </c>
      <c r="F4" s="96">
        <f>TblPop[[#This Row],[Peasants]]</f>
        <v>1300</v>
      </c>
      <c r="G4" s="96">
        <f ca="1">TblMili[[#This Row],[Networth (2)]]</f>
        <v>6450</v>
      </c>
      <c r="H4" s="403">
        <f ca="1">start_plat - TblProd[[#This Row],[Expenses Platinum]] + IF(TblProd[[#This Row],[Plat Bonus]],TblPop[[#This Row],[Peasants]]*4)+days_late*days_late_plat + SUM(TblConstr[[#This Row],[Dest Hom]:[Dest Doc]])*Construction!AM4*tech_3_3_2*TblTech[[#This Row],[3-3]]</f>
        <v>120000</v>
      </c>
      <c r="I4" s="403">
        <f>start_food+days_late*days_late_food</f>
        <v>15000</v>
      </c>
      <c r="J4" s="403">
        <f ca="1">start_lumber - TblProd[[#This Row],[Expenses Lumber]]+days_late*days_late_lumber + SUM(TblConstr[[#This Row],[Dest Hom]:[Dest Doc]])*TblConstr[[#This Row],[CPA Lumber -DB]]*tech_3_3_2*TblTech[[#This Row],[3-3]]</f>
        <v>15000</v>
      </c>
      <c r="K4" s="403">
        <f ca="1">start_mana - TblProd[[#This Row],[Expenses Mana]]+days_late*days_late_mana</f>
        <v>0</v>
      </c>
      <c r="L4" s="403">
        <f ca="1">start_ore - TblProd[[#This Row],[Expenses Ore]]+days_late*days_late_ore</f>
        <v>0</v>
      </c>
      <c r="M4" s="403">
        <f>start_gems - TblProd[[#This Row],[Expenses Gems]]</f>
        <v>0</v>
      </c>
      <c r="N4" s="403">
        <f>start_boats</f>
        <v>0</v>
      </c>
      <c r="O4" s="403">
        <f>start_prestige</f>
        <v>250</v>
      </c>
      <c r="P4" s="404">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4860</v>
      </c>
      <c r="T4" s="96">
        <f ca="1">ROUND(TblProd[[#This Row],[Raw Food/hr]]*(1+TblProd[[#This Row],[Bonus Food/hr]])-TblProd[[#This Row],[Food decay]]-TblProd[[#This Row],[Food eaten]],0)</f>
        <v>2030</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4860</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400</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-20000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10000</v>
      </c>
      <c r="AY4" s="144"/>
      <c r="AZ4" s="61" t="b">
        <f>IF(TblProd[[#This Row],[Set Guard]]&lt;&gt;"",TblProd[[#This Row],[Set Guard]],FALSE)</f>
        <v>0</v>
      </c>
      <c r="BA4" s="155"/>
      <c r="BB4" s="45">
        <f>TblProd[[#This Row],[Hour]]</f>
        <v>1</v>
      </c>
      <c r="BC4" s="160">
        <f>-TblProd[[#This Row],[Bank Lumber]] / 2 + -TblProd[[#This Row],[Bank Gems]] * 2 + -TblProd[[#This Row],[Bank Ore]] / 2</f>
        <v>20000</v>
      </c>
      <c r="BD4" s="160"/>
      <c r="BE4" s="160"/>
      <c r="BF4" s="160">
        <v>-10000</v>
      </c>
      <c r="BG4" s="161">
        <f>TblProd[[#This Row],[Time]]</f>
        <v>45732</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45732.041666666664</v>
      </c>
      <c r="C5" s="155"/>
      <c r="D5" s="156"/>
      <c r="E5" s="96">
        <f ca="1">TblConstr[[#This Row],[Land]]</f>
        <v>250</v>
      </c>
      <c r="F5" s="96">
        <f ca="1">TblPop[[#This Row],[Peasants]]</f>
        <v>1326</v>
      </c>
      <c r="G5" s="96">
        <f ca="1">TblMili[[#This Row],[Networth (2)]]</f>
        <v>6450</v>
      </c>
      <c r="H5" s="96">
        <f ca="1">OFFSET(TblProd[[#This Row],[Platinum]],-1,0)+OFFSET(TblProd[[#This Row],[Plat/hr]],-1,0) - TblProd[[#This Row],[Expenses Platinum]] + IF(TblProd[[#This Row],[Plat Bonus]],TblPop[[#This Row],[Peasants]]*4) + SUM(TblConstr[[#This Row],[Dest Hom]:[Dest Doc]])*TblConstr[[#This Row],[CPA Platinum -DB]]*tech_3_3_2*TblTech[[#This Row],[3-3]]</f>
        <v>124860</v>
      </c>
      <c r="I5" s="96">
        <f ca="1">OFFSET(TblProd[[#This Row],[Food]],-1,0)+OFFSET(TblProd[[#This Row],[Food/hr]],-1,0)+ROUNDUP((TblConstr[[#This Row],[Farms]]*80+TblConstr[[#This Row],[Docks]]*35)*(1+OFFSET(TblProd[[#This Row],[Bonus Food/hr]],-1,0)),0)</f>
        <v>17030</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4930</v>
      </c>
      <c r="T5" s="96">
        <f ca="1">ROUND(TblProd[[#This Row],[Raw Food/hr]]*(1+TblProd[[#This Row],[Bonus Food/hr]])-TblProd[[#This Row],[Food decay]]-TblProd[[#This Row],[Food eaten]],0)</f>
        <v>2000</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4930.2000000000007</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170.3</v>
      </c>
      <c r="AP5" s="96">
        <f ca="1">(1+race_food_consumption)*TblPop[[#This Row],[Total]]*food_per_person*(1+tech_1_10*TblTech[[#This Row],[1-10]]+tech_7_5*TblTech[[#This Row],[7-5]] + IF(TblMagic[[#This Row],[Active Demonic Pact]]&gt;0,demonic_pact_food_cons,0))</f>
        <v>409.75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45732.041666666664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124860</v>
      </c>
      <c r="BJ5" s="96">
        <f ca="1">TblProd[[#This Row],[Food]]</f>
        <v>17030</v>
      </c>
      <c r="BK5" s="96">
        <f ca="1">TblProd[[#This Row],[Lumber]]</f>
        <v>15850</v>
      </c>
      <c r="BL5" s="96">
        <f ca="1">TblProd[[#This Row],[Mana]]</f>
        <v>0</v>
      </c>
      <c r="BM5" s="96">
        <f ca="1">TblProd[[#This Row],[Ore]]</f>
        <v>0</v>
      </c>
    </row>
    <row r="6" spans="1:65" x14ac:dyDescent="0.2">
      <c r="A6" s="139">
        <v>3</v>
      </c>
      <c r="B6" s="154">
        <f ca="1">TblImps[[#This Row],[Time]]</f>
        <v>45732.083333333328</v>
      </c>
      <c r="C6" s="155"/>
      <c r="D6" s="156"/>
      <c r="E6" s="96">
        <f ca="1">TblConstr[[#This Row],[Land]]</f>
        <v>250</v>
      </c>
      <c r="F6" s="96">
        <f ca="1">TblPop[[#This Row],[Peasants]]</f>
        <v>1352</v>
      </c>
      <c r="G6" s="96">
        <f ca="1">TblMili[[#This Row],[Networth (2)]]</f>
        <v>6450</v>
      </c>
      <c r="H6" s="96">
        <f ca="1">OFFSET(TblProd[[#This Row],[Platinum]],-1,0)+OFFSET(TblProd[[#This Row],[Plat/hr]],-1,0) - TblProd[[#This Row],[Expenses Platinum]] + IF(TblProd[[#This Row],[Plat Bonus]],TblPop[[#This Row],[Peasants]]*4) + SUM(TblConstr[[#This Row],[Dest Hom]:[Dest Doc]])*TblConstr[[#This Row],[CPA Platinum -DB]]*tech_3_3_2*TblTech[[#This Row],[3-3]]</f>
        <v>129790</v>
      </c>
      <c r="I6" s="96">
        <f ca="1">OFFSET(TblProd[[#This Row],[Food]],-1,0)+OFFSET(TblProd[[#This Row],[Food/hr]],-1,0)+ROUNDUP((TblConstr[[#This Row],[Farms]]*80+TblConstr[[#This Row],[Docks]]*35)*(1+OFFSET(TblProd[[#This Row],[Bonus Food/hr]],-1,0)),0)</f>
        <v>19030</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5000</v>
      </c>
      <c r="T6" s="96">
        <f ca="1">ROUND(TblProd[[#This Row],[Raw Food/hr]]*(1+TblProd[[#This Row],[Bonus Food/hr]])-TblProd[[#This Row],[Food decay]]-TblProd[[#This Row],[Food eaten]],0)</f>
        <v>1970</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5000.3999999999996</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190.3</v>
      </c>
      <c r="AP6" s="96">
        <f ca="1">(1+race_food_consumption)*TblPop[[#This Row],[Total]]*food_per_person*(1+tech_1_10*TblTech[[#This Row],[1-10]]+tech_7_5*TblTech[[#This Row],[7-5]] + IF(TblMagic[[#This Row],[Active Demonic Pact]]&gt;0,demonic_pact_food_cons,0))</f>
        <v>419.5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45732.083333333328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129790</v>
      </c>
      <c r="BJ6" s="96">
        <f ca="1">TblProd[[#This Row],[Food]]</f>
        <v>19030</v>
      </c>
      <c r="BK6" s="96">
        <f ca="1">TblProd[[#This Row],[Lumber]]</f>
        <v>16692</v>
      </c>
      <c r="BL6" s="96">
        <f ca="1">TblProd[[#This Row],[Mana]]</f>
        <v>0</v>
      </c>
      <c r="BM6" s="96">
        <f ca="1">TblProd[[#This Row],[Ore]]</f>
        <v>0</v>
      </c>
    </row>
    <row r="7" spans="1:65" x14ac:dyDescent="0.2">
      <c r="A7" s="139">
        <v>4</v>
      </c>
      <c r="B7" s="154">
        <f ca="1">TblImps[[#This Row],[Time]]</f>
        <v>45732.124999999993</v>
      </c>
      <c r="C7" s="155"/>
      <c r="D7" s="156"/>
      <c r="E7" s="96">
        <f ca="1">TblConstr[[#This Row],[Land]]</f>
        <v>250</v>
      </c>
      <c r="F7" s="96">
        <f ca="1">TblPop[[#This Row],[Peasants]]</f>
        <v>1378</v>
      </c>
      <c r="G7" s="96">
        <f ca="1">TblMili[[#This Row],[Networth (2)]]</f>
        <v>6450</v>
      </c>
      <c r="H7" s="96">
        <f ca="1">OFFSET(TblProd[[#This Row],[Platinum]],-1,0)+OFFSET(TblProd[[#This Row],[Plat/hr]],-1,0) - TblProd[[#This Row],[Expenses Platinum]] + IF(TblProd[[#This Row],[Plat Bonus]],TblPop[[#This Row],[Peasants]]*4) + SUM(TblConstr[[#This Row],[Dest Hom]:[Dest Doc]])*TblConstr[[#This Row],[CPA Platinum -DB]]*tech_3_3_2*TblTech[[#This Row],[3-3]]</f>
        <v>134790</v>
      </c>
      <c r="I7" s="96">
        <f ca="1">OFFSET(TblProd[[#This Row],[Food]],-1,0)+OFFSET(TblProd[[#This Row],[Food/hr]],-1,0)+ROUNDUP((TblConstr[[#This Row],[Farms]]*80+TblConstr[[#This Row],[Docks]]*35)*(1+OFFSET(TblProd[[#This Row],[Bonus Food/hr]],-1,0)),0)</f>
        <v>21000</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5070</v>
      </c>
      <c r="T7" s="96">
        <f ca="1">ROUND(TblProd[[#This Row],[Raw Food/hr]]*(1+TblProd[[#This Row],[Bonus Food/hr]])-TblProd[[#This Row],[Food decay]]-TblProd[[#This Row],[Food eaten]],0)</f>
        <v>1941</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5070.6000000000004</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210</v>
      </c>
      <c r="AP7" s="96">
        <f ca="1">(1+race_food_consumption)*TblPop[[#This Row],[Total]]*food_per_person*(1+tech_1_10*TblTech[[#This Row],[1-10]]+tech_7_5*TblTech[[#This Row],[7-5]] + IF(TblMagic[[#This Row],[Active Demonic Pact]]&gt;0,demonic_pact_food_cons,0))</f>
        <v>429.5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45732.124999999993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134790</v>
      </c>
      <c r="BJ7" s="96">
        <f ca="1">TblProd[[#This Row],[Food]]</f>
        <v>21000</v>
      </c>
      <c r="BK7" s="96">
        <f ca="1">TblProd[[#This Row],[Lumber]]</f>
        <v>17525</v>
      </c>
      <c r="BL7" s="96">
        <f ca="1">TblProd[[#This Row],[Mana]]</f>
        <v>0</v>
      </c>
      <c r="BM7" s="96">
        <f ca="1">TblProd[[#This Row],[Ore]]</f>
        <v>0</v>
      </c>
    </row>
    <row r="8" spans="1:65" x14ac:dyDescent="0.2">
      <c r="A8" s="139">
        <v>5</v>
      </c>
      <c r="B8" s="154">
        <f ca="1">TblImps[[#This Row],[Time]]</f>
        <v>45732.166666666657</v>
      </c>
      <c r="C8" s="155"/>
      <c r="D8" s="156"/>
      <c r="E8" s="96">
        <f ca="1">TblConstr[[#This Row],[Land]]</f>
        <v>250</v>
      </c>
      <c r="F8" s="96">
        <f ca="1">TblPop[[#This Row],[Peasants]]</f>
        <v>1405</v>
      </c>
      <c r="G8" s="96">
        <f ca="1">TblMili[[#This Row],[Networth (2)]]</f>
        <v>6450</v>
      </c>
      <c r="H8" s="96">
        <f ca="1">OFFSET(TblProd[[#This Row],[Platinum]],-1,0)+OFFSET(TblProd[[#This Row],[Plat/hr]],-1,0) - TblProd[[#This Row],[Expenses Platinum]] + IF(TblProd[[#This Row],[Plat Bonus]],TblPop[[#This Row],[Peasants]]*4) + SUM(TblConstr[[#This Row],[Dest Hom]:[Dest Doc]])*TblConstr[[#This Row],[CPA Platinum -DB]]*tech_3_3_2*TblTech[[#This Row],[3-3]]</f>
        <v>139860</v>
      </c>
      <c r="I8" s="96">
        <f ca="1">OFFSET(TblProd[[#This Row],[Food]],-1,0)+OFFSET(TblProd[[#This Row],[Food/hr]],-1,0)+ROUNDUP((TblConstr[[#This Row],[Farms]]*80+TblConstr[[#This Row],[Docks]]*35)*(1+OFFSET(TblProd[[#This Row],[Bonus Food/hr]],-1,0)),0)</f>
        <v>22941</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5143</v>
      </c>
      <c r="T8" s="96">
        <f ca="1">ROUND(TblProd[[#This Row],[Raw Food/hr]]*(1+TblProd[[#This Row],[Bonus Food/hr]])-TblProd[[#This Row],[Food decay]]-TblProd[[#This Row],[Food eaten]],0)</f>
        <v>1911</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5143.5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229.41</v>
      </c>
      <c r="AP8" s="96">
        <f ca="1">(1+race_food_consumption)*TblPop[[#This Row],[Total]]*food_per_person*(1+tech_1_10*TblTech[[#This Row],[1-10]]+tech_7_5*TblTech[[#This Row],[7-5]] + IF(TblMagic[[#This Row],[Active Demonic Pact]]&gt;0,demonic_pact_food_cons,0))</f>
        <v>439.75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45732.166666666657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139860</v>
      </c>
      <c r="BJ8" s="96">
        <f ca="1">TblProd[[#This Row],[Food]]</f>
        <v>22941</v>
      </c>
      <c r="BK8" s="96">
        <f ca="1">TblProd[[#This Row],[Lumber]]</f>
        <v>18350</v>
      </c>
      <c r="BL8" s="96">
        <f ca="1">TblProd[[#This Row],[Mana]]</f>
        <v>0</v>
      </c>
      <c r="BM8" s="96">
        <f ca="1">TblProd[[#This Row],[Ore]]</f>
        <v>0</v>
      </c>
    </row>
    <row r="9" spans="1:65" x14ac:dyDescent="0.2">
      <c r="A9" s="139">
        <v>6</v>
      </c>
      <c r="B9" s="154">
        <f ca="1">TblImps[[#This Row],[Time]]</f>
        <v>45732.208333333321</v>
      </c>
      <c r="C9" s="155"/>
      <c r="D9" s="156"/>
      <c r="E9" s="96">
        <f ca="1">TblConstr[[#This Row],[Land]]</f>
        <v>250</v>
      </c>
      <c r="F9" s="96">
        <f ca="1">TblPop[[#This Row],[Peasants]]</f>
        <v>1433</v>
      </c>
      <c r="G9" s="96">
        <f ca="1">TblMili[[#This Row],[Networth (2)]]</f>
        <v>6450</v>
      </c>
      <c r="H9" s="96">
        <f ca="1">OFFSET(TblProd[[#This Row],[Platinum]],-1,0)+OFFSET(TblProd[[#This Row],[Plat/hr]],-1,0) - TblProd[[#This Row],[Expenses Platinum]] + IF(TblProd[[#This Row],[Plat Bonus]],TblPop[[#This Row],[Peasants]]*4) + SUM(TblConstr[[#This Row],[Dest Hom]:[Dest Doc]])*TblConstr[[#This Row],[CPA Platinum -DB]]*tech_3_3_2*TblTech[[#This Row],[3-3]]</f>
        <v>145003</v>
      </c>
      <c r="I9" s="96">
        <f ca="1">OFFSET(TblProd[[#This Row],[Food]],-1,0)+OFFSET(TblProd[[#This Row],[Food/hr]],-1,0)+ROUNDUP((TblConstr[[#This Row],[Farms]]*80+TblConstr[[#This Row],[Docks]]*35)*(1+OFFSET(TblProd[[#This Row],[Bonus Food/hr]],-1,0)),0)</f>
        <v>24852</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5219</v>
      </c>
      <c r="T9" s="96">
        <f ca="1">ROUND(TblProd[[#This Row],[Raw Food/hr]]*(1+TblProd[[#This Row],[Bonus Food/hr]])-TblProd[[#This Row],[Food decay]]-TblProd[[#This Row],[Food eaten]],0)</f>
        <v>1881</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5219.1000000000004</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248.52</v>
      </c>
      <c r="AP9" s="96">
        <f ca="1">(1+race_food_consumption)*TblPop[[#This Row],[Total]]*food_per_person*(1+tech_1_10*TblTech[[#This Row],[1-10]]+tech_7_5*TblTech[[#This Row],[7-5]] + IF(TblMagic[[#This Row],[Active Demonic Pact]]&gt;0,demonic_pact_food_cons,0))</f>
        <v>450.25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45732.208333333321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145003</v>
      </c>
      <c r="BJ9" s="96">
        <f ca="1">TblProd[[#This Row],[Food]]</f>
        <v>24852</v>
      </c>
      <c r="BK9" s="96">
        <f ca="1">TblProd[[#This Row],[Lumber]]</f>
        <v>19167</v>
      </c>
      <c r="BL9" s="96">
        <f ca="1">TblProd[[#This Row],[Mana]]</f>
        <v>0</v>
      </c>
      <c r="BM9" s="96">
        <f ca="1">TblProd[[#This Row],[Ore]]</f>
        <v>0</v>
      </c>
    </row>
    <row r="10" spans="1:65" x14ac:dyDescent="0.2">
      <c r="A10" s="139">
        <v>7</v>
      </c>
      <c r="B10" s="154">
        <f ca="1">TblImps[[#This Row],[Time]]</f>
        <v>45732.249999999985</v>
      </c>
      <c r="C10" s="155"/>
      <c r="D10" s="156"/>
      <c r="E10" s="96">
        <f ca="1">TblConstr[[#This Row],[Land]]</f>
        <v>250</v>
      </c>
      <c r="F10" s="96">
        <f ca="1">TblPop[[#This Row],[Peasants]]</f>
        <v>1462</v>
      </c>
      <c r="G10" s="96">
        <f ca="1">TblMili[[#This Row],[Networth (2)]]</f>
        <v>6450</v>
      </c>
      <c r="H10" s="96">
        <f ca="1">OFFSET(TblProd[[#This Row],[Platinum]],-1,0)+OFFSET(TblProd[[#This Row],[Plat/hr]],-1,0) - TblProd[[#This Row],[Expenses Platinum]] + IF(TblProd[[#This Row],[Plat Bonus]],TblPop[[#This Row],[Peasants]]*4) + SUM(TblConstr[[#This Row],[Dest Hom]:[Dest Doc]])*TblConstr[[#This Row],[CPA Platinum -DB]]*tech_3_3_2*TblTech[[#This Row],[3-3]]</f>
        <v>150222</v>
      </c>
      <c r="I10" s="96">
        <f ca="1">OFFSET(TblProd[[#This Row],[Food]],-1,0)+OFFSET(TblProd[[#This Row],[Food/hr]],-1,0)+ROUNDUP((TblConstr[[#This Row],[Farms]]*80+TblConstr[[#This Row],[Docks]]*35)*(1+OFFSET(TblProd[[#This Row],[Bonus Food/hr]],-1,0)),0)</f>
        <v>26733</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5297</v>
      </c>
      <c r="T10" s="96">
        <f ca="1">ROUND(TblProd[[#This Row],[Raw Food/hr]]*(1+TblProd[[#This Row],[Bonus Food/hr]])-TblProd[[#This Row],[Food decay]]-TblProd[[#This Row],[Food eaten]],0)</f>
        <v>1852</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5297.4</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267.33</v>
      </c>
      <c r="AP10" s="96">
        <f ca="1">(1+race_food_consumption)*TblPop[[#This Row],[Total]]*food_per_person*(1+tech_1_10*TblTech[[#This Row],[1-10]]+tech_7_5*TblTech[[#This Row],[7-5]] + IF(TblMagic[[#This Row],[Active Demonic Pact]]&gt;0,demonic_pact_food_cons,0))</f>
        <v>461</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45732.249999999985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150222</v>
      </c>
      <c r="BJ10" s="96">
        <f ca="1">TblProd[[#This Row],[Food]]</f>
        <v>26733</v>
      </c>
      <c r="BK10" s="96">
        <f ca="1">TblProd[[#This Row],[Lumber]]</f>
        <v>19975</v>
      </c>
      <c r="BL10" s="96">
        <f ca="1">TblProd[[#This Row],[Mana]]</f>
        <v>0</v>
      </c>
      <c r="BM10" s="96">
        <f ca="1">TblProd[[#This Row],[Ore]]</f>
        <v>0</v>
      </c>
    </row>
    <row r="11" spans="1:65" x14ac:dyDescent="0.2">
      <c r="A11" s="139">
        <v>8</v>
      </c>
      <c r="B11" s="154">
        <f ca="1">TblImps[[#This Row],[Time]]</f>
        <v>45732.29166666665</v>
      </c>
      <c r="C11" s="155"/>
      <c r="D11" s="156"/>
      <c r="E11" s="96">
        <f ca="1">TblConstr[[#This Row],[Land]]</f>
        <v>250</v>
      </c>
      <c r="F11" s="96">
        <f ca="1">TblPop[[#This Row],[Peasants]]</f>
        <v>1490</v>
      </c>
      <c r="G11" s="96">
        <f ca="1">TblMili[[#This Row],[Networth (2)]]</f>
        <v>6450</v>
      </c>
      <c r="H11" s="96">
        <f ca="1">OFFSET(TblProd[[#This Row],[Platinum]],-1,0)+OFFSET(TblProd[[#This Row],[Plat/hr]],-1,0) - TblProd[[#This Row],[Expenses Platinum]] + IF(TblProd[[#This Row],[Plat Bonus]],TblPop[[#This Row],[Peasants]]*4) + SUM(TblConstr[[#This Row],[Dest Hom]:[Dest Doc]])*TblConstr[[#This Row],[CPA Platinum -DB]]*tech_3_3_2*TblTech[[#This Row],[3-3]]</f>
        <v>155519</v>
      </c>
      <c r="I11" s="96">
        <f ca="1">OFFSET(TblProd[[#This Row],[Food]],-1,0)+OFFSET(TblProd[[#This Row],[Food/hr]],-1,0)+ROUNDUP((TblConstr[[#This Row],[Farms]]*80+TblConstr[[#This Row],[Docks]]*35)*(1+OFFSET(TblProd[[#This Row],[Bonus Food/hr]],-1,0)),0)</f>
        <v>28585</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5373</v>
      </c>
      <c r="T11" s="96">
        <f ca="1">ROUND(TblProd[[#This Row],[Raw Food/hr]]*(1+TblProd[[#This Row],[Bonus Food/hr]])-TblProd[[#This Row],[Food decay]]-TblProd[[#This Row],[Food eaten]],0)</f>
        <v>1822</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5373</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285.85000000000002</v>
      </c>
      <c r="AP11" s="96">
        <f ca="1">(1+race_food_consumption)*TblPop[[#This Row],[Total]]*food_per_person*(1+tech_1_10*TblTech[[#This Row],[1-10]]+tech_7_5*TblTech[[#This Row],[7-5]] + IF(TblMagic[[#This Row],[Active Demonic Pact]]&gt;0,demonic_pact_food_cons,0))</f>
        <v>471.75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45732.29166666665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155519</v>
      </c>
      <c r="BJ11" s="96">
        <f ca="1">TblProd[[#This Row],[Food]]</f>
        <v>28585</v>
      </c>
      <c r="BK11" s="96">
        <f ca="1">TblProd[[#This Row],[Lumber]]</f>
        <v>20775</v>
      </c>
      <c r="BL11" s="96">
        <f ca="1">TblProd[[#This Row],[Mana]]</f>
        <v>0</v>
      </c>
      <c r="BM11" s="96">
        <f ca="1">TblProd[[#This Row],[Ore]]</f>
        <v>0</v>
      </c>
    </row>
    <row r="12" spans="1:65" x14ac:dyDescent="0.2">
      <c r="A12" s="139">
        <v>9</v>
      </c>
      <c r="B12" s="154">
        <f ca="1">TblImps[[#This Row],[Time]]</f>
        <v>45732.333333333314</v>
      </c>
      <c r="C12" s="155"/>
      <c r="D12" s="156"/>
      <c r="E12" s="96">
        <f ca="1">TblConstr[[#This Row],[Land]]</f>
        <v>250</v>
      </c>
      <c r="F12" s="96">
        <f ca="1">TblPop[[#This Row],[Peasants]]</f>
        <v>1519</v>
      </c>
      <c r="G12" s="96">
        <f ca="1">TblMili[[#This Row],[Networth (2)]]</f>
        <v>6450</v>
      </c>
      <c r="H12" s="96">
        <f ca="1">OFFSET(TblProd[[#This Row],[Platinum]],-1,0)+OFFSET(TblProd[[#This Row],[Plat/hr]],-1,0) - TblProd[[#This Row],[Expenses Platinum]] + IF(TblProd[[#This Row],[Plat Bonus]],TblPop[[#This Row],[Peasants]]*4) + SUM(TblConstr[[#This Row],[Dest Hom]:[Dest Doc]])*TblConstr[[#This Row],[CPA Platinum -DB]]*tech_3_3_2*TblTech[[#This Row],[3-3]]</f>
        <v>160892</v>
      </c>
      <c r="I12" s="96">
        <f ca="1">OFFSET(TblProd[[#This Row],[Food]],-1,0)+OFFSET(TblProd[[#This Row],[Food/hr]],-1,0)+ROUNDUP((TblConstr[[#This Row],[Farms]]*80+TblConstr[[#This Row],[Docks]]*35)*(1+OFFSET(TblProd[[#This Row],[Bonus Food/hr]],-1,0)),0)</f>
        <v>30407</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5451</v>
      </c>
      <c r="T12" s="96">
        <f ca="1">ROUND(TblProd[[#This Row],[Raw Food/hr]]*(1+TblProd[[#This Row],[Bonus Food/hr]])-TblProd[[#This Row],[Food decay]]-TblProd[[#This Row],[Food eaten]],0)</f>
        <v>1793</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5451.3</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304.07</v>
      </c>
      <c r="AP12" s="96">
        <f ca="1">(1+race_food_consumption)*TblPop[[#This Row],[Total]]*food_per_person*(1+tech_1_10*TblTech[[#This Row],[1-10]]+tech_7_5*TblTech[[#This Row],[7-5]] + IF(TblMagic[[#This Row],[Active Demonic Pact]]&gt;0,demonic_pact_food_cons,0))</f>
        <v>482.75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45732.333333333314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160892</v>
      </c>
      <c r="BJ12" s="96">
        <f ca="1">TblProd[[#This Row],[Food]]</f>
        <v>30407</v>
      </c>
      <c r="BK12" s="96">
        <f ca="1">TblProd[[#This Row],[Lumber]]</f>
        <v>21567</v>
      </c>
      <c r="BL12" s="96">
        <f ca="1">TblProd[[#This Row],[Mana]]</f>
        <v>0</v>
      </c>
      <c r="BM12" s="96">
        <f ca="1">TblProd[[#This Row],[Ore]]</f>
        <v>0</v>
      </c>
    </row>
    <row r="13" spans="1:65" x14ac:dyDescent="0.2">
      <c r="A13" s="139">
        <v>10</v>
      </c>
      <c r="B13" s="154">
        <f ca="1">TblImps[[#This Row],[Time]]</f>
        <v>45732.374999999978</v>
      </c>
      <c r="C13" s="155"/>
      <c r="D13" s="156"/>
      <c r="E13" s="96">
        <f ca="1">TblConstr[[#This Row],[Land]]</f>
        <v>250</v>
      </c>
      <c r="F13" s="96">
        <f ca="1">TblPop[[#This Row],[Peasants]]</f>
        <v>1549</v>
      </c>
      <c r="G13" s="96">
        <f ca="1">TblMili[[#This Row],[Networth (2)]]</f>
        <v>6450</v>
      </c>
      <c r="H13" s="96">
        <f ca="1">OFFSET(TblProd[[#This Row],[Platinum]],-1,0)+OFFSET(TblProd[[#This Row],[Plat/hr]],-1,0) - TblProd[[#This Row],[Expenses Platinum]] + IF(TblProd[[#This Row],[Plat Bonus]],TblPop[[#This Row],[Peasants]]*4) + SUM(TblConstr[[#This Row],[Dest Hom]:[Dest Doc]])*TblConstr[[#This Row],[CPA Platinum -DB]]*tech_3_3_2*TblTech[[#This Row],[3-3]]</f>
        <v>166343</v>
      </c>
      <c r="I13" s="96">
        <f ca="1">OFFSET(TblProd[[#This Row],[Food]],-1,0)+OFFSET(TblProd[[#This Row],[Food/hr]],-1,0)+ROUNDUP((TblConstr[[#This Row],[Farms]]*80+TblConstr[[#This Row],[Docks]]*35)*(1+OFFSET(TblProd[[#This Row],[Bonus Food/hr]],-1,0)),0)</f>
        <v>32200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5532</v>
      </c>
      <c r="T13" s="96">
        <f ca="1">ROUND(TblProd[[#This Row],[Raw Food/hr]]*(1+TblProd[[#This Row],[Bonus Food/hr]])-TblProd[[#This Row],[Food decay]]-TblProd[[#This Row],[Food eaten]],0)</f>
        <v>1764</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5532.3</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322</v>
      </c>
      <c r="AP13" s="96">
        <f ca="1">(1+race_food_consumption)*TblPop[[#This Row],[Total]]*food_per_person*(1+tech_1_10*TblTech[[#This Row],[1-10]]+tech_7_5*TblTech[[#This Row],[7-5]] + IF(TblMagic[[#This Row],[Active Demonic Pact]]&gt;0,demonic_pact_food_cons,0))</f>
        <v>494</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45732.374999999978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166343</v>
      </c>
      <c r="BJ13" s="96">
        <f ca="1">TblProd[[#This Row],[Food]]</f>
        <v>32200</v>
      </c>
      <c r="BK13" s="96">
        <f ca="1">TblProd[[#This Row],[Lumber]]</f>
        <v>22351</v>
      </c>
      <c r="BL13" s="96">
        <f ca="1">TblProd[[#This Row],[Mana]]</f>
        <v>0</v>
      </c>
      <c r="BM13" s="96">
        <f ca="1">TblProd[[#This Row],[Ore]]</f>
        <v>0</v>
      </c>
    </row>
    <row r="14" spans="1:65" x14ac:dyDescent="0.2">
      <c r="A14" s="139">
        <v>11</v>
      </c>
      <c r="B14" s="154">
        <f ca="1">TblImps[[#This Row],[Time]]</f>
        <v>45732.416666666642</v>
      </c>
      <c r="C14" s="155"/>
      <c r="D14" s="156"/>
      <c r="E14" s="96">
        <f ca="1">TblConstr[[#This Row],[Land]]</f>
        <v>250</v>
      </c>
      <c r="F14" s="96">
        <f ca="1">TblPop[[#This Row],[Peasants]]</f>
        <v>1580</v>
      </c>
      <c r="G14" s="96">
        <f ca="1">TblMili[[#This Row],[Networth (2)]]</f>
        <v>6450</v>
      </c>
      <c r="H14" s="96">
        <f ca="1">OFFSET(TblProd[[#This Row],[Platinum]],-1,0)+OFFSET(TblProd[[#This Row],[Plat/hr]],-1,0) - TblProd[[#This Row],[Expenses Platinum]] + IF(TblProd[[#This Row],[Plat Bonus]],TblPop[[#This Row],[Peasants]]*4) + SUM(TblConstr[[#This Row],[Dest Hom]:[Dest Doc]])*TblConstr[[#This Row],[CPA Platinum -DB]]*tech_3_3_2*TblTech[[#This Row],[3-3]]</f>
        <v>171875</v>
      </c>
      <c r="I14" s="96">
        <f ca="1">OFFSET(TblProd[[#This Row],[Food]],-1,0)+OFFSET(TblProd[[#This Row],[Food/hr]],-1,0)+ROUNDUP((TblConstr[[#This Row],[Farms]]*80+TblConstr[[#This Row],[Docks]]*35)*(1+OFFSET(TblProd[[#This Row],[Bonus Food/hr]],-1,0)),0)</f>
        <v>33964</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5616</v>
      </c>
      <c r="T14" s="96">
        <f ca="1">ROUND(TblProd[[#This Row],[Raw Food/hr]]*(1+TblProd[[#This Row],[Bonus Food/hr]])-TblProd[[#This Row],[Food decay]]-TblProd[[#This Row],[Food eaten]],0)</f>
        <v>1735</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5616</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339.64</v>
      </c>
      <c r="AP14" s="96">
        <f ca="1">(1+race_food_consumption)*TblPop[[#This Row],[Total]]*food_per_person*(1+tech_1_10*TblTech[[#This Row],[1-10]]+tech_7_5*TblTech[[#This Row],[7-5]] + IF(TblMagic[[#This Row],[Active Demonic Pact]]&gt;0,demonic_pact_food_cons,0))</f>
        <v>505.5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45732.416666666642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171875</v>
      </c>
      <c r="BJ14" s="96">
        <f ca="1">TblProd[[#This Row],[Food]]</f>
        <v>33964</v>
      </c>
      <c r="BK14" s="96">
        <f ca="1">TblProd[[#This Row],[Lumber]]</f>
        <v>23127</v>
      </c>
      <c r="BL14" s="96">
        <f ca="1">TblProd[[#This Row],[Mana]]</f>
        <v>0</v>
      </c>
      <c r="BM14" s="96">
        <f ca="1">TblProd[[#This Row],[Ore]]</f>
        <v>0</v>
      </c>
    </row>
    <row r="15" spans="1:65" x14ac:dyDescent="0.2">
      <c r="A15" s="139">
        <v>12</v>
      </c>
      <c r="B15" s="154">
        <f ca="1">TblImps[[#This Row],[Time]]</f>
        <v>45732.458333333307</v>
      </c>
      <c r="C15" s="155"/>
      <c r="D15" s="156"/>
      <c r="E15" s="96">
        <f ca="1">TblConstr[[#This Row],[Land]]</f>
        <v>250</v>
      </c>
      <c r="F15" s="96">
        <f ca="1">TblPop[[#This Row],[Peasants]]</f>
        <v>1611</v>
      </c>
      <c r="G15" s="96">
        <f ca="1">TblMili[[#This Row],[Networth (2)]]</f>
        <v>6450</v>
      </c>
      <c r="H15" s="96">
        <f ca="1">OFFSET(TblProd[[#This Row],[Platinum]],-1,0)+OFFSET(TblProd[[#This Row],[Plat/hr]],-1,0) - TblProd[[#This Row],[Expenses Platinum]] + IF(TblProd[[#This Row],[Plat Bonus]],TblPop[[#This Row],[Peasants]]*4) + SUM(TblConstr[[#This Row],[Dest Hom]:[Dest Doc]])*TblConstr[[#This Row],[CPA Platinum -DB]]*tech_3_3_2*TblTech[[#This Row],[3-3]]</f>
        <v>177491</v>
      </c>
      <c r="I15" s="96">
        <f ca="1">OFFSET(TblProd[[#This Row],[Food]],-1,0)+OFFSET(TblProd[[#This Row],[Food/hr]],-1,0)+ROUNDUP((TblConstr[[#This Row],[Farms]]*80+TblConstr[[#This Row],[Docks]]*35)*(1+OFFSET(TblProd[[#This Row],[Bonus Food/hr]],-1,0)),0)</f>
        <v>35699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5670</v>
      </c>
      <c r="T15" s="96">
        <f ca="1">ROUND(TblProd[[#This Row],[Raw Food/hr]]*(1+TblProd[[#This Row],[Bonus Food/hr]])-TblProd[[#This Row],[Food decay]]-TblProd[[#This Row],[Food eaten]],0)</f>
        <v>1706</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5670.0000000000009</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356.99</v>
      </c>
      <c r="AP15" s="96">
        <f ca="1">(1+race_food_consumption)*TblPop[[#This Row],[Total]]*food_per_person*(1+tech_1_10*TblTech[[#This Row],[1-10]]+tech_7_5*TblTech[[#This Row],[7-5]] + IF(TblMagic[[#This Row],[Active Demonic Pact]]&gt;0,demonic_pact_food_cons,0))</f>
        <v>517.25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45732.458333333307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177491</v>
      </c>
      <c r="BJ15" s="96">
        <f ca="1">TblProd[[#This Row],[Food]]</f>
        <v>35699</v>
      </c>
      <c r="BK15" s="96">
        <f ca="1">TblProd[[#This Row],[Lumber]]</f>
        <v>23896</v>
      </c>
      <c r="BL15" s="96">
        <f ca="1">TblProd[[#This Row],[Mana]]</f>
        <v>0</v>
      </c>
      <c r="BM15" s="96">
        <f ca="1">TblProd[[#This Row],[Ore]]</f>
        <v>0</v>
      </c>
    </row>
    <row r="16" spans="1:65" x14ac:dyDescent="0.2">
      <c r="A16" s="139">
        <v>13</v>
      </c>
      <c r="B16" s="154">
        <f ca="1">TblImps[[#This Row],[Time]]</f>
        <v>45732.499999999971</v>
      </c>
      <c r="C16" s="155"/>
      <c r="D16" s="156"/>
      <c r="E16" s="96">
        <f ca="1">TblConstr[[#This Row],[Land]]</f>
        <v>250</v>
      </c>
      <c r="F16" s="96">
        <f ca="1">TblPop[[#This Row],[Peasants]]</f>
        <v>1643</v>
      </c>
      <c r="G16" s="96">
        <f ca="1">TblMili[[#This Row],[Networth (2)]]</f>
        <v>6450</v>
      </c>
      <c r="H16" s="96">
        <f ca="1">OFFSET(TblProd[[#This Row],[Platinum]],-1,0)+OFFSET(TblProd[[#This Row],[Plat/hr]],-1,0) - TblProd[[#This Row],[Expenses Platinum]] + IF(TblProd[[#This Row],[Plat Bonus]],TblPop[[#This Row],[Peasants]]*4) + SUM(TblConstr[[#This Row],[Dest Hom]:[Dest Doc]])*TblConstr[[#This Row],[CPA Platinum -DB]]*tech_3_3_2*TblTech[[#This Row],[3-3]]</f>
        <v>183161</v>
      </c>
      <c r="I16" s="96">
        <f ca="1">OFFSET(TblProd[[#This Row],[Food]],-1,0)+OFFSET(TblProd[[#This Row],[Food/hr]],-1,0)+ROUNDUP((TblConstr[[#This Row],[Farms]]*80+TblConstr[[#This Row],[Docks]]*35)*(1+OFFSET(TblProd[[#This Row],[Bonus Food/hr]],-1,0)),0)</f>
        <v>37405</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5670</v>
      </c>
      <c r="T16" s="96">
        <f ca="1">ROUND(TblProd[[#This Row],[Raw Food/hr]]*(1+TblProd[[#This Row],[Bonus Food/hr]])-TblProd[[#This Row],[Food decay]]-TblProd[[#This Row],[Food eaten]],0)</f>
        <v>1677</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5670</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374.05</v>
      </c>
      <c r="AP16" s="96">
        <f ca="1">(1+race_food_consumption)*TblPop[[#This Row],[Total]]*food_per_person*(1+tech_1_10*TblTech[[#This Row],[1-10]]+tech_7_5*TblTech[[#This Row],[7-5]] + IF(TblMagic[[#This Row],[Active Demonic Pact]]&gt;0,demonic_pact_food_cons,0))</f>
        <v>529.25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45732.499999999971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183161</v>
      </c>
      <c r="BJ16" s="96">
        <f ca="1">TblProd[[#This Row],[Food]]</f>
        <v>37405</v>
      </c>
      <c r="BK16" s="96">
        <f ca="1">TblProd[[#This Row],[Lumber]]</f>
        <v>24657</v>
      </c>
      <c r="BL16" s="96">
        <f ca="1">TblProd[[#This Row],[Mana]]</f>
        <v>0</v>
      </c>
      <c r="BM16" s="96">
        <f ca="1">TblProd[[#This Row],[Ore]]</f>
        <v>0</v>
      </c>
    </row>
    <row r="17" spans="1:65" x14ac:dyDescent="0.2">
      <c r="A17" s="139">
        <v>14</v>
      </c>
      <c r="B17" s="154">
        <f ca="1">TblImps[[#This Row],[Time]]</f>
        <v>45732.541666666635</v>
      </c>
      <c r="C17" s="155"/>
      <c r="D17" s="156"/>
      <c r="E17" s="96">
        <f ca="1">TblConstr[[#This Row],[Land]]</f>
        <v>250</v>
      </c>
      <c r="F17" s="96">
        <f ca="1">TblPop[[#This Row],[Peasants]]</f>
        <v>1676</v>
      </c>
      <c r="G17" s="96">
        <f ca="1">TblMili[[#This Row],[Networth (2)]]</f>
        <v>6450</v>
      </c>
      <c r="H17" s="96">
        <f ca="1">OFFSET(TblProd[[#This Row],[Platinum]],-1,0)+OFFSET(TblProd[[#This Row],[Plat/hr]],-1,0) - TblProd[[#This Row],[Expenses Platinum]] + IF(TblProd[[#This Row],[Plat Bonus]],TblPop[[#This Row],[Peasants]]*4) + SUM(TblConstr[[#This Row],[Dest Hom]:[Dest Doc]])*TblConstr[[#This Row],[CPA Platinum -DB]]*tech_3_3_2*TblTech[[#This Row],[3-3]]</f>
        <v>188831</v>
      </c>
      <c r="I17" s="96">
        <f ca="1">OFFSET(TblProd[[#This Row],[Food]],-1,0)+OFFSET(TblProd[[#This Row],[Food/hr]],-1,0)+ROUNDUP((TblConstr[[#This Row],[Farms]]*80+TblConstr[[#This Row],[Docks]]*35)*(1+OFFSET(TblProd[[#This Row],[Bonus Food/hr]],-1,0)),0)</f>
        <v>39082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5670</v>
      </c>
      <c r="T17" s="96">
        <f ca="1">ROUND(TblProd[[#This Row],[Raw Food/hr]]*(1+TblProd[[#This Row],[Bonus Food/hr]])-TblProd[[#This Row],[Food decay]]-TblProd[[#This Row],[Food eaten]],0)</f>
        <v>1648</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5670</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390.82</v>
      </c>
      <c r="AP17" s="96">
        <f ca="1">(1+race_food_consumption)*TblPop[[#This Row],[Total]]*food_per_person*(1+tech_1_10*TblTech[[#This Row],[1-10]]+tech_7_5*TblTech[[#This Row],[7-5]] + IF(TblMagic[[#This Row],[Active Demonic Pact]]&gt;0,demonic_pact_food_cons,0))</f>
        <v>541.5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45732.541666666635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188831</v>
      </c>
      <c r="BJ17" s="96">
        <f ca="1">TblProd[[#This Row],[Food]]</f>
        <v>39082</v>
      </c>
      <c r="BK17" s="96">
        <f ca="1">TblProd[[#This Row],[Lumber]]</f>
        <v>25410</v>
      </c>
      <c r="BL17" s="96">
        <f ca="1">TblProd[[#This Row],[Mana]]</f>
        <v>0</v>
      </c>
      <c r="BM17" s="96">
        <f ca="1">TblProd[[#This Row],[Ore]]</f>
        <v>0</v>
      </c>
    </row>
    <row r="18" spans="1:65" x14ac:dyDescent="0.2">
      <c r="A18" s="139">
        <v>15</v>
      </c>
      <c r="B18" s="154">
        <f ca="1">TblImps[[#This Row],[Time]]</f>
        <v>45732.583333333299</v>
      </c>
      <c r="C18" s="155"/>
      <c r="D18" s="156"/>
      <c r="E18" s="96">
        <f ca="1">TblConstr[[#This Row],[Land]]</f>
        <v>250</v>
      </c>
      <c r="F18" s="96">
        <f ca="1">TblPop[[#This Row],[Peasants]]</f>
        <v>1709</v>
      </c>
      <c r="G18" s="96">
        <f ca="1">TblMili[[#This Row],[Networth (2)]]</f>
        <v>6450</v>
      </c>
      <c r="H18" s="96">
        <f ca="1">OFFSET(TblProd[[#This Row],[Platinum]],-1,0)+OFFSET(TblProd[[#This Row],[Plat/hr]],-1,0) - TblProd[[#This Row],[Expenses Platinum]] + IF(TblProd[[#This Row],[Plat Bonus]],TblPop[[#This Row],[Peasants]]*4) + SUM(TblConstr[[#This Row],[Dest Hom]:[Dest Doc]])*TblConstr[[#This Row],[CPA Platinum -DB]]*tech_3_3_2*TblTech[[#This Row],[3-3]]</f>
        <v>194501</v>
      </c>
      <c r="I18" s="96">
        <f ca="1">OFFSET(TblProd[[#This Row],[Food]],-1,0)+OFFSET(TblProd[[#This Row],[Food/hr]],-1,0)+ROUNDUP((TblConstr[[#This Row],[Farms]]*80+TblConstr[[#This Row],[Docks]]*35)*(1+OFFSET(TblProd[[#This Row],[Bonus Food/hr]],-1,0)),0)</f>
        <v>40730</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5670</v>
      </c>
      <c r="T18" s="96">
        <f ca="1">ROUND(TblProd[[#This Row],[Raw Food/hr]]*(1+TblProd[[#This Row],[Bonus Food/hr]])-TblProd[[#This Row],[Food decay]]-TblProd[[#This Row],[Food eaten]],0)</f>
        <v>1619</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5670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407.3</v>
      </c>
      <c r="AP18" s="96">
        <f ca="1">(1+race_food_consumption)*TblPop[[#This Row],[Total]]*food_per_person*(1+tech_1_10*TblTech[[#This Row],[1-10]]+tech_7_5*TblTech[[#This Row],[7-5]] + IF(TblMagic[[#This Row],[Active Demonic Pact]]&gt;0,demonic_pact_food_cons,0))</f>
        <v>554</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45732.583333333299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194501</v>
      </c>
      <c r="BJ18" s="96">
        <f ca="1">TblProd[[#This Row],[Food]]</f>
        <v>40730</v>
      </c>
      <c r="BK18" s="96">
        <f ca="1">TblProd[[#This Row],[Lumber]]</f>
        <v>26156</v>
      </c>
      <c r="BL18" s="96">
        <f ca="1">TblProd[[#This Row],[Mana]]</f>
        <v>0</v>
      </c>
      <c r="BM18" s="96">
        <f ca="1">TblProd[[#This Row],[Ore]]</f>
        <v>0</v>
      </c>
    </row>
    <row r="19" spans="1:65" x14ac:dyDescent="0.2">
      <c r="A19" s="139">
        <v>16</v>
      </c>
      <c r="B19" s="154">
        <f ca="1">TblImps[[#This Row],[Time]]</f>
        <v>45732.624999999964</v>
      </c>
      <c r="C19" s="155"/>
      <c r="D19" s="156"/>
      <c r="E19" s="96">
        <f ca="1">TblConstr[[#This Row],[Land]]</f>
        <v>250</v>
      </c>
      <c r="F19" s="96">
        <f ca="1">TblPop[[#This Row],[Peasants]]</f>
        <v>1743</v>
      </c>
      <c r="G19" s="96">
        <f ca="1">TblMili[[#This Row],[Networth (2)]]</f>
        <v>6450</v>
      </c>
      <c r="H19" s="96">
        <f ca="1">OFFSET(TblProd[[#This Row],[Platinum]],-1,0)+OFFSET(TblProd[[#This Row],[Plat/hr]],-1,0) - TblProd[[#This Row],[Expenses Platinum]] + IF(TblProd[[#This Row],[Plat Bonus]],TblPop[[#This Row],[Peasants]]*4) + SUM(TblConstr[[#This Row],[Dest Hom]:[Dest Doc]])*TblConstr[[#This Row],[CPA Platinum -DB]]*tech_3_3_2*TblTech[[#This Row],[3-3]]</f>
        <v>200171</v>
      </c>
      <c r="I19" s="96">
        <f ca="1">OFFSET(TblProd[[#This Row],[Food]],-1,0)+OFFSET(TblProd[[#This Row],[Food/hr]],-1,0)+ROUNDUP((TblConstr[[#This Row],[Farms]]*80+TblConstr[[#This Row],[Docks]]*35)*(1+OFFSET(TblProd[[#This Row],[Bonus Food/hr]],-1,0)),0)</f>
        <v>42349</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5670</v>
      </c>
      <c r="T19" s="96">
        <f ca="1">ROUND(TblProd[[#This Row],[Raw Food/hr]]*(1+TblProd[[#This Row],[Bonus Food/hr]])-TblProd[[#This Row],[Food decay]]-TblProd[[#This Row],[Food eaten]],0)</f>
        <v>1590</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5670.0000000000009</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423.49</v>
      </c>
      <c r="AP19" s="96">
        <f ca="1">(1+race_food_consumption)*TblPop[[#This Row],[Total]]*food_per_person*(1+tech_1_10*TblTech[[#This Row],[1-10]]+tech_7_5*TblTech[[#This Row],[7-5]] + IF(TblMagic[[#This Row],[Active Demonic Pact]]&gt;0,demonic_pact_food_cons,0))</f>
        <v>566.75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45732.624999999964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200171</v>
      </c>
      <c r="BJ19" s="96">
        <f ca="1">TblProd[[#This Row],[Food]]</f>
        <v>42349</v>
      </c>
      <c r="BK19" s="96">
        <f ca="1">TblProd[[#This Row],[Lumber]]</f>
        <v>26894</v>
      </c>
      <c r="BL19" s="96">
        <f ca="1">TblProd[[#This Row],[Mana]]</f>
        <v>0</v>
      </c>
      <c r="BM19" s="96">
        <f ca="1">TblProd[[#This Row],[Ore]]</f>
        <v>0</v>
      </c>
    </row>
    <row r="20" spans="1:65" x14ac:dyDescent="0.2">
      <c r="A20" s="139">
        <v>17</v>
      </c>
      <c r="B20" s="154">
        <f ca="1">TblImps[[#This Row],[Time]]</f>
        <v>45732.666666666628</v>
      </c>
      <c r="C20" s="155"/>
      <c r="D20" s="156"/>
      <c r="E20" s="96">
        <f ca="1">TblConstr[[#This Row],[Land]]</f>
        <v>250</v>
      </c>
      <c r="F20" s="96">
        <f ca="1">TblPop[[#This Row],[Peasants]]</f>
        <v>1778</v>
      </c>
      <c r="G20" s="96">
        <f ca="1">TblMili[[#This Row],[Networth (2)]]</f>
        <v>6450</v>
      </c>
      <c r="H20" s="96">
        <f ca="1">OFFSET(TblProd[[#This Row],[Platinum]],-1,0)+OFFSET(TblProd[[#This Row],[Plat/hr]],-1,0) - TblProd[[#This Row],[Expenses Platinum]] + IF(TblProd[[#This Row],[Plat Bonus]],TblPop[[#This Row],[Peasants]]*4) + SUM(TblConstr[[#This Row],[Dest Hom]:[Dest Doc]])*TblConstr[[#This Row],[CPA Platinum -DB]]*tech_3_3_2*TblTech[[#This Row],[3-3]]</f>
        <v>205841</v>
      </c>
      <c r="I20" s="96">
        <f ca="1">OFFSET(TblProd[[#This Row],[Food]],-1,0)+OFFSET(TblProd[[#This Row],[Food/hr]],-1,0)+ROUNDUP((TblConstr[[#This Row],[Farms]]*80+TblConstr[[#This Row],[Docks]]*35)*(1+OFFSET(TblProd[[#This Row],[Bonus Food/hr]],-1,0)),0)</f>
        <v>43939</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5670</v>
      </c>
      <c r="T20" s="96">
        <f ca="1">ROUND(TblProd[[#This Row],[Raw Food/hr]]*(1+TblProd[[#This Row],[Bonus Food/hr]])-TblProd[[#This Row],[Food decay]]-TblProd[[#This Row],[Food eaten]],0)</f>
        <v>1561</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5670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439.39</v>
      </c>
      <c r="AP20" s="96">
        <f ca="1">(1+race_food_consumption)*TblPop[[#This Row],[Total]]*food_per_person*(1+tech_1_10*TblTech[[#This Row],[1-10]]+tech_7_5*TblTech[[#This Row],[7-5]] + IF(TblMagic[[#This Row],[Active Demonic Pact]]&gt;0,demonic_pact_food_cons,0))</f>
        <v>579.75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45732.666666666628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205841</v>
      </c>
      <c r="BJ20" s="96">
        <f ca="1">TblProd[[#This Row],[Food]]</f>
        <v>43939</v>
      </c>
      <c r="BK20" s="96">
        <f ca="1">TblProd[[#This Row],[Lumber]]</f>
        <v>27625</v>
      </c>
      <c r="BL20" s="96">
        <f ca="1">TblProd[[#This Row],[Mana]]</f>
        <v>0</v>
      </c>
      <c r="BM20" s="96">
        <f ca="1">TblProd[[#This Row],[Ore]]</f>
        <v>0</v>
      </c>
    </row>
    <row r="21" spans="1:65" x14ac:dyDescent="0.2">
      <c r="A21" s="139">
        <v>18</v>
      </c>
      <c r="B21" s="154">
        <f ca="1">TblImps[[#This Row],[Time]]</f>
        <v>45732.708333333292</v>
      </c>
      <c r="C21" s="155"/>
      <c r="D21" s="156"/>
      <c r="E21" s="96">
        <f ca="1">TblConstr[[#This Row],[Land]]</f>
        <v>250</v>
      </c>
      <c r="F21" s="96">
        <f ca="1">TblPop[[#This Row],[Peasants]]</f>
        <v>1799</v>
      </c>
      <c r="G21" s="96">
        <f ca="1">TblMili[[#This Row],[Networth (2)]]</f>
        <v>6450</v>
      </c>
      <c r="H21" s="96">
        <f ca="1">OFFSET(TblProd[[#This Row],[Platinum]],-1,0)+OFFSET(TblProd[[#This Row],[Plat/hr]],-1,0) - TblProd[[#This Row],[Expenses Platinum]] + IF(TblProd[[#This Row],[Plat Bonus]],TblPop[[#This Row],[Peasants]]*4) + SUM(TblConstr[[#This Row],[Dest Hom]:[Dest Doc]])*TblConstr[[#This Row],[CPA Platinum -DB]]*tech_3_3_2*TblTech[[#This Row],[3-3]]</f>
        <v>211511</v>
      </c>
      <c r="I21" s="96">
        <f ca="1">OFFSET(TblProd[[#This Row],[Food]],-1,0)+OFFSET(TblProd[[#This Row],[Food/hr]],-1,0)+ROUNDUP((TblConstr[[#This Row],[Farms]]*80+TblConstr[[#This Row],[Docks]]*35)*(1+OFFSET(TblProd[[#This Row],[Bonus Food/hr]],-1,0)),0)</f>
        <v>45500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5670</v>
      </c>
      <c r="T21" s="96">
        <f ca="1">ROUND(TblProd[[#This Row],[Raw Food/hr]]*(1+TblProd[[#This Row],[Bonus Food/hr]])-TblProd[[#This Row],[Food decay]]-TblProd[[#This Row],[Food eaten]],0)</f>
        <v>1536</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5670</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455</v>
      </c>
      <c r="AP21" s="96">
        <f ca="1">(1+race_food_consumption)*TblPop[[#This Row],[Total]]*food_per_person*(1+tech_1_10*TblTech[[#This Row],[1-10]]+tech_7_5*TblTech[[#This Row],[7-5]] + IF(TblMagic[[#This Row],[Active Demonic Pact]]&gt;0,demonic_pact_food_cons,0))</f>
        <v>589.5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45732.708333333292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211511</v>
      </c>
      <c r="BJ21" s="96">
        <f ca="1">TblProd[[#This Row],[Food]]</f>
        <v>45500</v>
      </c>
      <c r="BK21" s="96">
        <f ca="1">TblProd[[#This Row],[Lumber]]</f>
        <v>28349</v>
      </c>
      <c r="BL21" s="96">
        <f ca="1">TblProd[[#This Row],[Mana]]</f>
        <v>0</v>
      </c>
      <c r="BM21" s="96">
        <f ca="1">TblProd[[#This Row],[Ore]]</f>
        <v>0</v>
      </c>
    </row>
    <row r="22" spans="1:65" x14ac:dyDescent="0.2">
      <c r="A22" s="139">
        <v>19</v>
      </c>
      <c r="B22" s="154">
        <f ca="1">TblImps[[#This Row],[Time]]</f>
        <v>45732.749999999956</v>
      </c>
      <c r="C22" s="155"/>
      <c r="D22" s="156"/>
      <c r="E22" s="96">
        <f ca="1">TblConstr[[#This Row],[Land]]</f>
        <v>250</v>
      </c>
      <c r="F22" s="96">
        <f ca="1">TblPop[[#This Row],[Peasants]]</f>
        <v>1781</v>
      </c>
      <c r="G22" s="96">
        <f ca="1">TblMili[[#This Row],[Networth (2)]]</f>
        <v>6450</v>
      </c>
      <c r="H22" s="96">
        <f ca="1">OFFSET(TblProd[[#This Row],[Platinum]],-1,0)+OFFSET(TblProd[[#This Row],[Plat/hr]],-1,0) - TblProd[[#This Row],[Expenses Platinum]] + IF(TblProd[[#This Row],[Plat Bonus]],TblPop[[#This Row],[Peasants]]*4) + SUM(TblConstr[[#This Row],[Dest Hom]:[Dest Doc]])*TblConstr[[#This Row],[CPA Platinum -DB]]*tech_3_3_2*TblTech[[#This Row],[3-3]]</f>
        <v>217181</v>
      </c>
      <c r="I22" s="96">
        <f ca="1">OFFSET(TblProd[[#This Row],[Food]],-1,0)+OFFSET(TblProd[[#This Row],[Food/hr]],-1,0)+ROUNDUP((TblConstr[[#This Row],[Farms]]*80+TblConstr[[#This Row],[Docks]]*35)*(1+OFFSET(TblProd[[#This Row],[Bonus Food/hr]],-1,0)),0)</f>
        <v>47036</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5670</v>
      </c>
      <c r="T22" s="96">
        <f ca="1">ROUND(TblProd[[#This Row],[Raw Food/hr]]*(1+TblProd[[#This Row],[Bonus Food/hr]])-TblProd[[#This Row],[Food decay]]-TblProd[[#This Row],[Food eaten]],0)</f>
        <v>1520</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5670.0000000000009</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470.36</v>
      </c>
      <c r="AP22" s="96">
        <f ca="1">(1+race_food_consumption)*TblPop[[#This Row],[Total]]*food_per_person*(1+tech_1_10*TblTech[[#This Row],[1-10]]+tech_7_5*TblTech[[#This Row],[7-5]] + IF(TblMagic[[#This Row],[Active Demonic Pact]]&gt;0,demonic_pact_food_cons,0))</f>
        <v>589.5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45732.749999999956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217181</v>
      </c>
      <c r="BJ22" s="96">
        <f ca="1">TblProd[[#This Row],[Food]]</f>
        <v>47036</v>
      </c>
      <c r="BK22" s="96">
        <f ca="1">TblProd[[#This Row],[Lumber]]</f>
        <v>29066</v>
      </c>
      <c r="BL22" s="96">
        <f ca="1">TblProd[[#This Row],[Mana]]</f>
        <v>0</v>
      </c>
      <c r="BM22" s="96">
        <f ca="1">TblProd[[#This Row],[Ore]]</f>
        <v>0</v>
      </c>
    </row>
    <row r="23" spans="1:65" x14ac:dyDescent="0.2">
      <c r="A23" s="139">
        <v>20</v>
      </c>
      <c r="B23" s="154">
        <f ca="1">TblImps[[#This Row],[Time]]</f>
        <v>45732.791666666621</v>
      </c>
      <c r="C23" s="155"/>
      <c r="D23" s="156"/>
      <c r="E23" s="96">
        <f ca="1">TblConstr[[#This Row],[Land]]</f>
        <v>250</v>
      </c>
      <c r="F23" s="96">
        <f ca="1">TblPop[[#This Row],[Peasants]]</f>
        <v>1763</v>
      </c>
      <c r="G23" s="96">
        <f ca="1">TblMili[[#This Row],[Networth (2)]]</f>
        <v>6450</v>
      </c>
      <c r="H23" s="96">
        <f ca="1">OFFSET(TblProd[[#This Row],[Platinum]],-1,0)+OFFSET(TblProd[[#This Row],[Plat/hr]],-1,0) - TblProd[[#This Row],[Expenses Platinum]] + IF(TblProd[[#This Row],[Plat Bonus]],TblPop[[#This Row],[Peasants]]*4) + SUM(TblConstr[[#This Row],[Dest Hom]:[Dest Doc]])*TblConstr[[#This Row],[CPA Platinum -DB]]*tech_3_3_2*TblTech[[#This Row],[3-3]]</f>
        <v>222851</v>
      </c>
      <c r="I23" s="96">
        <f ca="1">OFFSET(TblProd[[#This Row],[Food]],-1,0)+OFFSET(TblProd[[#This Row],[Food/hr]],-1,0)+ROUNDUP((TblConstr[[#This Row],[Farms]]*80+TblConstr[[#This Row],[Docks]]*35)*(1+OFFSET(TblProd[[#This Row],[Bonus Food/hr]],-1,0)),0)</f>
        <v>48556</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5670</v>
      </c>
      <c r="T23" s="96">
        <f ca="1">ROUND(TblProd[[#This Row],[Raw Food/hr]]*(1+TblProd[[#This Row],[Bonus Food/hr]])-TblProd[[#This Row],[Food decay]]-TblProd[[#This Row],[Food eaten]],0)</f>
        <v>1505</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5670.0000000000009</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485.56</v>
      </c>
      <c r="AP23" s="96">
        <f ca="1">(1+race_food_consumption)*TblPop[[#This Row],[Total]]*food_per_person*(1+tech_1_10*TblTech[[#This Row],[1-10]]+tech_7_5*TblTech[[#This Row],[7-5]] + IF(TblMagic[[#This Row],[Active Demonic Pact]]&gt;0,demonic_pact_food_cons,0))</f>
        <v>589.5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45732.791666666621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222851</v>
      </c>
      <c r="BJ23" s="96">
        <f ca="1">TblProd[[#This Row],[Food]]</f>
        <v>48556</v>
      </c>
      <c r="BK23" s="96">
        <f ca="1">TblProd[[#This Row],[Lumber]]</f>
        <v>29775</v>
      </c>
      <c r="BL23" s="96">
        <f ca="1">TblProd[[#This Row],[Mana]]</f>
        <v>0</v>
      </c>
      <c r="BM23" s="96">
        <f ca="1">TblProd[[#This Row],[Ore]]</f>
        <v>0</v>
      </c>
    </row>
    <row r="24" spans="1:65" x14ac:dyDescent="0.2">
      <c r="A24" s="139">
        <v>21</v>
      </c>
      <c r="B24" s="154">
        <f ca="1">TblImps[[#This Row],[Time]]</f>
        <v>45732.833333333285</v>
      </c>
      <c r="C24" s="155"/>
      <c r="D24" s="156"/>
      <c r="E24" s="96">
        <f ca="1">TblConstr[[#This Row],[Land]]</f>
        <v>250</v>
      </c>
      <c r="F24" s="96">
        <f ca="1">TblPop[[#This Row],[Peasants]]</f>
        <v>1745</v>
      </c>
      <c r="G24" s="96">
        <f ca="1">TblMili[[#This Row],[Networth (2)]]</f>
        <v>6450</v>
      </c>
      <c r="H24" s="96">
        <f ca="1">OFFSET(TblProd[[#This Row],[Platinum]],-1,0)+OFFSET(TblProd[[#This Row],[Plat/hr]],-1,0) - TblProd[[#This Row],[Expenses Platinum]] + IF(TblProd[[#This Row],[Plat Bonus]],TblPop[[#This Row],[Peasants]]*4) + SUM(TblConstr[[#This Row],[Dest Hom]:[Dest Doc]])*TblConstr[[#This Row],[CPA Platinum -DB]]*tech_3_3_2*TblTech[[#This Row],[3-3]]</f>
        <v>228521</v>
      </c>
      <c r="I24" s="96">
        <f ca="1">OFFSET(TblProd[[#This Row],[Food]],-1,0)+OFFSET(TblProd[[#This Row],[Food/hr]],-1,0)+ROUNDUP((TblConstr[[#This Row],[Farms]]*80+TblConstr[[#This Row],[Docks]]*35)*(1+OFFSET(TblProd[[#This Row],[Bonus Food/hr]],-1,0)),0)</f>
        <v>50061</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5670</v>
      </c>
      <c r="T24" s="96">
        <f ca="1">ROUND(TblProd[[#This Row],[Raw Food/hr]]*(1+TblProd[[#This Row],[Bonus Food/hr]])-TblProd[[#This Row],[Food decay]]-TblProd[[#This Row],[Food eaten]],0)</f>
        <v>1490</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5670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500.61</v>
      </c>
      <c r="AP24" s="96">
        <f ca="1">(1+race_food_consumption)*TblPop[[#This Row],[Total]]*food_per_person*(1+tech_1_10*TblTech[[#This Row],[1-10]]+tech_7_5*TblTech[[#This Row],[7-5]] + IF(TblMagic[[#This Row],[Active Demonic Pact]]&gt;0,demonic_pact_food_cons,0))</f>
        <v>589.5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45732.833333333285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228521</v>
      </c>
      <c r="BJ24" s="96">
        <f ca="1">TblProd[[#This Row],[Food]]</f>
        <v>50061</v>
      </c>
      <c r="BK24" s="96">
        <f ca="1">TblProd[[#This Row],[Lumber]]</f>
        <v>30477</v>
      </c>
      <c r="BL24" s="96">
        <f ca="1">TblProd[[#This Row],[Mana]]</f>
        <v>0</v>
      </c>
      <c r="BM24" s="96">
        <f ca="1">TblProd[[#This Row],[Ore]]</f>
        <v>0</v>
      </c>
    </row>
    <row r="25" spans="1:65" x14ac:dyDescent="0.2">
      <c r="A25" s="139">
        <v>22</v>
      </c>
      <c r="B25" s="154">
        <f ca="1">TblImps[[#This Row],[Time]]</f>
        <v>45732.874999999949</v>
      </c>
      <c r="C25" s="155"/>
      <c r="D25" s="156"/>
      <c r="E25" s="96">
        <f ca="1">TblConstr[[#This Row],[Land]]</f>
        <v>250</v>
      </c>
      <c r="F25" s="96">
        <f ca="1">TblPop[[#This Row],[Peasants]]</f>
        <v>1728</v>
      </c>
      <c r="G25" s="96">
        <f ca="1">TblMili[[#This Row],[Networth (2)]]</f>
        <v>6450</v>
      </c>
      <c r="H25" s="96">
        <f ca="1">OFFSET(TblProd[[#This Row],[Platinum]],-1,0)+OFFSET(TblProd[[#This Row],[Plat/hr]],-1,0) - TblProd[[#This Row],[Expenses Platinum]] + IF(TblProd[[#This Row],[Plat Bonus]],TblPop[[#This Row],[Peasants]]*4) + SUM(TblConstr[[#This Row],[Dest Hom]:[Dest Doc]])*TblConstr[[#This Row],[CPA Platinum -DB]]*tech_3_3_2*TblTech[[#This Row],[3-3]]</f>
        <v>234191</v>
      </c>
      <c r="I25" s="96">
        <f ca="1">OFFSET(TblProd[[#This Row],[Food]],-1,0)+OFFSET(TblProd[[#This Row],[Food/hr]],-1,0)+ROUNDUP((TblConstr[[#This Row],[Farms]]*80+TblConstr[[#This Row],[Docks]]*35)*(1+OFFSET(TblProd[[#This Row],[Bonus Food/hr]],-1,0)),0)</f>
        <v>51551</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5670</v>
      </c>
      <c r="T25" s="96">
        <f ca="1">ROUND(TblProd[[#This Row],[Raw Food/hr]]*(1+TblProd[[#This Row],[Bonus Food/hr]])-TblProd[[#This Row],[Food decay]]-TblProd[[#This Row],[Food eaten]],0)</f>
        <v>1475</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5670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515.51</v>
      </c>
      <c r="AP25" s="96">
        <f ca="1">(1+race_food_consumption)*TblPop[[#This Row],[Total]]*food_per_person*(1+tech_1_10*TblTech[[#This Row],[1-10]]+tech_7_5*TblTech[[#This Row],[7-5]] + IF(TblMagic[[#This Row],[Active Demonic Pact]]&gt;0,demonic_pact_food_cons,0))</f>
        <v>589.5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45732.874999999949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234191</v>
      </c>
      <c r="BJ25" s="96">
        <f ca="1">TblProd[[#This Row],[Food]]</f>
        <v>51551</v>
      </c>
      <c r="BK25" s="96">
        <f ca="1">TblProd[[#This Row],[Lumber]]</f>
        <v>31172</v>
      </c>
      <c r="BL25" s="96">
        <f ca="1">TblProd[[#This Row],[Mana]]</f>
        <v>0</v>
      </c>
      <c r="BM25" s="96">
        <f ca="1">TblProd[[#This Row],[Ore]]</f>
        <v>0</v>
      </c>
    </row>
    <row r="26" spans="1:65" x14ac:dyDescent="0.2">
      <c r="A26" s="139">
        <v>23</v>
      </c>
      <c r="B26" s="154">
        <f ca="1">TblImps[[#This Row],[Time]]</f>
        <v>45732.916666666613</v>
      </c>
      <c r="C26" s="155"/>
      <c r="D26" s="156"/>
      <c r="E26" s="96">
        <f ca="1">TblConstr[[#This Row],[Land]]</f>
        <v>250</v>
      </c>
      <c r="F26" s="96">
        <f ca="1">TblPop[[#This Row],[Peasants]]</f>
        <v>1711</v>
      </c>
      <c r="G26" s="96">
        <f ca="1">TblMili[[#This Row],[Networth (2)]]</f>
        <v>6450</v>
      </c>
      <c r="H26" s="96">
        <f ca="1">OFFSET(TblProd[[#This Row],[Platinum]],-1,0)+OFFSET(TblProd[[#This Row],[Plat/hr]],-1,0) - TblProd[[#This Row],[Expenses Platinum]] + IF(TblProd[[#This Row],[Plat Bonus]],TblPop[[#This Row],[Peasants]]*4) + SUM(TblConstr[[#This Row],[Dest Hom]:[Dest Doc]])*TblConstr[[#This Row],[CPA Platinum -DB]]*tech_3_3_2*TblTech[[#This Row],[3-3]]</f>
        <v>239861</v>
      </c>
      <c r="I26" s="96">
        <f ca="1">OFFSET(TblProd[[#This Row],[Food]],-1,0)+OFFSET(TblProd[[#This Row],[Food/hr]],-1,0)+ROUNDUP((TblConstr[[#This Row],[Farms]]*80+TblConstr[[#This Row],[Docks]]*35)*(1+OFFSET(TblProd[[#This Row],[Bonus Food/hr]],-1,0)),0)</f>
        <v>53026</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5670</v>
      </c>
      <c r="T26" s="96">
        <f ca="1">ROUND(TblProd[[#This Row],[Raw Food/hr]]*(1+TblProd[[#This Row],[Bonus Food/hr]])-TblProd[[#This Row],[Food decay]]-TblProd[[#This Row],[Food eaten]],0)</f>
        <v>1460</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5670.0000000000009</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530.26</v>
      </c>
      <c r="AP26" s="96">
        <f ca="1">(1+race_food_consumption)*TblPop[[#This Row],[Total]]*food_per_person*(1+tech_1_10*TblTech[[#This Row],[1-10]]+tech_7_5*TblTech[[#This Row],[7-5]] + IF(TblMagic[[#This Row],[Active Demonic Pact]]&gt;0,demonic_pact_food_cons,0))</f>
        <v>589.5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45732.916666666613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239861</v>
      </c>
      <c r="BJ26" s="96">
        <f ca="1">TblProd[[#This Row],[Food]]</f>
        <v>53026</v>
      </c>
      <c r="BK26" s="96">
        <f ca="1">TblProd[[#This Row],[Lumber]]</f>
        <v>31860</v>
      </c>
      <c r="BL26" s="96">
        <f ca="1">TblProd[[#This Row],[Mana]]</f>
        <v>0</v>
      </c>
      <c r="BM26" s="96">
        <f ca="1">TblProd[[#This Row],[Ore]]</f>
        <v>0</v>
      </c>
    </row>
    <row r="27" spans="1:65" x14ac:dyDescent="0.2">
      <c r="A27" s="139">
        <v>24</v>
      </c>
      <c r="B27" s="154">
        <f ca="1">TblImps[[#This Row],[Time]]</f>
        <v>45732.958333333278</v>
      </c>
      <c r="C27" s="155"/>
      <c r="D27" s="156"/>
      <c r="E27" s="96">
        <f ca="1">TblConstr[[#This Row],[Land]]</f>
        <v>250</v>
      </c>
      <c r="F27" s="96">
        <f ca="1">TblPop[[#This Row],[Peasants]]</f>
        <v>1694</v>
      </c>
      <c r="G27" s="96">
        <f ca="1">TblMili[[#This Row],[Networth (2)]]</f>
        <v>6450</v>
      </c>
      <c r="H27" s="96">
        <f ca="1">OFFSET(TblProd[[#This Row],[Platinum]],-1,0)+OFFSET(TblProd[[#This Row],[Plat/hr]],-1,0) - TblProd[[#This Row],[Expenses Platinum]] + IF(TblProd[[#This Row],[Plat Bonus]],TblPop[[#This Row],[Peasants]]*4) + SUM(TblConstr[[#This Row],[Dest Hom]:[Dest Doc]])*TblConstr[[#This Row],[CPA Platinum -DB]]*tech_3_3_2*TblTech[[#This Row],[3-3]]</f>
        <v>245531</v>
      </c>
      <c r="I27" s="96">
        <f ca="1">OFFSET(TblProd[[#This Row],[Food]],-1,0)+OFFSET(TblProd[[#This Row],[Food/hr]],-1,0)+ROUNDUP((TblConstr[[#This Row],[Farms]]*80+TblConstr[[#This Row],[Docks]]*35)*(1+OFFSET(TblProd[[#This Row],[Bonus Food/hr]],-1,0)),0)</f>
        <v>54486</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5670</v>
      </c>
      <c r="T27" s="96">
        <f ca="1">ROUND(TblProd[[#This Row],[Raw Food/hr]]*(1+TblProd[[#This Row],[Bonus Food/hr]])-TblProd[[#This Row],[Food decay]]-TblProd[[#This Row],[Food eaten]],0)</f>
        <v>1446</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5670</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544.86</v>
      </c>
      <c r="AP27" s="96">
        <f ca="1">(1+race_food_consumption)*TblPop[[#This Row],[Total]]*food_per_person*(1+tech_1_10*TblTech[[#This Row],[1-10]]+tech_7_5*TblTech[[#This Row],[7-5]] + IF(TblMagic[[#This Row],[Active Demonic Pact]]&gt;0,demonic_pact_food_cons,0))</f>
        <v>589.5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45732.958333333278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245531</v>
      </c>
      <c r="BJ27" s="96">
        <f ca="1">TblProd[[#This Row],[Food]]</f>
        <v>54486</v>
      </c>
      <c r="BK27" s="96">
        <f ca="1">TblProd[[#This Row],[Lumber]]</f>
        <v>32541</v>
      </c>
      <c r="BL27" s="96">
        <f ca="1">TblProd[[#This Row],[Mana]]</f>
        <v>0</v>
      </c>
      <c r="BM27" s="96">
        <f ca="1">TblProd[[#This Row],[Ore]]</f>
        <v>0</v>
      </c>
    </row>
    <row r="28" spans="1:65" x14ac:dyDescent="0.2">
      <c r="A28" s="139">
        <v>25</v>
      </c>
      <c r="B28" s="154">
        <f ca="1">TblImps[[#This Row],[Time]]</f>
        <v>45732.999999999942</v>
      </c>
      <c r="C28" s="155"/>
      <c r="D28" s="156"/>
      <c r="E28" s="96">
        <f ca="1">TblConstr[[#This Row],[Land]]</f>
        <v>250</v>
      </c>
      <c r="F28" s="96">
        <f ca="1">TblPop[[#This Row],[Peasants]]</f>
        <v>1677</v>
      </c>
      <c r="G28" s="96">
        <f ca="1">TblMili[[#This Row],[Networth (2)]]</f>
        <v>6450</v>
      </c>
      <c r="H28" s="96">
        <f ca="1">OFFSET(TblProd[[#This Row],[Platinum]],-1,0)+OFFSET(TblProd[[#This Row],[Plat/hr]],-1,0) - TblProd[[#This Row],[Expenses Platinum]] + IF(TblProd[[#This Row],[Plat Bonus]],TblPop[[#This Row],[Peasants]]*4) + SUM(TblConstr[[#This Row],[Dest Hom]:[Dest Doc]])*TblConstr[[#This Row],[CPA Platinum -DB]]*tech_3_3_2*TblTech[[#This Row],[3-3]]</f>
        <v>251201</v>
      </c>
      <c r="I28" s="96">
        <f ca="1">OFFSET(TblProd[[#This Row],[Food]],-1,0)+OFFSET(TblProd[[#This Row],[Food/hr]],-1,0)+ROUNDUP((TblConstr[[#This Row],[Farms]]*80+TblConstr[[#This Row],[Docks]]*35)*(1+OFFSET(TblProd[[#This Row],[Bonus Food/hr]],-1,0)),0)</f>
        <v>55932</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5670</v>
      </c>
      <c r="T28" s="96">
        <f ca="1">ROUND(TblProd[[#This Row],[Raw Food/hr]]*(1+TblProd[[#This Row],[Bonus Food/hr]])-TblProd[[#This Row],[Food decay]]-TblProd[[#This Row],[Food eaten]],0)</f>
        <v>1431</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5670.0000000000009</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559.32000000000005</v>
      </c>
      <c r="AP28" s="96">
        <f ca="1">(1+race_food_consumption)*TblPop[[#This Row],[Total]]*food_per_person*(1+tech_1_10*TblTech[[#This Row],[1-10]]+tech_7_5*TblTech[[#This Row],[7-5]] + IF(TblMagic[[#This Row],[Active Demonic Pact]]&gt;0,demonic_pact_food_cons,0))</f>
        <v>589.5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45732.999999999942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251201</v>
      </c>
      <c r="BJ28" s="96">
        <f ca="1">TblProd[[#This Row],[Food]]</f>
        <v>55932</v>
      </c>
      <c r="BK28" s="96">
        <f ca="1">TblProd[[#This Row],[Lumber]]</f>
        <v>33216</v>
      </c>
      <c r="BL28" s="96">
        <f ca="1">TblProd[[#This Row],[Mana]]</f>
        <v>0</v>
      </c>
      <c r="BM28" s="96">
        <f ca="1">TblProd[[#This Row],[Ore]]</f>
        <v>0</v>
      </c>
    </row>
    <row r="29" spans="1:65" x14ac:dyDescent="0.2">
      <c r="A29" s="139">
        <v>26</v>
      </c>
      <c r="B29" s="154">
        <f ca="1">TblImps[[#This Row],[Time]]</f>
        <v>45733.041666666606</v>
      </c>
      <c r="C29" s="155"/>
      <c r="D29" s="156"/>
      <c r="E29" s="96">
        <f ca="1">TblConstr[[#This Row],[Land]]</f>
        <v>250</v>
      </c>
      <c r="F29" s="96">
        <f ca="1">TblPop[[#This Row],[Peasants]]</f>
        <v>1660</v>
      </c>
      <c r="G29" s="96">
        <f ca="1">TblMili[[#This Row],[Networth (2)]]</f>
        <v>6450</v>
      </c>
      <c r="H29" s="96">
        <f ca="1">OFFSET(TblProd[[#This Row],[Platinum]],-1,0)+OFFSET(TblProd[[#This Row],[Plat/hr]],-1,0) - TblProd[[#This Row],[Expenses Platinum]] + IF(TblProd[[#This Row],[Plat Bonus]],TblPop[[#This Row],[Peasants]]*4) + SUM(TblConstr[[#This Row],[Dest Hom]:[Dest Doc]])*TblConstr[[#This Row],[CPA Platinum -DB]]*tech_3_3_2*TblTech[[#This Row],[3-3]]</f>
        <v>256871</v>
      </c>
      <c r="I29" s="96">
        <f ca="1">OFFSET(TblProd[[#This Row],[Food]],-1,0)+OFFSET(TblProd[[#This Row],[Food/hr]],-1,0)+ROUNDUP((TblConstr[[#This Row],[Farms]]*80+TblConstr[[#This Row],[Docks]]*35)*(1+OFFSET(TblProd[[#This Row],[Bonus Food/hr]],-1,0)),0)</f>
        <v>57363</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5670</v>
      </c>
      <c r="T29" s="96">
        <f ca="1">ROUND(TblProd[[#This Row],[Raw Food/hr]]*(1+TblProd[[#This Row],[Bonus Food/hr]])-TblProd[[#This Row],[Food decay]]-TblProd[[#This Row],[Food eaten]],0)</f>
        <v>1417</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5670</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573.63</v>
      </c>
      <c r="AP29" s="96">
        <f ca="1">(1+race_food_consumption)*TblPop[[#This Row],[Total]]*food_per_person*(1+tech_1_10*TblTech[[#This Row],[1-10]]+tech_7_5*TblTech[[#This Row],[7-5]] + IF(TblMagic[[#This Row],[Active Demonic Pact]]&gt;0,demonic_pact_food_cons,0))</f>
        <v>589.5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45733.041666666606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256871</v>
      </c>
      <c r="BJ29" s="96">
        <f ca="1">TblProd[[#This Row],[Food]]</f>
        <v>57363</v>
      </c>
      <c r="BK29" s="96">
        <f ca="1">TblProd[[#This Row],[Lumber]]</f>
        <v>33884</v>
      </c>
      <c r="BL29" s="96">
        <f ca="1">TblProd[[#This Row],[Mana]]</f>
        <v>0</v>
      </c>
      <c r="BM29" s="96">
        <f ca="1">TblProd[[#This Row],[Ore]]</f>
        <v>0</v>
      </c>
    </row>
    <row r="30" spans="1:65" x14ac:dyDescent="0.2">
      <c r="A30" s="139">
        <v>27</v>
      </c>
      <c r="B30" s="154">
        <f ca="1">TblImps[[#This Row],[Time]]</f>
        <v>45733.08333333327</v>
      </c>
      <c r="C30" s="155"/>
      <c r="D30" s="156"/>
      <c r="E30" s="96">
        <f ca="1">TblConstr[[#This Row],[Land]]</f>
        <v>250</v>
      </c>
      <c r="F30" s="96">
        <f ca="1">TblPop[[#This Row],[Peasants]]</f>
        <v>1643</v>
      </c>
      <c r="G30" s="96">
        <f ca="1">TblMili[[#This Row],[Networth (2)]]</f>
        <v>6450</v>
      </c>
      <c r="H30" s="96">
        <f ca="1">OFFSET(TblProd[[#This Row],[Platinum]],-1,0)+OFFSET(TblProd[[#This Row],[Plat/hr]],-1,0) - TblProd[[#This Row],[Expenses Platinum]] + IF(TblProd[[#This Row],[Plat Bonus]],TblPop[[#This Row],[Peasants]]*4) + SUM(TblConstr[[#This Row],[Dest Hom]:[Dest Doc]])*TblConstr[[#This Row],[CPA Platinum -DB]]*tech_3_3_2*TblTech[[#This Row],[3-3]]</f>
        <v>262541</v>
      </c>
      <c r="I30" s="96">
        <f ca="1">OFFSET(TblProd[[#This Row],[Food]],-1,0)+OFFSET(TblProd[[#This Row],[Food/hr]],-1,0)+ROUNDUP((TblConstr[[#This Row],[Farms]]*80+TblConstr[[#This Row],[Docks]]*35)*(1+OFFSET(TblProd[[#This Row],[Bonus Food/hr]],-1,0)),0)</f>
        <v>58780</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5670</v>
      </c>
      <c r="T30" s="96">
        <f ca="1">ROUND(TblProd[[#This Row],[Raw Food/hr]]*(1+TblProd[[#This Row],[Bonus Food/hr]])-TblProd[[#This Row],[Food decay]]-TblProd[[#This Row],[Food eaten]],0)</f>
        <v>1403</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5670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587.80000000000007</v>
      </c>
      <c r="AP30" s="96">
        <f ca="1">(1+race_food_consumption)*TblPop[[#This Row],[Total]]*food_per_person*(1+tech_1_10*TblTech[[#This Row],[1-10]]+tech_7_5*TblTech[[#This Row],[7-5]] + IF(TblMagic[[#This Row],[Active Demonic Pact]]&gt;0,demonic_pact_food_cons,0))</f>
        <v>589.5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45733.08333333327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262541</v>
      </c>
      <c r="BJ30" s="96">
        <f ca="1">TblProd[[#This Row],[Food]]</f>
        <v>58780</v>
      </c>
      <c r="BK30" s="96">
        <f ca="1">TblProd[[#This Row],[Lumber]]</f>
        <v>34545</v>
      </c>
      <c r="BL30" s="96">
        <f ca="1">TblProd[[#This Row],[Mana]]</f>
        <v>0</v>
      </c>
      <c r="BM30" s="96">
        <f ca="1">TblProd[[#This Row],[Ore]]</f>
        <v>0</v>
      </c>
    </row>
    <row r="31" spans="1:65" x14ac:dyDescent="0.2">
      <c r="A31" s="139">
        <v>28</v>
      </c>
      <c r="B31" s="154">
        <f ca="1">TblImps[[#This Row],[Time]]</f>
        <v>45733.124999999935</v>
      </c>
      <c r="C31" s="155"/>
      <c r="D31" s="156"/>
      <c r="E31" s="96">
        <f ca="1">TblConstr[[#This Row],[Land]]</f>
        <v>250</v>
      </c>
      <c r="F31" s="96">
        <f ca="1">TblPop[[#This Row],[Peasants]]</f>
        <v>1627</v>
      </c>
      <c r="G31" s="96">
        <f ca="1">TblMili[[#This Row],[Networth (2)]]</f>
        <v>6450</v>
      </c>
      <c r="H31" s="96">
        <f ca="1">OFFSET(TblProd[[#This Row],[Platinum]],-1,0)+OFFSET(TblProd[[#This Row],[Plat/hr]],-1,0) - TblProd[[#This Row],[Expenses Platinum]] + IF(TblProd[[#This Row],[Plat Bonus]],TblPop[[#This Row],[Peasants]]*4) + SUM(TblConstr[[#This Row],[Dest Hom]:[Dest Doc]])*TblConstr[[#This Row],[CPA Platinum -DB]]*tech_3_3_2*TblTech[[#This Row],[3-3]]</f>
        <v>268211</v>
      </c>
      <c r="I31" s="96">
        <f ca="1">OFFSET(TblProd[[#This Row],[Food]],-1,0)+OFFSET(TblProd[[#This Row],[Food/hr]],-1,0)+ROUNDUP((TblConstr[[#This Row],[Farms]]*80+TblConstr[[#This Row],[Docks]]*35)*(1+OFFSET(TblProd[[#This Row],[Bonus Food/hr]],-1,0)),0)</f>
        <v>60183</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5670</v>
      </c>
      <c r="T31" s="96">
        <f ca="1">ROUND(TblProd[[#This Row],[Raw Food/hr]]*(1+TblProd[[#This Row],[Bonus Food/hr]])-TblProd[[#This Row],[Food decay]]-TblProd[[#This Row],[Food eaten]],0)</f>
        <v>1389</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5670</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601.83000000000004</v>
      </c>
      <c r="AP31" s="96">
        <f ca="1">(1+race_food_consumption)*TblPop[[#This Row],[Total]]*food_per_person*(1+tech_1_10*TblTech[[#This Row],[1-10]]+tech_7_5*TblTech[[#This Row],[7-5]] + IF(TblMagic[[#This Row],[Active Demonic Pact]]&gt;0,demonic_pact_food_cons,0))</f>
        <v>589.5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45733.124999999935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268211</v>
      </c>
      <c r="BJ31" s="96">
        <f ca="1">TblProd[[#This Row],[Food]]</f>
        <v>60183</v>
      </c>
      <c r="BK31" s="96">
        <f ca="1">TblProd[[#This Row],[Lumber]]</f>
        <v>35200</v>
      </c>
      <c r="BL31" s="96">
        <f ca="1">TblProd[[#This Row],[Mana]]</f>
        <v>0</v>
      </c>
      <c r="BM31" s="96">
        <f ca="1">TblProd[[#This Row],[Ore]]</f>
        <v>0</v>
      </c>
    </row>
    <row r="32" spans="1:65" x14ac:dyDescent="0.2">
      <c r="A32" s="139">
        <v>29</v>
      </c>
      <c r="B32" s="154">
        <f ca="1">TblImps[[#This Row],[Time]]</f>
        <v>45733.166666666599</v>
      </c>
      <c r="C32" s="155"/>
      <c r="D32" s="156"/>
      <c r="E32" s="96">
        <f ca="1">TblConstr[[#This Row],[Land]]</f>
        <v>250</v>
      </c>
      <c r="F32" s="96">
        <f ca="1">TblPop[[#This Row],[Peasants]]</f>
        <v>1611</v>
      </c>
      <c r="G32" s="96">
        <f ca="1">TblMili[[#This Row],[Networth (2)]]</f>
        <v>6450</v>
      </c>
      <c r="H32" s="96">
        <f ca="1">OFFSET(TblProd[[#This Row],[Platinum]],-1,0)+OFFSET(TblProd[[#This Row],[Plat/hr]],-1,0) - TblProd[[#This Row],[Expenses Platinum]] + IF(TblProd[[#This Row],[Plat Bonus]],TblPop[[#This Row],[Peasants]]*4) + SUM(TblConstr[[#This Row],[Dest Hom]:[Dest Doc]])*TblConstr[[#This Row],[CPA Platinum -DB]]*tech_3_3_2*TblTech[[#This Row],[3-3]]</f>
        <v>273881</v>
      </c>
      <c r="I32" s="96">
        <f ca="1">OFFSET(TblProd[[#This Row],[Food]],-1,0)+OFFSET(TblProd[[#This Row],[Food/hr]],-1,0)+ROUNDUP((TblConstr[[#This Row],[Farms]]*80+TblConstr[[#This Row],[Docks]]*35)*(1+OFFSET(TblProd[[#This Row],[Bonus Food/hr]],-1,0)),0)</f>
        <v>61572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5670</v>
      </c>
      <c r="T32" s="96">
        <f ca="1">ROUND(TblProd[[#This Row],[Raw Food/hr]]*(1+TblProd[[#This Row],[Bonus Food/hr]])-TblProd[[#This Row],[Food decay]]-TblProd[[#This Row],[Food eaten]],0)</f>
        <v>1375</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5670.0000000000009</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615.72</v>
      </c>
      <c r="AP32" s="96">
        <f ca="1">(1+race_food_consumption)*TblPop[[#This Row],[Total]]*food_per_person*(1+tech_1_10*TblTech[[#This Row],[1-10]]+tech_7_5*TblTech[[#This Row],[7-5]] + IF(TblMagic[[#This Row],[Active Demonic Pact]]&gt;0,demonic_pact_food_cons,0))</f>
        <v>589.5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45733.166666666599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273881</v>
      </c>
      <c r="BJ32" s="96">
        <f ca="1">TblProd[[#This Row],[Food]]</f>
        <v>61572</v>
      </c>
      <c r="BK32" s="96">
        <f ca="1">TblProd[[#This Row],[Lumber]]</f>
        <v>35848</v>
      </c>
      <c r="BL32" s="96">
        <f ca="1">TblProd[[#This Row],[Mana]]</f>
        <v>0</v>
      </c>
      <c r="BM32" s="96">
        <f ca="1">TblProd[[#This Row],[Ore]]</f>
        <v>0</v>
      </c>
    </row>
    <row r="33" spans="1:65" x14ac:dyDescent="0.2">
      <c r="A33" s="139">
        <v>30</v>
      </c>
      <c r="B33" s="154">
        <f ca="1">TblImps[[#This Row],[Time]]</f>
        <v>45733.208333333263</v>
      </c>
      <c r="C33" s="155"/>
      <c r="D33" s="156"/>
      <c r="E33" s="96">
        <f ca="1">TblConstr[[#This Row],[Land]]</f>
        <v>250</v>
      </c>
      <c r="F33" s="96">
        <f ca="1">TblPop[[#This Row],[Peasants]]</f>
        <v>1595</v>
      </c>
      <c r="G33" s="96">
        <f ca="1">TblMili[[#This Row],[Networth (2)]]</f>
        <v>6450</v>
      </c>
      <c r="H33" s="96">
        <f ca="1">OFFSET(TblProd[[#This Row],[Platinum]],-1,0)+OFFSET(TblProd[[#This Row],[Plat/hr]],-1,0) - TblProd[[#This Row],[Expenses Platinum]] + IF(TblProd[[#This Row],[Plat Bonus]],TblPop[[#This Row],[Peasants]]*4) + SUM(TblConstr[[#This Row],[Dest Hom]:[Dest Doc]])*TblConstr[[#This Row],[CPA Platinum -DB]]*tech_3_3_2*TblTech[[#This Row],[3-3]]</f>
        <v>279551</v>
      </c>
      <c r="I33" s="96">
        <f ca="1">OFFSET(TblProd[[#This Row],[Food]],-1,0)+OFFSET(TblProd[[#This Row],[Food/hr]],-1,0)+ROUNDUP((TblConstr[[#This Row],[Farms]]*80+TblConstr[[#This Row],[Docks]]*35)*(1+OFFSET(TblProd[[#This Row],[Bonus Food/hr]],-1,0)),0)</f>
        <v>62947</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5656</v>
      </c>
      <c r="T33" s="96">
        <f ca="1">ROUND(TblProd[[#This Row],[Raw Food/hr]]*(1+TblProd[[#This Row],[Bonus Food/hr]])-TblProd[[#This Row],[Food decay]]-TblProd[[#This Row],[Food eaten]],0)</f>
        <v>1361</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5656.5</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629.47</v>
      </c>
      <c r="AP33" s="96">
        <f ca="1">(1+race_food_consumption)*TblPop[[#This Row],[Total]]*food_per_person*(1+tech_1_10*TblTech[[#This Row],[1-10]]+tech_7_5*TblTech[[#This Row],[7-5]] + IF(TblMagic[[#This Row],[Active Demonic Pact]]&gt;0,demonic_pact_food_cons,0))</f>
        <v>589.5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45733.208333333263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279551</v>
      </c>
      <c r="BJ33" s="96">
        <f ca="1">TblProd[[#This Row],[Food]]</f>
        <v>62947</v>
      </c>
      <c r="BK33" s="96">
        <f ca="1">TblProd[[#This Row],[Lumber]]</f>
        <v>36490</v>
      </c>
      <c r="BL33" s="96">
        <f ca="1">TblProd[[#This Row],[Mana]]</f>
        <v>0</v>
      </c>
      <c r="BM33" s="96">
        <f ca="1">TblProd[[#This Row],[Ore]]</f>
        <v>0</v>
      </c>
    </row>
    <row r="34" spans="1:65" x14ac:dyDescent="0.2">
      <c r="A34" s="139">
        <v>31</v>
      </c>
      <c r="B34" s="154">
        <f ca="1">TblImps[[#This Row],[Time]]</f>
        <v>45733.249999999927</v>
      </c>
      <c r="C34" s="155"/>
      <c r="D34" s="156"/>
      <c r="E34" s="96">
        <f ca="1">TblConstr[[#This Row],[Land]]</f>
        <v>250</v>
      </c>
      <c r="F34" s="96">
        <f ca="1">TblPop[[#This Row],[Peasants]]</f>
        <v>1579</v>
      </c>
      <c r="G34" s="96">
        <f ca="1">TblMili[[#This Row],[Networth (2)]]</f>
        <v>6450</v>
      </c>
      <c r="H34" s="96">
        <f ca="1">OFFSET(TblProd[[#This Row],[Platinum]],-1,0)+OFFSET(TblProd[[#This Row],[Plat/hr]],-1,0) - TblProd[[#This Row],[Expenses Platinum]] + IF(TblProd[[#This Row],[Plat Bonus]],TblPop[[#This Row],[Peasants]]*4) + SUM(TblConstr[[#This Row],[Dest Hom]:[Dest Doc]])*TblConstr[[#This Row],[CPA Platinum -DB]]*tech_3_3_2*TblTech[[#This Row],[3-3]]</f>
        <v>285207</v>
      </c>
      <c r="I34" s="96">
        <f ca="1">OFFSET(TblProd[[#This Row],[Food]],-1,0)+OFFSET(TblProd[[#This Row],[Food/hr]],-1,0)+ROUNDUP((TblConstr[[#This Row],[Farms]]*80+TblConstr[[#This Row],[Docks]]*35)*(1+OFFSET(TblProd[[#This Row],[Bonus Food/hr]],-1,0)),0)</f>
        <v>64308</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5613</v>
      </c>
      <c r="T34" s="96">
        <f ca="1">ROUND(TblProd[[#This Row],[Raw Food/hr]]*(1+TblProd[[#This Row],[Bonus Food/hr]])-TblProd[[#This Row],[Food decay]]-TblProd[[#This Row],[Food eaten]],0)</f>
        <v>1347</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5613.3</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643.08000000000004</v>
      </c>
      <c r="AP34" s="96">
        <f ca="1">(1+race_food_consumption)*TblPop[[#This Row],[Total]]*food_per_person*(1+tech_1_10*TblTech[[#This Row],[1-10]]+tech_7_5*TblTech[[#This Row],[7-5]] + IF(TblMagic[[#This Row],[Active Demonic Pact]]&gt;0,demonic_pact_food_cons,0))</f>
        <v>589.5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45733.249999999927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285207</v>
      </c>
      <c r="BJ34" s="96">
        <f ca="1">TblProd[[#This Row],[Food]]</f>
        <v>64308</v>
      </c>
      <c r="BK34" s="96">
        <f ca="1">TblProd[[#This Row],[Lumber]]</f>
        <v>37125</v>
      </c>
      <c r="BL34" s="96">
        <f ca="1">TblProd[[#This Row],[Mana]]</f>
        <v>0</v>
      </c>
      <c r="BM34" s="96">
        <f ca="1">TblProd[[#This Row],[Ore]]</f>
        <v>0</v>
      </c>
    </row>
    <row r="35" spans="1:65" x14ac:dyDescent="0.2">
      <c r="A35" s="139">
        <v>32</v>
      </c>
      <c r="B35" s="154">
        <f ca="1">TblImps[[#This Row],[Time]]</f>
        <v>45733.291666666591</v>
      </c>
      <c r="C35" s="155"/>
      <c r="D35" s="156"/>
      <c r="E35" s="96">
        <f ca="1">TblConstr[[#This Row],[Land]]</f>
        <v>250</v>
      </c>
      <c r="F35" s="96">
        <f ca="1">TblPop[[#This Row],[Peasants]]</f>
        <v>1563</v>
      </c>
      <c r="G35" s="96">
        <f ca="1">TblMili[[#This Row],[Networth (2)]]</f>
        <v>6450</v>
      </c>
      <c r="H35" s="96">
        <f ca="1">OFFSET(TblProd[[#This Row],[Platinum]],-1,0)+OFFSET(TblProd[[#This Row],[Plat/hr]],-1,0) - TblProd[[#This Row],[Expenses Platinum]] + IF(TblProd[[#This Row],[Plat Bonus]],TblPop[[#This Row],[Peasants]]*4) + SUM(TblConstr[[#This Row],[Dest Hom]:[Dest Doc]])*TblConstr[[#This Row],[CPA Platinum -DB]]*tech_3_3_2*TblTech[[#This Row],[3-3]]</f>
        <v>290820</v>
      </c>
      <c r="I35" s="96">
        <f ca="1">OFFSET(TblProd[[#This Row],[Food]],-1,0)+OFFSET(TblProd[[#This Row],[Food/hr]],-1,0)+ROUNDUP((TblConstr[[#This Row],[Farms]]*80+TblConstr[[#This Row],[Docks]]*35)*(1+OFFSET(TblProd[[#This Row],[Bonus Food/hr]],-1,0)),0)</f>
        <v>65655</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5570</v>
      </c>
      <c r="T35" s="96">
        <f ca="1">ROUND(TblProd[[#This Row],[Raw Food/hr]]*(1+TblProd[[#This Row],[Bonus Food/hr]])-TblProd[[#This Row],[Food decay]]-TblProd[[#This Row],[Food eaten]],0)</f>
        <v>1334</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5570.1</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656.55000000000007</v>
      </c>
      <c r="AP35" s="96">
        <f ca="1">(1+race_food_consumption)*TblPop[[#This Row],[Total]]*food_per_person*(1+tech_1_10*TblTech[[#This Row],[1-10]]+tech_7_5*TblTech[[#This Row],[7-5]] + IF(TblMagic[[#This Row],[Active Demonic Pact]]&gt;0,demonic_pact_food_cons,0))</f>
        <v>589.5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45733.291666666591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290820</v>
      </c>
      <c r="BJ35" s="96">
        <f ca="1">TblProd[[#This Row],[Food]]</f>
        <v>65655</v>
      </c>
      <c r="BK35" s="96">
        <f ca="1">TblProd[[#This Row],[Lumber]]</f>
        <v>37754</v>
      </c>
      <c r="BL35" s="96">
        <f ca="1">TblProd[[#This Row],[Mana]]</f>
        <v>0</v>
      </c>
      <c r="BM35" s="96">
        <f ca="1">TblProd[[#This Row],[Ore]]</f>
        <v>0</v>
      </c>
    </row>
    <row r="36" spans="1:65" x14ac:dyDescent="0.2">
      <c r="A36" s="139">
        <v>33</v>
      </c>
      <c r="B36" s="154">
        <f ca="1">TblImps[[#This Row],[Time]]</f>
        <v>45733.333333333256</v>
      </c>
      <c r="C36" s="155"/>
      <c r="D36" s="156"/>
      <c r="E36" s="96">
        <f ca="1">TblConstr[[#This Row],[Land]]</f>
        <v>250</v>
      </c>
      <c r="F36" s="96">
        <f ca="1">TblPop[[#This Row],[Peasants]]</f>
        <v>1547</v>
      </c>
      <c r="G36" s="96">
        <f ca="1">TblMili[[#This Row],[Networth (2)]]</f>
        <v>6450</v>
      </c>
      <c r="H36" s="96">
        <f ca="1">OFFSET(TblProd[[#This Row],[Platinum]],-1,0)+OFFSET(TblProd[[#This Row],[Plat/hr]],-1,0) - TblProd[[#This Row],[Expenses Platinum]] + IF(TblProd[[#This Row],[Plat Bonus]],TblPop[[#This Row],[Peasants]]*4) + SUM(TblConstr[[#This Row],[Dest Hom]:[Dest Doc]])*TblConstr[[#This Row],[CPA Platinum -DB]]*tech_3_3_2*TblTech[[#This Row],[3-3]]</f>
        <v>296390</v>
      </c>
      <c r="I36" s="96">
        <f ca="1">OFFSET(TblProd[[#This Row],[Food]],-1,0)+OFFSET(TblProd[[#This Row],[Food/hr]],-1,0)+ROUNDUP((TblConstr[[#This Row],[Farms]]*80+TblConstr[[#This Row],[Docks]]*35)*(1+OFFSET(TblProd[[#This Row],[Bonus Food/hr]],-1,0)),0)</f>
        <v>66989</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5526</v>
      </c>
      <c r="T36" s="96">
        <f ca="1">ROUND(TblProd[[#This Row],[Raw Food/hr]]*(1+TblProd[[#This Row],[Bonus Food/hr]])-TblProd[[#This Row],[Food decay]]-TblProd[[#This Row],[Food eaten]],0)</f>
        <v>1321</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5526.9000000000005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669.89</v>
      </c>
      <c r="AP36" s="96">
        <f ca="1">(1+race_food_consumption)*TblPop[[#This Row],[Total]]*food_per_person*(1+tech_1_10*TblTech[[#This Row],[1-10]]+tech_7_5*TblTech[[#This Row],[7-5]] + IF(TblMagic[[#This Row],[Active Demonic Pact]]&gt;0,demonic_pact_food_cons,0))</f>
        <v>589.5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45733.333333333256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296390</v>
      </c>
      <c r="BJ36" s="96">
        <f ca="1">TblProd[[#This Row],[Food]]</f>
        <v>66989</v>
      </c>
      <c r="BK36" s="96">
        <f ca="1">TblProd[[#This Row],[Lumber]]</f>
        <v>38376</v>
      </c>
      <c r="BL36" s="96">
        <f ca="1">TblProd[[#This Row],[Mana]]</f>
        <v>0</v>
      </c>
      <c r="BM36" s="96">
        <f ca="1">TblProd[[#This Row],[Ore]]</f>
        <v>0</v>
      </c>
    </row>
    <row r="37" spans="1:65" x14ac:dyDescent="0.2">
      <c r="A37" s="139">
        <v>34</v>
      </c>
      <c r="B37" s="154">
        <f ca="1">TblImps[[#This Row],[Time]]</f>
        <v>45733.37499999992</v>
      </c>
      <c r="C37" s="155"/>
      <c r="D37" s="156"/>
      <c r="E37" s="96">
        <f ca="1">TblConstr[[#This Row],[Land]]</f>
        <v>250</v>
      </c>
      <c r="F37" s="96">
        <f ca="1">TblPop[[#This Row],[Peasants]]</f>
        <v>1532</v>
      </c>
      <c r="G37" s="96">
        <f ca="1">TblMili[[#This Row],[Networth (2)]]</f>
        <v>6450</v>
      </c>
      <c r="H37" s="96">
        <f ca="1">OFFSET(TblProd[[#This Row],[Platinum]],-1,0)+OFFSET(TblProd[[#This Row],[Plat/hr]],-1,0) - TblProd[[#This Row],[Expenses Platinum]] + IF(TblProd[[#This Row],[Plat Bonus]],TblPop[[#This Row],[Peasants]]*4) + SUM(TblConstr[[#This Row],[Dest Hom]:[Dest Doc]])*TblConstr[[#This Row],[CPA Platinum -DB]]*tech_3_3_2*TblTech[[#This Row],[3-3]]</f>
        <v>301916</v>
      </c>
      <c r="I37" s="96">
        <f ca="1">OFFSET(TblProd[[#This Row],[Food]],-1,0)+OFFSET(TblProd[[#This Row],[Food/hr]],-1,0)+ROUNDUP((TblConstr[[#This Row],[Farms]]*80+TblConstr[[#This Row],[Docks]]*35)*(1+OFFSET(TblProd[[#This Row],[Bonus Food/hr]],-1,0)),0)</f>
        <v>68310</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5486</v>
      </c>
      <c r="T37" s="96">
        <f ca="1">ROUND(TblProd[[#This Row],[Raw Food/hr]]*(1+TblProd[[#This Row],[Bonus Food/hr]])-TblProd[[#This Row],[Food decay]]-TblProd[[#This Row],[Food eaten]],0)</f>
        <v>1307</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5486.4000000000005</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683.1</v>
      </c>
      <c r="AP37" s="96">
        <f ca="1">(1+race_food_consumption)*TblPop[[#This Row],[Total]]*food_per_person*(1+tech_1_10*TblTech[[#This Row],[1-10]]+tech_7_5*TblTech[[#This Row],[7-5]] + IF(TblMagic[[#This Row],[Active Demonic Pact]]&gt;0,demonic_pact_food_cons,0))</f>
        <v>589.5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45733.37499999992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301916</v>
      </c>
      <c r="BJ37" s="96">
        <f ca="1">TblProd[[#This Row],[Food]]</f>
        <v>68310</v>
      </c>
      <c r="BK37" s="96">
        <f ca="1">TblProd[[#This Row],[Lumber]]</f>
        <v>38992</v>
      </c>
      <c r="BL37" s="96">
        <f ca="1">TblProd[[#This Row],[Mana]]</f>
        <v>0</v>
      </c>
      <c r="BM37" s="96">
        <f ca="1">TblProd[[#This Row],[Ore]]</f>
        <v>0</v>
      </c>
    </row>
    <row r="38" spans="1:65" x14ac:dyDescent="0.2">
      <c r="A38" s="139">
        <v>35</v>
      </c>
      <c r="B38" s="154">
        <f ca="1">TblImps[[#This Row],[Time]]</f>
        <v>45733.416666666584</v>
      </c>
      <c r="C38" s="155"/>
      <c r="D38" s="156"/>
      <c r="E38" s="96">
        <f ca="1">TblConstr[[#This Row],[Land]]</f>
        <v>250</v>
      </c>
      <c r="F38" s="96">
        <f ca="1">TblPop[[#This Row],[Peasants]]</f>
        <v>1532</v>
      </c>
      <c r="G38" s="96">
        <f ca="1">TblMili[[#This Row],[Networth (2)]]</f>
        <v>6450</v>
      </c>
      <c r="H38" s="96">
        <f ca="1">OFFSET(TblProd[[#This Row],[Platinum]],-1,0)+OFFSET(TblProd[[#This Row],[Plat/hr]],-1,0) - TblProd[[#This Row],[Expenses Platinum]] + IF(TblProd[[#This Row],[Plat Bonus]],TblPop[[#This Row],[Peasants]]*4) + SUM(TblConstr[[#This Row],[Dest Hom]:[Dest Doc]])*TblConstr[[#This Row],[CPA Platinum -DB]]*tech_3_3_2*TblTech[[#This Row],[3-3]]</f>
        <v>307402</v>
      </c>
      <c r="I38" s="96">
        <f ca="1">OFFSET(TblProd[[#This Row],[Food]],-1,0)+OFFSET(TblProd[[#This Row],[Food/hr]],-1,0)+ROUNDUP((TblConstr[[#This Row],[Farms]]*80+TblConstr[[#This Row],[Docks]]*35)*(1+OFFSET(TblProd[[#This Row],[Bonus Food/hr]],-1,0)),0)</f>
        <v>69617</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5486</v>
      </c>
      <c r="T38" s="96">
        <f ca="1">ROUND(TblProd[[#This Row],[Raw Food/hr]]*(1+TblProd[[#This Row],[Bonus Food/hr]])-TblProd[[#This Row],[Food decay]]-TblProd[[#This Row],[Food eaten]],0)</f>
        <v>1294</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5486.4000000000005</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696.17</v>
      </c>
      <c r="AP38" s="96">
        <f ca="1">(1+race_food_consumption)*TblPop[[#This Row],[Total]]*food_per_person*(1+tech_1_10*TblTech[[#This Row],[1-10]]+tech_7_5*TblTech[[#This Row],[7-5]] + IF(TblMagic[[#This Row],[Active Demonic Pact]]&gt;0,demonic_pact_food_cons,0))</f>
        <v>589.5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45733.416666666584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307402</v>
      </c>
      <c r="BJ38" s="96">
        <f ca="1">TblProd[[#This Row],[Food]]</f>
        <v>69617</v>
      </c>
      <c r="BK38" s="96">
        <f ca="1">TblProd[[#This Row],[Lumber]]</f>
        <v>39602</v>
      </c>
      <c r="BL38" s="96">
        <f ca="1">TblProd[[#This Row],[Mana]]</f>
        <v>0</v>
      </c>
      <c r="BM38" s="96">
        <f ca="1">TblProd[[#This Row],[Ore]]</f>
        <v>0</v>
      </c>
    </row>
    <row r="39" spans="1:65" x14ac:dyDescent="0.2">
      <c r="A39" s="139">
        <v>36</v>
      </c>
      <c r="B39" s="154">
        <f ca="1">TblImps[[#This Row],[Time]]</f>
        <v>45733.458333333248</v>
      </c>
      <c r="C39" s="155"/>
      <c r="D39" s="156"/>
      <c r="E39" s="96">
        <f ca="1">TblConstr[[#This Row],[Land]]</f>
        <v>250</v>
      </c>
      <c r="F39" s="96">
        <f ca="1">TblPop[[#This Row],[Peasants]]</f>
        <v>1532</v>
      </c>
      <c r="G39" s="96">
        <f ca="1">TblMili[[#This Row],[Networth (2)]]</f>
        <v>6450</v>
      </c>
      <c r="H39" s="96">
        <f ca="1">OFFSET(TblProd[[#This Row],[Platinum]],-1,0)+OFFSET(TblProd[[#This Row],[Plat/hr]],-1,0) - TblProd[[#This Row],[Expenses Platinum]] + IF(TblProd[[#This Row],[Plat Bonus]],TblPop[[#This Row],[Peasants]]*4) + SUM(TblConstr[[#This Row],[Dest Hom]:[Dest Doc]])*TblConstr[[#This Row],[CPA Platinum -DB]]*tech_3_3_2*TblTech[[#This Row],[3-3]]</f>
        <v>312888</v>
      </c>
      <c r="I39" s="96">
        <f ca="1">OFFSET(TblProd[[#This Row],[Food]],-1,0)+OFFSET(TblProd[[#This Row],[Food/hr]],-1,0)+ROUNDUP((TblConstr[[#This Row],[Farms]]*80+TblConstr[[#This Row],[Docks]]*35)*(1+OFFSET(TblProd[[#This Row],[Bonus Food/hr]],-1,0)),0)</f>
        <v>70911</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5486</v>
      </c>
      <c r="T39" s="96">
        <f ca="1">ROUND(TblProd[[#This Row],[Raw Food/hr]]*(1+TblProd[[#This Row],[Bonus Food/hr]])-TblProd[[#This Row],[Food decay]]-TblProd[[#This Row],[Food eaten]],0)</f>
        <v>1281</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5486.4000000000005</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709.11</v>
      </c>
      <c r="AP39" s="96">
        <f ca="1">(1+race_food_consumption)*TblPop[[#This Row],[Total]]*food_per_person*(1+tech_1_10*TblTech[[#This Row],[1-10]]+tech_7_5*TblTech[[#This Row],[7-5]] + IF(TblMagic[[#This Row],[Active Demonic Pact]]&gt;0,demonic_pact_food_cons,0))</f>
        <v>589.5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45733.458333333248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312888</v>
      </c>
      <c r="BJ39" s="96">
        <f ca="1">TblProd[[#This Row],[Food]]</f>
        <v>70911</v>
      </c>
      <c r="BK39" s="96">
        <f ca="1">TblProd[[#This Row],[Lumber]]</f>
        <v>40206</v>
      </c>
      <c r="BL39" s="96">
        <f ca="1">TblProd[[#This Row],[Mana]]</f>
        <v>0</v>
      </c>
      <c r="BM39" s="96">
        <f ca="1">TblProd[[#This Row],[Ore]]</f>
        <v>0</v>
      </c>
    </row>
    <row r="40" spans="1:65" x14ac:dyDescent="0.2">
      <c r="A40" s="139">
        <v>37</v>
      </c>
      <c r="B40" s="154">
        <f ca="1">TblImps[[#This Row],[Time]]</f>
        <v>45733.499999999913</v>
      </c>
      <c r="C40" s="155"/>
      <c r="D40" s="156"/>
      <c r="E40" s="96">
        <f ca="1">TblConstr[[#This Row],[Land]]</f>
        <v>250</v>
      </c>
      <c r="F40" s="96">
        <f ca="1">TblPop[[#This Row],[Peasants]]</f>
        <v>1532</v>
      </c>
      <c r="G40" s="96">
        <f ca="1">TblMili[[#This Row],[Networth (2)]]</f>
        <v>6450</v>
      </c>
      <c r="H40" s="96">
        <f ca="1">OFFSET(TblProd[[#This Row],[Platinum]],-1,0)+OFFSET(TblProd[[#This Row],[Plat/hr]],-1,0) - TblProd[[#This Row],[Expenses Platinum]] + IF(TblProd[[#This Row],[Plat Bonus]],TblPop[[#This Row],[Peasants]]*4) + SUM(TblConstr[[#This Row],[Dest Hom]:[Dest Doc]])*TblConstr[[#This Row],[CPA Platinum -DB]]*tech_3_3_2*TblTech[[#This Row],[3-3]]</f>
        <v>318374</v>
      </c>
      <c r="I40" s="96">
        <f ca="1">OFFSET(TblProd[[#This Row],[Food]],-1,0)+OFFSET(TblProd[[#This Row],[Food/hr]],-1,0)+ROUNDUP((TblConstr[[#This Row],[Farms]]*80+TblConstr[[#This Row],[Docks]]*35)*(1+OFFSET(TblProd[[#This Row],[Bonus Food/hr]],-1,0)),0)</f>
        <v>72192</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5486</v>
      </c>
      <c r="T40" s="96">
        <f ca="1">ROUND(TblProd[[#This Row],[Raw Food/hr]]*(1+TblProd[[#This Row],[Bonus Food/hr]])-TblProd[[#This Row],[Food decay]]-TblProd[[#This Row],[Food eaten]],0)</f>
        <v>1269</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5486.4000000000005</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721.92</v>
      </c>
      <c r="AP40" s="96">
        <f ca="1">(1+race_food_consumption)*TblPop[[#This Row],[Total]]*food_per_person*(1+tech_1_10*TblTech[[#This Row],[1-10]]+tech_7_5*TblTech[[#This Row],[7-5]] + IF(TblMagic[[#This Row],[Active Demonic Pact]]&gt;0,demonic_pact_food_cons,0))</f>
        <v>589.5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45733.499999999913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318374</v>
      </c>
      <c r="BJ40" s="96">
        <f ca="1">TblProd[[#This Row],[Food]]</f>
        <v>72192</v>
      </c>
      <c r="BK40" s="96">
        <f ca="1">TblProd[[#This Row],[Lumber]]</f>
        <v>40804</v>
      </c>
      <c r="BL40" s="96">
        <f ca="1">TblProd[[#This Row],[Mana]]</f>
        <v>0</v>
      </c>
      <c r="BM40" s="96">
        <f ca="1">TblProd[[#This Row],[Ore]]</f>
        <v>0</v>
      </c>
    </row>
    <row r="41" spans="1:65" x14ac:dyDescent="0.2">
      <c r="A41" s="139">
        <v>38</v>
      </c>
      <c r="B41" s="154">
        <f ca="1">TblImps[[#This Row],[Time]]</f>
        <v>45733.541666666577</v>
      </c>
      <c r="C41" s="155"/>
      <c r="D41" s="156"/>
      <c r="E41" s="96">
        <f ca="1">TblConstr[[#This Row],[Land]]</f>
        <v>250</v>
      </c>
      <c r="F41" s="96">
        <f ca="1">TblPop[[#This Row],[Peasants]]</f>
        <v>1532</v>
      </c>
      <c r="G41" s="96">
        <f ca="1">TblMili[[#This Row],[Networth (2)]]</f>
        <v>6450</v>
      </c>
      <c r="H41" s="96">
        <f ca="1">OFFSET(TblProd[[#This Row],[Platinum]],-1,0)+OFFSET(TblProd[[#This Row],[Plat/hr]],-1,0) - TblProd[[#This Row],[Expenses Platinum]] + IF(TblProd[[#This Row],[Plat Bonus]],TblPop[[#This Row],[Peasants]]*4) + SUM(TblConstr[[#This Row],[Dest Hom]:[Dest Doc]])*TblConstr[[#This Row],[CPA Platinum -DB]]*tech_3_3_2*TblTech[[#This Row],[3-3]]</f>
        <v>323860</v>
      </c>
      <c r="I41" s="96">
        <f ca="1">OFFSET(TblProd[[#This Row],[Food]],-1,0)+OFFSET(TblProd[[#This Row],[Food/hr]],-1,0)+ROUNDUP((TblConstr[[#This Row],[Farms]]*80+TblConstr[[#This Row],[Docks]]*35)*(1+OFFSET(TblProd[[#This Row],[Bonus Food/hr]],-1,0)),0)</f>
        <v>73461</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5486</v>
      </c>
      <c r="T41" s="96">
        <f ca="1">ROUND(TblProd[[#This Row],[Raw Food/hr]]*(1+TblProd[[#This Row],[Bonus Food/hr]])-TblProd[[#This Row],[Food decay]]-TblProd[[#This Row],[Food eaten]],0)</f>
        <v>1256</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5486.4000000000005</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734.61</v>
      </c>
      <c r="AP41" s="96">
        <f ca="1">(1+race_food_consumption)*TblPop[[#This Row],[Total]]*food_per_person*(1+tech_1_10*TblTech[[#This Row],[1-10]]+tech_7_5*TblTech[[#This Row],[7-5]] + IF(TblMagic[[#This Row],[Active Demonic Pact]]&gt;0,demonic_pact_food_cons,0))</f>
        <v>589.5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45733.541666666577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323860</v>
      </c>
      <c r="BJ41" s="96">
        <f ca="1">TblProd[[#This Row],[Food]]</f>
        <v>73461</v>
      </c>
      <c r="BK41" s="96">
        <f ca="1">TblProd[[#This Row],[Lumber]]</f>
        <v>41396</v>
      </c>
      <c r="BL41" s="96">
        <f ca="1">TblProd[[#This Row],[Mana]]</f>
        <v>0</v>
      </c>
      <c r="BM41" s="96">
        <f ca="1">TblProd[[#This Row],[Ore]]</f>
        <v>0</v>
      </c>
    </row>
    <row r="42" spans="1:65" x14ac:dyDescent="0.2">
      <c r="A42" s="139">
        <v>39</v>
      </c>
      <c r="B42" s="154">
        <f ca="1">TblImps[[#This Row],[Time]]</f>
        <v>45733.583333333241</v>
      </c>
      <c r="C42" s="155"/>
      <c r="D42" s="156"/>
      <c r="E42" s="96">
        <f ca="1">TblConstr[[#This Row],[Land]]</f>
        <v>250</v>
      </c>
      <c r="F42" s="96">
        <f ca="1">TblPop[[#This Row],[Peasants]]</f>
        <v>1532</v>
      </c>
      <c r="G42" s="96">
        <f ca="1">TblMili[[#This Row],[Networth (2)]]</f>
        <v>6450</v>
      </c>
      <c r="H42" s="96">
        <f ca="1">OFFSET(TblProd[[#This Row],[Platinum]],-1,0)+OFFSET(TblProd[[#This Row],[Plat/hr]],-1,0) - TblProd[[#This Row],[Expenses Platinum]] + IF(TblProd[[#This Row],[Plat Bonus]],TblPop[[#This Row],[Peasants]]*4) + SUM(TblConstr[[#This Row],[Dest Hom]:[Dest Doc]])*TblConstr[[#This Row],[CPA Platinum -DB]]*tech_3_3_2*TblTech[[#This Row],[3-3]]</f>
        <v>329346</v>
      </c>
      <c r="I42" s="96">
        <f ca="1">OFFSET(TblProd[[#This Row],[Food]],-1,0)+OFFSET(TblProd[[#This Row],[Food/hr]],-1,0)+ROUNDUP((TblConstr[[#This Row],[Farms]]*80+TblConstr[[#This Row],[Docks]]*35)*(1+OFFSET(TblProd[[#This Row],[Bonus Food/hr]],-1,0)),0)</f>
        <v>74717</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5486</v>
      </c>
      <c r="T42" s="96">
        <f ca="1">ROUND(TblProd[[#This Row],[Raw Food/hr]]*(1+TblProd[[#This Row],[Bonus Food/hr]])-TblProd[[#This Row],[Food decay]]-TblProd[[#This Row],[Food eaten]],0)</f>
        <v>1243</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5486.4000000000005</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747.17</v>
      </c>
      <c r="AP42" s="96">
        <f ca="1">(1+race_food_consumption)*TblPop[[#This Row],[Total]]*food_per_person*(1+tech_1_10*TblTech[[#This Row],[1-10]]+tech_7_5*TblTech[[#This Row],[7-5]] + IF(TblMagic[[#This Row],[Active Demonic Pact]]&gt;0,demonic_pact_food_cons,0))</f>
        <v>589.5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45733.583333333241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329346</v>
      </c>
      <c r="BJ42" s="96">
        <f ca="1">TblProd[[#This Row],[Food]]</f>
        <v>74717</v>
      </c>
      <c r="BK42" s="96">
        <f ca="1">TblProd[[#This Row],[Lumber]]</f>
        <v>41982</v>
      </c>
      <c r="BL42" s="96">
        <f ca="1">TblProd[[#This Row],[Mana]]</f>
        <v>0</v>
      </c>
      <c r="BM42" s="96">
        <f ca="1">TblProd[[#This Row],[Ore]]</f>
        <v>0</v>
      </c>
    </row>
    <row r="43" spans="1:65" x14ac:dyDescent="0.2">
      <c r="A43" s="139">
        <v>40</v>
      </c>
      <c r="B43" s="154">
        <f ca="1">TblImps[[#This Row],[Time]]</f>
        <v>45733.624999999905</v>
      </c>
      <c r="C43" s="155"/>
      <c r="D43" s="156"/>
      <c r="E43" s="96">
        <f ca="1">TblConstr[[#This Row],[Land]]</f>
        <v>250</v>
      </c>
      <c r="F43" s="96">
        <f ca="1">TblPop[[#This Row],[Peasants]]</f>
        <v>1532</v>
      </c>
      <c r="G43" s="96">
        <f ca="1">TblMili[[#This Row],[Networth (2)]]</f>
        <v>6450</v>
      </c>
      <c r="H43" s="96">
        <f ca="1">OFFSET(TblProd[[#This Row],[Platinum]],-1,0)+OFFSET(TblProd[[#This Row],[Plat/hr]],-1,0) - TblProd[[#This Row],[Expenses Platinum]] + IF(TblProd[[#This Row],[Plat Bonus]],TblPop[[#This Row],[Peasants]]*4) + SUM(TblConstr[[#This Row],[Dest Hom]:[Dest Doc]])*TblConstr[[#This Row],[CPA Platinum -DB]]*tech_3_3_2*TblTech[[#This Row],[3-3]]</f>
        <v>334832</v>
      </c>
      <c r="I43" s="96">
        <f ca="1">OFFSET(TblProd[[#This Row],[Food]],-1,0)+OFFSET(TblProd[[#This Row],[Food/hr]],-1,0)+ROUNDUP((TblConstr[[#This Row],[Farms]]*80+TblConstr[[#This Row],[Docks]]*35)*(1+OFFSET(TblProd[[#This Row],[Bonus Food/hr]],-1,0)),0)</f>
        <v>75960</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5486</v>
      </c>
      <c r="T43" s="96">
        <f ca="1">ROUND(TblProd[[#This Row],[Raw Food/hr]]*(1+TblProd[[#This Row],[Bonus Food/hr]])-TblProd[[#This Row],[Food decay]]-TblProd[[#This Row],[Food eaten]],0)</f>
        <v>1231</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5486.4000000000005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759.6</v>
      </c>
      <c r="AP43" s="96">
        <f ca="1">(1+race_food_consumption)*TblPop[[#This Row],[Total]]*food_per_person*(1+tech_1_10*TblTech[[#This Row],[1-10]]+tech_7_5*TblTech[[#This Row],[7-5]] + IF(TblMagic[[#This Row],[Active Demonic Pact]]&gt;0,demonic_pact_food_cons,0))</f>
        <v>589.5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45733.624999999905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334832</v>
      </c>
      <c r="BJ43" s="96">
        <f ca="1">TblProd[[#This Row],[Food]]</f>
        <v>75960</v>
      </c>
      <c r="BK43" s="96">
        <f ca="1">TblProd[[#This Row],[Lumber]]</f>
        <v>42562</v>
      </c>
      <c r="BL43" s="96">
        <f ca="1">TblProd[[#This Row],[Mana]]</f>
        <v>0</v>
      </c>
      <c r="BM43" s="96">
        <f ca="1">TblProd[[#This Row],[Ore]]</f>
        <v>0</v>
      </c>
    </row>
    <row r="44" spans="1:65" x14ac:dyDescent="0.2">
      <c r="A44" s="139">
        <v>41</v>
      </c>
      <c r="B44" s="154">
        <f ca="1">TblImps[[#This Row],[Time]]</f>
        <v>45733.66666666657</v>
      </c>
      <c r="C44" s="155"/>
      <c r="D44" s="156"/>
      <c r="E44" s="96">
        <f ca="1">TblConstr[[#This Row],[Land]]</f>
        <v>250</v>
      </c>
      <c r="F44" s="96">
        <f ca="1">TblPop[[#This Row],[Peasants]]</f>
        <v>1532</v>
      </c>
      <c r="G44" s="96">
        <f ca="1">TblMili[[#This Row],[Networth (2)]]</f>
        <v>6450</v>
      </c>
      <c r="H44" s="96">
        <f ca="1">OFFSET(TblProd[[#This Row],[Platinum]],-1,0)+OFFSET(TblProd[[#This Row],[Plat/hr]],-1,0) - TblProd[[#This Row],[Expenses Platinum]] + IF(TblProd[[#This Row],[Plat Bonus]],TblPop[[#This Row],[Peasants]]*4) + SUM(TblConstr[[#This Row],[Dest Hom]:[Dest Doc]])*TblConstr[[#This Row],[CPA Platinum -DB]]*tech_3_3_2*TblTech[[#This Row],[3-3]]</f>
        <v>340318</v>
      </c>
      <c r="I44" s="96">
        <f ca="1">OFFSET(TblProd[[#This Row],[Food]],-1,0)+OFFSET(TblProd[[#This Row],[Food/hr]],-1,0)+ROUNDUP((TblConstr[[#This Row],[Farms]]*80+TblConstr[[#This Row],[Docks]]*35)*(1+OFFSET(TblProd[[#This Row],[Bonus Food/hr]],-1,0)),0)</f>
        <v>77191</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5486</v>
      </c>
      <c r="T44" s="96">
        <f ca="1">ROUND(TblProd[[#This Row],[Raw Food/hr]]*(1+TblProd[[#This Row],[Bonus Food/hr]])-TblProd[[#This Row],[Food decay]]-TblProd[[#This Row],[Food eaten]],0)</f>
        <v>1219</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5486.4000000000005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771.91</v>
      </c>
      <c r="AP44" s="96">
        <f ca="1">(1+race_food_consumption)*TblPop[[#This Row],[Total]]*food_per_person*(1+tech_1_10*TblTech[[#This Row],[1-10]]+tech_7_5*TblTech[[#This Row],[7-5]] + IF(TblMagic[[#This Row],[Active Demonic Pact]]&gt;0,demonic_pact_food_cons,0))</f>
        <v>589.5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45733.66666666657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340318</v>
      </c>
      <c r="BJ44" s="96">
        <f ca="1">TblProd[[#This Row],[Food]]</f>
        <v>77191</v>
      </c>
      <c r="BK44" s="96">
        <f ca="1">TblProd[[#This Row],[Lumber]]</f>
        <v>43136</v>
      </c>
      <c r="BL44" s="96">
        <f ca="1">TblProd[[#This Row],[Mana]]</f>
        <v>0</v>
      </c>
      <c r="BM44" s="96">
        <f ca="1">TblProd[[#This Row],[Ore]]</f>
        <v>0</v>
      </c>
    </row>
    <row r="45" spans="1:65" x14ac:dyDescent="0.2">
      <c r="A45" s="139">
        <v>42</v>
      </c>
      <c r="B45" s="154">
        <f ca="1">TblImps[[#This Row],[Time]]</f>
        <v>45733.708333333234</v>
      </c>
      <c r="C45" s="155"/>
      <c r="D45" s="156"/>
      <c r="E45" s="96">
        <f ca="1">TblConstr[[#This Row],[Land]]</f>
        <v>250</v>
      </c>
      <c r="F45" s="96">
        <f ca="1">TblPop[[#This Row],[Peasants]]</f>
        <v>1532</v>
      </c>
      <c r="G45" s="96">
        <f ca="1">TblMili[[#This Row],[Networth (2)]]</f>
        <v>6450</v>
      </c>
      <c r="H45" s="96">
        <f ca="1">OFFSET(TblProd[[#This Row],[Platinum]],-1,0)+OFFSET(TblProd[[#This Row],[Plat/hr]],-1,0) - TblProd[[#This Row],[Expenses Platinum]] + IF(TblProd[[#This Row],[Plat Bonus]],TblPop[[#This Row],[Peasants]]*4) + SUM(TblConstr[[#This Row],[Dest Hom]:[Dest Doc]])*TblConstr[[#This Row],[CPA Platinum -DB]]*tech_3_3_2*TblTech[[#This Row],[3-3]]</f>
        <v>345804</v>
      </c>
      <c r="I45" s="96">
        <f ca="1">OFFSET(TblProd[[#This Row],[Food]],-1,0)+OFFSET(TblProd[[#This Row],[Food/hr]],-1,0)+ROUNDUP((TblConstr[[#This Row],[Farms]]*80+TblConstr[[#This Row],[Docks]]*35)*(1+OFFSET(TblProd[[#This Row],[Bonus Food/hr]],-1,0)),0)</f>
        <v>78410</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5486</v>
      </c>
      <c r="T45" s="96">
        <f ca="1">ROUND(TblProd[[#This Row],[Raw Food/hr]]*(1+TblProd[[#This Row],[Bonus Food/hr]])-TblProd[[#This Row],[Food decay]]-TblProd[[#This Row],[Food eaten]],0)</f>
        <v>1206</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5486.4000000000005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784.1</v>
      </c>
      <c r="AP45" s="96">
        <f ca="1">(1+race_food_consumption)*TblPop[[#This Row],[Total]]*food_per_person*(1+tech_1_10*TblTech[[#This Row],[1-10]]+tech_7_5*TblTech[[#This Row],[7-5]] + IF(TblMagic[[#This Row],[Active Demonic Pact]]&gt;0,demonic_pact_food_cons,0))</f>
        <v>589.5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45733.708333333234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345804</v>
      </c>
      <c r="BJ45" s="96">
        <f ca="1">TblProd[[#This Row],[Food]]</f>
        <v>78410</v>
      </c>
      <c r="BK45" s="96">
        <f ca="1">TblProd[[#This Row],[Lumber]]</f>
        <v>43705</v>
      </c>
      <c r="BL45" s="96">
        <f ca="1">TblProd[[#This Row],[Mana]]</f>
        <v>0</v>
      </c>
      <c r="BM45" s="96">
        <f ca="1">TblProd[[#This Row],[Ore]]</f>
        <v>0</v>
      </c>
    </row>
    <row r="46" spans="1:65" x14ac:dyDescent="0.2">
      <c r="A46" s="139">
        <v>43</v>
      </c>
      <c r="B46" s="154">
        <f ca="1">TblImps[[#This Row],[Time]]</f>
        <v>45733.749999999898</v>
      </c>
      <c r="C46" s="155"/>
      <c r="D46" s="156"/>
      <c r="E46" s="96">
        <f ca="1">TblConstr[[#This Row],[Land]]</f>
        <v>250</v>
      </c>
      <c r="F46" s="96">
        <f ca="1">TblPop[[#This Row],[Peasants]]</f>
        <v>1532</v>
      </c>
      <c r="G46" s="96">
        <f ca="1">TblMili[[#This Row],[Networth (2)]]</f>
        <v>6450</v>
      </c>
      <c r="H46" s="96">
        <f ca="1">OFFSET(TblProd[[#This Row],[Platinum]],-1,0)+OFFSET(TblProd[[#This Row],[Plat/hr]],-1,0) - TblProd[[#This Row],[Expenses Platinum]] + IF(TblProd[[#This Row],[Plat Bonus]],TblPop[[#This Row],[Peasants]]*4) + SUM(TblConstr[[#This Row],[Dest Hom]:[Dest Doc]])*TblConstr[[#This Row],[CPA Platinum -DB]]*tech_3_3_2*TblTech[[#This Row],[3-3]]</f>
        <v>351290</v>
      </c>
      <c r="I46" s="96">
        <f ca="1">OFFSET(TblProd[[#This Row],[Food]],-1,0)+OFFSET(TblProd[[#This Row],[Food/hr]],-1,0)+ROUNDUP((TblConstr[[#This Row],[Farms]]*80+TblConstr[[#This Row],[Docks]]*35)*(1+OFFSET(TblProd[[#This Row],[Bonus Food/hr]],-1,0)),0)</f>
        <v>79616</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5486</v>
      </c>
      <c r="T46" s="96">
        <f ca="1">ROUND(TblProd[[#This Row],[Raw Food/hr]]*(1+TblProd[[#This Row],[Bonus Food/hr]])-TblProd[[#This Row],[Food decay]]-TblProd[[#This Row],[Food eaten]],0)</f>
        <v>1194</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5486.4000000000005</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796.16</v>
      </c>
      <c r="AP46" s="96">
        <f ca="1">(1+race_food_consumption)*TblPop[[#This Row],[Total]]*food_per_person*(1+tech_1_10*TblTech[[#This Row],[1-10]]+tech_7_5*TblTech[[#This Row],[7-5]] + IF(TblMagic[[#This Row],[Active Demonic Pact]]&gt;0,demonic_pact_food_cons,0))</f>
        <v>589.5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45733.749999999898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351290</v>
      </c>
      <c r="BJ46" s="96">
        <f ca="1">TblProd[[#This Row],[Food]]</f>
        <v>79616</v>
      </c>
      <c r="BK46" s="96">
        <f ca="1">TblProd[[#This Row],[Lumber]]</f>
        <v>44268</v>
      </c>
      <c r="BL46" s="96">
        <f ca="1">TblProd[[#This Row],[Mana]]</f>
        <v>0</v>
      </c>
      <c r="BM46" s="96">
        <f ca="1">TblProd[[#This Row],[Ore]]</f>
        <v>0</v>
      </c>
    </row>
    <row r="47" spans="1:65" x14ac:dyDescent="0.2">
      <c r="A47" s="139">
        <v>44</v>
      </c>
      <c r="B47" s="154">
        <f ca="1">TblImps[[#This Row],[Time]]</f>
        <v>45733.791666666562</v>
      </c>
      <c r="C47" s="155"/>
      <c r="D47" s="156"/>
      <c r="E47" s="96">
        <f ca="1">TblConstr[[#This Row],[Land]]</f>
        <v>250</v>
      </c>
      <c r="F47" s="96">
        <f ca="1">TblPop[[#This Row],[Peasants]]</f>
        <v>1532</v>
      </c>
      <c r="G47" s="96">
        <f ca="1">TblMili[[#This Row],[Networth (2)]]</f>
        <v>6450</v>
      </c>
      <c r="H47" s="96">
        <f ca="1">OFFSET(TblProd[[#This Row],[Platinum]],-1,0)+OFFSET(TblProd[[#This Row],[Plat/hr]],-1,0) - TblProd[[#This Row],[Expenses Platinum]] + IF(TblProd[[#This Row],[Plat Bonus]],TblPop[[#This Row],[Peasants]]*4) + SUM(TblConstr[[#This Row],[Dest Hom]:[Dest Doc]])*TblConstr[[#This Row],[CPA Platinum -DB]]*tech_3_3_2*TblTech[[#This Row],[3-3]]</f>
        <v>356776</v>
      </c>
      <c r="I47" s="96">
        <f ca="1">OFFSET(TblProd[[#This Row],[Food]],-1,0)+OFFSET(TblProd[[#This Row],[Food/hr]],-1,0)+ROUNDUP((TblConstr[[#This Row],[Farms]]*80+TblConstr[[#This Row],[Docks]]*35)*(1+OFFSET(TblProd[[#This Row],[Bonus Food/hr]],-1,0)),0)</f>
        <v>80810</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5486</v>
      </c>
      <c r="T47" s="96">
        <f ca="1">ROUND(TblProd[[#This Row],[Raw Food/hr]]*(1+TblProd[[#This Row],[Bonus Food/hr]])-TblProd[[#This Row],[Food decay]]-TblProd[[#This Row],[Food eaten]],0)</f>
        <v>1182</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5486.4000000000005</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808.1</v>
      </c>
      <c r="AP47" s="96">
        <f ca="1">(1+race_food_consumption)*TblPop[[#This Row],[Total]]*food_per_person*(1+tech_1_10*TblTech[[#This Row],[1-10]]+tech_7_5*TblTech[[#This Row],[7-5]] + IF(TblMagic[[#This Row],[Active Demonic Pact]]&gt;0,demonic_pact_food_cons,0))</f>
        <v>589.5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45733.791666666562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356776</v>
      </c>
      <c r="BJ47" s="96">
        <f ca="1">TblProd[[#This Row],[Food]]</f>
        <v>80810</v>
      </c>
      <c r="BK47" s="96">
        <f ca="1">TblProd[[#This Row],[Lumber]]</f>
        <v>44825</v>
      </c>
      <c r="BL47" s="96">
        <f ca="1">TblProd[[#This Row],[Mana]]</f>
        <v>0</v>
      </c>
      <c r="BM47" s="96">
        <f ca="1">TblProd[[#This Row],[Ore]]</f>
        <v>0</v>
      </c>
    </row>
    <row r="48" spans="1:65" x14ac:dyDescent="0.2">
      <c r="A48" s="139">
        <v>45</v>
      </c>
      <c r="B48" s="154">
        <f ca="1">TblImps[[#This Row],[Time]]</f>
        <v>45733.833333333227</v>
      </c>
      <c r="C48" s="155"/>
      <c r="D48" s="156"/>
      <c r="E48" s="96">
        <f ca="1">TblConstr[[#This Row],[Land]]</f>
        <v>250</v>
      </c>
      <c r="F48" s="96">
        <f ca="1">TblPop[[#This Row],[Peasants]]</f>
        <v>1532</v>
      </c>
      <c r="G48" s="96">
        <f ca="1">TblMili[[#This Row],[Networth (2)]]</f>
        <v>6450</v>
      </c>
      <c r="H48" s="96">
        <f ca="1">OFFSET(TblProd[[#This Row],[Platinum]],-1,0)+OFFSET(TblProd[[#This Row],[Plat/hr]],-1,0) - TblProd[[#This Row],[Expenses Platinum]] + IF(TblProd[[#This Row],[Plat Bonus]],TblPop[[#This Row],[Peasants]]*4) + SUM(TblConstr[[#This Row],[Dest Hom]:[Dest Doc]])*TblConstr[[#This Row],[CPA Platinum -DB]]*tech_3_3_2*TblTech[[#This Row],[3-3]]</f>
        <v>362262</v>
      </c>
      <c r="I48" s="96">
        <f ca="1">OFFSET(TblProd[[#This Row],[Food]],-1,0)+OFFSET(TblProd[[#This Row],[Food/hr]],-1,0)+ROUNDUP((TblConstr[[#This Row],[Farms]]*80+TblConstr[[#This Row],[Docks]]*35)*(1+OFFSET(TblProd[[#This Row],[Bonus Food/hr]],-1,0)),0)</f>
        <v>81992</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5486</v>
      </c>
      <c r="T48" s="96">
        <f ca="1">ROUND(TblProd[[#This Row],[Raw Food/hr]]*(1+TblProd[[#This Row],[Bonus Food/hr]])-TblProd[[#This Row],[Food decay]]-TblProd[[#This Row],[Food eaten]],0)</f>
        <v>1171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5486.4000000000005</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819.92000000000007</v>
      </c>
      <c r="AP48" s="96">
        <f ca="1">(1+race_food_consumption)*TblPop[[#This Row],[Total]]*food_per_person*(1+tech_1_10*TblTech[[#This Row],[1-10]]+tech_7_5*TblTech[[#This Row],[7-5]] + IF(TblMagic[[#This Row],[Active Demonic Pact]]&gt;0,demonic_pact_food_cons,0))</f>
        <v>589.5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45733.833333333227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362262</v>
      </c>
      <c r="BJ48" s="96">
        <f ca="1">TblProd[[#This Row],[Food]]</f>
        <v>81992</v>
      </c>
      <c r="BK48" s="96">
        <f ca="1">TblProd[[#This Row],[Lumber]]</f>
        <v>45377</v>
      </c>
      <c r="BL48" s="96">
        <f ca="1">TblProd[[#This Row],[Mana]]</f>
        <v>0</v>
      </c>
      <c r="BM48" s="96">
        <f ca="1">TblProd[[#This Row],[Ore]]</f>
        <v>0</v>
      </c>
    </row>
    <row r="49" spans="1:65" x14ac:dyDescent="0.2">
      <c r="A49" s="139">
        <v>46</v>
      </c>
      <c r="B49" s="154">
        <f ca="1">TblImps[[#This Row],[Time]]</f>
        <v>45733.874999999891</v>
      </c>
      <c r="C49" s="155"/>
      <c r="D49" s="156"/>
      <c r="E49" s="96">
        <f ca="1">TblConstr[[#This Row],[Land]]</f>
        <v>250</v>
      </c>
      <c r="F49" s="96">
        <f ca="1">TblPop[[#This Row],[Peasants]]</f>
        <v>1532</v>
      </c>
      <c r="G49" s="96">
        <f ca="1">TblMili[[#This Row],[Networth (2)]]</f>
        <v>6450</v>
      </c>
      <c r="H49" s="96">
        <f ca="1">OFFSET(TblProd[[#This Row],[Platinum]],-1,0)+OFFSET(TblProd[[#This Row],[Plat/hr]],-1,0) - TblProd[[#This Row],[Expenses Platinum]] + IF(TblProd[[#This Row],[Plat Bonus]],TblPop[[#This Row],[Peasants]]*4) + SUM(TblConstr[[#This Row],[Dest Hom]:[Dest Doc]])*TblConstr[[#This Row],[CPA Platinum -DB]]*tech_3_3_2*TblTech[[#This Row],[3-3]]</f>
        <v>367748</v>
      </c>
      <c r="I49" s="96">
        <f ca="1">OFFSET(TblProd[[#This Row],[Food]],-1,0)+OFFSET(TblProd[[#This Row],[Food/hr]],-1,0)+ROUNDUP((TblConstr[[#This Row],[Farms]]*80+TblConstr[[#This Row],[Docks]]*35)*(1+OFFSET(TblProd[[#This Row],[Bonus Food/hr]],-1,0)),0)</f>
        <v>83163</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5486</v>
      </c>
      <c r="T49" s="96">
        <f ca="1">ROUND(TblProd[[#This Row],[Raw Food/hr]]*(1+TblProd[[#This Row],[Bonus Food/hr]])-TblProd[[#This Row],[Food decay]]-TblProd[[#This Row],[Food eaten]],0)</f>
        <v>1159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5486.4000000000005</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831.63</v>
      </c>
      <c r="AP49" s="96">
        <f ca="1">(1+race_food_consumption)*TblPop[[#This Row],[Total]]*food_per_person*(1+tech_1_10*TblTech[[#This Row],[1-10]]+tech_7_5*TblTech[[#This Row],[7-5]] + IF(TblMagic[[#This Row],[Active Demonic Pact]]&gt;0,demonic_pact_food_cons,0))</f>
        <v>589.5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45733.874999999891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367748</v>
      </c>
      <c r="BJ49" s="96">
        <f ca="1">TblProd[[#This Row],[Food]]</f>
        <v>83163</v>
      </c>
      <c r="BK49" s="96">
        <f ca="1">TblProd[[#This Row],[Lumber]]</f>
        <v>45923</v>
      </c>
      <c r="BL49" s="96">
        <f ca="1">TblProd[[#This Row],[Mana]]</f>
        <v>0</v>
      </c>
      <c r="BM49" s="96">
        <f ca="1">TblProd[[#This Row],[Ore]]</f>
        <v>0</v>
      </c>
    </row>
    <row r="50" spans="1:65" x14ac:dyDescent="0.2">
      <c r="A50" s="139">
        <v>47</v>
      </c>
      <c r="B50" s="154">
        <f ca="1">TblImps[[#This Row],[Time]]</f>
        <v>45733.916666666555</v>
      </c>
      <c r="C50" s="155"/>
      <c r="D50" s="156"/>
      <c r="E50" s="96">
        <f ca="1">TblConstr[[#This Row],[Land]]</f>
        <v>250</v>
      </c>
      <c r="F50" s="96">
        <f ca="1">TblPop[[#This Row],[Peasants]]</f>
        <v>1532</v>
      </c>
      <c r="G50" s="96">
        <f ca="1">TblMili[[#This Row],[Networth (2)]]</f>
        <v>6450</v>
      </c>
      <c r="H50" s="96">
        <f ca="1">OFFSET(TblProd[[#This Row],[Platinum]],-1,0)+OFFSET(TblProd[[#This Row],[Plat/hr]],-1,0) - TblProd[[#This Row],[Expenses Platinum]] + IF(TblProd[[#This Row],[Plat Bonus]],TblPop[[#This Row],[Peasants]]*4) + SUM(TblConstr[[#This Row],[Dest Hom]:[Dest Doc]])*TblConstr[[#This Row],[CPA Platinum -DB]]*tech_3_3_2*TblTech[[#This Row],[3-3]]</f>
        <v>373234</v>
      </c>
      <c r="I50" s="96">
        <f ca="1">OFFSET(TblProd[[#This Row],[Food]],-1,0)+OFFSET(TblProd[[#This Row],[Food/hr]],-1,0)+ROUNDUP((TblConstr[[#This Row],[Farms]]*80+TblConstr[[#This Row],[Docks]]*35)*(1+OFFSET(TblProd[[#This Row],[Bonus Food/hr]],-1,0)),0)</f>
        <v>84322</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5486</v>
      </c>
      <c r="T50" s="96">
        <f ca="1">ROUND(TblProd[[#This Row],[Raw Food/hr]]*(1+TblProd[[#This Row],[Bonus Food/hr]])-TblProd[[#This Row],[Food decay]]-TblProd[[#This Row],[Food eaten]],0)</f>
        <v>1147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5486.4000000000005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843.22</v>
      </c>
      <c r="AP50" s="96">
        <f ca="1">(1+race_food_consumption)*TblPop[[#This Row],[Total]]*food_per_person*(1+tech_1_10*TblTech[[#This Row],[1-10]]+tech_7_5*TblTech[[#This Row],[7-5]] + IF(TblMagic[[#This Row],[Active Demonic Pact]]&gt;0,demonic_pact_food_cons,0))</f>
        <v>589.5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45733.916666666555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373234</v>
      </c>
      <c r="BJ50" s="96">
        <f ca="1">TblProd[[#This Row],[Food]]</f>
        <v>84322</v>
      </c>
      <c r="BK50" s="96">
        <f ca="1">TblProd[[#This Row],[Lumber]]</f>
        <v>46464</v>
      </c>
      <c r="BL50" s="96">
        <f ca="1">TblProd[[#This Row],[Mana]]</f>
        <v>0</v>
      </c>
      <c r="BM50" s="96">
        <f ca="1">TblProd[[#This Row],[Ore]]</f>
        <v>0</v>
      </c>
    </row>
    <row r="51" spans="1:65" x14ac:dyDescent="0.2">
      <c r="A51" s="139">
        <v>48</v>
      </c>
      <c r="B51" s="154">
        <f ca="1">TblImps[[#This Row],[Time]]</f>
        <v>45733.958333333219</v>
      </c>
      <c r="C51" s="155"/>
      <c r="D51" s="156"/>
      <c r="E51" s="96">
        <f ca="1">TblConstr[[#This Row],[Land]]</f>
        <v>250</v>
      </c>
      <c r="F51" s="96">
        <f ca="1">TblPop[[#This Row],[Peasants]]</f>
        <v>1532</v>
      </c>
      <c r="G51" s="96">
        <f ca="1">TblMili[[#This Row],[Networth (2)]]</f>
        <v>6450</v>
      </c>
      <c r="H51" s="96">
        <f ca="1">OFFSET(TblProd[[#This Row],[Platinum]],-1,0)+OFFSET(TblProd[[#This Row],[Plat/hr]],-1,0) - TblProd[[#This Row],[Expenses Platinum]] + IF(TblProd[[#This Row],[Plat Bonus]],TblPop[[#This Row],[Peasants]]*4) + SUM(TblConstr[[#This Row],[Dest Hom]:[Dest Doc]])*TblConstr[[#This Row],[CPA Platinum -DB]]*tech_3_3_2*TblTech[[#This Row],[3-3]]</f>
        <v>378720</v>
      </c>
      <c r="I51" s="96">
        <f ca="1">OFFSET(TblProd[[#This Row],[Food]],-1,0)+OFFSET(TblProd[[#This Row],[Food/hr]],-1,0)+ROUNDUP((TblConstr[[#This Row],[Farms]]*80+TblConstr[[#This Row],[Docks]]*35)*(1+OFFSET(TblProd[[#This Row],[Bonus Food/hr]],-1,0)),0)</f>
        <v>85469</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5486</v>
      </c>
      <c r="T51" s="96">
        <f ca="1">ROUND(TblProd[[#This Row],[Raw Food/hr]]*(1+TblProd[[#This Row],[Bonus Food/hr]])-TblProd[[#This Row],[Food decay]]-TblProd[[#This Row],[Food eaten]],0)</f>
        <v>1136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5486.4000000000005</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854.69</v>
      </c>
      <c r="AP51" s="96">
        <f ca="1">(1+race_food_consumption)*TblPop[[#This Row],[Total]]*food_per_person*(1+tech_1_10*TblTech[[#This Row],[1-10]]+tech_7_5*TblTech[[#This Row],[7-5]] + IF(TblMagic[[#This Row],[Active Demonic Pact]]&gt;0,demonic_pact_food_cons,0))</f>
        <v>589.5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45733.958333333219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378720</v>
      </c>
      <c r="BJ51" s="96">
        <f ca="1">TblProd[[#This Row],[Food]]</f>
        <v>85469</v>
      </c>
      <c r="BK51" s="96">
        <f ca="1">TblProd[[#This Row],[Lumber]]</f>
        <v>46999</v>
      </c>
      <c r="BL51" s="96">
        <f ca="1">TblProd[[#This Row],[Mana]]</f>
        <v>0</v>
      </c>
      <c r="BM51" s="96">
        <f ca="1">TblProd[[#This Row],[Ore]]</f>
        <v>0</v>
      </c>
    </row>
    <row r="52" spans="1:65" x14ac:dyDescent="0.2">
      <c r="A52" s="139">
        <v>49</v>
      </c>
      <c r="B52" s="154">
        <f ca="1">TblImps[[#This Row],[Time]]</f>
        <v>45733.999999999884</v>
      </c>
      <c r="C52" s="155"/>
      <c r="D52" s="156"/>
      <c r="E52" s="96">
        <f ca="1">TblConstr[[#This Row],[Land]]</f>
        <v>250</v>
      </c>
      <c r="F52" s="96">
        <f ca="1">TblPop[[#This Row],[Peasants]]</f>
        <v>1532</v>
      </c>
      <c r="G52" s="96">
        <f ca="1">TblMili[[#This Row],[Networth (2)]]</f>
        <v>6450</v>
      </c>
      <c r="H52" s="96">
        <f ca="1">OFFSET(TblProd[[#This Row],[Platinum]],-1,0)+OFFSET(TblProd[[#This Row],[Plat/hr]],-1,0) - TblProd[[#This Row],[Expenses Platinum]] + IF(TblProd[[#This Row],[Plat Bonus]],TblPop[[#This Row],[Peasants]]*4) + SUM(TblConstr[[#This Row],[Dest Hom]:[Dest Doc]])*TblConstr[[#This Row],[CPA Platinum -DB]]*tech_3_3_2*TblTech[[#This Row],[3-3]]</f>
        <v>384206</v>
      </c>
      <c r="I52" s="96">
        <f ca="1">OFFSET(TblProd[[#This Row],[Food]],-1,0)+OFFSET(TblProd[[#This Row],[Food/hr]],-1,0)+ROUNDUP((TblConstr[[#This Row],[Farms]]*80+TblConstr[[#This Row],[Docks]]*35)*(1+OFFSET(TblProd[[#This Row],[Bonus Food/hr]],-1,0)),0)</f>
        <v>86605</v>
      </c>
      <c r="J52" s="96">
        <f ca="1">OFFSET(TblProd[[#This Row],[Lumber]],-1,0)+OFFSET(TblProd[[#This Row],[Lumber/hr]],-1,0) - TblProd[[#This Row],[Expenses Lumber]] + SUM(TblConstr[[#This Row],[Dest Hom]:[Dest Doc]])*TblConstr[[#This Row],[CPA Lumber -DB]]*tech_3_3_2*TblTech[[#This Row],[3-3]]</f>
        <v>47529</v>
      </c>
      <c r="K52" s="96">
        <f ca="1">OFFSET(TblProd[[#This Row],[Mana]],-1,0)+OFFSET(TblProd[[#This Row],[Mana/hr]],-1,0)- TblProd[[#This Row],[Expenses Mana]]</f>
        <v>0</v>
      </c>
      <c r="L52" s="96">
        <f ca="1">OFFSET(TblProd[[#This Row],[Ore]],-1,0)+OFFSET(TblProd[[#This Row],[Ore/hr]],-1,0) -TblProd[[#This Row],[Expenses Ore]]</f>
        <v>0</v>
      </c>
      <c r="M52" s="96">
        <f ca="1">OFFSET(TblProd[[#This Row],[Gems]],-1,0)+OFFSET(TblProd[[#This Row],[Gems/hr]],-1,0) - TblProd[[#This Row],[Expenses Gems]]</f>
        <v>0</v>
      </c>
      <c r="N52" s="96">
        <f ca="1">OFFSET(TblProd[[#This Row],[Boats]],-1,0)+OFFSET(TblProd[[#This Row],[Boats/hr]],-1,0)</f>
        <v>0</v>
      </c>
      <c r="O52" s="96">
        <f ca="1">OFFSET(TblProd[[#This Row],[Prestige]],-1,0)</f>
        <v>250</v>
      </c>
      <c r="P5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6">
        <f ca="1">MAX(3750,_xlfn.CEILING.MATH(TblProd[[#This Row],[Land]]*2.5+OFFSET(TblTech[[#This Row],[Sum of tech]],-1,0)*150))</f>
        <v>3750</v>
      </c>
      <c r="R52" s="144"/>
      <c r="S52" s="96">
        <f ca="1">ROUNDDOWN(TblProd[[#This Row],[Raw Plat/hr]]*(1+TblProd[[#This Row],[Bonus Plat/hr]]),0)</f>
        <v>5486</v>
      </c>
      <c r="T52" s="96">
        <f ca="1">ROUND(TblProd[[#This Row],[Raw Food/hr]]*(1+TblProd[[#This Row],[Bonus Food/hr]])-TblProd[[#This Row],[Food decay]]-TblProd[[#This Row],[Food eaten]],0)</f>
        <v>1124</v>
      </c>
      <c r="U52" s="96">
        <f ca="1">ROUND(TblProd[[#This Row],[Raw Lumber/hr]]*(1+TblProd[[#This Row],[Bonus Lumber/hr]])-TblProd[[#This Row],[Lumber rot]],0)</f>
        <v>525</v>
      </c>
      <c r="V52" s="96">
        <f ca="1">ROUND(TblProd[[#This Row],[Raw Mana/hr]]*(1+TblProd[[#This Row],[Bonus Mana/hr]])-TblProd[[#This Row],[Mana drain]],0)</f>
        <v>0</v>
      </c>
      <c r="W52" s="96">
        <f ca="1">ROUNDDOWN(TblProd[[#This Row],[Raw Ore/hr]]*(1+TblProd[[#This Row],[Bonux Ore/hr]]),0)</f>
        <v>0</v>
      </c>
      <c r="X52" s="96">
        <f ca="1">ROUNDDOWN(TblProd[[#This Row],[Raw Gems/hr]]*(1+TblProd[[#This Row],[Bonus Gems/hr]]),0)</f>
        <v>0</v>
      </c>
      <c r="Y52" s="157">
        <f ca="1">OFFSET(TblConstr[[#This Row],[Tot Doc]],1,0)*dock_boats_hr * (1 + tech_4_1*TblTech[[#This Row],[4-1]])</f>
        <v>0</v>
      </c>
      <c r="Z52" s="156"/>
      <c r="AA52" s="96">
        <f ca="1">TblPop[[#This Row],[Peasants]]*tax*TblPop[[#This Row],[Employment]] + (Construction!AZ53+Construction!BX53)*(alch_plat+(Magic!AN52&gt;0)*alchemist_flame_bonus)</f>
        <v>5486.4000000000005</v>
      </c>
      <c r="AB52" s="96">
        <f ca="1">TblConstr[[#This Row],[Tot Farm]]*farm_food + TblConstr[[#This Row],[Tot Doc]]*dock_food</f>
        <v>2400</v>
      </c>
      <c r="AC52" s="96">
        <f ca="1">TblConstr[[#This Row],[Tot Ly]]*ly_lumber + TblConstr[[#This Row],[Tot Hav]]*fh_lumber + IF(race="Wood Elf",TblMili[[#This Row],[Unit 2]]*MIN(TblMili[[#This Row],[Homeland%]]/wisp_bonus,wisp_cap),0)</f>
        <v>1000</v>
      </c>
      <c r="AD52" s="96">
        <f ca="1">OFFSET(TblConstr[[#This Row],[Tot Tow]],1,0)*(tower_mana + tech_4_5*TblTech[[#This Row],[4-5]]) + OFFSET(TblConstr[[#This Row],[Tot WG]],1,0)*wg_mana_prod</f>
        <v>0</v>
      </c>
      <c r="AE52" s="96">
        <f ca="1">OFFSET(TblConstr[[#This Row],[Tot OM]],1,0)*om_ore+IF(race="Dwarf",TblMili[[#This Row],[Unit 2]]*0.5,0)</f>
        <v>0</v>
      </c>
      <c r="AF52" s="96">
        <f ca="1">OFFSET(TblConstr[[#This Row],[Tot DM]],1,0)*dm_gems</f>
        <v>0</v>
      </c>
      <c r="AG52" s="144"/>
      <c r="AH52" s="158">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8">
        <f ca="1">race_lumber_bonus+ IF(TblMagic[[#This Row],[Active Gaia''s Blessing]]&gt;0,gaias_blessing_lumber)+ tech_1_3*TblTech[[#This Row],[1-3]] + tech_1_6*TblTech[[#This Row],[1-6]] + tech_3_3*TblTech[[#This Row],[3-3]]</f>
        <v>0</v>
      </c>
      <c r="AK52" s="158">
        <f ca="1">race_mana_bonus+ 0 + TblImps[[#This Row],[Spires]] + tech_1_2*TblTech[[#This Row],[1-2]] + tech_3_4*TblTech[[#This Row],[3-4]]</f>
        <v>0</v>
      </c>
      <c r="AL52" s="158">
        <f ca="1">race_ore_bonus + IF(TblMagic[[#This Row],[Active Miner''s Sight]]&gt;0,miners_sight_bonus,IF(TblMagic[[#This Row],[Active Mining Strength]]&gt;0,mining_strength_bonus)) +  tech_1_6*TblTech[[#This Row],[1-6]]</f>
        <v>0</v>
      </c>
      <c r="AM52" s="158">
        <f>race_gem_bonus+ tech_3_2*TblTech[[#This Row],[3-2]] + tech_4_3*TblTech[[#This Row],[4-3]] + tech_6_2*TblTech[[#This Row],[6-2]]</f>
        <v>0</v>
      </c>
      <c r="AN52" s="144"/>
      <c r="AO52" s="96">
        <f ca="1">TblProd[[#This Row],[Food]]*food_decay * (1 + tech_2_1*TblTech[[#This Row],[2-1]] + tech_2_8*TblTech[[#This Row],[2-8]] + IF(AND(TblMagic[[#This Row],[Active DnD]]&lt;12,TblMagic[[#This Row],[Active DnD]]&gt;5),1,0))</f>
        <v>866.05000000000007</v>
      </c>
      <c r="AP52" s="96">
        <f ca="1">(1+race_food_consumption)*TblPop[[#This Row],[Total]]*food_per_person*(1+tech_1_10*TblTech[[#This Row],[1-10]]+tech_7_5*TblTech[[#This Row],[7-5]] + IF(TblMagic[[#This Row],[Active Demonic Pact]]&gt;0,demonic_pact_food_cons,0))</f>
        <v>589.5</v>
      </c>
      <c r="AQ52" s="96">
        <f ca="1">TblProd[[#This Row],[Lumber]]*lumber_rot * (1 + tech_2_1*TblTech[[#This Row],[2-1]] + tech_2_8*TblTech[[#This Row],[2-8]] + tech_5_2*TblTech[[#This Row],[5-2]] + IF(AND(TblMagic[[#This Row],[Active DnD]]&lt;12,TblMagic[[#This Row],[Active DnD]]&gt;5),1,0))</f>
        <v>475.29</v>
      </c>
      <c r="AR52" s="96">
        <f ca="1">TblProd[[#This Row],[Mana]]*mana_drain * (1 + tech_2_1*TblTech[[#This Row],[2-1]] + tech_2_8*TblTech[[#This Row],[2-8]])</f>
        <v>0</v>
      </c>
      <c r="AS52" s="156"/>
      <c r="AT52" s="96">
        <f ca="1">TblExplore[[#This Row],[Platinum (2)]]+TblConstr[[#This Row],[Total Plat Cost]]+TblMili[[#This Row],[Plat Cost]]+TblRezone[[#This Row],[Platinum cost]]+TblImps[[#This Row],[P1]]-TblProd[[#This Row],[Bank Plat]]</f>
        <v>0</v>
      </c>
      <c r="AU52" s="96">
        <f ca="1">TblConstr[[#This Row],[Total Lum Cost]]+TblImps[[#This Row],[L1]]-TblProd[[#This Row],[Bank Lumber]] + Military!$CO$25*TblMili[[#This Row],[Sec. rec. Cost]]</f>
        <v>0</v>
      </c>
      <c r="AV52" s="96">
        <f ca="1">TblMagic[[#This Row],[Mana cost]] + Military!$CO$26*TblMili[[#This Row],[Sec. rec. Cost]]</f>
        <v>0</v>
      </c>
      <c r="AW52" s="96">
        <f ca="1">Military!$CO$24*TblMili[[#This Row],[Sec. rec. Cost]]+TblImps[[#This Row],[O1]]-TblProd[[#This Row],[Bank Ore]]</f>
        <v>0</v>
      </c>
      <c r="AX52" s="96">
        <f>TblImps[[#This Row],[G1]]-TblProd[[#This Row],[Bank Gems]]</f>
        <v>0</v>
      </c>
      <c r="AY52" s="144"/>
      <c r="AZ52" s="61" t="b">
        <f ca="1">IF(TblProd[[#This Row],[Set Guard]]&lt;&gt;"",TblProd[[#This Row],[Set Guard]],OFFSET(TblProd[[#This Row],[Guard]],-1,0))</f>
        <v>0</v>
      </c>
      <c r="BA52" s="155"/>
      <c r="BB52" s="45">
        <f>TblProd[[#This Row],[Hour]]</f>
        <v>49</v>
      </c>
      <c r="BC52" s="160">
        <f>-TblProd[[#This Row],[Bank Lumber]] / 2 + -TblProd[[#This Row],[Bank Gems]] * 2 + -TblProd[[#This Row],[Bank Ore]] / 2</f>
        <v>0</v>
      </c>
      <c r="BD52" s="160"/>
      <c r="BE52" s="160"/>
      <c r="BF52" s="160"/>
      <c r="BG52" s="161">
        <f ca="1">TblProd[[#This Row],[Time]]</f>
        <v>45733.999999999884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6">
        <f ca="1">TblProd[[#This Row],[Platinum]]</f>
        <v>384206</v>
      </c>
      <c r="BJ52" s="96">
        <f ca="1">TblProd[[#This Row],[Food]]</f>
        <v>86605</v>
      </c>
      <c r="BK52" s="96">
        <f ca="1">TblProd[[#This Row],[Lumber]]</f>
        <v>47529</v>
      </c>
      <c r="BL52" s="96">
        <f ca="1">TblProd[[#This Row],[Mana]]</f>
        <v>0</v>
      </c>
      <c r="BM52" s="96">
        <f ca="1">TblProd[[#This Row],[Ore]]</f>
        <v>0</v>
      </c>
    </row>
    <row r="53" spans="1:65" x14ac:dyDescent="0.2">
      <c r="A53" s="139">
        <v>50</v>
      </c>
      <c r="B53" s="154">
        <f ca="1">TblImps[[#This Row],[Time]]</f>
        <v>45734.041666666548</v>
      </c>
      <c r="C53" s="155"/>
      <c r="D53" s="156"/>
      <c r="E53" s="96">
        <f ca="1">TblConstr[[#This Row],[Land]]</f>
        <v>250</v>
      </c>
      <c r="F53" s="96">
        <f ca="1">TblPop[[#This Row],[Peasants]]</f>
        <v>1532</v>
      </c>
      <c r="G53" s="96">
        <f ca="1">TblMili[[#This Row],[Networth (2)]]</f>
        <v>6450</v>
      </c>
      <c r="H53" s="96">
        <f ca="1">OFFSET(TblProd[[#This Row],[Platinum]],-1,0)+OFFSET(TblProd[[#This Row],[Plat/hr]],-1,0) - TblProd[[#This Row],[Expenses Platinum]] + IF(TblProd[[#This Row],[Plat Bonus]],TblPop[[#This Row],[Peasants]]*4) + SUM(TblConstr[[#This Row],[Dest Hom]:[Dest Doc]])*TblConstr[[#This Row],[CPA Platinum -DB]]*tech_3_3_2*TblTech[[#This Row],[3-3]]</f>
        <v>389692</v>
      </c>
      <c r="I53" s="96">
        <f ca="1">OFFSET(TblProd[[#This Row],[Food]],-1,0)+OFFSET(TblProd[[#This Row],[Food/hr]],-1,0)+ROUNDUP((TblConstr[[#This Row],[Farms]]*80+TblConstr[[#This Row],[Docks]]*35)*(1+OFFSET(TblProd[[#This Row],[Bonus Food/hr]],-1,0)),0)</f>
        <v>87729</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5486</v>
      </c>
      <c r="T53" s="96">
        <f ca="1">ROUND(TblProd[[#This Row],[Raw Food/hr]]*(1+TblProd[[#This Row],[Bonus Food/hr]])-TblProd[[#This Row],[Food decay]]-TblProd[[#This Row],[Food eaten]],0)</f>
        <v>1113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5486.4000000000005</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877.29</v>
      </c>
      <c r="AP53" s="96">
        <f ca="1">(1+race_food_consumption)*TblPop[[#This Row],[Total]]*food_per_person*(1+tech_1_10*TblTech[[#This Row],[1-10]]+tech_7_5*TblTech[[#This Row],[7-5]] + IF(TblMagic[[#This Row],[Active Demonic Pact]]&gt;0,demonic_pact_food_cons,0))</f>
        <v>589.5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50</v>
      </c>
      <c r="BC53" s="160">
        <f>-TblProd[[#This Row],[Bank Lumber]] / 2 + -TblProd[[#This Row],[Bank Gems]] * 2 + -TblProd[[#This Row],[Bank Ore]] / 2</f>
        <v>0</v>
      </c>
      <c r="BD53" s="160"/>
      <c r="BE53" s="160"/>
      <c r="BF53" s="160"/>
      <c r="BG53" s="161">
        <f ca="1">TblProd[[#This Row],[Time]]</f>
        <v>45734.041666666548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389692</v>
      </c>
      <c r="BJ53" s="96">
        <f ca="1">TblProd[[#This Row],[Food]]</f>
        <v>87729</v>
      </c>
      <c r="BK53" s="96">
        <f ca="1">TblProd[[#This Row],[Lumber]]</f>
        <v>48054</v>
      </c>
      <c r="BL53" s="96">
        <f ca="1">TblProd[[#This Row],[Mana]]</f>
        <v>0</v>
      </c>
      <c r="BM53" s="96">
        <f ca="1">TblProd[[#This Row],[Ore]]</f>
        <v>0</v>
      </c>
    </row>
    <row r="54" spans="1:65" x14ac:dyDescent="0.2">
      <c r="A54" s="139">
        <v>51</v>
      </c>
      <c r="B54" s="154">
        <f ca="1">TblImps[[#This Row],[Time]]</f>
        <v>45734.083333333212</v>
      </c>
      <c r="C54" s="155"/>
      <c r="D54" s="156"/>
      <c r="E54" s="96">
        <f ca="1">TblConstr[[#This Row],[Land]]</f>
        <v>250</v>
      </c>
      <c r="F54" s="96">
        <f ca="1">TblPop[[#This Row],[Peasants]]</f>
        <v>1532</v>
      </c>
      <c r="G54" s="96">
        <f ca="1">TblMili[[#This Row],[Networth (2)]]</f>
        <v>6450</v>
      </c>
      <c r="H54" s="96">
        <f ca="1">OFFSET(TblProd[[#This Row],[Platinum]],-1,0)+OFFSET(TblProd[[#This Row],[Plat/hr]],-1,0) - TblProd[[#This Row],[Expenses Platinum]] + IF(TblProd[[#This Row],[Plat Bonus]],TblPop[[#This Row],[Peasants]]*4) + SUM(TblConstr[[#This Row],[Dest Hom]:[Dest Doc]])*TblConstr[[#This Row],[CPA Platinum -DB]]*tech_3_3_2*TblTech[[#This Row],[3-3]]</f>
        <v>395178</v>
      </c>
      <c r="I54" s="96">
        <f ca="1">OFFSET(TblProd[[#This Row],[Food]],-1,0)+OFFSET(TblProd[[#This Row],[Food/hr]],-1,0)+ROUNDUP((TblConstr[[#This Row],[Farms]]*80+TblConstr[[#This Row],[Docks]]*35)*(1+OFFSET(TblProd[[#This Row],[Bonus Food/hr]],-1,0)),0)</f>
        <v>88842</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5486</v>
      </c>
      <c r="T54" s="96">
        <f ca="1">ROUND(TblProd[[#This Row],[Raw Food/hr]]*(1+TblProd[[#This Row],[Bonus Food/hr]])-TblProd[[#This Row],[Food decay]]-TblProd[[#This Row],[Food eaten]],0)</f>
        <v>1102</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5486.4000000000005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888.42000000000007</v>
      </c>
      <c r="AP54" s="96">
        <f ca="1">(1+race_food_consumption)*TblPop[[#This Row],[Total]]*food_per_person*(1+tech_1_10*TblTech[[#This Row],[1-10]]+tech_7_5*TblTech[[#This Row],[7-5]] + IF(TblMagic[[#This Row],[Active Demonic Pact]]&gt;0,demonic_pact_food_cons,0))</f>
        <v>589.5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51</v>
      </c>
      <c r="BC54" s="160">
        <f>-TblProd[[#This Row],[Bank Lumber]] / 2 + -TblProd[[#This Row],[Bank Gems]] * 2 + -TblProd[[#This Row],[Bank Ore]] / 2</f>
        <v>0</v>
      </c>
      <c r="BD54" s="160"/>
      <c r="BE54" s="160"/>
      <c r="BF54" s="160"/>
      <c r="BG54" s="161">
        <f ca="1">TblProd[[#This Row],[Time]]</f>
        <v>45734.083333333212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395178</v>
      </c>
      <c r="BJ54" s="96">
        <f ca="1">TblProd[[#This Row],[Food]]</f>
        <v>88842</v>
      </c>
      <c r="BK54" s="96">
        <f ca="1">TblProd[[#This Row],[Lumber]]</f>
        <v>48573</v>
      </c>
      <c r="BL54" s="96">
        <f ca="1">TblProd[[#This Row],[Mana]]</f>
        <v>0</v>
      </c>
      <c r="BM54" s="96">
        <f ca="1">TblProd[[#This Row],[Ore]]</f>
        <v>0</v>
      </c>
    </row>
    <row r="55" spans="1:65" x14ac:dyDescent="0.2">
      <c r="A55" s="139">
        <v>52</v>
      </c>
      <c r="B55" s="154">
        <f ca="1">TblImps[[#This Row],[Time]]</f>
        <v>45734.124999999876</v>
      </c>
      <c r="C55" s="155"/>
      <c r="D55" s="156"/>
      <c r="E55" s="96">
        <f ca="1">TblConstr[[#This Row],[Land]]</f>
        <v>250</v>
      </c>
      <c r="F55" s="96">
        <f ca="1">TblPop[[#This Row],[Peasants]]</f>
        <v>1532</v>
      </c>
      <c r="G55" s="96">
        <f ca="1">TblMili[[#This Row],[Networth (2)]]</f>
        <v>6450</v>
      </c>
      <c r="H55" s="96">
        <f ca="1">OFFSET(TblProd[[#This Row],[Platinum]],-1,0)+OFFSET(TblProd[[#This Row],[Plat/hr]],-1,0) - TblProd[[#This Row],[Expenses Platinum]] + IF(TblProd[[#This Row],[Plat Bonus]],TblPop[[#This Row],[Peasants]]*4) + SUM(TblConstr[[#This Row],[Dest Hom]:[Dest Doc]])*TblConstr[[#This Row],[CPA Platinum -DB]]*tech_3_3_2*TblTech[[#This Row],[3-3]]</f>
        <v>400664</v>
      </c>
      <c r="I55" s="96">
        <f ca="1">OFFSET(TblProd[[#This Row],[Food]],-1,0)+OFFSET(TblProd[[#This Row],[Food/hr]],-1,0)+ROUNDUP((TblConstr[[#This Row],[Farms]]*80+TblConstr[[#This Row],[Docks]]*35)*(1+OFFSET(TblProd[[#This Row],[Bonus Food/hr]],-1,0)),0)</f>
        <v>89944</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5486</v>
      </c>
      <c r="T55" s="96">
        <f ca="1">ROUND(TblProd[[#This Row],[Raw Food/hr]]*(1+TblProd[[#This Row],[Bonus Food/hr]])-TblProd[[#This Row],[Food decay]]-TblProd[[#This Row],[Food eaten]],0)</f>
        <v>1091</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5486.4000000000005</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899.44</v>
      </c>
      <c r="AP55" s="96">
        <f ca="1">(1+race_food_consumption)*TblPop[[#This Row],[Total]]*food_per_person*(1+tech_1_10*TblTech[[#This Row],[1-10]]+tech_7_5*TblTech[[#This Row],[7-5]] + IF(TblMagic[[#This Row],[Active Demonic Pact]]&gt;0,demonic_pact_food_cons,0))</f>
        <v>589.5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52</v>
      </c>
      <c r="BC55" s="160">
        <f>-TblProd[[#This Row],[Bank Lumber]] / 2 + -TblProd[[#This Row],[Bank Gems]] * 2 + -TblProd[[#This Row],[Bank Ore]] / 2</f>
        <v>0</v>
      </c>
      <c r="BD55" s="160"/>
      <c r="BE55" s="160"/>
      <c r="BF55" s="160"/>
      <c r="BG55" s="161">
        <f ca="1">TblProd[[#This Row],[Time]]</f>
        <v>45734.124999999876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400664</v>
      </c>
      <c r="BJ55" s="96">
        <f ca="1">TblProd[[#This Row],[Food]]</f>
        <v>89944</v>
      </c>
      <c r="BK55" s="96">
        <f ca="1">TblProd[[#This Row],[Lumber]]</f>
        <v>49087</v>
      </c>
      <c r="BL55" s="96">
        <f ca="1">TblProd[[#This Row],[Mana]]</f>
        <v>0</v>
      </c>
      <c r="BM55" s="96">
        <f ca="1">TblProd[[#This Row],[Ore]]</f>
        <v>0</v>
      </c>
    </row>
    <row r="56" spans="1:65" x14ac:dyDescent="0.2">
      <c r="A56" s="139">
        <v>53</v>
      </c>
      <c r="B56" s="154">
        <f ca="1">TblImps[[#This Row],[Time]]</f>
        <v>45734.166666666541</v>
      </c>
      <c r="C56" s="155"/>
      <c r="D56" s="156"/>
      <c r="E56" s="96">
        <f ca="1">TblConstr[[#This Row],[Land]]</f>
        <v>250</v>
      </c>
      <c r="F56" s="96">
        <f ca="1">TblPop[[#This Row],[Peasants]]</f>
        <v>1532</v>
      </c>
      <c r="G56" s="96">
        <f ca="1">TblMili[[#This Row],[Networth (2)]]</f>
        <v>6450</v>
      </c>
      <c r="H56" s="96">
        <f ca="1">OFFSET(TblProd[[#This Row],[Platinum]],-1,0)+OFFSET(TblProd[[#This Row],[Plat/hr]],-1,0) - TblProd[[#This Row],[Expenses Platinum]] + IF(TblProd[[#This Row],[Plat Bonus]],TblPop[[#This Row],[Peasants]]*4) + SUM(TblConstr[[#This Row],[Dest Hom]:[Dest Doc]])*TblConstr[[#This Row],[CPA Platinum -DB]]*tech_3_3_2*TblTech[[#This Row],[3-3]]</f>
        <v>406150</v>
      </c>
      <c r="I56" s="96">
        <f ca="1">OFFSET(TblProd[[#This Row],[Food]],-1,0)+OFFSET(TblProd[[#This Row],[Food/hr]],-1,0)+ROUNDUP((TblConstr[[#This Row],[Farms]]*80+TblConstr[[#This Row],[Docks]]*35)*(1+OFFSET(TblProd[[#This Row],[Bonus Food/hr]],-1,0)),0)</f>
        <v>91035</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5486</v>
      </c>
      <c r="T56" s="96">
        <f ca="1">ROUND(TblProd[[#This Row],[Raw Food/hr]]*(1+TblProd[[#This Row],[Bonus Food/hr]])-TblProd[[#This Row],[Food decay]]-TblProd[[#This Row],[Food eaten]],0)</f>
        <v>1080</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5486.4000000000005</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910.35</v>
      </c>
      <c r="AP56" s="96">
        <f ca="1">(1+race_food_consumption)*TblPop[[#This Row],[Total]]*food_per_person*(1+tech_1_10*TblTech[[#This Row],[1-10]]+tech_7_5*TblTech[[#This Row],[7-5]] + IF(TblMagic[[#This Row],[Active Demonic Pact]]&gt;0,demonic_pact_food_cons,0))</f>
        <v>589.5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53</v>
      </c>
      <c r="BC56" s="160">
        <f>-TblProd[[#This Row],[Bank Lumber]] / 2 + -TblProd[[#This Row],[Bank Gems]] * 2 + -TblProd[[#This Row],[Bank Ore]] / 2</f>
        <v>0</v>
      </c>
      <c r="BD56" s="160"/>
      <c r="BE56" s="160"/>
      <c r="BF56" s="160"/>
      <c r="BG56" s="161">
        <f ca="1">TblProd[[#This Row],[Time]]</f>
        <v>45734.166666666541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406150</v>
      </c>
      <c r="BJ56" s="96">
        <f ca="1">TblProd[[#This Row],[Food]]</f>
        <v>91035</v>
      </c>
      <c r="BK56" s="96">
        <f ca="1">TblProd[[#This Row],[Lumber]]</f>
        <v>49596</v>
      </c>
      <c r="BL56" s="96">
        <f ca="1">TblProd[[#This Row],[Mana]]</f>
        <v>0</v>
      </c>
      <c r="BM56" s="96">
        <f ca="1">TblProd[[#This Row],[Ore]]</f>
        <v>0</v>
      </c>
    </row>
    <row r="57" spans="1:65" x14ac:dyDescent="0.2">
      <c r="A57" s="139">
        <v>54</v>
      </c>
      <c r="B57" s="154">
        <f ca="1">TblImps[[#This Row],[Time]]</f>
        <v>45734.208333333205</v>
      </c>
      <c r="C57" s="155"/>
      <c r="D57" s="156"/>
      <c r="E57" s="96">
        <f ca="1">TblConstr[[#This Row],[Land]]</f>
        <v>250</v>
      </c>
      <c r="F57" s="96">
        <f ca="1">TblPop[[#This Row],[Peasants]]</f>
        <v>1532</v>
      </c>
      <c r="G57" s="96">
        <f ca="1">TblMili[[#This Row],[Networth (2)]]</f>
        <v>6450</v>
      </c>
      <c r="H57" s="96">
        <f ca="1">OFFSET(TblProd[[#This Row],[Platinum]],-1,0)+OFFSET(TblProd[[#This Row],[Plat/hr]],-1,0) - TblProd[[#This Row],[Expenses Platinum]] + IF(TblProd[[#This Row],[Plat Bonus]],TblPop[[#This Row],[Peasants]]*4) + SUM(TblConstr[[#This Row],[Dest Hom]:[Dest Doc]])*TblConstr[[#This Row],[CPA Platinum -DB]]*tech_3_3_2*TblTech[[#This Row],[3-3]]</f>
        <v>411636</v>
      </c>
      <c r="I57" s="96">
        <f ca="1">OFFSET(TblProd[[#This Row],[Food]],-1,0)+OFFSET(TblProd[[#This Row],[Food/hr]],-1,0)+ROUNDUP((TblConstr[[#This Row],[Farms]]*80+TblConstr[[#This Row],[Docks]]*35)*(1+OFFSET(TblProd[[#This Row],[Bonus Food/hr]],-1,0)),0)</f>
        <v>92115</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5486</v>
      </c>
      <c r="T57" s="96">
        <f ca="1">ROUND(TblProd[[#This Row],[Raw Food/hr]]*(1+TblProd[[#This Row],[Bonus Food/hr]])-TblProd[[#This Row],[Food decay]]-TblProd[[#This Row],[Food eaten]],0)</f>
        <v>1069</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5486.4000000000005</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921.15</v>
      </c>
      <c r="AP57" s="96">
        <f ca="1">(1+race_food_consumption)*TblPop[[#This Row],[Total]]*food_per_person*(1+tech_1_10*TblTech[[#This Row],[1-10]]+tech_7_5*TblTech[[#This Row],[7-5]] + IF(TblMagic[[#This Row],[Active Demonic Pact]]&gt;0,demonic_pact_food_cons,0))</f>
        <v>589.5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54</v>
      </c>
      <c r="BC57" s="160">
        <f>-TblProd[[#This Row],[Bank Lumber]] / 2 + -TblProd[[#This Row],[Bank Gems]] * 2 + -TblProd[[#This Row],[Bank Ore]] / 2</f>
        <v>0</v>
      </c>
      <c r="BD57" s="160"/>
      <c r="BE57" s="160"/>
      <c r="BF57" s="160"/>
      <c r="BG57" s="161">
        <f ca="1">TblProd[[#This Row],[Time]]</f>
        <v>45734.208333333205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411636</v>
      </c>
      <c r="BJ57" s="96">
        <f ca="1">TblProd[[#This Row],[Food]]</f>
        <v>92115</v>
      </c>
      <c r="BK57" s="96">
        <f ca="1">TblProd[[#This Row],[Lumber]]</f>
        <v>50100</v>
      </c>
      <c r="BL57" s="96">
        <f ca="1">TblProd[[#This Row],[Mana]]</f>
        <v>0</v>
      </c>
      <c r="BM57" s="96">
        <f ca="1">TblProd[[#This Row],[Ore]]</f>
        <v>0</v>
      </c>
    </row>
    <row r="58" spans="1:65" x14ac:dyDescent="0.2">
      <c r="A58" s="139">
        <v>55</v>
      </c>
      <c r="B58" s="154">
        <f ca="1">TblImps[[#This Row],[Time]]</f>
        <v>45734.249999999869</v>
      </c>
      <c r="C58" s="155"/>
      <c r="D58" s="156"/>
      <c r="E58" s="96">
        <f ca="1">TblConstr[[#This Row],[Land]]</f>
        <v>250</v>
      </c>
      <c r="F58" s="96">
        <f ca="1">TblPop[[#This Row],[Peasants]]</f>
        <v>1532</v>
      </c>
      <c r="G58" s="96">
        <f ca="1">TblMili[[#This Row],[Networth (2)]]</f>
        <v>6450</v>
      </c>
      <c r="H58" s="96">
        <f ca="1">OFFSET(TblProd[[#This Row],[Platinum]],-1,0)+OFFSET(TblProd[[#This Row],[Plat/hr]],-1,0) - TblProd[[#This Row],[Expenses Platinum]] + IF(TblProd[[#This Row],[Plat Bonus]],TblPop[[#This Row],[Peasants]]*4) + SUM(TblConstr[[#This Row],[Dest Hom]:[Dest Doc]])*TblConstr[[#This Row],[CPA Platinum -DB]]*tech_3_3_2*TblTech[[#This Row],[3-3]]</f>
        <v>417122</v>
      </c>
      <c r="I58" s="96">
        <f ca="1">OFFSET(TblProd[[#This Row],[Food]],-1,0)+OFFSET(TblProd[[#This Row],[Food/hr]],-1,0)+ROUNDUP((TblConstr[[#This Row],[Farms]]*80+TblConstr[[#This Row],[Docks]]*35)*(1+OFFSET(TblProd[[#This Row],[Bonus Food/hr]],-1,0)),0)</f>
        <v>93184</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5486</v>
      </c>
      <c r="T58" s="96">
        <f ca="1">ROUND(TblProd[[#This Row],[Raw Food/hr]]*(1+TblProd[[#This Row],[Bonus Food/hr]])-TblProd[[#This Row],[Food decay]]-TblProd[[#This Row],[Food eaten]],0)</f>
        <v>1059</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5486.4000000000005</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931.84</v>
      </c>
      <c r="AP58" s="96">
        <f ca="1">(1+race_food_consumption)*TblPop[[#This Row],[Total]]*food_per_person*(1+tech_1_10*TblTech[[#This Row],[1-10]]+tech_7_5*TblTech[[#This Row],[7-5]] + IF(TblMagic[[#This Row],[Active Demonic Pact]]&gt;0,demonic_pact_food_cons,0))</f>
        <v>589.5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55</v>
      </c>
      <c r="BC58" s="160">
        <f>-TblProd[[#This Row],[Bank Lumber]] / 2 + -TblProd[[#This Row],[Bank Gems]] * 2 + -TblProd[[#This Row],[Bank Ore]] / 2</f>
        <v>0</v>
      </c>
      <c r="BD58" s="160"/>
      <c r="BE58" s="160"/>
      <c r="BF58" s="160"/>
      <c r="BG58" s="161">
        <f ca="1">TblProd[[#This Row],[Time]]</f>
        <v>45734.249999999869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417122</v>
      </c>
      <c r="BJ58" s="96">
        <f ca="1">TblProd[[#This Row],[Food]]</f>
        <v>93184</v>
      </c>
      <c r="BK58" s="96">
        <f ca="1">TblProd[[#This Row],[Lumber]]</f>
        <v>50599</v>
      </c>
      <c r="BL58" s="96">
        <f ca="1">TblProd[[#This Row],[Mana]]</f>
        <v>0</v>
      </c>
      <c r="BM58" s="96">
        <f ca="1">TblProd[[#This Row],[Ore]]</f>
        <v>0</v>
      </c>
    </row>
    <row r="59" spans="1:65" x14ac:dyDescent="0.2">
      <c r="A59" s="139">
        <v>56</v>
      </c>
      <c r="B59" s="154">
        <f ca="1">TblImps[[#This Row],[Time]]</f>
        <v>45734.291666666533</v>
      </c>
      <c r="C59" s="155"/>
      <c r="D59" s="156"/>
      <c r="E59" s="96">
        <f ca="1">TblConstr[[#This Row],[Land]]</f>
        <v>250</v>
      </c>
      <c r="F59" s="96">
        <f ca="1">TblPop[[#This Row],[Peasants]]</f>
        <v>1532</v>
      </c>
      <c r="G59" s="96">
        <f ca="1">TblMili[[#This Row],[Networth (2)]]</f>
        <v>6450</v>
      </c>
      <c r="H59" s="96">
        <f ca="1">OFFSET(TblProd[[#This Row],[Platinum]],-1,0)+OFFSET(TblProd[[#This Row],[Plat/hr]],-1,0) - TblProd[[#This Row],[Expenses Platinum]] + IF(TblProd[[#This Row],[Plat Bonus]],TblPop[[#This Row],[Peasants]]*4) + SUM(TblConstr[[#This Row],[Dest Hom]:[Dest Doc]])*TblConstr[[#This Row],[CPA Platinum -DB]]*tech_3_3_2*TblTech[[#This Row],[3-3]]</f>
        <v>422608</v>
      </c>
      <c r="I59" s="96">
        <f ca="1">OFFSET(TblProd[[#This Row],[Food]],-1,0)+OFFSET(TblProd[[#This Row],[Food/hr]],-1,0)+ROUNDUP((TblConstr[[#This Row],[Farms]]*80+TblConstr[[#This Row],[Docks]]*35)*(1+OFFSET(TblProd[[#This Row],[Bonus Food/hr]],-1,0)),0)</f>
        <v>94243</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5486</v>
      </c>
      <c r="T59" s="96">
        <f ca="1">ROUND(TblProd[[#This Row],[Raw Food/hr]]*(1+TblProd[[#This Row],[Bonus Food/hr]])-TblProd[[#This Row],[Food decay]]-TblProd[[#This Row],[Food eaten]],0)</f>
        <v>1048</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5486.4000000000005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942.43000000000006</v>
      </c>
      <c r="AP59" s="96">
        <f ca="1">(1+race_food_consumption)*TblPop[[#This Row],[Total]]*food_per_person*(1+tech_1_10*TblTech[[#This Row],[1-10]]+tech_7_5*TblTech[[#This Row],[7-5]] + IF(TblMagic[[#This Row],[Active Demonic Pact]]&gt;0,demonic_pact_food_cons,0))</f>
        <v>589.5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56</v>
      </c>
      <c r="BC59" s="160">
        <f>-TblProd[[#This Row],[Bank Lumber]] / 2 + -TblProd[[#This Row],[Bank Gems]] * 2 + -TblProd[[#This Row],[Bank Ore]] / 2</f>
        <v>0</v>
      </c>
      <c r="BD59" s="160"/>
      <c r="BE59" s="160"/>
      <c r="BF59" s="160"/>
      <c r="BG59" s="161">
        <f ca="1">TblProd[[#This Row],[Time]]</f>
        <v>45734.291666666533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422608</v>
      </c>
      <c r="BJ59" s="96">
        <f ca="1">TblProd[[#This Row],[Food]]</f>
        <v>94243</v>
      </c>
      <c r="BK59" s="96">
        <f ca="1">TblProd[[#This Row],[Lumber]]</f>
        <v>51093</v>
      </c>
      <c r="BL59" s="96">
        <f ca="1">TblProd[[#This Row],[Mana]]</f>
        <v>0</v>
      </c>
      <c r="BM59" s="96">
        <f ca="1">TblProd[[#This Row],[Ore]]</f>
        <v>0</v>
      </c>
    </row>
    <row r="60" spans="1:65" x14ac:dyDescent="0.2">
      <c r="A60" s="139">
        <v>57</v>
      </c>
      <c r="B60" s="154">
        <f ca="1">TblImps[[#This Row],[Time]]</f>
        <v>45734.333333333198</v>
      </c>
      <c r="C60" s="155"/>
      <c r="D60" s="156"/>
      <c r="E60" s="96">
        <f ca="1">TblConstr[[#This Row],[Land]]</f>
        <v>250</v>
      </c>
      <c r="F60" s="96">
        <f ca="1">TblPop[[#This Row],[Peasants]]</f>
        <v>1532</v>
      </c>
      <c r="G60" s="96">
        <f ca="1">TblMili[[#This Row],[Networth (2)]]</f>
        <v>6450</v>
      </c>
      <c r="H60" s="96">
        <f ca="1">OFFSET(TblProd[[#This Row],[Platinum]],-1,0)+OFFSET(TblProd[[#This Row],[Plat/hr]],-1,0) - TblProd[[#This Row],[Expenses Platinum]] + IF(TblProd[[#This Row],[Plat Bonus]],TblPop[[#This Row],[Peasants]]*4) + SUM(TblConstr[[#This Row],[Dest Hom]:[Dest Doc]])*TblConstr[[#This Row],[CPA Platinum -DB]]*tech_3_3_2*TblTech[[#This Row],[3-3]]</f>
        <v>428094</v>
      </c>
      <c r="I60" s="96">
        <f ca="1">OFFSET(TblProd[[#This Row],[Food]],-1,0)+OFFSET(TblProd[[#This Row],[Food/hr]],-1,0)+ROUNDUP((TblConstr[[#This Row],[Farms]]*80+TblConstr[[#This Row],[Docks]]*35)*(1+OFFSET(TblProd[[#This Row],[Bonus Food/hr]],-1,0)),0)</f>
        <v>95291</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5486</v>
      </c>
      <c r="T60" s="96">
        <f ca="1">ROUND(TblProd[[#This Row],[Raw Food/hr]]*(1+TblProd[[#This Row],[Bonus Food/hr]])-TblProd[[#This Row],[Food decay]]-TblProd[[#This Row],[Food eaten]],0)</f>
        <v>1038</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5486.4000000000005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952.91</v>
      </c>
      <c r="AP60" s="96">
        <f ca="1">(1+race_food_consumption)*TblPop[[#This Row],[Total]]*food_per_person*(1+tech_1_10*TblTech[[#This Row],[1-10]]+tech_7_5*TblTech[[#This Row],[7-5]] + IF(TblMagic[[#This Row],[Active Demonic Pact]]&gt;0,demonic_pact_food_cons,0))</f>
        <v>589.5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57</v>
      </c>
      <c r="BC60" s="160">
        <f>-TblProd[[#This Row],[Bank Lumber]] / 2 + -TblProd[[#This Row],[Bank Gems]] * 2 + -TblProd[[#This Row],[Bank Ore]] / 2</f>
        <v>0</v>
      </c>
      <c r="BD60" s="160"/>
      <c r="BE60" s="160"/>
      <c r="BF60" s="160"/>
      <c r="BG60" s="161">
        <f ca="1">TblProd[[#This Row],[Time]]</f>
        <v>45734.333333333198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428094</v>
      </c>
      <c r="BJ60" s="96">
        <f ca="1">TblProd[[#This Row],[Food]]</f>
        <v>95291</v>
      </c>
      <c r="BK60" s="96">
        <f ca="1">TblProd[[#This Row],[Lumber]]</f>
        <v>51582</v>
      </c>
      <c r="BL60" s="96">
        <f ca="1">TblProd[[#This Row],[Mana]]</f>
        <v>0</v>
      </c>
      <c r="BM60" s="96">
        <f ca="1">TblProd[[#This Row],[Ore]]</f>
        <v>0</v>
      </c>
    </row>
    <row r="61" spans="1:65" x14ac:dyDescent="0.2">
      <c r="A61" s="139">
        <v>58</v>
      </c>
      <c r="B61" s="154">
        <f ca="1">TblImps[[#This Row],[Time]]</f>
        <v>45734.374999999862</v>
      </c>
      <c r="C61" s="155"/>
      <c r="D61" s="156"/>
      <c r="E61" s="96">
        <f ca="1">TblConstr[[#This Row],[Land]]</f>
        <v>250</v>
      </c>
      <c r="F61" s="96">
        <f ca="1">TblPop[[#This Row],[Peasants]]</f>
        <v>1532</v>
      </c>
      <c r="G61" s="96">
        <f ca="1">TblMili[[#This Row],[Networth (2)]]</f>
        <v>6450</v>
      </c>
      <c r="H61" s="96">
        <f ca="1">OFFSET(TblProd[[#This Row],[Platinum]],-1,0)+OFFSET(TblProd[[#This Row],[Plat/hr]],-1,0) - TblProd[[#This Row],[Expenses Platinum]] + IF(TblProd[[#This Row],[Plat Bonus]],TblPop[[#This Row],[Peasants]]*4) + SUM(TblConstr[[#This Row],[Dest Hom]:[Dest Doc]])*TblConstr[[#This Row],[CPA Platinum -DB]]*tech_3_3_2*TblTech[[#This Row],[3-3]]</f>
        <v>433580</v>
      </c>
      <c r="I61" s="96">
        <f ca="1">OFFSET(TblProd[[#This Row],[Food]],-1,0)+OFFSET(TblProd[[#This Row],[Food/hr]],-1,0)+ROUNDUP((TblConstr[[#This Row],[Farms]]*80+TblConstr[[#This Row],[Docks]]*35)*(1+OFFSET(TblProd[[#This Row],[Bonus Food/hr]],-1,0)),0)</f>
        <v>96329</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5486</v>
      </c>
      <c r="T61" s="96">
        <f ca="1">ROUND(TblProd[[#This Row],[Raw Food/hr]]*(1+TblProd[[#This Row],[Bonus Food/hr]])-TblProd[[#This Row],[Food decay]]-TblProd[[#This Row],[Food eaten]],0)</f>
        <v>1027</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5486.4000000000005</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963.29</v>
      </c>
      <c r="AP61" s="96">
        <f ca="1">(1+race_food_consumption)*TblPop[[#This Row],[Total]]*food_per_person*(1+tech_1_10*TblTech[[#This Row],[1-10]]+tech_7_5*TblTech[[#This Row],[7-5]] + IF(TblMagic[[#This Row],[Active Demonic Pact]]&gt;0,demonic_pact_food_cons,0))</f>
        <v>589.5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58</v>
      </c>
      <c r="BC61" s="160">
        <f>-TblProd[[#This Row],[Bank Lumber]] / 2 + -TblProd[[#This Row],[Bank Gems]] * 2 + -TblProd[[#This Row],[Bank Ore]] / 2</f>
        <v>0</v>
      </c>
      <c r="BD61" s="160"/>
      <c r="BE61" s="160"/>
      <c r="BF61" s="160"/>
      <c r="BG61" s="161">
        <f ca="1">TblProd[[#This Row],[Time]]</f>
        <v>45734.374999999862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433580</v>
      </c>
      <c r="BJ61" s="96">
        <f ca="1">TblProd[[#This Row],[Food]]</f>
        <v>96329</v>
      </c>
      <c r="BK61" s="96">
        <f ca="1">TblProd[[#This Row],[Lumber]]</f>
        <v>52066</v>
      </c>
      <c r="BL61" s="96">
        <f ca="1">TblProd[[#This Row],[Mana]]</f>
        <v>0</v>
      </c>
      <c r="BM61" s="96">
        <f ca="1">TblProd[[#This Row],[Ore]]</f>
        <v>0</v>
      </c>
    </row>
    <row r="62" spans="1:65" x14ac:dyDescent="0.2">
      <c r="A62" s="139">
        <v>59</v>
      </c>
      <c r="B62" s="154">
        <f ca="1">TblImps[[#This Row],[Time]]</f>
        <v>45734.416666666526</v>
      </c>
      <c r="C62" s="155"/>
      <c r="D62" s="156"/>
      <c r="E62" s="96">
        <f ca="1">TblConstr[[#This Row],[Land]]</f>
        <v>250</v>
      </c>
      <c r="F62" s="96">
        <f ca="1">TblPop[[#This Row],[Peasants]]</f>
        <v>1532</v>
      </c>
      <c r="G62" s="96">
        <f ca="1">TblMili[[#This Row],[Networth (2)]]</f>
        <v>6450</v>
      </c>
      <c r="H62" s="96">
        <f ca="1">OFFSET(TblProd[[#This Row],[Platinum]],-1,0)+OFFSET(TblProd[[#This Row],[Plat/hr]],-1,0) - TblProd[[#This Row],[Expenses Platinum]] + IF(TblProd[[#This Row],[Plat Bonus]],TblPop[[#This Row],[Peasants]]*4) + SUM(TblConstr[[#This Row],[Dest Hom]:[Dest Doc]])*TblConstr[[#This Row],[CPA Platinum -DB]]*tech_3_3_2*TblTech[[#This Row],[3-3]]</f>
        <v>439066</v>
      </c>
      <c r="I62" s="96">
        <f ca="1">OFFSET(TblProd[[#This Row],[Food]],-1,0)+OFFSET(TblProd[[#This Row],[Food/hr]],-1,0)+ROUNDUP((TblConstr[[#This Row],[Farms]]*80+TblConstr[[#This Row],[Docks]]*35)*(1+OFFSET(TblProd[[#This Row],[Bonus Food/hr]],-1,0)),0)</f>
        <v>97356</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5486</v>
      </c>
      <c r="T62" s="96">
        <f ca="1">ROUND(TblProd[[#This Row],[Raw Food/hr]]*(1+TblProd[[#This Row],[Bonus Food/hr]])-TblProd[[#This Row],[Food decay]]-TblProd[[#This Row],[Food eaten]],0)</f>
        <v>1017</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5486.4000000000005</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973.56000000000006</v>
      </c>
      <c r="AP62" s="96">
        <f ca="1">(1+race_food_consumption)*TblPop[[#This Row],[Total]]*food_per_person*(1+tech_1_10*TblTech[[#This Row],[1-10]]+tech_7_5*TblTech[[#This Row],[7-5]] + IF(TblMagic[[#This Row],[Active Demonic Pact]]&gt;0,demonic_pact_food_cons,0))</f>
        <v>589.5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59</v>
      </c>
      <c r="BC62" s="160">
        <f>-TblProd[[#This Row],[Bank Lumber]] / 2 + -TblProd[[#This Row],[Bank Gems]] * 2 + -TblProd[[#This Row],[Bank Ore]] / 2</f>
        <v>0</v>
      </c>
      <c r="BD62" s="160"/>
      <c r="BE62" s="160"/>
      <c r="BF62" s="160"/>
      <c r="BG62" s="161">
        <f ca="1">TblProd[[#This Row],[Time]]</f>
        <v>45734.416666666526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439066</v>
      </c>
      <c r="BJ62" s="96">
        <f ca="1">TblProd[[#This Row],[Food]]</f>
        <v>97356</v>
      </c>
      <c r="BK62" s="96">
        <f ca="1">TblProd[[#This Row],[Lumber]]</f>
        <v>52545</v>
      </c>
      <c r="BL62" s="96">
        <f ca="1">TblProd[[#This Row],[Mana]]</f>
        <v>0</v>
      </c>
      <c r="BM62" s="96">
        <f ca="1">TblProd[[#This Row],[Ore]]</f>
        <v>0</v>
      </c>
    </row>
    <row r="63" spans="1:65" x14ac:dyDescent="0.2">
      <c r="A63" s="139">
        <v>60</v>
      </c>
      <c r="B63" s="154">
        <f ca="1">TblImps[[#This Row],[Time]]</f>
        <v>45734.45833333319</v>
      </c>
      <c r="C63" s="155"/>
      <c r="D63" s="156"/>
      <c r="E63" s="96">
        <f ca="1">TblConstr[[#This Row],[Land]]</f>
        <v>250</v>
      </c>
      <c r="F63" s="96">
        <f ca="1">TblPop[[#This Row],[Peasants]]</f>
        <v>1532</v>
      </c>
      <c r="G63" s="96">
        <f ca="1">TblMili[[#This Row],[Networth (2)]]</f>
        <v>6450</v>
      </c>
      <c r="H63" s="96">
        <f ca="1">OFFSET(TblProd[[#This Row],[Platinum]],-1,0)+OFFSET(TblProd[[#This Row],[Plat/hr]],-1,0) - TblProd[[#This Row],[Expenses Platinum]] + IF(TblProd[[#This Row],[Plat Bonus]],TblPop[[#This Row],[Peasants]]*4) + SUM(TblConstr[[#This Row],[Dest Hom]:[Dest Doc]])*TblConstr[[#This Row],[CPA Platinum -DB]]*tech_3_3_2*TblTech[[#This Row],[3-3]]</f>
        <v>444552</v>
      </c>
      <c r="I63" s="96">
        <f ca="1">OFFSET(TblProd[[#This Row],[Food]],-1,0)+OFFSET(TblProd[[#This Row],[Food/hr]],-1,0)+ROUNDUP((TblConstr[[#This Row],[Farms]]*80+TblConstr[[#This Row],[Docks]]*35)*(1+OFFSET(TblProd[[#This Row],[Bonus Food/hr]],-1,0)),0)</f>
        <v>98373</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5486</v>
      </c>
      <c r="T63" s="96">
        <f ca="1">ROUND(TblProd[[#This Row],[Raw Food/hr]]*(1+TblProd[[#This Row],[Bonus Food/hr]])-TblProd[[#This Row],[Food decay]]-TblProd[[#This Row],[Food eaten]],0)</f>
        <v>1007</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5486.4000000000005</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983.73</v>
      </c>
      <c r="AP63" s="96">
        <f ca="1">(1+race_food_consumption)*TblPop[[#This Row],[Total]]*food_per_person*(1+tech_1_10*TblTech[[#This Row],[1-10]]+tech_7_5*TblTech[[#This Row],[7-5]] + IF(TblMagic[[#This Row],[Active Demonic Pact]]&gt;0,demonic_pact_food_cons,0))</f>
        <v>589.5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60</v>
      </c>
      <c r="BC63" s="160">
        <f>-TblProd[[#This Row],[Bank Lumber]] / 2 + -TblProd[[#This Row],[Bank Gems]] * 2 + -TblProd[[#This Row],[Bank Ore]] / 2</f>
        <v>0</v>
      </c>
      <c r="BD63" s="160"/>
      <c r="BE63" s="160"/>
      <c r="BF63" s="160"/>
      <c r="BG63" s="161">
        <f ca="1">TblProd[[#This Row],[Time]]</f>
        <v>45734.45833333319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444552</v>
      </c>
      <c r="BJ63" s="96">
        <f ca="1">TblProd[[#This Row],[Food]]</f>
        <v>98373</v>
      </c>
      <c r="BK63" s="96">
        <f ca="1">TblProd[[#This Row],[Lumber]]</f>
        <v>53020</v>
      </c>
      <c r="BL63" s="96">
        <f ca="1">TblProd[[#This Row],[Mana]]</f>
        <v>0</v>
      </c>
      <c r="BM63" s="96">
        <f ca="1">TblProd[[#This Row],[Ore]]</f>
        <v>0</v>
      </c>
    </row>
    <row r="64" spans="1:65" x14ac:dyDescent="0.2">
      <c r="A64" s="139">
        <v>61</v>
      </c>
      <c r="B64" s="154">
        <f ca="1">TblImps[[#This Row],[Time]]</f>
        <v>45734.499999999854</v>
      </c>
      <c r="C64" s="155"/>
      <c r="D64" s="156"/>
      <c r="E64" s="96">
        <f ca="1">TblConstr[[#This Row],[Land]]</f>
        <v>250</v>
      </c>
      <c r="F64" s="96">
        <f ca="1">TblPop[[#This Row],[Peasants]]</f>
        <v>1532</v>
      </c>
      <c r="G64" s="96">
        <f ca="1">TblMili[[#This Row],[Networth (2)]]</f>
        <v>6450</v>
      </c>
      <c r="H64" s="96">
        <f ca="1">OFFSET(TblProd[[#This Row],[Platinum]],-1,0)+OFFSET(TblProd[[#This Row],[Plat/hr]],-1,0) - TblProd[[#This Row],[Expenses Platinum]] + IF(TblProd[[#This Row],[Plat Bonus]],TblPop[[#This Row],[Peasants]]*4) + SUM(TblConstr[[#This Row],[Dest Hom]:[Dest Doc]])*TblConstr[[#This Row],[CPA Platinum -DB]]*tech_3_3_2*TblTech[[#This Row],[3-3]]</f>
        <v>450038</v>
      </c>
      <c r="I64" s="96">
        <f ca="1">OFFSET(TblProd[[#This Row],[Food]],-1,0)+OFFSET(TblProd[[#This Row],[Food/hr]],-1,0)+ROUNDUP((TblConstr[[#This Row],[Farms]]*80+TblConstr[[#This Row],[Docks]]*35)*(1+OFFSET(TblProd[[#This Row],[Bonus Food/hr]],-1,0)),0)</f>
        <v>99380</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5486</v>
      </c>
      <c r="T64" s="96">
        <f ca="1">ROUND(TblProd[[#This Row],[Raw Food/hr]]*(1+TblProd[[#This Row],[Bonus Food/hr]])-TblProd[[#This Row],[Food decay]]-TblProd[[#This Row],[Food eaten]],0)</f>
        <v>997</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5486.4000000000005</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993.80000000000007</v>
      </c>
      <c r="AP64" s="96">
        <f ca="1">(1+race_food_consumption)*TblPop[[#This Row],[Total]]*food_per_person*(1+tech_1_10*TblTech[[#This Row],[1-10]]+tech_7_5*TblTech[[#This Row],[7-5]] + IF(TblMagic[[#This Row],[Active Demonic Pact]]&gt;0,demonic_pact_food_cons,0))</f>
        <v>589.5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61</v>
      </c>
      <c r="BC64" s="160">
        <f>-TblProd[[#This Row],[Bank Lumber]] / 2 + -TblProd[[#This Row],[Bank Gems]] * 2 + -TblProd[[#This Row],[Bank Ore]] / 2</f>
        <v>0</v>
      </c>
      <c r="BD64" s="160"/>
      <c r="BE64" s="160"/>
      <c r="BF64" s="160"/>
      <c r="BG64" s="161">
        <f ca="1">TblProd[[#This Row],[Time]]</f>
        <v>45734.499999999854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450038</v>
      </c>
      <c r="BJ64" s="96">
        <f ca="1">TblProd[[#This Row],[Food]]</f>
        <v>99380</v>
      </c>
      <c r="BK64" s="96">
        <f ca="1">TblProd[[#This Row],[Lumber]]</f>
        <v>53490</v>
      </c>
      <c r="BL64" s="96">
        <f ca="1">TblProd[[#This Row],[Mana]]</f>
        <v>0</v>
      </c>
      <c r="BM64" s="96">
        <f ca="1">TblProd[[#This Row],[Ore]]</f>
        <v>0</v>
      </c>
    </row>
    <row r="65" spans="1:65" x14ac:dyDescent="0.2">
      <c r="A65" s="139">
        <v>62</v>
      </c>
      <c r="B65" s="154">
        <f ca="1">TblImps[[#This Row],[Time]]</f>
        <v>45734.541666666519</v>
      </c>
      <c r="C65" s="155"/>
      <c r="D65" s="156"/>
      <c r="E65" s="96">
        <f ca="1">TblConstr[[#This Row],[Land]]</f>
        <v>250</v>
      </c>
      <c r="F65" s="96">
        <f ca="1">TblPop[[#This Row],[Peasants]]</f>
        <v>1532</v>
      </c>
      <c r="G65" s="96">
        <f ca="1">TblMili[[#This Row],[Networth (2)]]</f>
        <v>6450</v>
      </c>
      <c r="H65" s="96">
        <f ca="1">OFFSET(TblProd[[#This Row],[Platinum]],-1,0)+OFFSET(TblProd[[#This Row],[Plat/hr]],-1,0) - TblProd[[#This Row],[Expenses Platinum]] + IF(TblProd[[#This Row],[Plat Bonus]],TblPop[[#This Row],[Peasants]]*4) + SUM(TblConstr[[#This Row],[Dest Hom]:[Dest Doc]])*TblConstr[[#This Row],[CPA Platinum -DB]]*tech_3_3_2*TblTech[[#This Row],[3-3]]</f>
        <v>455524</v>
      </c>
      <c r="I65" s="96">
        <f ca="1">OFFSET(TblProd[[#This Row],[Food]],-1,0)+OFFSET(TblProd[[#This Row],[Food/hr]],-1,0)+ROUNDUP((TblConstr[[#This Row],[Farms]]*80+TblConstr[[#This Row],[Docks]]*35)*(1+OFFSET(TblProd[[#This Row],[Bonus Food/hr]],-1,0)),0)</f>
        <v>100377</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5486</v>
      </c>
      <c r="T65" s="96">
        <f ca="1">ROUND(TblProd[[#This Row],[Raw Food/hr]]*(1+TblProd[[#This Row],[Bonus Food/hr]])-TblProd[[#This Row],[Food decay]]-TblProd[[#This Row],[Food eaten]],0)</f>
        <v>987</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5486.4000000000005</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1003.77</v>
      </c>
      <c r="AP65" s="96">
        <f ca="1">(1+race_food_consumption)*TblPop[[#This Row],[Total]]*food_per_person*(1+tech_1_10*TblTech[[#This Row],[1-10]]+tech_7_5*TblTech[[#This Row],[7-5]] + IF(TblMagic[[#This Row],[Active Demonic Pact]]&gt;0,demonic_pact_food_cons,0))</f>
        <v>589.5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62</v>
      </c>
      <c r="BC65" s="160">
        <f>-TblProd[[#This Row],[Bank Lumber]] / 2 + -TblProd[[#This Row],[Bank Gems]] * 2 + -TblProd[[#This Row],[Bank Ore]] / 2</f>
        <v>0</v>
      </c>
      <c r="BD65" s="160"/>
      <c r="BE65" s="160"/>
      <c r="BF65" s="160"/>
      <c r="BG65" s="161">
        <f ca="1">TblProd[[#This Row],[Time]]</f>
        <v>45734.541666666519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455524</v>
      </c>
      <c r="BJ65" s="96">
        <f ca="1">TblProd[[#This Row],[Food]]</f>
        <v>100377</v>
      </c>
      <c r="BK65" s="96">
        <f ca="1">TblProd[[#This Row],[Lumber]]</f>
        <v>53955</v>
      </c>
      <c r="BL65" s="96">
        <f ca="1">TblProd[[#This Row],[Mana]]</f>
        <v>0</v>
      </c>
      <c r="BM65" s="96">
        <f ca="1">TblProd[[#This Row],[Ore]]</f>
        <v>0</v>
      </c>
    </row>
    <row r="66" spans="1:65" x14ac:dyDescent="0.2">
      <c r="A66" s="139">
        <v>63</v>
      </c>
      <c r="B66" s="154">
        <f ca="1">TblImps[[#This Row],[Time]]</f>
        <v>45734.583333333183</v>
      </c>
      <c r="C66" s="155"/>
      <c r="D66" s="156"/>
      <c r="E66" s="96">
        <f ca="1">TblConstr[[#This Row],[Land]]</f>
        <v>250</v>
      </c>
      <c r="F66" s="96">
        <f ca="1">TblPop[[#This Row],[Peasants]]</f>
        <v>1532</v>
      </c>
      <c r="G66" s="96">
        <f ca="1">TblMili[[#This Row],[Networth (2)]]</f>
        <v>6450</v>
      </c>
      <c r="H66" s="96">
        <f ca="1">OFFSET(TblProd[[#This Row],[Platinum]],-1,0)+OFFSET(TblProd[[#This Row],[Plat/hr]],-1,0) - TblProd[[#This Row],[Expenses Platinum]] + IF(TblProd[[#This Row],[Plat Bonus]],TblPop[[#This Row],[Peasants]]*4) + SUM(TblConstr[[#This Row],[Dest Hom]:[Dest Doc]])*TblConstr[[#This Row],[CPA Platinum -DB]]*tech_3_3_2*TblTech[[#This Row],[3-3]]</f>
        <v>461010</v>
      </c>
      <c r="I66" s="96">
        <f ca="1">OFFSET(TblProd[[#This Row],[Food]],-1,0)+OFFSET(TblProd[[#This Row],[Food/hr]],-1,0)+ROUNDUP((TblConstr[[#This Row],[Farms]]*80+TblConstr[[#This Row],[Docks]]*35)*(1+OFFSET(TblProd[[#This Row],[Bonus Food/hr]],-1,0)),0)</f>
        <v>101364</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5486</v>
      </c>
      <c r="T66" s="96">
        <f ca="1">ROUND(TblProd[[#This Row],[Raw Food/hr]]*(1+TblProd[[#This Row],[Bonus Food/hr]])-TblProd[[#This Row],[Food decay]]-TblProd[[#This Row],[Food eaten]],0)</f>
        <v>977</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5486.4000000000005</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1013.64</v>
      </c>
      <c r="AP66" s="96">
        <f ca="1">(1+race_food_consumption)*TblPop[[#This Row],[Total]]*food_per_person*(1+tech_1_10*TblTech[[#This Row],[1-10]]+tech_7_5*TblTech[[#This Row],[7-5]] + IF(TblMagic[[#This Row],[Active Demonic Pact]]&gt;0,demonic_pact_food_cons,0))</f>
        <v>589.5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63</v>
      </c>
      <c r="BC66" s="160">
        <f>-TblProd[[#This Row],[Bank Lumber]] / 2 + -TblProd[[#This Row],[Bank Gems]] * 2 + -TblProd[[#This Row],[Bank Ore]] / 2</f>
        <v>0</v>
      </c>
      <c r="BD66" s="160"/>
      <c r="BE66" s="160"/>
      <c r="BF66" s="160"/>
      <c r="BG66" s="161">
        <f ca="1">TblProd[[#This Row],[Time]]</f>
        <v>45734.583333333183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461010</v>
      </c>
      <c r="BJ66" s="96">
        <f ca="1">TblProd[[#This Row],[Food]]</f>
        <v>101364</v>
      </c>
      <c r="BK66" s="96">
        <f ca="1">TblProd[[#This Row],[Lumber]]</f>
        <v>54415</v>
      </c>
      <c r="BL66" s="96">
        <f ca="1">TblProd[[#This Row],[Mana]]</f>
        <v>0</v>
      </c>
      <c r="BM66" s="96">
        <f ca="1">TblProd[[#This Row],[Ore]]</f>
        <v>0</v>
      </c>
    </row>
    <row r="67" spans="1:65" x14ac:dyDescent="0.2">
      <c r="A67" s="139">
        <v>64</v>
      </c>
      <c r="B67" s="154">
        <f ca="1">TblImps[[#This Row],[Time]]</f>
        <v>45734.624999999847</v>
      </c>
      <c r="C67" s="155"/>
      <c r="D67" s="156"/>
      <c r="E67" s="96">
        <f ca="1">TblConstr[[#This Row],[Land]]</f>
        <v>250</v>
      </c>
      <c r="F67" s="96">
        <f ca="1">TblPop[[#This Row],[Peasants]]</f>
        <v>1532</v>
      </c>
      <c r="G67" s="96">
        <f ca="1">TblMili[[#This Row],[Networth (2)]]</f>
        <v>6450</v>
      </c>
      <c r="H67" s="96">
        <f ca="1">OFFSET(TblProd[[#This Row],[Platinum]],-1,0)+OFFSET(TblProd[[#This Row],[Plat/hr]],-1,0) - TblProd[[#This Row],[Expenses Platinum]] + IF(TblProd[[#This Row],[Plat Bonus]],TblPop[[#This Row],[Peasants]]*4) + SUM(TblConstr[[#This Row],[Dest Hom]:[Dest Doc]])*TblConstr[[#This Row],[CPA Platinum -DB]]*tech_3_3_2*TblTech[[#This Row],[3-3]]</f>
        <v>466496</v>
      </c>
      <c r="I67" s="96">
        <f ca="1">OFFSET(TblProd[[#This Row],[Food]],-1,0)+OFFSET(TblProd[[#This Row],[Food/hr]],-1,0)+ROUNDUP((TblConstr[[#This Row],[Farms]]*80+TblConstr[[#This Row],[Docks]]*35)*(1+OFFSET(TblProd[[#This Row],[Bonus Food/hr]],-1,0)),0)</f>
        <v>102341</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5486</v>
      </c>
      <c r="T67" s="96">
        <f ca="1">ROUND(TblProd[[#This Row],[Raw Food/hr]]*(1+TblProd[[#This Row],[Bonus Food/hr]])-TblProd[[#This Row],[Food decay]]-TblProd[[#This Row],[Food eaten]],0)</f>
        <v>967</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5486.4000000000005</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1023.41</v>
      </c>
      <c r="AP67" s="96">
        <f ca="1">(1+race_food_consumption)*TblPop[[#This Row],[Total]]*food_per_person*(1+tech_1_10*TblTech[[#This Row],[1-10]]+tech_7_5*TblTech[[#This Row],[7-5]] + IF(TblMagic[[#This Row],[Active Demonic Pact]]&gt;0,demonic_pact_food_cons,0))</f>
        <v>589.5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64</v>
      </c>
      <c r="BC67" s="160">
        <f>-TblProd[[#This Row],[Bank Lumber]] / 2 + -TblProd[[#This Row],[Bank Gems]] * 2 + -TblProd[[#This Row],[Bank Ore]] / 2</f>
        <v>0</v>
      </c>
      <c r="BD67" s="160"/>
      <c r="BE67" s="160"/>
      <c r="BF67" s="160"/>
      <c r="BG67" s="161">
        <f ca="1">TblProd[[#This Row],[Time]]</f>
        <v>45734.624999999847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466496</v>
      </c>
      <c r="BJ67" s="96">
        <f ca="1">TblProd[[#This Row],[Food]]</f>
        <v>102341</v>
      </c>
      <c r="BK67" s="96">
        <f ca="1">TblProd[[#This Row],[Lumber]]</f>
        <v>54871</v>
      </c>
      <c r="BL67" s="96">
        <f ca="1">TblProd[[#This Row],[Mana]]</f>
        <v>0</v>
      </c>
      <c r="BM67" s="96">
        <f ca="1">TblProd[[#This Row],[Ore]]</f>
        <v>0</v>
      </c>
    </row>
    <row r="68" spans="1:65" x14ac:dyDescent="0.2">
      <c r="A68" s="139">
        <v>65</v>
      </c>
      <c r="B68" s="154">
        <f ca="1">TblImps[[#This Row],[Time]]</f>
        <v>45734.666666666511</v>
      </c>
      <c r="C68" s="155"/>
      <c r="D68" s="156"/>
      <c r="E68" s="96">
        <f ca="1">TblConstr[[#This Row],[Land]]</f>
        <v>250</v>
      </c>
      <c r="F68" s="96">
        <f ca="1">TblPop[[#This Row],[Peasants]]</f>
        <v>1532</v>
      </c>
      <c r="G68" s="96">
        <f ca="1">TblMili[[#This Row],[Networth (2)]]</f>
        <v>6450</v>
      </c>
      <c r="H68" s="96">
        <f ca="1">OFFSET(TblProd[[#This Row],[Platinum]],-1,0)+OFFSET(TblProd[[#This Row],[Plat/hr]],-1,0) - TblProd[[#This Row],[Expenses Platinum]] + IF(TblProd[[#This Row],[Plat Bonus]],TblPop[[#This Row],[Peasants]]*4) + SUM(TblConstr[[#This Row],[Dest Hom]:[Dest Doc]])*TblConstr[[#This Row],[CPA Platinum -DB]]*tech_3_3_2*TblTech[[#This Row],[3-3]]</f>
        <v>471982</v>
      </c>
      <c r="I68" s="96">
        <f ca="1">OFFSET(TblProd[[#This Row],[Food]],-1,0)+OFFSET(TblProd[[#This Row],[Food/hr]],-1,0)+ROUNDUP((TblConstr[[#This Row],[Farms]]*80+TblConstr[[#This Row],[Docks]]*35)*(1+OFFSET(TblProd[[#This Row],[Bonus Food/hr]],-1,0)),0)</f>
        <v>103308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5486</v>
      </c>
      <c r="T68" s="96">
        <f ca="1">ROUND(TblProd[[#This Row],[Raw Food/hr]]*(1+TblProd[[#This Row],[Bonus Food/hr]])-TblProd[[#This Row],[Food decay]]-TblProd[[#This Row],[Food eaten]],0)</f>
        <v>957</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5486.4000000000005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1033.08</v>
      </c>
      <c r="AP68" s="96">
        <f ca="1">(1+race_food_consumption)*TblPop[[#This Row],[Total]]*food_per_person*(1+tech_1_10*TblTech[[#This Row],[1-10]]+tech_7_5*TblTech[[#This Row],[7-5]] + IF(TblMagic[[#This Row],[Active Demonic Pact]]&gt;0,demonic_pact_food_cons,0))</f>
        <v>589.5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65</v>
      </c>
      <c r="BC68" s="160">
        <f>-TblProd[[#This Row],[Bank Lumber]] / 2 + -TblProd[[#This Row],[Bank Gems]] * 2 + -TblProd[[#This Row],[Bank Ore]] / 2</f>
        <v>0</v>
      </c>
      <c r="BD68" s="160"/>
      <c r="BE68" s="160"/>
      <c r="BF68" s="160"/>
      <c r="BG68" s="161">
        <f ca="1">TblProd[[#This Row],[Time]]</f>
        <v>45734.666666666511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471982</v>
      </c>
      <c r="BJ68" s="96">
        <f ca="1">TblProd[[#This Row],[Food]]</f>
        <v>103308</v>
      </c>
      <c r="BK68" s="96">
        <f ca="1">TblProd[[#This Row],[Lumber]]</f>
        <v>55322</v>
      </c>
      <c r="BL68" s="96">
        <f ca="1">TblProd[[#This Row],[Mana]]</f>
        <v>0</v>
      </c>
      <c r="BM68" s="96">
        <f ca="1">TblProd[[#This Row],[Ore]]</f>
        <v>0</v>
      </c>
    </row>
    <row r="69" spans="1:65" x14ac:dyDescent="0.2">
      <c r="A69" s="139">
        <v>66</v>
      </c>
      <c r="B69" s="154">
        <f ca="1">TblImps[[#This Row],[Time]]</f>
        <v>45734.708333333176</v>
      </c>
      <c r="C69" s="155"/>
      <c r="D69" s="156"/>
      <c r="E69" s="96">
        <f ca="1">TblConstr[[#This Row],[Land]]</f>
        <v>250</v>
      </c>
      <c r="F69" s="96">
        <f ca="1">TblPop[[#This Row],[Peasants]]</f>
        <v>1532</v>
      </c>
      <c r="G69" s="96">
        <f ca="1">TblMili[[#This Row],[Networth (2)]]</f>
        <v>6450</v>
      </c>
      <c r="H69" s="96">
        <f ca="1">OFFSET(TblProd[[#This Row],[Platinum]],-1,0)+OFFSET(TblProd[[#This Row],[Plat/hr]],-1,0) - TblProd[[#This Row],[Expenses Platinum]] + IF(TblProd[[#This Row],[Plat Bonus]],TblPop[[#This Row],[Peasants]]*4) + SUM(TblConstr[[#This Row],[Dest Hom]:[Dest Doc]])*TblConstr[[#This Row],[CPA Platinum -DB]]*tech_3_3_2*TblTech[[#This Row],[3-3]]</f>
        <v>477468</v>
      </c>
      <c r="I69" s="96">
        <f ca="1">OFFSET(TblProd[[#This Row],[Food]],-1,0)+OFFSET(TblProd[[#This Row],[Food/hr]],-1,0)+ROUNDUP((TblConstr[[#This Row],[Farms]]*80+TblConstr[[#This Row],[Docks]]*35)*(1+OFFSET(TblProd[[#This Row],[Bonus Food/hr]],-1,0)),0)</f>
        <v>104265</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5486</v>
      </c>
      <c r="T69" s="96">
        <f ca="1">ROUND(TblProd[[#This Row],[Raw Food/hr]]*(1+TblProd[[#This Row],[Bonus Food/hr]])-TblProd[[#This Row],[Food decay]]-TblProd[[#This Row],[Food eaten]],0)</f>
        <v>948</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5486.4000000000005</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1042.6500000000001</v>
      </c>
      <c r="AP69" s="96">
        <f ca="1">(1+race_food_consumption)*TblPop[[#This Row],[Total]]*food_per_person*(1+tech_1_10*TblTech[[#This Row],[1-10]]+tech_7_5*TblTech[[#This Row],[7-5]] + IF(TblMagic[[#This Row],[Active Demonic Pact]]&gt;0,demonic_pact_food_cons,0))</f>
        <v>589.5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66</v>
      </c>
      <c r="BC69" s="160">
        <f>-TblProd[[#This Row],[Bank Lumber]] / 2 + -TblProd[[#This Row],[Bank Gems]] * 2 + -TblProd[[#This Row],[Bank Ore]] / 2</f>
        <v>0</v>
      </c>
      <c r="BD69" s="160"/>
      <c r="BE69" s="160"/>
      <c r="BF69" s="160"/>
      <c r="BG69" s="161">
        <f ca="1">TblProd[[#This Row],[Time]]</f>
        <v>45734.708333333176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477468</v>
      </c>
      <c r="BJ69" s="96">
        <f ca="1">TblProd[[#This Row],[Food]]</f>
        <v>104265</v>
      </c>
      <c r="BK69" s="96">
        <f ca="1">TblProd[[#This Row],[Lumber]]</f>
        <v>55769</v>
      </c>
      <c r="BL69" s="96">
        <f ca="1">TblProd[[#This Row],[Mana]]</f>
        <v>0</v>
      </c>
      <c r="BM69" s="96">
        <f ca="1">TblProd[[#This Row],[Ore]]</f>
        <v>0</v>
      </c>
    </row>
    <row r="70" spans="1:65" x14ac:dyDescent="0.2">
      <c r="A70" s="139">
        <v>67</v>
      </c>
      <c r="B70" s="154">
        <f ca="1">TblImps[[#This Row],[Time]]</f>
        <v>45734.74999999984</v>
      </c>
      <c r="C70" s="155"/>
      <c r="D70" s="156"/>
      <c r="E70" s="96">
        <f ca="1">TblConstr[[#This Row],[Land]]</f>
        <v>250</v>
      </c>
      <c r="F70" s="96">
        <f ca="1">TblPop[[#This Row],[Peasants]]</f>
        <v>1532</v>
      </c>
      <c r="G70" s="96">
        <f ca="1">TblMili[[#This Row],[Networth (2)]]</f>
        <v>6450</v>
      </c>
      <c r="H70" s="96">
        <f ca="1">OFFSET(TblProd[[#This Row],[Platinum]],-1,0)+OFFSET(TblProd[[#This Row],[Plat/hr]],-1,0) - TblProd[[#This Row],[Expenses Platinum]] + IF(TblProd[[#This Row],[Plat Bonus]],TblPop[[#This Row],[Peasants]]*4) + SUM(TblConstr[[#This Row],[Dest Hom]:[Dest Doc]])*TblConstr[[#This Row],[CPA Platinum -DB]]*tech_3_3_2*TblTech[[#This Row],[3-3]]</f>
        <v>482954</v>
      </c>
      <c r="I70" s="96">
        <f ca="1">OFFSET(TblProd[[#This Row],[Food]],-1,0)+OFFSET(TblProd[[#This Row],[Food/hr]],-1,0)+ROUNDUP((TblConstr[[#This Row],[Farms]]*80+TblConstr[[#This Row],[Docks]]*35)*(1+OFFSET(TblProd[[#This Row],[Bonus Food/hr]],-1,0)),0)</f>
        <v>105213</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5486</v>
      </c>
      <c r="T70" s="96">
        <f ca="1">ROUND(TblProd[[#This Row],[Raw Food/hr]]*(1+TblProd[[#This Row],[Bonus Food/hr]])-TblProd[[#This Row],[Food decay]]-TblProd[[#This Row],[Food eaten]],0)</f>
        <v>938</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5486.4000000000005</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1052.1300000000001</v>
      </c>
      <c r="AP70" s="96">
        <f ca="1">(1+race_food_consumption)*TblPop[[#This Row],[Total]]*food_per_person*(1+tech_1_10*TblTech[[#This Row],[1-10]]+tech_7_5*TblTech[[#This Row],[7-5]] + IF(TblMagic[[#This Row],[Active Demonic Pact]]&gt;0,demonic_pact_food_cons,0))</f>
        <v>589.5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67</v>
      </c>
      <c r="BC70" s="160">
        <f>-TblProd[[#This Row],[Bank Lumber]] / 2 + -TblProd[[#This Row],[Bank Gems]] * 2 + -TblProd[[#This Row],[Bank Ore]] / 2</f>
        <v>0</v>
      </c>
      <c r="BD70" s="160"/>
      <c r="BE70" s="160"/>
      <c r="BF70" s="160"/>
      <c r="BG70" s="161">
        <f ca="1">TblProd[[#This Row],[Time]]</f>
        <v>45734.74999999984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482954</v>
      </c>
      <c r="BJ70" s="96">
        <f ca="1">TblProd[[#This Row],[Food]]</f>
        <v>105213</v>
      </c>
      <c r="BK70" s="96">
        <f ca="1">TblProd[[#This Row],[Lumber]]</f>
        <v>56211</v>
      </c>
      <c r="BL70" s="96">
        <f ca="1">TblProd[[#This Row],[Mana]]</f>
        <v>0</v>
      </c>
      <c r="BM70" s="96">
        <f ca="1">TblProd[[#This Row],[Ore]]</f>
        <v>0</v>
      </c>
    </row>
    <row r="71" spans="1:65" x14ac:dyDescent="0.2">
      <c r="A71" s="139">
        <v>68</v>
      </c>
      <c r="B71" s="154">
        <f ca="1">TblImps[[#This Row],[Time]]</f>
        <v>45734.791666666504</v>
      </c>
      <c r="C71" s="155"/>
      <c r="D71" s="156"/>
      <c r="E71" s="96">
        <f ca="1">TblConstr[[#This Row],[Land]]</f>
        <v>250</v>
      </c>
      <c r="F71" s="96">
        <f ca="1">TblPop[[#This Row],[Peasants]]</f>
        <v>1532</v>
      </c>
      <c r="G71" s="96">
        <f ca="1">TblMili[[#This Row],[Networth (2)]]</f>
        <v>6450</v>
      </c>
      <c r="H71" s="96">
        <f ca="1">OFFSET(TblProd[[#This Row],[Platinum]],-1,0)+OFFSET(TblProd[[#This Row],[Plat/hr]],-1,0) - TblProd[[#This Row],[Expenses Platinum]] + IF(TblProd[[#This Row],[Plat Bonus]],TblPop[[#This Row],[Peasants]]*4) + SUM(TblConstr[[#This Row],[Dest Hom]:[Dest Doc]])*TblConstr[[#This Row],[CPA Platinum -DB]]*tech_3_3_2*TblTech[[#This Row],[3-3]]</f>
        <v>488440</v>
      </c>
      <c r="I71" s="96">
        <f ca="1">OFFSET(TblProd[[#This Row],[Food]],-1,0)+OFFSET(TblProd[[#This Row],[Food/hr]],-1,0)+ROUNDUP((TblConstr[[#This Row],[Farms]]*80+TblConstr[[#This Row],[Docks]]*35)*(1+OFFSET(TblProd[[#This Row],[Bonus Food/hr]],-1,0)),0)</f>
        <v>106151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5486</v>
      </c>
      <c r="T71" s="96">
        <f ca="1">ROUND(TblProd[[#This Row],[Raw Food/hr]]*(1+TblProd[[#This Row],[Bonus Food/hr]])-TblProd[[#This Row],[Food decay]]-TblProd[[#This Row],[Food eaten]],0)</f>
        <v>929</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5486.4000000000005</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1061.51</v>
      </c>
      <c r="AP71" s="96">
        <f ca="1">(1+race_food_consumption)*TblPop[[#This Row],[Total]]*food_per_person*(1+tech_1_10*TblTech[[#This Row],[1-10]]+tech_7_5*TblTech[[#This Row],[7-5]] + IF(TblMagic[[#This Row],[Active Demonic Pact]]&gt;0,demonic_pact_food_cons,0))</f>
        <v>589.5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68</v>
      </c>
      <c r="BC71" s="160">
        <f>-TblProd[[#This Row],[Bank Lumber]] / 2 + -TblProd[[#This Row],[Bank Gems]] * 2 + -TblProd[[#This Row],[Bank Ore]] / 2</f>
        <v>0</v>
      </c>
      <c r="BD71" s="160"/>
      <c r="BE71" s="160"/>
      <c r="BF71" s="160"/>
      <c r="BG71" s="161">
        <f ca="1">TblProd[[#This Row],[Time]]</f>
        <v>45734.791666666504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488440</v>
      </c>
      <c r="BJ71" s="96">
        <f ca="1">TblProd[[#This Row],[Food]]</f>
        <v>106151</v>
      </c>
      <c r="BK71" s="96">
        <f ca="1">TblProd[[#This Row],[Lumber]]</f>
        <v>56649</v>
      </c>
      <c r="BL71" s="96">
        <f ca="1">TblProd[[#This Row],[Mana]]</f>
        <v>0</v>
      </c>
      <c r="BM71" s="96">
        <f ca="1">TblProd[[#This Row],[Ore]]</f>
        <v>0</v>
      </c>
    </row>
    <row r="72" spans="1:65" x14ac:dyDescent="0.2">
      <c r="A72" s="139">
        <v>69</v>
      </c>
      <c r="B72" s="154">
        <f ca="1">TblImps[[#This Row],[Time]]</f>
        <v>45734.833333333168</v>
      </c>
      <c r="C72" s="155"/>
      <c r="D72" s="156"/>
      <c r="E72" s="96">
        <f ca="1">TblConstr[[#This Row],[Land]]</f>
        <v>250</v>
      </c>
      <c r="F72" s="96">
        <f ca="1">TblPop[[#This Row],[Peasants]]</f>
        <v>1532</v>
      </c>
      <c r="G72" s="96">
        <f ca="1">TblMili[[#This Row],[Networth (2)]]</f>
        <v>6450</v>
      </c>
      <c r="H72" s="96">
        <f ca="1">OFFSET(TblProd[[#This Row],[Platinum]],-1,0)+OFFSET(TblProd[[#This Row],[Plat/hr]],-1,0) - TblProd[[#This Row],[Expenses Platinum]] + IF(TblProd[[#This Row],[Plat Bonus]],TblPop[[#This Row],[Peasants]]*4) + SUM(TblConstr[[#This Row],[Dest Hom]:[Dest Doc]])*TblConstr[[#This Row],[CPA Platinum -DB]]*tech_3_3_2*TblTech[[#This Row],[3-3]]</f>
        <v>493926</v>
      </c>
      <c r="I72" s="96">
        <f ca="1">OFFSET(TblProd[[#This Row],[Food]],-1,0)+OFFSET(TblProd[[#This Row],[Food/hr]],-1,0)+ROUNDUP((TblConstr[[#This Row],[Farms]]*80+TblConstr[[#This Row],[Docks]]*35)*(1+OFFSET(TblProd[[#This Row],[Bonus Food/hr]],-1,0)),0)</f>
        <v>107080</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5486</v>
      </c>
      <c r="T72" s="96">
        <f ca="1">ROUND(TblProd[[#This Row],[Raw Food/hr]]*(1+TblProd[[#This Row],[Bonus Food/hr]])-TblProd[[#This Row],[Food decay]]-TblProd[[#This Row],[Food eaten]],0)</f>
        <v>920</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5486.4000000000005</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1070.8</v>
      </c>
      <c r="AP72" s="96">
        <f ca="1">(1+race_food_consumption)*TblPop[[#This Row],[Total]]*food_per_person*(1+tech_1_10*TblTech[[#This Row],[1-10]]+tech_7_5*TblTech[[#This Row],[7-5]] + IF(TblMagic[[#This Row],[Active Demonic Pact]]&gt;0,demonic_pact_food_cons,0))</f>
        <v>589.5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69</v>
      </c>
      <c r="BC72" s="160">
        <f>-TblProd[[#This Row],[Bank Lumber]] / 2 + -TblProd[[#This Row],[Bank Gems]] * 2 + -TblProd[[#This Row],[Bank Ore]] / 2</f>
        <v>0</v>
      </c>
      <c r="BD72" s="160"/>
      <c r="BE72" s="160"/>
      <c r="BF72" s="160"/>
      <c r="BG72" s="161">
        <f ca="1">TblProd[[#This Row],[Time]]</f>
        <v>45734.833333333168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493926</v>
      </c>
      <c r="BJ72" s="96">
        <f ca="1">TblProd[[#This Row],[Food]]</f>
        <v>107080</v>
      </c>
      <c r="BK72" s="96">
        <f ca="1">TblProd[[#This Row],[Lumber]]</f>
        <v>57083</v>
      </c>
      <c r="BL72" s="96">
        <f ca="1">TblProd[[#This Row],[Mana]]</f>
        <v>0</v>
      </c>
      <c r="BM72" s="96">
        <f ca="1">TblProd[[#This Row],[Ore]]</f>
        <v>0</v>
      </c>
    </row>
    <row r="73" spans="1:65" x14ac:dyDescent="0.2">
      <c r="A73" s="139">
        <v>70</v>
      </c>
      <c r="B73" s="154">
        <f ca="1">TblImps[[#This Row],[Time]]</f>
        <v>45734.874999999833</v>
      </c>
      <c r="C73" s="155"/>
      <c r="D73" s="156"/>
      <c r="E73" s="96">
        <f ca="1">TblConstr[[#This Row],[Land]]</f>
        <v>250</v>
      </c>
      <c r="F73" s="96">
        <f ca="1">TblPop[[#This Row],[Peasants]]</f>
        <v>1532</v>
      </c>
      <c r="G73" s="96">
        <f ca="1">TblMili[[#This Row],[Networth (2)]]</f>
        <v>6450</v>
      </c>
      <c r="H73" s="96">
        <f ca="1">OFFSET(TblProd[[#This Row],[Platinum]],-1,0)+OFFSET(TblProd[[#This Row],[Plat/hr]],-1,0) - TblProd[[#This Row],[Expenses Platinum]] + IF(TblProd[[#This Row],[Plat Bonus]],TblPop[[#This Row],[Peasants]]*4) + SUM(TblConstr[[#This Row],[Dest Hom]:[Dest Doc]])*TblConstr[[#This Row],[CPA Platinum -DB]]*tech_3_3_2*TblTech[[#This Row],[3-3]]</f>
        <v>499412</v>
      </c>
      <c r="I73" s="96">
        <f ca="1">OFFSET(TblProd[[#This Row],[Food]],-1,0)+OFFSET(TblProd[[#This Row],[Food/hr]],-1,0)+ROUNDUP((TblConstr[[#This Row],[Farms]]*80+TblConstr[[#This Row],[Docks]]*35)*(1+OFFSET(TblProd[[#This Row],[Bonus Food/hr]],-1,0)),0)</f>
        <v>108000</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5486</v>
      </c>
      <c r="T73" s="96">
        <f ca="1">ROUND(TblProd[[#This Row],[Raw Food/hr]]*(1+TblProd[[#This Row],[Bonus Food/hr]])-TblProd[[#This Row],[Food decay]]-TblProd[[#This Row],[Food eaten]],0)</f>
        <v>911</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5486.4000000000005</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1080</v>
      </c>
      <c r="AP73" s="96">
        <f ca="1">(1+race_food_consumption)*TblPop[[#This Row],[Total]]*food_per_person*(1+tech_1_10*TblTech[[#This Row],[1-10]]+tech_7_5*TblTech[[#This Row],[7-5]] + IF(TblMagic[[#This Row],[Active Demonic Pact]]&gt;0,demonic_pact_food_cons,0))</f>
        <v>589.5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70</v>
      </c>
      <c r="BC73" s="160">
        <f>-TblProd[[#This Row],[Bank Lumber]] / 2 + -TblProd[[#This Row],[Bank Gems]] * 2 + -TblProd[[#This Row],[Bank Ore]] / 2</f>
        <v>0</v>
      </c>
      <c r="BD73" s="160"/>
      <c r="BE73" s="160"/>
      <c r="BF73" s="160"/>
      <c r="BG73" s="161">
        <f ca="1">TblProd[[#This Row],[Time]]</f>
        <v>45734.874999999833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499412</v>
      </c>
      <c r="BJ73" s="96">
        <f ca="1">TblProd[[#This Row],[Food]]</f>
        <v>108000</v>
      </c>
      <c r="BK73" s="96">
        <f ca="1">TblProd[[#This Row],[Lumber]]</f>
        <v>57512</v>
      </c>
      <c r="BL73" s="96">
        <f ca="1">TblProd[[#This Row],[Mana]]</f>
        <v>0</v>
      </c>
      <c r="BM73" s="96">
        <f ca="1">TblProd[[#This Row],[Ore]]</f>
        <v>0</v>
      </c>
    </row>
    <row r="74" spans="1:65" x14ac:dyDescent="0.2">
      <c r="A74" s="139">
        <v>71</v>
      </c>
      <c r="B74" s="154">
        <f ca="1">TblImps[[#This Row],[Time]]</f>
        <v>45734.916666666497</v>
      </c>
      <c r="C74" s="155"/>
      <c r="D74" s="156"/>
      <c r="E74" s="96">
        <f ca="1">TblConstr[[#This Row],[Land]]</f>
        <v>250</v>
      </c>
      <c r="F74" s="96">
        <f ca="1">TblPop[[#This Row],[Peasants]]</f>
        <v>1532</v>
      </c>
      <c r="G74" s="96">
        <f ca="1">TblMili[[#This Row],[Networth (2)]]</f>
        <v>6450</v>
      </c>
      <c r="H74" s="96">
        <f ca="1">OFFSET(TblProd[[#This Row],[Platinum]],-1,0)+OFFSET(TblProd[[#This Row],[Plat/hr]],-1,0) - TblProd[[#This Row],[Expenses Platinum]] + IF(TblProd[[#This Row],[Plat Bonus]],TblPop[[#This Row],[Peasants]]*4) + SUM(TblConstr[[#This Row],[Dest Hom]:[Dest Doc]])*TblConstr[[#This Row],[CPA Platinum -DB]]*tech_3_3_2*TblTech[[#This Row],[3-3]]</f>
        <v>504898</v>
      </c>
      <c r="I74" s="96">
        <f ca="1">OFFSET(TblProd[[#This Row],[Food]],-1,0)+OFFSET(TblProd[[#This Row],[Food/hr]],-1,0)+ROUNDUP((TblConstr[[#This Row],[Farms]]*80+TblConstr[[#This Row],[Docks]]*35)*(1+OFFSET(TblProd[[#This Row],[Bonus Food/hr]],-1,0)),0)</f>
        <v>108911</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5486</v>
      </c>
      <c r="T74" s="96">
        <f ca="1">ROUND(TblProd[[#This Row],[Raw Food/hr]]*(1+TblProd[[#This Row],[Bonus Food/hr]])-TblProd[[#This Row],[Food decay]]-TblProd[[#This Row],[Food eaten]],0)</f>
        <v>901</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5486.4000000000005</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1089.1100000000001</v>
      </c>
      <c r="AP74" s="96">
        <f ca="1">(1+race_food_consumption)*TblPop[[#This Row],[Total]]*food_per_person*(1+tech_1_10*TblTech[[#This Row],[1-10]]+tech_7_5*TblTech[[#This Row],[7-5]] + IF(TblMagic[[#This Row],[Active Demonic Pact]]&gt;0,demonic_pact_food_cons,0))</f>
        <v>589.5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71</v>
      </c>
      <c r="BC74" s="160">
        <f>-TblProd[[#This Row],[Bank Lumber]] / 2 + -TblProd[[#This Row],[Bank Gems]] * 2 + -TblProd[[#This Row],[Bank Ore]] / 2</f>
        <v>0</v>
      </c>
      <c r="BD74" s="160"/>
      <c r="BE74" s="160"/>
      <c r="BF74" s="160"/>
      <c r="BG74" s="161">
        <f ca="1">TblProd[[#This Row],[Time]]</f>
        <v>45734.916666666497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504898</v>
      </c>
      <c r="BJ74" s="96">
        <f ca="1">TblProd[[#This Row],[Food]]</f>
        <v>108911</v>
      </c>
      <c r="BK74" s="96">
        <f ca="1">TblProd[[#This Row],[Lumber]]</f>
        <v>57937</v>
      </c>
      <c r="BL74" s="96">
        <f ca="1">TblProd[[#This Row],[Mana]]</f>
        <v>0</v>
      </c>
      <c r="BM74" s="96">
        <f ca="1">TblProd[[#This Row],[Ore]]</f>
        <v>0</v>
      </c>
    </row>
    <row r="75" spans="1:65" x14ac:dyDescent="0.2">
      <c r="A75" s="139">
        <v>72</v>
      </c>
      <c r="B75" s="154">
        <f ca="1">TblImps[[#This Row],[Time]]</f>
        <v>45734.958333333161</v>
      </c>
      <c r="C75" s="155"/>
      <c r="D75" s="156"/>
      <c r="E75" s="96">
        <f ca="1">TblConstr[[#This Row],[Land]]</f>
        <v>250</v>
      </c>
      <c r="F75" s="96">
        <f ca="1">TblPop[[#This Row],[Peasants]]</f>
        <v>1532</v>
      </c>
      <c r="G75" s="96">
        <f ca="1">TblMili[[#This Row],[Networth (2)]]</f>
        <v>6450</v>
      </c>
      <c r="H75" s="96">
        <f ca="1">OFFSET(TblProd[[#This Row],[Platinum]],-1,0)+OFFSET(TblProd[[#This Row],[Plat/hr]],-1,0) - TblProd[[#This Row],[Expenses Platinum]] + IF(TblProd[[#This Row],[Plat Bonus]],TblPop[[#This Row],[Peasants]]*4) + SUM(TblConstr[[#This Row],[Dest Hom]:[Dest Doc]])*TblConstr[[#This Row],[CPA Platinum -DB]]*tech_3_3_2*TblTech[[#This Row],[3-3]]</f>
        <v>510384</v>
      </c>
      <c r="I75" s="96">
        <f ca="1">OFFSET(TblProd[[#This Row],[Food]],-1,0)+OFFSET(TblProd[[#This Row],[Food/hr]],-1,0)+ROUNDUP((TblConstr[[#This Row],[Farms]]*80+TblConstr[[#This Row],[Docks]]*35)*(1+OFFSET(TblProd[[#This Row],[Bonus Food/hr]],-1,0)),0)</f>
        <v>109812</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5486</v>
      </c>
      <c r="T75" s="96">
        <f ca="1">ROUND(TblProd[[#This Row],[Raw Food/hr]]*(1+TblProd[[#This Row],[Bonus Food/hr]])-TblProd[[#This Row],[Food decay]]-TblProd[[#This Row],[Food eaten]],0)</f>
        <v>892</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5486.4000000000005</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1098.1200000000001</v>
      </c>
      <c r="AP75" s="96">
        <f ca="1">(1+race_food_consumption)*TblPop[[#This Row],[Total]]*food_per_person*(1+tech_1_10*TblTech[[#This Row],[1-10]]+tech_7_5*TblTech[[#This Row],[7-5]] + IF(TblMagic[[#This Row],[Active Demonic Pact]]&gt;0,demonic_pact_food_cons,0))</f>
        <v>589.5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72</v>
      </c>
      <c r="BC75" s="160">
        <f>-TblProd[[#This Row],[Bank Lumber]] / 2 + -TblProd[[#This Row],[Bank Gems]] * 2 + -TblProd[[#This Row],[Bank Ore]] / 2</f>
        <v>0</v>
      </c>
      <c r="BD75" s="160"/>
      <c r="BE75" s="160"/>
      <c r="BF75" s="160"/>
      <c r="BG75" s="161">
        <f ca="1">TblProd[[#This Row],[Time]]</f>
        <v>45734.958333333161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510384</v>
      </c>
      <c r="BJ75" s="96">
        <f ca="1">TblProd[[#This Row],[Food]]</f>
        <v>109812</v>
      </c>
      <c r="BK75" s="96">
        <f ca="1">TblProd[[#This Row],[Lumber]]</f>
        <v>58358</v>
      </c>
      <c r="BL75" s="96">
        <f ca="1">TblProd[[#This Row],[Mana]]</f>
        <v>0</v>
      </c>
      <c r="BM75" s="96">
        <f ca="1">TblProd[[#This Row],[Ore]]</f>
        <v>0</v>
      </c>
    </row>
    <row r="76" spans="1:65" s="5" customFormat="1" x14ac:dyDescent="0.2">
      <c r="A76" s="146" t="s">
        <v>229</v>
      </c>
      <c r="B76" s="162">
        <f ca="1">TblImps[[#This Row],[Time]]</f>
        <v>45734.999999999825</v>
      </c>
      <c r="C76" s="163"/>
      <c r="D76" s="164"/>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5">
        <f ca="1">OFFSET(TblConstr[[#This Row],[Tot Doc]],1,0)*dock_boats_hr * (1 + tech_4_1*TblTech[[#This Row],[4-1]])</f>
        <v>0</v>
      </c>
      <c r="Z76" s="35"/>
      <c r="AA76" s="35">
        <f ca="1">TblPop[[#This Row],[Peasants]]*tax*TblPop[[#This Row],[Employment]] + (Construction!AZ77+Construction!BX77)*(alch_plat+(Magic!AN76&gt;0)*alchemist_flame_bonus)</f>
        <v>5486.4000000000005</v>
      </c>
      <c r="AB76" s="35">
        <f ca="1">TblConstr[[#This Row],[Tot Farm]]*farm_food + TblConstr[[#This Row],[Tot Doc]]*dock_food</f>
        <v>2400</v>
      </c>
      <c r="AC76" s="35">
        <f ca="1">TblConstr[[#This Row],[Tot Ly]]*ly_lumber + TblConstr[[#This Row],[Tot Hav]]*fh_lumber + IF(race="Wood Elf",TblMili[[#This Row],[Unit 2]]*MIN(TblMili[[#This Row],[Homeland%]]/wisp_bonus,wisp_cap),0)</f>
        <v>1000</v>
      </c>
      <c r="AD76" s="35">
        <f ca="1">OFFSET(TblConstr[[#This Row],[Tot Tow]],1,0)*(tower_mana + tech_4_5*TblTech[[#This Row],[4-5]]) + OFFSET(TblConstr[[#This Row],[Tot WG]],1,0)*wg_mana_prod</f>
        <v>0</v>
      </c>
      <c r="AE76" s="35">
        <f ca="1">OFFSET(TblConstr[[#This Row],[Tot OM]],1,0)*om_ore+IF(race="Dwarf",TblMili[[#This Row],[Unit 2]]*0.5,0)</f>
        <v>0</v>
      </c>
      <c r="AF76" s="35">
        <f ca="1">OFFSET(TblConstr[[#This Row],[Tot DM]],1,0)*dm_gems</f>
        <v>0</v>
      </c>
      <c r="AH76" s="16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6">
        <f ca="1">race_lumber_bonus+ IF(TblMagic[[#This Row],[Active Gaia''s Blessing]]&gt;0,gaias_blessing_lumber)+ tech_1_3*TblTech[[#This Row],[1-3]] + tech_1_6*TblTech[[#This Row],[1-6]] + tech_3_3*TblTech[[#This Row],[3-3]]</f>
        <v>0</v>
      </c>
      <c r="AK76" s="166">
        <f ca="1">race_mana_bonus+ 0 + TblImps[[#This Row],[Spires]] + tech_1_2*TblTech[[#This Row],[1-2]] + tech_3_4*TblTech[[#This Row],[3-4]]</f>
        <v>0</v>
      </c>
      <c r="AL76" s="166">
        <f ca="1">race_ore_bonus + IF(TblMagic[[#This Row],[Active Miner''s Sight]]&gt;0,miners_sight_bonus,IF(TblMagic[[#This Row],[Active Mining Strength]]&gt;0,mining_strength_bonus)) +  tech_1_6*TblTech[[#This Row],[1-6]]</f>
        <v>0</v>
      </c>
      <c r="AM76" s="166">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 + IF(TblMagic[[#This Row],[Active Demonic Pact]]&gt;0,demonic_pact_food_cons,0))</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Military!$CO$25*TblMili[[#This Row],[Sec. rec. Cost]]</f>
        <v>0</v>
      </c>
      <c r="AV76" s="35">
        <f ca="1">TblMagic[[#This Row],[Mana cost]] + Military!$CO$26*TblMili[[#This Row],[Sec. rec. Cost]]</f>
        <v>0</v>
      </c>
      <c r="AW76" s="35">
        <f ca="1">Military!$CO$24*TblMili[[#This Row],[Sec. rec. Cost]]+TblImps[[#This Row],[O1]]-TblProd[[#This Row],[Bank Ore]]</f>
        <v>0</v>
      </c>
      <c r="AX76" s="35">
        <f>TblImps[[#This Row],[G1]]-TblProd[[#This Row],[Bank Gems]]</f>
        <v>0</v>
      </c>
      <c r="AZ76" s="150" t="b">
        <f ca="1">IF(TblProd[[#This Row],[Set Guard]]&lt;&gt;"",TblProd[[#This Row],[Set Guard]],OFFSET(TblProd[[#This Row],[Guard]],-1,0))</f>
        <v>0</v>
      </c>
      <c r="BA76" s="163"/>
      <c r="BB76" s="5" t="str">
        <f>TblProd[[#This Row],[Hour]]</f>
        <v>OOP</v>
      </c>
      <c r="BC76" s="168">
        <f>-TblProd[[#This Row],[Bank Lumber]] / 2 + -TblProd[[#This Row],[Bank Gems]] * 2 + -TblProd[[#This Row],[Bank Ore]] / 2</f>
        <v>0</v>
      </c>
      <c r="BD76" s="168"/>
      <c r="BE76" s="168"/>
      <c r="BF76" s="168"/>
      <c r="BG76" s="169">
        <f ca="1">TblProd[[#This Row],[Time]]</f>
        <v>45734.999999999825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39">
        <v>2</v>
      </c>
      <c r="B77" s="154">
        <f ca="1">TblImps[[#This Row],[Time]]</f>
        <v>45735.04166666649</v>
      </c>
      <c r="C77" s="155"/>
      <c r="D77" s="156"/>
      <c r="E77" s="96">
        <f ca="1">TblConstr[[#This Row],[Land]]</f>
        <v>250</v>
      </c>
      <c r="F77" s="96">
        <f ca="1">TblPop[[#This Row],[Peasants]]</f>
        <v>1532</v>
      </c>
      <c r="G77" s="96">
        <f ca="1">TblMili[[#This Row],[Networth (2)]]</f>
        <v>6450</v>
      </c>
      <c r="H77" s="96">
        <f ca="1">OFFSET(TblProd[[#This Row],[Platinum]],-1,0)+OFFSET(TblProd[[#This Row],[Plat/hr]],-1,0) - TblProd[[#This Row],[Expenses Platinum]] + IF(TblProd[[#This Row],[Plat Bonus]],TblPop[[#This Row],[Peasants]]*4) + SUM(TblConstr[[#This Row],[Dest Hom]:[Dest Doc]])*TblConstr[[#This Row],[CPA Platinum -DB]]*tech_3_3_2*TblTech[[#This Row],[3-3]]</f>
        <v>521356</v>
      </c>
      <c r="I77" s="96">
        <f ca="1">OFFSET(TblProd[[#This Row],[Food]],-1,0)+OFFSET(TblProd[[#This Row],[Food/hr]],-1,0)+ROUNDUP((TblConstr[[#This Row],[Farms]]*80+TblConstr[[#This Row],[Docks]]*35)*(1+OFFSET(TblProd[[#This Row],[Bonus Food/hr]],-1,0)),0)</f>
        <v>111587</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5486</v>
      </c>
      <c r="T77" s="96">
        <f ca="1">ROUND(TblProd[[#This Row],[Raw Food/hr]]*(1+TblProd[[#This Row],[Bonus Food/hr]])-TblProd[[#This Row],[Food decay]]-TblProd[[#This Row],[Food eaten]],0)</f>
        <v>875</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5486.4000000000005</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1115.8700000000001</v>
      </c>
      <c r="AP77" s="96">
        <f ca="1">(1+race_food_consumption)*TblPop[[#This Row],[Total]]*food_per_person*(1+tech_1_10*TblTech[[#This Row],[1-10]]+tech_7_5*TblTech[[#This Row],[7-5]] + IF(TblMagic[[#This Row],[Active Demonic Pact]]&gt;0,demonic_pact_food_cons,0))</f>
        <v>589.5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v>
      </c>
      <c r="BC77" s="160">
        <f>-TblProd[[#This Row],[Bank Lumber]] / 2 + -TblProd[[#This Row],[Bank Gems]] * 2 + -TblProd[[#This Row],[Bank Ore]] / 2</f>
        <v>0</v>
      </c>
      <c r="BD77" s="160"/>
      <c r="BE77" s="160"/>
      <c r="BF77" s="160"/>
      <c r="BG77" s="161">
        <f ca="1">TblProd[[#This Row],[Time]]</f>
        <v>45735.04166666649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521356</v>
      </c>
      <c r="BJ77" s="96">
        <f ca="1">TblProd[[#This Row],[Food]]</f>
        <v>111587</v>
      </c>
      <c r="BK77" s="96">
        <f ca="1">TblProd[[#This Row],[Lumber]]</f>
        <v>59186</v>
      </c>
      <c r="BL77" s="96">
        <f ca="1">TblProd[[#This Row],[Mana]]</f>
        <v>0</v>
      </c>
      <c r="BM77" s="96">
        <f ca="1">TblProd[[#This Row],[Ore]]</f>
        <v>0</v>
      </c>
    </row>
    <row r="78" spans="1:65" x14ac:dyDescent="0.2">
      <c r="A78" s="139">
        <v>3</v>
      </c>
      <c r="B78" s="154">
        <f ca="1">TblImps[[#This Row],[Time]]</f>
        <v>45735.083333333154</v>
      </c>
      <c r="C78" s="155"/>
      <c r="D78" s="156"/>
      <c r="E78" s="96">
        <f ca="1">TblConstr[[#This Row],[Land]]</f>
        <v>250</v>
      </c>
      <c r="F78" s="96">
        <f ca="1">TblPop[[#This Row],[Peasants]]</f>
        <v>1532</v>
      </c>
      <c r="G78" s="96">
        <f ca="1">TblMili[[#This Row],[Networth (2)]]</f>
        <v>6450</v>
      </c>
      <c r="H78" s="96">
        <f ca="1">OFFSET(TblProd[[#This Row],[Platinum]],-1,0)+OFFSET(TblProd[[#This Row],[Plat/hr]],-1,0) - TblProd[[#This Row],[Expenses Platinum]] + IF(TblProd[[#This Row],[Plat Bonus]],TblPop[[#This Row],[Peasants]]*4) + SUM(TblConstr[[#This Row],[Dest Hom]:[Dest Doc]])*TblConstr[[#This Row],[CPA Platinum -DB]]*tech_3_3_2*TblTech[[#This Row],[3-3]]</f>
        <v>526842</v>
      </c>
      <c r="I78" s="96">
        <f ca="1">OFFSET(TblProd[[#This Row],[Food]],-1,0)+OFFSET(TblProd[[#This Row],[Food/hr]],-1,0)+ROUNDUP((TblConstr[[#This Row],[Farms]]*80+TblConstr[[#This Row],[Docks]]*35)*(1+OFFSET(TblProd[[#This Row],[Bonus Food/hr]],-1,0)),0)</f>
        <v>112462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5486</v>
      </c>
      <c r="T78" s="96">
        <f ca="1">ROUND(TblProd[[#This Row],[Raw Food/hr]]*(1+TblProd[[#This Row],[Bonus Food/hr]])-TblProd[[#This Row],[Food decay]]-TblProd[[#This Row],[Food eaten]],0)</f>
        <v>866</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5486.4000000000005</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1124.6200000000001</v>
      </c>
      <c r="AP78" s="96">
        <f ca="1">(1+race_food_consumption)*TblPop[[#This Row],[Total]]*food_per_person*(1+tech_1_10*TblTech[[#This Row],[1-10]]+tech_7_5*TblTech[[#This Row],[7-5]] + IF(TblMagic[[#This Row],[Active Demonic Pact]]&gt;0,demonic_pact_food_cons,0))</f>
        <v>589.5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3</v>
      </c>
      <c r="BC78" s="160">
        <f>-TblProd[[#This Row],[Bank Lumber]] / 2 + -TblProd[[#This Row],[Bank Gems]] * 2 + -TblProd[[#This Row],[Bank Ore]] / 2</f>
        <v>0</v>
      </c>
      <c r="BD78" s="160"/>
      <c r="BE78" s="160"/>
      <c r="BF78" s="160"/>
      <c r="BG78" s="161">
        <f ca="1">TblProd[[#This Row],[Time]]</f>
        <v>45735.083333333154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526842</v>
      </c>
      <c r="BJ78" s="96">
        <f ca="1">TblProd[[#This Row],[Food]]</f>
        <v>112462</v>
      </c>
      <c r="BK78" s="96">
        <f ca="1">TblProd[[#This Row],[Lumber]]</f>
        <v>59594</v>
      </c>
      <c r="BL78" s="96">
        <f ca="1">TblProd[[#This Row],[Mana]]</f>
        <v>0</v>
      </c>
      <c r="BM78" s="96">
        <f ca="1">TblProd[[#This Row],[Ore]]</f>
        <v>0</v>
      </c>
    </row>
    <row r="79" spans="1:65" x14ac:dyDescent="0.2">
      <c r="A79" s="139">
        <v>4</v>
      </c>
      <c r="B79" s="154">
        <f ca="1">TblImps[[#This Row],[Time]]</f>
        <v>45735.124999999818</v>
      </c>
      <c r="C79" s="155"/>
      <c r="D79" s="156"/>
      <c r="E79" s="96">
        <f ca="1">TblConstr[[#This Row],[Land]]</f>
        <v>250</v>
      </c>
      <c r="F79" s="96">
        <f ca="1">TblPop[[#This Row],[Peasants]]</f>
        <v>1532</v>
      </c>
      <c r="G79" s="96">
        <f ca="1">TblMili[[#This Row],[Networth (2)]]</f>
        <v>6450</v>
      </c>
      <c r="H79" s="96">
        <f ca="1">OFFSET(TblProd[[#This Row],[Platinum]],-1,0)+OFFSET(TblProd[[#This Row],[Plat/hr]],-1,0) - TblProd[[#This Row],[Expenses Platinum]] + IF(TblProd[[#This Row],[Plat Bonus]],TblPop[[#This Row],[Peasants]]*4) + SUM(TblConstr[[#This Row],[Dest Hom]:[Dest Doc]])*TblConstr[[#This Row],[CPA Platinum -DB]]*tech_3_3_2*TblTech[[#This Row],[3-3]]</f>
        <v>532328</v>
      </c>
      <c r="I79" s="96">
        <f ca="1">OFFSET(TblProd[[#This Row],[Food]],-1,0)+OFFSET(TblProd[[#This Row],[Food/hr]],-1,0)+ROUNDUP((TblConstr[[#This Row],[Farms]]*80+TblConstr[[#This Row],[Docks]]*35)*(1+OFFSET(TblProd[[#This Row],[Bonus Food/hr]],-1,0)),0)</f>
        <v>113328</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5486</v>
      </c>
      <c r="T79" s="96">
        <f ca="1">ROUND(TblProd[[#This Row],[Raw Food/hr]]*(1+TblProd[[#This Row],[Bonus Food/hr]])-TblProd[[#This Row],[Food decay]]-TblProd[[#This Row],[Food eaten]],0)</f>
        <v>857</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5486.4000000000005</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1133.28</v>
      </c>
      <c r="AP79" s="96">
        <f ca="1">(1+race_food_consumption)*TblPop[[#This Row],[Total]]*food_per_person*(1+tech_1_10*TblTech[[#This Row],[1-10]]+tech_7_5*TblTech[[#This Row],[7-5]] + IF(TblMagic[[#This Row],[Active Demonic Pact]]&gt;0,demonic_pact_food_cons,0))</f>
        <v>589.5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4</v>
      </c>
      <c r="BC79" s="160">
        <f>-TblProd[[#This Row],[Bank Lumber]] / 2 + -TblProd[[#This Row],[Bank Gems]] * 2 + -TblProd[[#This Row],[Bank Ore]] / 2</f>
        <v>0</v>
      </c>
      <c r="BD79" s="160"/>
      <c r="BE79" s="160"/>
      <c r="BF79" s="160"/>
      <c r="BG79" s="161">
        <f ca="1">TblProd[[#This Row],[Time]]</f>
        <v>45735.124999999818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532328</v>
      </c>
      <c r="BJ79" s="96">
        <f ca="1">TblProd[[#This Row],[Food]]</f>
        <v>113328</v>
      </c>
      <c r="BK79" s="96">
        <f ca="1">TblProd[[#This Row],[Lumber]]</f>
        <v>59998</v>
      </c>
      <c r="BL79" s="96">
        <f ca="1">TblProd[[#This Row],[Mana]]</f>
        <v>0</v>
      </c>
      <c r="BM79" s="96">
        <f ca="1">TblProd[[#This Row],[Ore]]</f>
        <v>0</v>
      </c>
    </row>
    <row r="80" spans="1:65" x14ac:dyDescent="0.2">
      <c r="A80" s="139">
        <v>5</v>
      </c>
      <c r="B80" s="154">
        <f ca="1">TblImps[[#This Row],[Time]]</f>
        <v>45735.166666666482</v>
      </c>
      <c r="C80" s="155"/>
      <c r="D80" s="156"/>
      <c r="E80" s="96">
        <f ca="1">TblConstr[[#This Row],[Land]]</f>
        <v>250</v>
      </c>
      <c r="F80" s="96">
        <f ca="1">TblPop[[#This Row],[Peasants]]</f>
        <v>1532</v>
      </c>
      <c r="G80" s="96">
        <f ca="1">TblMili[[#This Row],[Networth (2)]]</f>
        <v>6450</v>
      </c>
      <c r="H80" s="96">
        <f ca="1">OFFSET(TblProd[[#This Row],[Platinum]],-1,0)+OFFSET(TblProd[[#This Row],[Plat/hr]],-1,0) - TblProd[[#This Row],[Expenses Platinum]] + IF(TblProd[[#This Row],[Plat Bonus]],TblPop[[#This Row],[Peasants]]*4) + SUM(TblConstr[[#This Row],[Dest Hom]:[Dest Doc]])*TblConstr[[#This Row],[CPA Platinum -DB]]*tech_3_3_2*TblTech[[#This Row],[3-3]]</f>
        <v>537814</v>
      </c>
      <c r="I80" s="96">
        <f ca="1">OFFSET(TblProd[[#This Row],[Food]],-1,0)+OFFSET(TblProd[[#This Row],[Food/hr]],-1,0)+ROUNDUP((TblConstr[[#This Row],[Farms]]*80+TblConstr[[#This Row],[Docks]]*35)*(1+OFFSET(TblProd[[#This Row],[Bonus Food/hr]],-1,0)),0)</f>
        <v>114185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5486</v>
      </c>
      <c r="T80" s="96">
        <f ca="1">ROUND(TblProd[[#This Row],[Raw Food/hr]]*(1+TblProd[[#This Row],[Bonus Food/hr]])-TblProd[[#This Row],[Food decay]]-TblProd[[#This Row],[Food eaten]],0)</f>
        <v>849</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5486.4000000000005</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1141.8500000000001</v>
      </c>
      <c r="AP80" s="96">
        <f ca="1">(1+race_food_consumption)*TblPop[[#This Row],[Total]]*food_per_person*(1+tech_1_10*TblTech[[#This Row],[1-10]]+tech_7_5*TblTech[[#This Row],[7-5]] + IF(TblMagic[[#This Row],[Active Demonic Pact]]&gt;0,demonic_pact_food_cons,0))</f>
        <v>589.5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5</v>
      </c>
      <c r="BC80" s="160">
        <f>-TblProd[[#This Row],[Bank Lumber]] / 2 + -TblProd[[#This Row],[Bank Gems]] * 2 + -TblProd[[#This Row],[Bank Ore]] / 2</f>
        <v>0</v>
      </c>
      <c r="BD80" s="160"/>
      <c r="BE80" s="160"/>
      <c r="BF80" s="160"/>
      <c r="BG80" s="161">
        <f ca="1">TblProd[[#This Row],[Time]]</f>
        <v>45735.166666666482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537814</v>
      </c>
      <c r="BJ80" s="96">
        <f ca="1">TblProd[[#This Row],[Food]]</f>
        <v>114185</v>
      </c>
      <c r="BK80" s="96">
        <f ca="1">TblProd[[#This Row],[Lumber]]</f>
        <v>60398</v>
      </c>
      <c r="BL80" s="96">
        <f ca="1">TblProd[[#This Row],[Mana]]</f>
        <v>0</v>
      </c>
      <c r="BM80" s="96">
        <f ca="1">TblProd[[#This Row],[Ore]]</f>
        <v>0</v>
      </c>
    </row>
    <row r="81" spans="1:65" x14ac:dyDescent="0.2">
      <c r="A81" s="139">
        <v>6</v>
      </c>
      <c r="B81" s="154">
        <f ca="1">TblImps[[#This Row],[Time]]</f>
        <v>45735.208333333147</v>
      </c>
      <c r="C81" s="155"/>
      <c r="D81" s="156"/>
      <c r="E81" s="96">
        <f ca="1">TblConstr[[#This Row],[Land]]</f>
        <v>250</v>
      </c>
      <c r="F81" s="96">
        <f ca="1">TblPop[[#This Row],[Peasants]]</f>
        <v>1532</v>
      </c>
      <c r="G81" s="96">
        <f ca="1">TblMili[[#This Row],[Networth (2)]]</f>
        <v>6450</v>
      </c>
      <c r="H81" s="96">
        <f ca="1">OFFSET(TblProd[[#This Row],[Platinum]],-1,0)+OFFSET(TblProd[[#This Row],[Plat/hr]],-1,0) - TblProd[[#This Row],[Expenses Platinum]] + IF(TblProd[[#This Row],[Plat Bonus]],TblPop[[#This Row],[Peasants]]*4) + SUM(TblConstr[[#This Row],[Dest Hom]:[Dest Doc]])*TblConstr[[#This Row],[CPA Platinum -DB]]*tech_3_3_2*TblTech[[#This Row],[3-3]]</f>
        <v>543300</v>
      </c>
      <c r="I81" s="96">
        <f ca="1">OFFSET(TblProd[[#This Row],[Food]],-1,0)+OFFSET(TblProd[[#This Row],[Food/hr]],-1,0)+ROUNDUP((TblConstr[[#This Row],[Farms]]*80+TblConstr[[#This Row],[Docks]]*35)*(1+OFFSET(TblProd[[#This Row],[Bonus Food/hr]],-1,0)),0)</f>
        <v>115034</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5486</v>
      </c>
      <c r="T81" s="96">
        <f ca="1">ROUND(TblProd[[#This Row],[Raw Food/hr]]*(1+TblProd[[#This Row],[Bonus Food/hr]])-TblProd[[#This Row],[Food decay]]-TblProd[[#This Row],[Food eaten]],0)</f>
        <v>840</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5486.4000000000005</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1150.3399999999999</v>
      </c>
      <c r="AP81" s="96">
        <f ca="1">(1+race_food_consumption)*TblPop[[#This Row],[Total]]*food_per_person*(1+tech_1_10*TblTech[[#This Row],[1-10]]+tech_7_5*TblTech[[#This Row],[7-5]] + IF(TblMagic[[#This Row],[Active Demonic Pact]]&gt;0,demonic_pact_food_cons,0))</f>
        <v>589.5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6</v>
      </c>
      <c r="BC81" s="160">
        <f>-TblProd[[#This Row],[Bank Lumber]] / 2 + -TblProd[[#This Row],[Bank Gems]] * 2 + -TblProd[[#This Row],[Bank Ore]] / 2</f>
        <v>0</v>
      </c>
      <c r="BD81" s="160"/>
      <c r="BE81" s="160"/>
      <c r="BF81" s="160"/>
      <c r="BG81" s="161">
        <f ca="1">TblProd[[#This Row],[Time]]</f>
        <v>45735.208333333147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543300</v>
      </c>
      <c r="BJ81" s="96">
        <f ca="1">TblProd[[#This Row],[Food]]</f>
        <v>115034</v>
      </c>
      <c r="BK81" s="96">
        <f ca="1">TblProd[[#This Row],[Lumber]]</f>
        <v>60794</v>
      </c>
      <c r="BL81" s="96">
        <f ca="1">TblProd[[#This Row],[Mana]]</f>
        <v>0</v>
      </c>
      <c r="BM81" s="96">
        <f ca="1">TblProd[[#This Row],[Ore]]</f>
        <v>0</v>
      </c>
    </row>
    <row r="82" spans="1:65" x14ac:dyDescent="0.2">
      <c r="A82" s="139">
        <v>7</v>
      </c>
      <c r="B82" s="154">
        <f ca="1">TblImps[[#This Row],[Time]]</f>
        <v>45735.249999999811</v>
      </c>
      <c r="C82" s="155"/>
      <c r="D82" s="156"/>
      <c r="E82" s="96">
        <f ca="1">TblConstr[[#This Row],[Land]]</f>
        <v>250</v>
      </c>
      <c r="F82" s="96">
        <f ca="1">TblPop[[#This Row],[Peasants]]</f>
        <v>1532</v>
      </c>
      <c r="G82" s="96">
        <f ca="1">TblMili[[#This Row],[Networth (2)]]</f>
        <v>6450</v>
      </c>
      <c r="H82" s="96">
        <f ca="1">OFFSET(TblProd[[#This Row],[Platinum]],-1,0)+OFFSET(TblProd[[#This Row],[Plat/hr]],-1,0) - TblProd[[#This Row],[Expenses Platinum]] + IF(TblProd[[#This Row],[Plat Bonus]],TblPop[[#This Row],[Peasants]]*4) + SUM(TblConstr[[#This Row],[Dest Hom]:[Dest Doc]])*TblConstr[[#This Row],[CPA Platinum -DB]]*tech_3_3_2*TblTech[[#This Row],[3-3]]</f>
        <v>548786</v>
      </c>
      <c r="I82" s="96">
        <f ca="1">OFFSET(TblProd[[#This Row],[Food]],-1,0)+OFFSET(TblProd[[#This Row],[Food/hr]],-1,0)+ROUNDUP((TblConstr[[#This Row],[Farms]]*80+TblConstr[[#This Row],[Docks]]*35)*(1+OFFSET(TblProd[[#This Row],[Bonus Food/hr]],-1,0)),0)</f>
        <v>115874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5486</v>
      </c>
      <c r="T82" s="96">
        <f ca="1">ROUND(TblProd[[#This Row],[Raw Food/hr]]*(1+TblProd[[#This Row],[Bonus Food/hr]])-TblProd[[#This Row],[Food decay]]-TblProd[[#This Row],[Food eaten]],0)</f>
        <v>832</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5486.4000000000005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1158.74</v>
      </c>
      <c r="AP82" s="96">
        <f ca="1">(1+race_food_consumption)*TblPop[[#This Row],[Total]]*food_per_person*(1+tech_1_10*TblTech[[#This Row],[1-10]]+tech_7_5*TblTech[[#This Row],[7-5]] + IF(TblMagic[[#This Row],[Active Demonic Pact]]&gt;0,demonic_pact_food_cons,0))</f>
        <v>589.5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7</v>
      </c>
      <c r="BC82" s="160">
        <f>-TblProd[[#This Row],[Bank Lumber]] / 2 + -TblProd[[#This Row],[Bank Gems]] * 2 + -TblProd[[#This Row],[Bank Ore]] / 2</f>
        <v>0</v>
      </c>
      <c r="BD82" s="160"/>
      <c r="BE82" s="160"/>
      <c r="BF82" s="160"/>
      <c r="BG82" s="161">
        <f ca="1">TblProd[[#This Row],[Time]]</f>
        <v>45735.249999999811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548786</v>
      </c>
      <c r="BJ82" s="96">
        <f ca="1">TblProd[[#This Row],[Food]]</f>
        <v>115874</v>
      </c>
      <c r="BK82" s="96">
        <f ca="1">TblProd[[#This Row],[Lumber]]</f>
        <v>61186</v>
      </c>
      <c r="BL82" s="96">
        <f ca="1">TblProd[[#This Row],[Mana]]</f>
        <v>0</v>
      </c>
      <c r="BM82" s="96">
        <f ca="1">TblProd[[#This Row],[Ore]]</f>
        <v>0</v>
      </c>
    </row>
    <row r="83" spans="1:65" x14ac:dyDescent="0.2">
      <c r="A83" s="139">
        <v>8</v>
      </c>
      <c r="B83" s="154">
        <f ca="1">TblImps[[#This Row],[Time]]</f>
        <v>45735.291666666475</v>
      </c>
      <c r="C83" s="155"/>
      <c r="D83" s="156"/>
      <c r="E83" s="96">
        <f ca="1">TblConstr[[#This Row],[Land]]</f>
        <v>250</v>
      </c>
      <c r="F83" s="96">
        <f ca="1">TblPop[[#This Row],[Peasants]]</f>
        <v>1532</v>
      </c>
      <c r="G83" s="96">
        <f ca="1">TblMili[[#This Row],[Networth (2)]]</f>
        <v>6450</v>
      </c>
      <c r="H83" s="96">
        <f ca="1">OFFSET(TblProd[[#This Row],[Platinum]],-1,0)+OFFSET(TblProd[[#This Row],[Plat/hr]],-1,0) - TblProd[[#This Row],[Expenses Platinum]] + IF(TblProd[[#This Row],[Plat Bonus]],TblPop[[#This Row],[Peasants]]*4) + SUM(TblConstr[[#This Row],[Dest Hom]:[Dest Doc]])*TblConstr[[#This Row],[CPA Platinum -DB]]*tech_3_3_2*TblTech[[#This Row],[3-3]]</f>
        <v>554272</v>
      </c>
      <c r="I83" s="96">
        <f ca="1">OFFSET(TblProd[[#This Row],[Food]],-1,0)+OFFSET(TblProd[[#This Row],[Food/hr]],-1,0)+ROUNDUP((TblConstr[[#This Row],[Farms]]*80+TblConstr[[#This Row],[Docks]]*35)*(1+OFFSET(TblProd[[#This Row],[Bonus Food/hr]],-1,0)),0)</f>
        <v>116706</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5486</v>
      </c>
      <c r="T83" s="96">
        <f ca="1">ROUND(TblProd[[#This Row],[Raw Food/hr]]*(1+TblProd[[#This Row],[Bonus Food/hr]])-TblProd[[#This Row],[Food decay]]-TblProd[[#This Row],[Food eaten]],0)</f>
        <v>823</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5486.4000000000005</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1167.06</v>
      </c>
      <c r="AP83" s="96">
        <f ca="1">(1+race_food_consumption)*TblPop[[#This Row],[Total]]*food_per_person*(1+tech_1_10*TblTech[[#This Row],[1-10]]+tech_7_5*TblTech[[#This Row],[7-5]] + IF(TblMagic[[#This Row],[Active Demonic Pact]]&gt;0,demonic_pact_food_cons,0))</f>
        <v>589.5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8</v>
      </c>
      <c r="BC83" s="160">
        <f>-TblProd[[#This Row],[Bank Lumber]] / 2 + -TblProd[[#This Row],[Bank Gems]] * 2 + -TblProd[[#This Row],[Bank Ore]] / 2</f>
        <v>0</v>
      </c>
      <c r="BD83" s="160"/>
      <c r="BE83" s="160"/>
      <c r="BF83" s="160"/>
      <c r="BG83" s="161">
        <f ca="1">TblProd[[#This Row],[Time]]</f>
        <v>45735.291666666475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554272</v>
      </c>
      <c r="BJ83" s="96">
        <f ca="1">TblProd[[#This Row],[Food]]</f>
        <v>116706</v>
      </c>
      <c r="BK83" s="96">
        <f ca="1">TblProd[[#This Row],[Lumber]]</f>
        <v>61574</v>
      </c>
      <c r="BL83" s="96">
        <f ca="1">TblProd[[#This Row],[Mana]]</f>
        <v>0</v>
      </c>
      <c r="BM83" s="96">
        <f ca="1">TblProd[[#This Row],[Ore]]</f>
        <v>0</v>
      </c>
    </row>
    <row r="84" spans="1:65" x14ac:dyDescent="0.2">
      <c r="A84" s="139">
        <v>9</v>
      </c>
      <c r="B84" s="154">
        <f ca="1">TblImps[[#This Row],[Time]]</f>
        <v>45735.333333333139</v>
      </c>
      <c r="C84" s="155"/>
      <c r="D84" s="156"/>
      <c r="E84" s="96">
        <f ca="1">TblConstr[[#This Row],[Land]]</f>
        <v>250</v>
      </c>
      <c r="F84" s="96">
        <f ca="1">TblPop[[#This Row],[Peasants]]</f>
        <v>1532</v>
      </c>
      <c r="G84" s="96">
        <f ca="1">TblMili[[#This Row],[Networth (2)]]</f>
        <v>6450</v>
      </c>
      <c r="H84" s="96">
        <f ca="1">OFFSET(TblProd[[#This Row],[Platinum]],-1,0)+OFFSET(TblProd[[#This Row],[Plat/hr]],-1,0) - TblProd[[#This Row],[Expenses Platinum]] + IF(TblProd[[#This Row],[Plat Bonus]],TblPop[[#This Row],[Peasants]]*4) + SUM(TblConstr[[#This Row],[Dest Hom]:[Dest Doc]])*TblConstr[[#This Row],[CPA Platinum -DB]]*tech_3_3_2*TblTech[[#This Row],[3-3]]</f>
        <v>559758</v>
      </c>
      <c r="I84" s="96">
        <f ca="1">OFFSET(TblProd[[#This Row],[Food]],-1,0)+OFFSET(TblProd[[#This Row],[Food/hr]],-1,0)+ROUNDUP((TblConstr[[#This Row],[Farms]]*80+TblConstr[[#This Row],[Docks]]*35)*(1+OFFSET(TblProd[[#This Row],[Bonus Food/hr]],-1,0)),0)</f>
        <v>117529</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5486</v>
      </c>
      <c r="T84" s="96">
        <f ca="1">ROUND(TblProd[[#This Row],[Raw Food/hr]]*(1+TblProd[[#This Row],[Bonus Food/hr]])-TblProd[[#This Row],[Food decay]]-TblProd[[#This Row],[Food eaten]],0)</f>
        <v>815</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5486.4000000000005</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1175.29</v>
      </c>
      <c r="AP84" s="96">
        <f ca="1">(1+race_food_consumption)*TblPop[[#This Row],[Total]]*food_per_person*(1+tech_1_10*TblTech[[#This Row],[1-10]]+tech_7_5*TblTech[[#This Row],[7-5]] + IF(TblMagic[[#This Row],[Active Demonic Pact]]&gt;0,demonic_pact_food_cons,0))</f>
        <v>589.5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9</v>
      </c>
      <c r="BC84" s="160">
        <f>-TblProd[[#This Row],[Bank Lumber]] / 2 + -TblProd[[#This Row],[Bank Gems]] * 2 + -TblProd[[#This Row],[Bank Ore]] / 2</f>
        <v>0</v>
      </c>
      <c r="BD84" s="160"/>
      <c r="BE84" s="160"/>
      <c r="BF84" s="160"/>
      <c r="BG84" s="161">
        <f ca="1">TblProd[[#This Row],[Time]]</f>
        <v>45735.333333333139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559758</v>
      </c>
      <c r="BJ84" s="96">
        <f ca="1">TblProd[[#This Row],[Food]]</f>
        <v>117529</v>
      </c>
      <c r="BK84" s="96">
        <f ca="1">TblProd[[#This Row],[Lumber]]</f>
        <v>61958</v>
      </c>
      <c r="BL84" s="96">
        <f ca="1">TblProd[[#This Row],[Mana]]</f>
        <v>0</v>
      </c>
      <c r="BM84" s="96">
        <f ca="1">TblProd[[#This Row],[Ore]]</f>
        <v>0</v>
      </c>
    </row>
    <row r="85" spans="1:65" x14ac:dyDescent="0.2">
      <c r="A85" s="139">
        <v>10</v>
      </c>
      <c r="B85" s="154">
        <f ca="1">TblImps[[#This Row],[Time]]</f>
        <v>45735.374999999804</v>
      </c>
      <c r="C85" s="155"/>
      <c r="D85" s="156"/>
      <c r="E85" s="96">
        <f ca="1">TblConstr[[#This Row],[Land]]</f>
        <v>250</v>
      </c>
      <c r="F85" s="96">
        <f ca="1">TblPop[[#This Row],[Peasants]]</f>
        <v>1532</v>
      </c>
      <c r="G85" s="96">
        <f ca="1">TblMili[[#This Row],[Networth (2)]]</f>
        <v>6450</v>
      </c>
      <c r="H85" s="96">
        <f ca="1">OFFSET(TblProd[[#This Row],[Platinum]],-1,0)+OFFSET(TblProd[[#This Row],[Plat/hr]],-1,0) - TblProd[[#This Row],[Expenses Platinum]] + IF(TblProd[[#This Row],[Plat Bonus]],TblPop[[#This Row],[Peasants]]*4) + SUM(TblConstr[[#This Row],[Dest Hom]:[Dest Doc]])*TblConstr[[#This Row],[CPA Platinum -DB]]*tech_3_3_2*TblTech[[#This Row],[3-3]]</f>
        <v>565244</v>
      </c>
      <c r="I85" s="96">
        <f ca="1">OFFSET(TblProd[[#This Row],[Food]],-1,0)+OFFSET(TblProd[[#This Row],[Food/hr]],-1,0)+ROUNDUP((TblConstr[[#This Row],[Farms]]*80+TblConstr[[#This Row],[Docks]]*35)*(1+OFFSET(TblProd[[#This Row],[Bonus Food/hr]],-1,0)),0)</f>
        <v>118344</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5486</v>
      </c>
      <c r="T85" s="96">
        <f ca="1">ROUND(TblProd[[#This Row],[Raw Food/hr]]*(1+TblProd[[#This Row],[Bonus Food/hr]])-TblProd[[#This Row],[Food decay]]-TblProd[[#This Row],[Food eaten]],0)</f>
        <v>807</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5486.4000000000005</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1183.44</v>
      </c>
      <c r="AP85" s="96">
        <f ca="1">(1+race_food_consumption)*TblPop[[#This Row],[Total]]*food_per_person*(1+tech_1_10*TblTech[[#This Row],[1-10]]+tech_7_5*TblTech[[#This Row],[7-5]] + IF(TblMagic[[#This Row],[Active Demonic Pact]]&gt;0,demonic_pact_food_cons,0))</f>
        <v>589.5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10</v>
      </c>
      <c r="BC85" s="160">
        <f>-TblProd[[#This Row],[Bank Lumber]] / 2 + -TblProd[[#This Row],[Bank Gems]] * 2 + -TblProd[[#This Row],[Bank Ore]] / 2</f>
        <v>0</v>
      </c>
      <c r="BD85" s="160"/>
      <c r="BE85" s="160"/>
      <c r="BF85" s="160"/>
      <c r="BG85" s="161">
        <f ca="1">TblProd[[#This Row],[Time]]</f>
        <v>45735.374999999804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565244</v>
      </c>
      <c r="BJ85" s="96">
        <f ca="1">TblProd[[#This Row],[Food]]</f>
        <v>118344</v>
      </c>
      <c r="BK85" s="96">
        <f ca="1">TblProd[[#This Row],[Lumber]]</f>
        <v>62338</v>
      </c>
      <c r="BL85" s="96">
        <f ca="1">TblProd[[#This Row],[Mana]]</f>
        <v>0</v>
      </c>
      <c r="BM85" s="96">
        <f ca="1">TblProd[[#This Row],[Ore]]</f>
        <v>0</v>
      </c>
    </row>
    <row r="86" spans="1:65" x14ac:dyDescent="0.2">
      <c r="A86" s="139">
        <v>11</v>
      </c>
      <c r="B86" s="154">
        <f ca="1">TblImps[[#This Row],[Time]]</f>
        <v>45735.416666666468</v>
      </c>
      <c r="C86" s="155"/>
      <c r="D86" s="156"/>
      <c r="E86" s="96">
        <f ca="1">TblConstr[[#This Row],[Land]]</f>
        <v>250</v>
      </c>
      <c r="F86" s="96">
        <f ca="1">TblPop[[#This Row],[Peasants]]</f>
        <v>1532</v>
      </c>
      <c r="G86" s="96">
        <f ca="1">TblMili[[#This Row],[Networth (2)]]</f>
        <v>6450</v>
      </c>
      <c r="H86" s="96">
        <f ca="1">OFFSET(TblProd[[#This Row],[Platinum]],-1,0)+OFFSET(TblProd[[#This Row],[Plat/hr]],-1,0) - TblProd[[#This Row],[Expenses Platinum]] + IF(TblProd[[#This Row],[Plat Bonus]],TblPop[[#This Row],[Peasants]]*4) + SUM(TblConstr[[#This Row],[Dest Hom]:[Dest Doc]])*TblConstr[[#This Row],[CPA Platinum -DB]]*tech_3_3_2*TblTech[[#This Row],[3-3]]</f>
        <v>570730</v>
      </c>
      <c r="I86" s="96">
        <f ca="1">OFFSET(TblProd[[#This Row],[Food]],-1,0)+OFFSET(TblProd[[#This Row],[Food/hr]],-1,0)+ROUNDUP((TblConstr[[#This Row],[Farms]]*80+TblConstr[[#This Row],[Docks]]*35)*(1+OFFSET(TblProd[[#This Row],[Bonus Food/hr]],-1,0)),0)</f>
        <v>119151</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5486</v>
      </c>
      <c r="T86" s="96">
        <f ca="1">ROUND(TblProd[[#This Row],[Raw Food/hr]]*(1+TblProd[[#This Row],[Bonus Food/hr]])-TblProd[[#This Row],[Food decay]]-TblProd[[#This Row],[Food eaten]],0)</f>
        <v>799</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5486.4000000000005</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1191.51</v>
      </c>
      <c r="AP86" s="96">
        <f ca="1">(1+race_food_consumption)*TblPop[[#This Row],[Total]]*food_per_person*(1+tech_1_10*TblTech[[#This Row],[1-10]]+tech_7_5*TblTech[[#This Row],[7-5]] + IF(TblMagic[[#This Row],[Active Demonic Pact]]&gt;0,demonic_pact_food_cons,0))</f>
        <v>589.5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11</v>
      </c>
      <c r="BC86" s="160">
        <f>-TblProd[[#This Row],[Bank Lumber]] / 2 + -TblProd[[#This Row],[Bank Gems]] * 2 + -TblProd[[#This Row],[Bank Ore]] / 2</f>
        <v>0</v>
      </c>
      <c r="BD86" s="160"/>
      <c r="BE86" s="160"/>
      <c r="BF86" s="160"/>
      <c r="BG86" s="161">
        <f ca="1">TblProd[[#This Row],[Time]]</f>
        <v>45735.416666666468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570730</v>
      </c>
      <c r="BJ86" s="96">
        <f ca="1">TblProd[[#This Row],[Food]]</f>
        <v>119151</v>
      </c>
      <c r="BK86" s="96">
        <f ca="1">TblProd[[#This Row],[Lumber]]</f>
        <v>62715</v>
      </c>
      <c r="BL86" s="96">
        <f ca="1">TblProd[[#This Row],[Mana]]</f>
        <v>0</v>
      </c>
      <c r="BM86" s="96">
        <f ca="1">TblProd[[#This Row],[Ore]]</f>
        <v>0</v>
      </c>
    </row>
    <row r="87" spans="1:65" x14ac:dyDescent="0.2">
      <c r="A87" s="139">
        <v>12</v>
      </c>
      <c r="B87" s="154">
        <f ca="1">TblImps[[#This Row],[Time]]</f>
        <v>45735.458333333132</v>
      </c>
      <c r="C87" s="155"/>
      <c r="D87" s="156"/>
      <c r="E87" s="96">
        <f ca="1">TblConstr[[#This Row],[Land]]</f>
        <v>250</v>
      </c>
      <c r="F87" s="96">
        <f ca="1">TblPop[[#This Row],[Peasants]]</f>
        <v>1532</v>
      </c>
      <c r="G87" s="96">
        <f ca="1">TblMili[[#This Row],[Networth (2)]]</f>
        <v>6450</v>
      </c>
      <c r="H87" s="96">
        <f ca="1">OFFSET(TblProd[[#This Row],[Platinum]],-1,0)+OFFSET(TblProd[[#This Row],[Plat/hr]],-1,0) - TblProd[[#This Row],[Expenses Platinum]] + IF(TblProd[[#This Row],[Plat Bonus]],TblPop[[#This Row],[Peasants]]*4) + SUM(TblConstr[[#This Row],[Dest Hom]:[Dest Doc]])*TblConstr[[#This Row],[CPA Platinum -DB]]*tech_3_3_2*TblTech[[#This Row],[3-3]]</f>
        <v>576216</v>
      </c>
      <c r="I87" s="96">
        <f ca="1">OFFSET(TblProd[[#This Row],[Food]],-1,0)+OFFSET(TblProd[[#This Row],[Food/hr]],-1,0)+ROUNDUP((TblConstr[[#This Row],[Farms]]*80+TblConstr[[#This Row],[Docks]]*35)*(1+OFFSET(TblProd[[#This Row],[Bonus Food/hr]],-1,0)),0)</f>
        <v>119950</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5486</v>
      </c>
      <c r="T87" s="96">
        <f ca="1">ROUND(TblProd[[#This Row],[Raw Food/hr]]*(1+TblProd[[#This Row],[Bonus Food/hr]])-TblProd[[#This Row],[Food decay]]-TblProd[[#This Row],[Food eaten]],0)</f>
        <v>791</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5486.4000000000005</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1199.5</v>
      </c>
      <c r="AP87" s="96">
        <f ca="1">(1+race_food_consumption)*TblPop[[#This Row],[Total]]*food_per_person*(1+tech_1_10*TblTech[[#This Row],[1-10]]+tech_7_5*TblTech[[#This Row],[7-5]] + IF(TblMagic[[#This Row],[Active Demonic Pact]]&gt;0,demonic_pact_food_cons,0))</f>
        <v>589.5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12</v>
      </c>
      <c r="BC87" s="160">
        <f>-TblProd[[#This Row],[Bank Lumber]] / 2 + -TblProd[[#This Row],[Bank Gems]] * 2 + -TblProd[[#This Row],[Bank Ore]] / 2</f>
        <v>0</v>
      </c>
      <c r="BD87" s="160"/>
      <c r="BE87" s="160"/>
      <c r="BF87" s="160"/>
      <c r="BG87" s="161">
        <f ca="1">TblProd[[#This Row],[Time]]</f>
        <v>45735.458333333132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576216</v>
      </c>
      <c r="BJ87" s="96">
        <f ca="1">TblProd[[#This Row],[Food]]</f>
        <v>119950</v>
      </c>
      <c r="BK87" s="96">
        <f ca="1">TblProd[[#This Row],[Lumber]]</f>
        <v>63088</v>
      </c>
      <c r="BL87" s="96">
        <f ca="1">TblProd[[#This Row],[Mana]]</f>
        <v>0</v>
      </c>
      <c r="BM87" s="96">
        <f ca="1">TblProd[[#This Row],[Ore]]</f>
        <v>0</v>
      </c>
    </row>
    <row r="88" spans="1:65" x14ac:dyDescent="0.2">
      <c r="A88" s="139">
        <v>13</v>
      </c>
      <c r="B88" s="154">
        <f ca="1">TblImps[[#This Row],[Time]]</f>
        <v>45735.499999999796</v>
      </c>
      <c r="C88" s="155"/>
      <c r="D88" s="156"/>
      <c r="E88" s="96">
        <f ca="1">TblConstr[[#This Row],[Land]]</f>
        <v>250</v>
      </c>
      <c r="F88" s="96">
        <f ca="1">TblPop[[#This Row],[Peasants]]</f>
        <v>1532</v>
      </c>
      <c r="G88" s="96">
        <f ca="1">TblMili[[#This Row],[Networth (2)]]</f>
        <v>6450</v>
      </c>
      <c r="H88" s="96">
        <f ca="1">OFFSET(TblProd[[#This Row],[Platinum]],-1,0)+OFFSET(TblProd[[#This Row],[Plat/hr]],-1,0) - TblProd[[#This Row],[Expenses Platinum]] + IF(TblProd[[#This Row],[Plat Bonus]],TblPop[[#This Row],[Peasants]]*4) + SUM(TblConstr[[#This Row],[Dest Hom]:[Dest Doc]])*TblConstr[[#This Row],[CPA Platinum -DB]]*tech_3_3_2*TblTech[[#This Row],[3-3]]</f>
        <v>581702</v>
      </c>
      <c r="I88" s="96">
        <f ca="1">OFFSET(TblProd[[#This Row],[Food]],-1,0)+OFFSET(TblProd[[#This Row],[Food/hr]],-1,0)+ROUNDUP((TblConstr[[#This Row],[Farms]]*80+TblConstr[[#This Row],[Docks]]*35)*(1+OFFSET(TblProd[[#This Row],[Bonus Food/hr]],-1,0)),0)</f>
        <v>120741</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5486</v>
      </c>
      <c r="T88" s="96">
        <f ca="1">ROUND(TblProd[[#This Row],[Raw Food/hr]]*(1+TblProd[[#This Row],[Bonus Food/hr]])-TblProd[[#This Row],[Food decay]]-TblProd[[#This Row],[Food eaten]],0)</f>
        <v>783</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5486.4000000000005</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1207.4100000000001</v>
      </c>
      <c r="AP88" s="96">
        <f ca="1">(1+race_food_consumption)*TblPop[[#This Row],[Total]]*food_per_person*(1+tech_1_10*TblTech[[#This Row],[1-10]]+tech_7_5*TblTech[[#This Row],[7-5]] + IF(TblMagic[[#This Row],[Active Demonic Pact]]&gt;0,demonic_pact_food_cons,0))</f>
        <v>589.5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13</v>
      </c>
      <c r="BC88" s="160">
        <f>-TblProd[[#This Row],[Bank Lumber]] / 2 + -TblProd[[#This Row],[Bank Gems]] * 2 + -TblProd[[#This Row],[Bank Ore]] / 2</f>
        <v>0</v>
      </c>
      <c r="BD88" s="160"/>
      <c r="BE88" s="160"/>
      <c r="BF88" s="160"/>
      <c r="BG88" s="161">
        <f ca="1">TblProd[[#This Row],[Time]]</f>
        <v>45735.499999999796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581702</v>
      </c>
      <c r="BJ88" s="96">
        <f ca="1">TblProd[[#This Row],[Food]]</f>
        <v>120741</v>
      </c>
      <c r="BK88" s="96">
        <f ca="1">TblProd[[#This Row],[Lumber]]</f>
        <v>63457</v>
      </c>
      <c r="BL88" s="96">
        <f ca="1">TblProd[[#This Row],[Mana]]</f>
        <v>0</v>
      </c>
      <c r="BM88" s="96">
        <f ca="1">TblProd[[#This Row],[Ore]]</f>
        <v>0</v>
      </c>
    </row>
    <row r="89" spans="1:65" x14ac:dyDescent="0.2">
      <c r="A89" s="139">
        <v>14</v>
      </c>
      <c r="B89" s="154">
        <f ca="1">TblImps[[#This Row],[Time]]</f>
        <v>45735.541666666461</v>
      </c>
      <c r="C89" s="155"/>
      <c r="D89" s="156"/>
      <c r="E89" s="96">
        <f ca="1">TblConstr[[#This Row],[Land]]</f>
        <v>250</v>
      </c>
      <c r="F89" s="96">
        <f ca="1">TblPop[[#This Row],[Peasants]]</f>
        <v>1532</v>
      </c>
      <c r="G89" s="96">
        <f ca="1">TblMili[[#This Row],[Networth (2)]]</f>
        <v>6450</v>
      </c>
      <c r="H89" s="96">
        <f ca="1">OFFSET(TblProd[[#This Row],[Platinum]],-1,0)+OFFSET(TblProd[[#This Row],[Plat/hr]],-1,0) - TblProd[[#This Row],[Expenses Platinum]] + IF(TblProd[[#This Row],[Plat Bonus]],TblPop[[#This Row],[Peasants]]*4) + SUM(TblConstr[[#This Row],[Dest Hom]:[Dest Doc]])*TblConstr[[#This Row],[CPA Platinum -DB]]*tech_3_3_2*TblTech[[#This Row],[3-3]]</f>
        <v>587188</v>
      </c>
      <c r="I89" s="96">
        <f ca="1">OFFSET(TblProd[[#This Row],[Food]],-1,0)+OFFSET(TblProd[[#This Row],[Food/hr]],-1,0)+ROUNDUP((TblConstr[[#This Row],[Farms]]*80+TblConstr[[#This Row],[Docks]]*35)*(1+OFFSET(TblProd[[#This Row],[Bonus Food/hr]],-1,0)),0)</f>
        <v>121524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5486</v>
      </c>
      <c r="T89" s="96">
        <f ca="1">ROUND(TblProd[[#This Row],[Raw Food/hr]]*(1+TblProd[[#This Row],[Bonus Food/hr]])-TblProd[[#This Row],[Food decay]]-TblProd[[#This Row],[Food eaten]],0)</f>
        <v>775</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5486.4000000000005</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1215.24</v>
      </c>
      <c r="AP89" s="96">
        <f ca="1">(1+race_food_consumption)*TblPop[[#This Row],[Total]]*food_per_person*(1+tech_1_10*TblTech[[#This Row],[1-10]]+tech_7_5*TblTech[[#This Row],[7-5]] + IF(TblMagic[[#This Row],[Active Demonic Pact]]&gt;0,demonic_pact_food_cons,0))</f>
        <v>589.5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14</v>
      </c>
      <c r="BC89" s="160">
        <f>-TblProd[[#This Row],[Bank Lumber]] / 2 + -TblProd[[#This Row],[Bank Gems]] * 2 + -TblProd[[#This Row],[Bank Ore]] / 2</f>
        <v>0</v>
      </c>
      <c r="BD89" s="160"/>
      <c r="BE89" s="160"/>
      <c r="BF89" s="160"/>
      <c r="BG89" s="161">
        <f ca="1">TblProd[[#This Row],[Time]]</f>
        <v>45735.541666666461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587188</v>
      </c>
      <c r="BJ89" s="96">
        <f ca="1">TblProd[[#This Row],[Food]]</f>
        <v>121524</v>
      </c>
      <c r="BK89" s="96">
        <f ca="1">TblProd[[#This Row],[Lumber]]</f>
        <v>63822</v>
      </c>
      <c r="BL89" s="96">
        <f ca="1">TblProd[[#This Row],[Mana]]</f>
        <v>0</v>
      </c>
      <c r="BM89" s="96">
        <f ca="1">TblProd[[#This Row],[Ore]]</f>
        <v>0</v>
      </c>
    </row>
    <row r="90" spans="1:65" x14ac:dyDescent="0.2">
      <c r="A90" s="139">
        <v>15</v>
      </c>
      <c r="B90" s="154">
        <f ca="1">TblImps[[#This Row],[Time]]</f>
        <v>45735.583333333125</v>
      </c>
      <c r="C90" s="155"/>
      <c r="D90" s="156"/>
      <c r="E90" s="96">
        <f ca="1">TblConstr[[#This Row],[Land]]</f>
        <v>250</v>
      </c>
      <c r="F90" s="96">
        <f ca="1">TblPop[[#This Row],[Peasants]]</f>
        <v>1532</v>
      </c>
      <c r="G90" s="96">
        <f ca="1">TblMili[[#This Row],[Networth (2)]]</f>
        <v>6450</v>
      </c>
      <c r="H90" s="96">
        <f ca="1">OFFSET(TblProd[[#This Row],[Platinum]],-1,0)+OFFSET(TblProd[[#This Row],[Plat/hr]],-1,0) - TblProd[[#This Row],[Expenses Platinum]] + IF(TblProd[[#This Row],[Plat Bonus]],TblPop[[#This Row],[Peasants]]*4) + SUM(TblConstr[[#This Row],[Dest Hom]:[Dest Doc]])*TblConstr[[#This Row],[CPA Platinum -DB]]*tech_3_3_2*TblTech[[#This Row],[3-3]]</f>
        <v>592674</v>
      </c>
      <c r="I90" s="96">
        <f ca="1">OFFSET(TblProd[[#This Row],[Food]],-1,0)+OFFSET(TblProd[[#This Row],[Food/hr]],-1,0)+ROUNDUP((TblConstr[[#This Row],[Farms]]*80+TblConstr[[#This Row],[Docks]]*35)*(1+OFFSET(TblProd[[#This Row],[Bonus Food/hr]],-1,0)),0)</f>
        <v>122299</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5486</v>
      </c>
      <c r="T90" s="96">
        <f ca="1">ROUND(TblProd[[#This Row],[Raw Food/hr]]*(1+TblProd[[#This Row],[Bonus Food/hr]])-TblProd[[#This Row],[Food decay]]-TblProd[[#This Row],[Food eaten]],0)</f>
        <v>768</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5486.4000000000005</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1222.99</v>
      </c>
      <c r="AP90" s="96">
        <f ca="1">(1+race_food_consumption)*TblPop[[#This Row],[Total]]*food_per_person*(1+tech_1_10*TblTech[[#This Row],[1-10]]+tech_7_5*TblTech[[#This Row],[7-5]] + IF(TblMagic[[#This Row],[Active Demonic Pact]]&gt;0,demonic_pact_food_cons,0))</f>
        <v>589.5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15</v>
      </c>
      <c r="BC90" s="160">
        <f>-TblProd[[#This Row],[Bank Lumber]] / 2 + -TblProd[[#This Row],[Bank Gems]] * 2 + -TblProd[[#This Row],[Bank Ore]] / 2</f>
        <v>0</v>
      </c>
      <c r="BD90" s="160"/>
      <c r="BE90" s="160"/>
      <c r="BF90" s="160"/>
      <c r="BG90" s="161">
        <f ca="1">TblProd[[#This Row],[Time]]</f>
        <v>45735.583333333125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592674</v>
      </c>
      <c r="BJ90" s="96">
        <f ca="1">TblProd[[#This Row],[Food]]</f>
        <v>122299</v>
      </c>
      <c r="BK90" s="96">
        <f ca="1">TblProd[[#This Row],[Lumber]]</f>
        <v>64184</v>
      </c>
      <c r="BL90" s="96">
        <f ca="1">TblProd[[#This Row],[Mana]]</f>
        <v>0</v>
      </c>
      <c r="BM90" s="96">
        <f ca="1">TblProd[[#This Row],[Ore]]</f>
        <v>0</v>
      </c>
    </row>
    <row r="91" spans="1:65" x14ac:dyDescent="0.2">
      <c r="A91" s="139">
        <v>16</v>
      </c>
      <c r="B91" s="154">
        <f ca="1">TblImps[[#This Row],[Time]]</f>
        <v>45735.624999999789</v>
      </c>
      <c r="C91" s="155"/>
      <c r="D91" s="156"/>
      <c r="E91" s="96">
        <f ca="1">TblConstr[[#This Row],[Land]]</f>
        <v>250</v>
      </c>
      <c r="F91" s="96">
        <f ca="1">TblPop[[#This Row],[Peasants]]</f>
        <v>1532</v>
      </c>
      <c r="G91" s="96">
        <f ca="1">TblMili[[#This Row],[Networth (2)]]</f>
        <v>6450</v>
      </c>
      <c r="H91" s="96">
        <f ca="1">OFFSET(TblProd[[#This Row],[Platinum]],-1,0)+OFFSET(TblProd[[#This Row],[Plat/hr]],-1,0) - TblProd[[#This Row],[Expenses Platinum]] + IF(TblProd[[#This Row],[Plat Bonus]],TblPop[[#This Row],[Peasants]]*4) + SUM(TblConstr[[#This Row],[Dest Hom]:[Dest Doc]])*TblConstr[[#This Row],[CPA Platinum -DB]]*tech_3_3_2*TblTech[[#This Row],[3-3]]</f>
        <v>598160</v>
      </c>
      <c r="I91" s="96">
        <f ca="1">OFFSET(TblProd[[#This Row],[Food]],-1,0)+OFFSET(TblProd[[#This Row],[Food/hr]],-1,0)+ROUNDUP((TblConstr[[#This Row],[Farms]]*80+TblConstr[[#This Row],[Docks]]*35)*(1+OFFSET(TblProd[[#This Row],[Bonus Food/hr]],-1,0)),0)</f>
        <v>123067</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5486</v>
      </c>
      <c r="T91" s="96">
        <f ca="1">ROUND(TblProd[[#This Row],[Raw Food/hr]]*(1+TblProd[[#This Row],[Bonus Food/hr]])-TblProd[[#This Row],[Food decay]]-TblProd[[#This Row],[Food eaten]],0)</f>
        <v>760</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5486.4000000000005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1230.67</v>
      </c>
      <c r="AP91" s="96">
        <f ca="1">(1+race_food_consumption)*TblPop[[#This Row],[Total]]*food_per_person*(1+tech_1_10*TblTech[[#This Row],[1-10]]+tech_7_5*TblTech[[#This Row],[7-5]] + IF(TblMagic[[#This Row],[Active Demonic Pact]]&gt;0,demonic_pact_food_cons,0))</f>
        <v>589.5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16</v>
      </c>
      <c r="BC91" s="160">
        <f>-TblProd[[#This Row],[Bank Lumber]] / 2 + -TblProd[[#This Row],[Bank Gems]] * 2 + -TblProd[[#This Row],[Bank Ore]] / 2</f>
        <v>0</v>
      </c>
      <c r="BD91" s="160"/>
      <c r="BE91" s="160"/>
      <c r="BF91" s="160"/>
      <c r="BG91" s="161">
        <f ca="1">TblProd[[#This Row],[Time]]</f>
        <v>45735.624999999789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598160</v>
      </c>
      <c r="BJ91" s="96">
        <f ca="1">TblProd[[#This Row],[Food]]</f>
        <v>123067</v>
      </c>
      <c r="BK91" s="96">
        <f ca="1">TblProd[[#This Row],[Lumber]]</f>
        <v>64542</v>
      </c>
      <c r="BL91" s="96">
        <f ca="1">TblProd[[#This Row],[Mana]]</f>
        <v>0</v>
      </c>
      <c r="BM91" s="96">
        <f ca="1">TblProd[[#This Row],[Ore]]</f>
        <v>0</v>
      </c>
    </row>
    <row r="92" spans="1:65" x14ac:dyDescent="0.2">
      <c r="A92" s="139">
        <v>17</v>
      </c>
      <c r="B92" s="154">
        <f ca="1">TblImps[[#This Row],[Time]]</f>
        <v>45735.666666666453</v>
      </c>
      <c r="C92" s="155"/>
      <c r="D92" s="156"/>
      <c r="E92" s="96">
        <f ca="1">TblConstr[[#This Row],[Land]]</f>
        <v>250</v>
      </c>
      <c r="F92" s="96">
        <f ca="1">TblPop[[#This Row],[Peasants]]</f>
        <v>1532</v>
      </c>
      <c r="G92" s="96">
        <f ca="1">TblMili[[#This Row],[Networth (2)]]</f>
        <v>6450</v>
      </c>
      <c r="H92" s="96">
        <f ca="1">OFFSET(TblProd[[#This Row],[Platinum]],-1,0)+OFFSET(TblProd[[#This Row],[Plat/hr]],-1,0) - TblProd[[#This Row],[Expenses Platinum]] + IF(TblProd[[#This Row],[Plat Bonus]],TblPop[[#This Row],[Peasants]]*4) + SUM(TblConstr[[#This Row],[Dest Hom]:[Dest Doc]])*TblConstr[[#This Row],[CPA Platinum -DB]]*tech_3_3_2*TblTech[[#This Row],[3-3]]</f>
        <v>603646</v>
      </c>
      <c r="I92" s="96">
        <f ca="1">OFFSET(TblProd[[#This Row],[Food]],-1,0)+OFFSET(TblProd[[#This Row],[Food/hr]],-1,0)+ROUNDUP((TblConstr[[#This Row],[Farms]]*80+TblConstr[[#This Row],[Docks]]*35)*(1+OFFSET(TblProd[[#This Row],[Bonus Food/hr]],-1,0)),0)</f>
        <v>123827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5486</v>
      </c>
      <c r="T92" s="96">
        <f ca="1">ROUND(TblProd[[#This Row],[Raw Food/hr]]*(1+TblProd[[#This Row],[Bonus Food/hr]])-TblProd[[#This Row],[Food decay]]-TblProd[[#This Row],[Food eaten]],0)</f>
        <v>752</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5486.4000000000005</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1238.27</v>
      </c>
      <c r="AP92" s="96">
        <f ca="1">(1+race_food_consumption)*TblPop[[#This Row],[Total]]*food_per_person*(1+tech_1_10*TblTech[[#This Row],[1-10]]+tech_7_5*TblTech[[#This Row],[7-5]] + IF(TblMagic[[#This Row],[Active Demonic Pact]]&gt;0,demonic_pact_food_cons,0))</f>
        <v>589.5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17</v>
      </c>
      <c r="BC92" s="160">
        <f>-TblProd[[#This Row],[Bank Lumber]] / 2 + -TblProd[[#This Row],[Bank Gems]] * 2 + -TblProd[[#This Row],[Bank Ore]] / 2</f>
        <v>0</v>
      </c>
      <c r="BD92" s="160"/>
      <c r="BE92" s="160"/>
      <c r="BF92" s="160"/>
      <c r="BG92" s="161">
        <f ca="1">TblProd[[#This Row],[Time]]</f>
        <v>45735.666666666453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603646</v>
      </c>
      <c r="BJ92" s="96">
        <f ca="1">TblProd[[#This Row],[Food]]</f>
        <v>123827</v>
      </c>
      <c r="BK92" s="96">
        <f ca="1">TblProd[[#This Row],[Lumber]]</f>
        <v>64897</v>
      </c>
      <c r="BL92" s="96">
        <f ca="1">TblProd[[#This Row],[Mana]]</f>
        <v>0</v>
      </c>
      <c r="BM92" s="96">
        <f ca="1">TblProd[[#This Row],[Ore]]</f>
        <v>0</v>
      </c>
    </row>
    <row r="93" spans="1:65" x14ac:dyDescent="0.2">
      <c r="A93" s="139">
        <v>18</v>
      </c>
      <c r="B93" s="154">
        <f ca="1">TblImps[[#This Row],[Time]]</f>
        <v>45735.708333333117</v>
      </c>
      <c r="C93" s="155"/>
      <c r="D93" s="156"/>
      <c r="E93" s="96">
        <f ca="1">TblConstr[[#This Row],[Land]]</f>
        <v>250</v>
      </c>
      <c r="F93" s="96">
        <f ca="1">TblPop[[#This Row],[Peasants]]</f>
        <v>1532</v>
      </c>
      <c r="G93" s="96">
        <f ca="1">TblMili[[#This Row],[Networth (2)]]</f>
        <v>6450</v>
      </c>
      <c r="H93" s="96">
        <f ca="1">OFFSET(TblProd[[#This Row],[Platinum]],-1,0)+OFFSET(TblProd[[#This Row],[Plat/hr]],-1,0) - TblProd[[#This Row],[Expenses Platinum]] + IF(TblProd[[#This Row],[Plat Bonus]],TblPop[[#This Row],[Peasants]]*4) + SUM(TblConstr[[#This Row],[Dest Hom]:[Dest Doc]])*TblConstr[[#This Row],[CPA Platinum -DB]]*tech_3_3_2*TblTech[[#This Row],[3-3]]</f>
        <v>609132</v>
      </c>
      <c r="I93" s="96">
        <f ca="1">OFFSET(TblProd[[#This Row],[Food]],-1,0)+OFFSET(TblProd[[#This Row],[Food/hr]],-1,0)+ROUNDUP((TblConstr[[#This Row],[Farms]]*80+TblConstr[[#This Row],[Docks]]*35)*(1+OFFSET(TblProd[[#This Row],[Bonus Food/hr]],-1,0)),0)</f>
        <v>124579</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5486</v>
      </c>
      <c r="T93" s="96">
        <f ca="1">ROUND(TblProd[[#This Row],[Raw Food/hr]]*(1+TblProd[[#This Row],[Bonus Food/hr]])-TblProd[[#This Row],[Food decay]]-TblProd[[#This Row],[Food eaten]],0)</f>
        <v>745</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5486.4000000000005</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1245.79</v>
      </c>
      <c r="AP93" s="96">
        <f ca="1">(1+race_food_consumption)*TblPop[[#This Row],[Total]]*food_per_person*(1+tech_1_10*TblTech[[#This Row],[1-10]]+tech_7_5*TblTech[[#This Row],[7-5]] + IF(TblMagic[[#This Row],[Active Demonic Pact]]&gt;0,demonic_pact_food_cons,0))</f>
        <v>589.5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18</v>
      </c>
      <c r="BC93" s="160">
        <f>-TblProd[[#This Row],[Bank Lumber]] / 2 + -TblProd[[#This Row],[Bank Gems]] * 2 + -TblProd[[#This Row],[Bank Ore]] / 2</f>
        <v>0</v>
      </c>
      <c r="BD93" s="160"/>
      <c r="BE93" s="160"/>
      <c r="BF93" s="160"/>
      <c r="BG93" s="161">
        <f ca="1">TblProd[[#This Row],[Time]]</f>
        <v>45735.708333333117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609132</v>
      </c>
      <c r="BJ93" s="96">
        <f ca="1">TblProd[[#This Row],[Food]]</f>
        <v>124579</v>
      </c>
      <c r="BK93" s="96">
        <f ca="1">TblProd[[#This Row],[Lumber]]</f>
        <v>65248</v>
      </c>
      <c r="BL93" s="96">
        <f ca="1">TblProd[[#This Row],[Mana]]</f>
        <v>0</v>
      </c>
      <c r="BM93" s="96">
        <f ca="1">TblProd[[#This Row],[Ore]]</f>
        <v>0</v>
      </c>
    </row>
    <row r="94" spans="1:65" x14ac:dyDescent="0.2">
      <c r="A94" s="139">
        <v>19</v>
      </c>
      <c r="B94" s="154">
        <f ca="1">TblImps[[#This Row],[Time]]</f>
        <v>45735.749999999782</v>
      </c>
      <c r="C94" s="155"/>
      <c r="D94" s="156"/>
      <c r="E94" s="96">
        <f ca="1">TblConstr[[#This Row],[Land]]</f>
        <v>250</v>
      </c>
      <c r="F94" s="96">
        <f ca="1">TblPop[[#This Row],[Peasants]]</f>
        <v>1532</v>
      </c>
      <c r="G94" s="96">
        <f ca="1">TblMili[[#This Row],[Networth (2)]]</f>
        <v>6450</v>
      </c>
      <c r="H94" s="96">
        <f ca="1">OFFSET(TblProd[[#This Row],[Platinum]],-1,0)+OFFSET(TblProd[[#This Row],[Plat/hr]],-1,0) - TblProd[[#This Row],[Expenses Platinum]] + IF(TblProd[[#This Row],[Plat Bonus]],TblPop[[#This Row],[Peasants]]*4) + SUM(TblConstr[[#This Row],[Dest Hom]:[Dest Doc]])*TblConstr[[#This Row],[CPA Platinum -DB]]*tech_3_3_2*TblTech[[#This Row],[3-3]]</f>
        <v>614618</v>
      </c>
      <c r="I94" s="96">
        <f ca="1">OFFSET(TblProd[[#This Row],[Food]],-1,0)+OFFSET(TblProd[[#This Row],[Food/hr]],-1,0)+ROUNDUP((TblConstr[[#This Row],[Farms]]*80+TblConstr[[#This Row],[Docks]]*35)*(1+OFFSET(TblProd[[#This Row],[Bonus Food/hr]],-1,0)),0)</f>
        <v>125324</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5486</v>
      </c>
      <c r="T94" s="96">
        <f ca="1">ROUND(TblProd[[#This Row],[Raw Food/hr]]*(1+TblProd[[#This Row],[Bonus Food/hr]])-TblProd[[#This Row],[Food decay]]-TblProd[[#This Row],[Food eaten]],0)</f>
        <v>737</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5486.4000000000005</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1253.24</v>
      </c>
      <c r="AP94" s="96">
        <f ca="1">(1+race_food_consumption)*TblPop[[#This Row],[Total]]*food_per_person*(1+tech_1_10*TblTech[[#This Row],[1-10]]+tech_7_5*TblTech[[#This Row],[7-5]] + IF(TblMagic[[#This Row],[Active Demonic Pact]]&gt;0,demonic_pact_food_cons,0))</f>
        <v>589.5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19</v>
      </c>
      <c r="BC94" s="160">
        <f>-TblProd[[#This Row],[Bank Lumber]] / 2 + -TblProd[[#This Row],[Bank Gems]] * 2 + -TblProd[[#This Row],[Bank Ore]] / 2</f>
        <v>0</v>
      </c>
      <c r="BD94" s="160"/>
      <c r="BE94" s="160"/>
      <c r="BF94" s="160"/>
      <c r="BG94" s="161">
        <f ca="1">TblProd[[#This Row],[Time]]</f>
        <v>45735.749999999782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614618</v>
      </c>
      <c r="BJ94" s="96">
        <f ca="1">TblProd[[#This Row],[Food]]</f>
        <v>125324</v>
      </c>
      <c r="BK94" s="96">
        <f ca="1">TblProd[[#This Row],[Lumber]]</f>
        <v>65596</v>
      </c>
      <c r="BL94" s="96">
        <f ca="1">TblProd[[#This Row],[Mana]]</f>
        <v>0</v>
      </c>
      <c r="BM94" s="96">
        <f ca="1">TblProd[[#This Row],[Ore]]</f>
        <v>0</v>
      </c>
    </row>
    <row r="95" spans="1:65" x14ac:dyDescent="0.2">
      <c r="A95" s="139">
        <v>20</v>
      </c>
      <c r="B95" s="154">
        <f ca="1">TblImps[[#This Row],[Time]]</f>
        <v>45735.791666666446</v>
      </c>
      <c r="C95" s="155"/>
      <c r="D95" s="156"/>
      <c r="E95" s="96">
        <f ca="1">TblConstr[[#This Row],[Land]]</f>
        <v>250</v>
      </c>
      <c r="F95" s="96">
        <f ca="1">TblPop[[#This Row],[Peasants]]</f>
        <v>1532</v>
      </c>
      <c r="G95" s="96">
        <f ca="1">TblMili[[#This Row],[Networth (2)]]</f>
        <v>6450</v>
      </c>
      <c r="H95" s="96">
        <f ca="1">OFFSET(TblProd[[#This Row],[Platinum]],-1,0)+OFFSET(TblProd[[#This Row],[Plat/hr]],-1,0) - TblProd[[#This Row],[Expenses Platinum]] + IF(TblProd[[#This Row],[Plat Bonus]],TblPop[[#This Row],[Peasants]]*4) + SUM(TblConstr[[#This Row],[Dest Hom]:[Dest Doc]])*TblConstr[[#This Row],[CPA Platinum -DB]]*tech_3_3_2*TblTech[[#This Row],[3-3]]</f>
        <v>620104</v>
      </c>
      <c r="I95" s="96">
        <f ca="1">OFFSET(TblProd[[#This Row],[Food]],-1,0)+OFFSET(TblProd[[#This Row],[Food/hr]],-1,0)+ROUNDUP((TblConstr[[#This Row],[Farms]]*80+TblConstr[[#This Row],[Docks]]*35)*(1+OFFSET(TblProd[[#This Row],[Bonus Food/hr]],-1,0)),0)</f>
        <v>126061</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5486</v>
      </c>
      <c r="T95" s="96">
        <f ca="1">ROUND(TblProd[[#This Row],[Raw Food/hr]]*(1+TblProd[[#This Row],[Bonus Food/hr]])-TblProd[[#This Row],[Food decay]]-TblProd[[#This Row],[Food eaten]],0)</f>
        <v>730</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5486.4000000000005</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1260.6100000000001</v>
      </c>
      <c r="AP95" s="96">
        <f ca="1">(1+race_food_consumption)*TblPop[[#This Row],[Total]]*food_per_person*(1+tech_1_10*TblTech[[#This Row],[1-10]]+tech_7_5*TblTech[[#This Row],[7-5]] + IF(TblMagic[[#This Row],[Active Demonic Pact]]&gt;0,demonic_pact_food_cons,0))</f>
        <v>589.5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20</v>
      </c>
      <c r="BC95" s="160">
        <f>-TblProd[[#This Row],[Bank Lumber]] / 2 + -TblProd[[#This Row],[Bank Gems]] * 2 + -TblProd[[#This Row],[Bank Ore]] / 2</f>
        <v>0</v>
      </c>
      <c r="BD95" s="160"/>
      <c r="BE95" s="160"/>
      <c r="BF95" s="160"/>
      <c r="BG95" s="161">
        <f ca="1">TblProd[[#This Row],[Time]]</f>
        <v>45735.791666666446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620104</v>
      </c>
      <c r="BJ95" s="96">
        <f ca="1">TblProd[[#This Row],[Food]]</f>
        <v>126061</v>
      </c>
      <c r="BK95" s="96">
        <f ca="1">TblProd[[#This Row],[Lumber]]</f>
        <v>65940</v>
      </c>
      <c r="BL95" s="96">
        <f ca="1">TblProd[[#This Row],[Mana]]</f>
        <v>0</v>
      </c>
      <c r="BM95" s="96">
        <f ca="1">TblProd[[#This Row],[Ore]]</f>
        <v>0</v>
      </c>
    </row>
    <row r="96" spans="1:65" x14ac:dyDescent="0.2">
      <c r="A96" s="139">
        <v>21</v>
      </c>
      <c r="B96" s="154">
        <f ca="1">TblImps[[#This Row],[Time]]</f>
        <v>45735.83333333311</v>
      </c>
      <c r="C96" s="155"/>
      <c r="D96" s="156"/>
      <c r="E96" s="96">
        <f ca="1">TblConstr[[#This Row],[Land]]</f>
        <v>250</v>
      </c>
      <c r="F96" s="96">
        <f ca="1">TblPop[[#This Row],[Peasants]]</f>
        <v>1532</v>
      </c>
      <c r="G96" s="96">
        <f ca="1">TblMili[[#This Row],[Networth (2)]]</f>
        <v>6450</v>
      </c>
      <c r="H96" s="96">
        <f ca="1">OFFSET(TblProd[[#This Row],[Platinum]],-1,0)+OFFSET(TblProd[[#This Row],[Plat/hr]],-1,0) - TblProd[[#This Row],[Expenses Platinum]] + IF(TblProd[[#This Row],[Plat Bonus]],TblPop[[#This Row],[Peasants]]*4) + SUM(TblConstr[[#This Row],[Dest Hom]:[Dest Doc]])*TblConstr[[#This Row],[CPA Platinum -DB]]*tech_3_3_2*TblTech[[#This Row],[3-3]]</f>
        <v>625590</v>
      </c>
      <c r="I96" s="96">
        <f ca="1">OFFSET(TblProd[[#This Row],[Food]],-1,0)+OFFSET(TblProd[[#This Row],[Food/hr]],-1,0)+ROUNDUP((TblConstr[[#This Row],[Farms]]*80+TblConstr[[#This Row],[Docks]]*35)*(1+OFFSET(TblProd[[#This Row],[Bonus Food/hr]],-1,0)),0)</f>
        <v>126791</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5486</v>
      </c>
      <c r="T96" s="96">
        <f ca="1">ROUND(TblProd[[#This Row],[Raw Food/hr]]*(1+TblProd[[#This Row],[Bonus Food/hr]])-TblProd[[#This Row],[Food decay]]-TblProd[[#This Row],[Food eaten]],0)</f>
        <v>723</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5486.4000000000005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1267.9100000000001</v>
      </c>
      <c r="AP96" s="96">
        <f ca="1">(1+race_food_consumption)*TblPop[[#This Row],[Total]]*food_per_person*(1+tech_1_10*TblTech[[#This Row],[1-10]]+tech_7_5*TblTech[[#This Row],[7-5]] + IF(TblMagic[[#This Row],[Active Demonic Pact]]&gt;0,demonic_pact_food_cons,0))</f>
        <v>589.5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21</v>
      </c>
      <c r="BC96" s="160">
        <f>-TblProd[[#This Row],[Bank Lumber]] / 2 + -TblProd[[#This Row],[Bank Gems]] * 2 + -TblProd[[#This Row],[Bank Ore]] / 2</f>
        <v>0</v>
      </c>
      <c r="BD96" s="160"/>
      <c r="BE96" s="160"/>
      <c r="BF96" s="160"/>
      <c r="BG96" s="161">
        <f ca="1">TblProd[[#This Row],[Time]]</f>
        <v>45735.83333333311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625590</v>
      </c>
      <c r="BJ96" s="96">
        <f ca="1">TblProd[[#This Row],[Food]]</f>
        <v>126791</v>
      </c>
      <c r="BK96" s="96">
        <f ca="1">TblProd[[#This Row],[Lumber]]</f>
        <v>66281</v>
      </c>
      <c r="BL96" s="96">
        <f ca="1">TblProd[[#This Row],[Mana]]</f>
        <v>0</v>
      </c>
      <c r="BM96" s="96">
        <f ca="1">TblProd[[#This Row],[Ore]]</f>
        <v>0</v>
      </c>
    </row>
    <row r="97" spans="1:65" x14ac:dyDescent="0.2">
      <c r="A97" s="139">
        <v>22</v>
      </c>
      <c r="B97" s="154">
        <f ca="1">TblImps[[#This Row],[Time]]</f>
        <v>45735.874999999774</v>
      </c>
      <c r="C97" s="155"/>
      <c r="D97" s="156"/>
      <c r="E97" s="96">
        <f ca="1">TblConstr[[#This Row],[Land]]</f>
        <v>250</v>
      </c>
      <c r="F97" s="96">
        <f ca="1">TblPop[[#This Row],[Peasants]]</f>
        <v>1532</v>
      </c>
      <c r="G97" s="96">
        <f ca="1">TblMili[[#This Row],[Networth (2)]]</f>
        <v>6450</v>
      </c>
      <c r="H97" s="96">
        <f ca="1">OFFSET(TblProd[[#This Row],[Platinum]],-1,0)+OFFSET(TblProd[[#This Row],[Plat/hr]],-1,0) - TblProd[[#This Row],[Expenses Platinum]] + IF(TblProd[[#This Row],[Plat Bonus]],TblPop[[#This Row],[Peasants]]*4) + SUM(TblConstr[[#This Row],[Dest Hom]:[Dest Doc]])*TblConstr[[#This Row],[CPA Platinum -DB]]*tech_3_3_2*TblTech[[#This Row],[3-3]]</f>
        <v>631076</v>
      </c>
      <c r="I97" s="96">
        <f ca="1">OFFSET(TblProd[[#This Row],[Food]],-1,0)+OFFSET(TblProd[[#This Row],[Food/hr]],-1,0)+ROUNDUP((TblConstr[[#This Row],[Farms]]*80+TblConstr[[#This Row],[Docks]]*35)*(1+OFFSET(TblProd[[#This Row],[Bonus Food/hr]],-1,0)),0)</f>
        <v>127514</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5486</v>
      </c>
      <c r="T97" s="96">
        <f ca="1">ROUND(TblProd[[#This Row],[Raw Food/hr]]*(1+TblProd[[#This Row],[Bonus Food/hr]])-TblProd[[#This Row],[Food decay]]-TblProd[[#This Row],[Food eaten]],0)</f>
        <v>715</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5486.4000000000005</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1275.1400000000001</v>
      </c>
      <c r="AP97" s="96">
        <f ca="1">(1+race_food_consumption)*TblPop[[#This Row],[Total]]*food_per_person*(1+tech_1_10*TblTech[[#This Row],[1-10]]+tech_7_5*TblTech[[#This Row],[7-5]] + IF(TblMagic[[#This Row],[Active Demonic Pact]]&gt;0,demonic_pact_food_cons,0))</f>
        <v>589.5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22</v>
      </c>
      <c r="BC97" s="160">
        <f>-TblProd[[#This Row],[Bank Lumber]] / 2 + -TblProd[[#This Row],[Bank Gems]] * 2 + -TblProd[[#This Row],[Bank Ore]] / 2</f>
        <v>0</v>
      </c>
      <c r="BD97" s="160"/>
      <c r="BE97" s="160"/>
      <c r="BF97" s="160"/>
      <c r="BG97" s="161">
        <f ca="1">TblProd[[#This Row],[Time]]</f>
        <v>45735.874999999774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631076</v>
      </c>
      <c r="BJ97" s="96">
        <f ca="1">TblProd[[#This Row],[Food]]</f>
        <v>127514</v>
      </c>
      <c r="BK97" s="96">
        <f ca="1">TblProd[[#This Row],[Lumber]]</f>
        <v>66618</v>
      </c>
      <c r="BL97" s="96">
        <f ca="1">TblProd[[#This Row],[Mana]]</f>
        <v>0</v>
      </c>
      <c r="BM97" s="96">
        <f ca="1">TblProd[[#This Row],[Ore]]</f>
        <v>0</v>
      </c>
    </row>
    <row r="98" spans="1:65" x14ac:dyDescent="0.2">
      <c r="A98" s="139">
        <v>23</v>
      </c>
      <c r="B98" s="154">
        <f ca="1">TblImps[[#This Row],[Time]]</f>
        <v>45735.916666666439</v>
      </c>
      <c r="C98" s="155"/>
      <c r="D98" s="156"/>
      <c r="E98" s="96">
        <f ca="1">TblConstr[[#This Row],[Land]]</f>
        <v>250</v>
      </c>
      <c r="F98" s="96">
        <f ca="1">TblPop[[#This Row],[Peasants]]</f>
        <v>1532</v>
      </c>
      <c r="G98" s="96">
        <f ca="1">TblMili[[#This Row],[Networth (2)]]</f>
        <v>6450</v>
      </c>
      <c r="H98" s="96">
        <f ca="1">OFFSET(TblProd[[#This Row],[Platinum]],-1,0)+OFFSET(TblProd[[#This Row],[Plat/hr]],-1,0) - TblProd[[#This Row],[Expenses Platinum]] + IF(TblProd[[#This Row],[Plat Bonus]],TblPop[[#This Row],[Peasants]]*4) + SUM(TblConstr[[#This Row],[Dest Hom]:[Dest Doc]])*TblConstr[[#This Row],[CPA Platinum -DB]]*tech_3_3_2*TblTech[[#This Row],[3-3]]</f>
        <v>636562</v>
      </c>
      <c r="I98" s="96">
        <f ca="1">OFFSET(TblProd[[#This Row],[Food]],-1,0)+OFFSET(TblProd[[#This Row],[Food/hr]],-1,0)+ROUNDUP((TblConstr[[#This Row],[Farms]]*80+TblConstr[[#This Row],[Docks]]*35)*(1+OFFSET(TblProd[[#This Row],[Bonus Food/hr]],-1,0)),0)</f>
        <v>128229</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5486</v>
      </c>
      <c r="T98" s="96">
        <f ca="1">ROUND(TblProd[[#This Row],[Raw Food/hr]]*(1+TblProd[[#This Row],[Bonus Food/hr]])-TblProd[[#This Row],[Food decay]]-TblProd[[#This Row],[Food eaten]],0)</f>
        <v>708</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5486.4000000000005</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1282.29</v>
      </c>
      <c r="AP98" s="96">
        <f ca="1">(1+race_food_consumption)*TblPop[[#This Row],[Total]]*food_per_person*(1+tech_1_10*TblTech[[#This Row],[1-10]]+tech_7_5*TblTech[[#This Row],[7-5]] + IF(TblMagic[[#This Row],[Active Demonic Pact]]&gt;0,demonic_pact_food_cons,0))</f>
        <v>589.5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23</v>
      </c>
      <c r="BC98" s="160">
        <f>-TblProd[[#This Row],[Bank Lumber]] / 2 + -TblProd[[#This Row],[Bank Gems]] * 2 + -TblProd[[#This Row],[Bank Ore]] / 2</f>
        <v>0</v>
      </c>
      <c r="BD98" s="160"/>
      <c r="BE98" s="160"/>
      <c r="BF98" s="160"/>
      <c r="BG98" s="161">
        <f ca="1">TblProd[[#This Row],[Time]]</f>
        <v>45735.916666666439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636562</v>
      </c>
      <c r="BJ98" s="96">
        <f ca="1">TblProd[[#This Row],[Food]]</f>
        <v>128229</v>
      </c>
      <c r="BK98" s="96">
        <f ca="1">TblProd[[#This Row],[Lumber]]</f>
        <v>66952</v>
      </c>
      <c r="BL98" s="96">
        <f ca="1">TblProd[[#This Row],[Mana]]</f>
        <v>0</v>
      </c>
      <c r="BM98" s="96">
        <f ca="1">TblProd[[#This Row],[Ore]]</f>
        <v>0</v>
      </c>
    </row>
    <row r="99" spans="1:65" x14ac:dyDescent="0.2">
      <c r="A99" s="139">
        <v>24</v>
      </c>
      <c r="B99" s="154">
        <f ca="1">TblImps[[#This Row],[Time]]</f>
        <v>45735.958333333103</v>
      </c>
      <c r="C99" s="155"/>
      <c r="D99" s="156"/>
      <c r="E99" s="96">
        <f ca="1">TblConstr[[#This Row],[Land]]</f>
        <v>250</v>
      </c>
      <c r="F99" s="96">
        <f ca="1">TblPop[[#This Row],[Peasants]]</f>
        <v>1532</v>
      </c>
      <c r="G99" s="96">
        <f ca="1">TblMili[[#This Row],[Networth (2)]]</f>
        <v>6450</v>
      </c>
      <c r="H99" s="96">
        <f ca="1">OFFSET(TblProd[[#This Row],[Platinum]],-1,0)+OFFSET(TblProd[[#This Row],[Plat/hr]],-1,0) - TblProd[[#This Row],[Expenses Platinum]] + IF(TblProd[[#This Row],[Plat Bonus]],TblPop[[#This Row],[Peasants]]*4) + SUM(TblConstr[[#This Row],[Dest Hom]:[Dest Doc]])*TblConstr[[#This Row],[CPA Platinum -DB]]*tech_3_3_2*TblTech[[#This Row],[3-3]]</f>
        <v>642048</v>
      </c>
      <c r="I99" s="96">
        <f ca="1">OFFSET(TblProd[[#This Row],[Food]],-1,0)+OFFSET(TblProd[[#This Row],[Food/hr]],-1,0)+ROUNDUP((TblConstr[[#This Row],[Farms]]*80+TblConstr[[#This Row],[Docks]]*35)*(1+OFFSET(TblProd[[#This Row],[Bonus Food/hr]],-1,0)),0)</f>
        <v>128937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5486</v>
      </c>
      <c r="T99" s="96">
        <f ca="1">ROUND(TblProd[[#This Row],[Raw Food/hr]]*(1+TblProd[[#This Row],[Bonus Food/hr]])-TblProd[[#This Row],[Food decay]]-TblProd[[#This Row],[Food eaten]],0)</f>
        <v>701</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5486.4000000000005</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1289.3700000000001</v>
      </c>
      <c r="AP99" s="96">
        <f ca="1">(1+race_food_consumption)*TblPop[[#This Row],[Total]]*food_per_person*(1+tech_1_10*TblTech[[#This Row],[1-10]]+tech_7_5*TblTech[[#This Row],[7-5]] + IF(TblMagic[[#This Row],[Active Demonic Pact]]&gt;0,demonic_pact_food_cons,0))</f>
        <v>589.5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24</v>
      </c>
      <c r="BC99" s="160">
        <f>-TblProd[[#This Row],[Bank Lumber]] / 2 + -TblProd[[#This Row],[Bank Gems]] * 2 + -TblProd[[#This Row],[Bank Ore]] / 2</f>
        <v>0</v>
      </c>
      <c r="BD99" s="160"/>
      <c r="BE99" s="160"/>
      <c r="BF99" s="160"/>
      <c r="BG99" s="161">
        <f ca="1">TblProd[[#This Row],[Time]]</f>
        <v>45735.958333333103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642048</v>
      </c>
      <c r="BJ99" s="96">
        <f ca="1">TblProd[[#This Row],[Food]]</f>
        <v>128937</v>
      </c>
      <c r="BK99" s="96">
        <f ca="1">TblProd[[#This Row],[Lumber]]</f>
        <v>67282</v>
      </c>
      <c r="BL99" s="96">
        <f ca="1">TblProd[[#This Row],[Mana]]</f>
        <v>0</v>
      </c>
      <c r="BM99" s="96">
        <f ca="1">TblProd[[#This Row],[Ore]]</f>
        <v>0</v>
      </c>
    </row>
    <row r="100" spans="1:65" x14ac:dyDescent="0.2">
      <c r="A100" s="139">
        <v>25</v>
      </c>
      <c r="B100" s="154">
        <f ca="1">TblImps[[#This Row],[Time]]</f>
        <v>45735.999999999767</v>
      </c>
      <c r="C100" s="155"/>
      <c r="D100" s="156"/>
      <c r="E100" s="96">
        <f ca="1">TblConstr[[#This Row],[Land]]</f>
        <v>250</v>
      </c>
      <c r="F100" s="96">
        <f ca="1">TblPop[[#This Row],[Peasants]]</f>
        <v>1532</v>
      </c>
      <c r="G100" s="96">
        <f ca="1">TblMili[[#This Row],[Networth (2)]]</f>
        <v>6450</v>
      </c>
      <c r="H100" s="96">
        <f ca="1">OFFSET(TblProd[[#This Row],[Platinum]],-1,0)+OFFSET(TblProd[[#This Row],[Plat/hr]],-1,0) - TblProd[[#This Row],[Expenses Platinum]] + IF(TblProd[[#This Row],[Plat Bonus]],TblPop[[#This Row],[Peasants]]*4) + SUM(TblConstr[[#This Row],[Dest Hom]:[Dest Doc]])*TblConstr[[#This Row],[CPA Platinum -DB]]*tech_3_3_2*TblTech[[#This Row],[3-3]]</f>
        <v>647534</v>
      </c>
      <c r="I100" s="96">
        <f ca="1">OFFSET(TblProd[[#This Row],[Food]],-1,0)+OFFSET(TblProd[[#This Row],[Food/hr]],-1,0)+ROUNDUP((TblConstr[[#This Row],[Farms]]*80+TblConstr[[#This Row],[Docks]]*35)*(1+OFFSET(TblProd[[#This Row],[Bonus Food/hr]],-1,0)),0)</f>
        <v>129638</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5486</v>
      </c>
      <c r="T100" s="96">
        <f ca="1">ROUND(TblProd[[#This Row],[Raw Food/hr]]*(1+TblProd[[#This Row],[Bonus Food/hr]])-TblProd[[#This Row],[Food decay]]-TblProd[[#This Row],[Food eaten]],0)</f>
        <v>694</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5486.4000000000005</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1296.3800000000001</v>
      </c>
      <c r="AP100" s="96">
        <f ca="1">(1+race_food_consumption)*TblPop[[#This Row],[Total]]*food_per_person*(1+tech_1_10*TblTech[[#This Row],[1-10]]+tech_7_5*TblTech[[#This Row],[7-5]] + IF(TblMagic[[#This Row],[Active Demonic Pact]]&gt;0,demonic_pact_food_cons,0))</f>
        <v>589.5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25</v>
      </c>
      <c r="BC100" s="160">
        <f>-TblProd[[#This Row],[Bank Lumber]] / 2 + -TblProd[[#This Row],[Bank Gems]] * 2 + -TblProd[[#This Row],[Bank Ore]] / 2</f>
        <v>0</v>
      </c>
      <c r="BD100" s="160"/>
      <c r="BE100" s="160"/>
      <c r="BF100" s="160"/>
      <c r="BG100" s="161">
        <f ca="1">TblProd[[#This Row],[Time]]</f>
        <v>45735.999999999767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647534</v>
      </c>
      <c r="BJ100" s="96">
        <f ca="1">TblProd[[#This Row],[Food]]</f>
        <v>129638</v>
      </c>
      <c r="BK100" s="96">
        <f ca="1">TblProd[[#This Row],[Lumber]]</f>
        <v>67609</v>
      </c>
      <c r="BL100" s="96">
        <f ca="1">TblProd[[#This Row],[Mana]]</f>
        <v>0</v>
      </c>
      <c r="BM100" s="96">
        <f ca="1">TblProd[[#This Row],[Ore]]</f>
        <v>0</v>
      </c>
    </row>
    <row r="101" spans="1:65" x14ac:dyDescent="0.2">
      <c r="A101" s="139">
        <v>26</v>
      </c>
      <c r="B101" s="154">
        <f ca="1">TblImps[[#This Row],[Time]]</f>
        <v>45736.041666666431</v>
      </c>
      <c r="C101" s="155"/>
      <c r="D101" s="156"/>
      <c r="E101" s="96">
        <f ca="1">TblConstr[[#This Row],[Land]]</f>
        <v>250</v>
      </c>
      <c r="F101" s="96">
        <f ca="1">TblPop[[#This Row],[Peasants]]</f>
        <v>1532</v>
      </c>
      <c r="G101" s="96">
        <f ca="1">TblMili[[#This Row],[Networth (2)]]</f>
        <v>6450</v>
      </c>
      <c r="H101" s="96">
        <f ca="1">OFFSET(TblProd[[#This Row],[Platinum]],-1,0)+OFFSET(TblProd[[#This Row],[Plat/hr]],-1,0) - TblProd[[#This Row],[Expenses Platinum]] + IF(TblProd[[#This Row],[Plat Bonus]],TblPop[[#This Row],[Peasants]]*4) + SUM(TblConstr[[#This Row],[Dest Hom]:[Dest Doc]])*TblConstr[[#This Row],[CPA Platinum -DB]]*tech_3_3_2*TblTech[[#This Row],[3-3]]</f>
        <v>653020</v>
      </c>
      <c r="I101" s="96">
        <f ca="1">OFFSET(TblProd[[#This Row],[Food]],-1,0)+OFFSET(TblProd[[#This Row],[Food/hr]],-1,0)+ROUNDUP((TblConstr[[#This Row],[Farms]]*80+TblConstr[[#This Row],[Docks]]*35)*(1+OFFSET(TblProd[[#This Row],[Bonus Food/hr]],-1,0)),0)</f>
        <v>130332</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5486</v>
      </c>
      <c r="T101" s="96">
        <f ca="1">ROUND(TblProd[[#This Row],[Raw Food/hr]]*(1+TblProd[[#This Row],[Bonus Food/hr]])-TblProd[[#This Row],[Food decay]]-TblProd[[#This Row],[Food eaten]],0)</f>
        <v>687</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5486.4000000000005</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1303.32</v>
      </c>
      <c r="AP101" s="96">
        <f ca="1">(1+race_food_consumption)*TblPop[[#This Row],[Total]]*food_per_person*(1+tech_1_10*TblTech[[#This Row],[1-10]]+tech_7_5*TblTech[[#This Row],[7-5]] + IF(TblMagic[[#This Row],[Active Demonic Pact]]&gt;0,demonic_pact_food_cons,0))</f>
        <v>589.5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26</v>
      </c>
      <c r="BC101" s="160">
        <f>-TblProd[[#This Row],[Bank Lumber]] / 2 + -TblProd[[#This Row],[Bank Gems]] * 2 + -TblProd[[#This Row],[Bank Ore]] / 2</f>
        <v>0</v>
      </c>
      <c r="BD101" s="160"/>
      <c r="BE101" s="160"/>
      <c r="BF101" s="160"/>
      <c r="BG101" s="161">
        <f ca="1">TblProd[[#This Row],[Time]]</f>
        <v>45736.041666666431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653020</v>
      </c>
      <c r="BJ101" s="96">
        <f ca="1">TblProd[[#This Row],[Food]]</f>
        <v>130332</v>
      </c>
      <c r="BK101" s="96">
        <f ca="1">TblProd[[#This Row],[Lumber]]</f>
        <v>67933</v>
      </c>
      <c r="BL101" s="96">
        <f ca="1">TblProd[[#This Row],[Mana]]</f>
        <v>0</v>
      </c>
      <c r="BM101" s="96">
        <f ca="1">TblProd[[#This Row],[Ore]]</f>
        <v>0</v>
      </c>
    </row>
    <row r="102" spans="1:65" x14ac:dyDescent="0.2">
      <c r="A102" s="139">
        <v>27</v>
      </c>
      <c r="B102" s="154">
        <f ca="1">TblImps[[#This Row],[Time]]</f>
        <v>45736.083333333096</v>
      </c>
      <c r="C102" s="155"/>
      <c r="D102" s="156"/>
      <c r="E102" s="96">
        <f ca="1">TblConstr[[#This Row],[Land]]</f>
        <v>250</v>
      </c>
      <c r="F102" s="96">
        <f ca="1">TblPop[[#This Row],[Peasants]]</f>
        <v>1532</v>
      </c>
      <c r="G102" s="96">
        <f ca="1">TblMili[[#This Row],[Networth (2)]]</f>
        <v>6450</v>
      </c>
      <c r="H102" s="96">
        <f ca="1">OFFSET(TblProd[[#This Row],[Platinum]],-1,0)+OFFSET(TblProd[[#This Row],[Plat/hr]],-1,0) - TblProd[[#This Row],[Expenses Platinum]] + IF(TblProd[[#This Row],[Plat Bonus]],TblPop[[#This Row],[Peasants]]*4) + SUM(TblConstr[[#This Row],[Dest Hom]:[Dest Doc]])*TblConstr[[#This Row],[CPA Platinum -DB]]*tech_3_3_2*TblTech[[#This Row],[3-3]]</f>
        <v>658506</v>
      </c>
      <c r="I102" s="96">
        <f ca="1">OFFSET(TblProd[[#This Row],[Food]],-1,0)+OFFSET(TblProd[[#This Row],[Food/hr]],-1,0)+ROUNDUP((TblConstr[[#This Row],[Farms]]*80+TblConstr[[#This Row],[Docks]]*35)*(1+OFFSET(TblProd[[#This Row],[Bonus Food/hr]],-1,0)),0)</f>
        <v>131019</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5486</v>
      </c>
      <c r="T102" s="96">
        <f ca="1">ROUND(TblProd[[#This Row],[Raw Food/hr]]*(1+TblProd[[#This Row],[Bonus Food/hr]])-TblProd[[#This Row],[Food decay]]-TblProd[[#This Row],[Food eaten]],0)</f>
        <v>680</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5486.4000000000005</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1310.19</v>
      </c>
      <c r="AP102" s="96">
        <f ca="1">(1+race_food_consumption)*TblPop[[#This Row],[Total]]*food_per_person*(1+tech_1_10*TblTech[[#This Row],[1-10]]+tech_7_5*TblTech[[#This Row],[7-5]] + IF(TblMagic[[#This Row],[Active Demonic Pact]]&gt;0,demonic_pact_food_cons,0))</f>
        <v>589.5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27</v>
      </c>
      <c r="BC102" s="160">
        <f>-TblProd[[#This Row],[Bank Lumber]] / 2 + -TblProd[[#This Row],[Bank Gems]] * 2 + -TblProd[[#This Row],[Bank Ore]] / 2</f>
        <v>0</v>
      </c>
      <c r="BD102" s="160"/>
      <c r="BE102" s="160"/>
      <c r="BF102" s="160"/>
      <c r="BG102" s="161">
        <f ca="1">TblProd[[#This Row],[Time]]</f>
        <v>45736.083333333096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658506</v>
      </c>
      <c r="BJ102" s="96">
        <f ca="1">TblProd[[#This Row],[Food]]</f>
        <v>131019</v>
      </c>
      <c r="BK102" s="96">
        <f ca="1">TblProd[[#This Row],[Lumber]]</f>
        <v>68254</v>
      </c>
      <c r="BL102" s="96">
        <f ca="1">TblProd[[#This Row],[Mana]]</f>
        <v>0</v>
      </c>
      <c r="BM102" s="96">
        <f ca="1">TblProd[[#This Row],[Ore]]</f>
        <v>0</v>
      </c>
    </row>
    <row r="103" spans="1:65" x14ac:dyDescent="0.2">
      <c r="A103" s="139">
        <v>28</v>
      </c>
      <c r="B103" s="154">
        <f ca="1">TblImps[[#This Row],[Time]]</f>
        <v>45736.12499999976</v>
      </c>
      <c r="C103" s="155"/>
      <c r="D103" s="156"/>
      <c r="E103" s="96">
        <f ca="1">TblConstr[[#This Row],[Land]]</f>
        <v>250</v>
      </c>
      <c r="F103" s="96">
        <f ca="1">TblPop[[#This Row],[Peasants]]</f>
        <v>1532</v>
      </c>
      <c r="G103" s="96">
        <f ca="1">TblMili[[#This Row],[Networth (2)]]</f>
        <v>6450</v>
      </c>
      <c r="H103" s="96">
        <f ca="1">OFFSET(TblProd[[#This Row],[Platinum]],-1,0)+OFFSET(TblProd[[#This Row],[Plat/hr]],-1,0) - TblProd[[#This Row],[Expenses Platinum]] + IF(TblProd[[#This Row],[Plat Bonus]],TblPop[[#This Row],[Peasants]]*4) + SUM(TblConstr[[#This Row],[Dest Hom]:[Dest Doc]])*TblConstr[[#This Row],[CPA Platinum -DB]]*tech_3_3_2*TblTech[[#This Row],[3-3]]</f>
        <v>663992</v>
      </c>
      <c r="I103" s="96">
        <f ca="1">OFFSET(TblProd[[#This Row],[Food]],-1,0)+OFFSET(TblProd[[#This Row],[Food/hr]],-1,0)+ROUNDUP((TblConstr[[#This Row],[Farms]]*80+TblConstr[[#This Row],[Docks]]*35)*(1+OFFSET(TblProd[[#This Row],[Bonus Food/hr]],-1,0)),0)</f>
        <v>131699</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5486</v>
      </c>
      <c r="T103" s="96">
        <f ca="1">ROUND(TblProd[[#This Row],[Raw Food/hr]]*(1+TblProd[[#This Row],[Bonus Food/hr]])-TblProd[[#This Row],[Food decay]]-TblProd[[#This Row],[Food eaten]],0)</f>
        <v>674</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5486.4000000000005</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1316.99</v>
      </c>
      <c r="AP103" s="96">
        <f ca="1">(1+race_food_consumption)*TblPop[[#This Row],[Total]]*food_per_person*(1+tech_1_10*TblTech[[#This Row],[1-10]]+tech_7_5*TblTech[[#This Row],[7-5]] + IF(TblMagic[[#This Row],[Active Demonic Pact]]&gt;0,demonic_pact_food_cons,0))</f>
        <v>589.5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28</v>
      </c>
      <c r="BC103" s="160">
        <f>-TblProd[[#This Row],[Bank Lumber]] / 2 + -TblProd[[#This Row],[Bank Gems]] * 2 + -TblProd[[#This Row],[Bank Ore]] / 2</f>
        <v>0</v>
      </c>
      <c r="BD103" s="160"/>
      <c r="BE103" s="160"/>
      <c r="BF103" s="160"/>
      <c r="BG103" s="161">
        <f ca="1">TblProd[[#This Row],[Time]]</f>
        <v>45736.12499999976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663992</v>
      </c>
      <c r="BJ103" s="96">
        <f ca="1">TblProd[[#This Row],[Food]]</f>
        <v>131699</v>
      </c>
      <c r="BK103" s="96">
        <f ca="1">TblProd[[#This Row],[Lumber]]</f>
        <v>68571</v>
      </c>
      <c r="BL103" s="96">
        <f ca="1">TblProd[[#This Row],[Mana]]</f>
        <v>0</v>
      </c>
      <c r="BM103" s="96">
        <f ca="1">TblProd[[#This Row],[Ore]]</f>
        <v>0</v>
      </c>
    </row>
    <row r="104" spans="1:65" x14ac:dyDescent="0.2">
      <c r="A104" s="139">
        <v>29</v>
      </c>
      <c r="B104" s="154">
        <f ca="1">TblImps[[#This Row],[Time]]</f>
        <v>45736.166666666424</v>
      </c>
      <c r="C104" s="155"/>
      <c r="D104" s="156"/>
      <c r="E104" s="96">
        <f ca="1">TblConstr[[#This Row],[Land]]</f>
        <v>250</v>
      </c>
      <c r="F104" s="96">
        <f ca="1">TblPop[[#This Row],[Peasants]]</f>
        <v>1532</v>
      </c>
      <c r="G104" s="96">
        <f ca="1">TblMili[[#This Row],[Networth (2)]]</f>
        <v>6450</v>
      </c>
      <c r="H104" s="96">
        <f ca="1">OFFSET(TblProd[[#This Row],[Platinum]],-1,0)+OFFSET(TblProd[[#This Row],[Plat/hr]],-1,0) - TblProd[[#This Row],[Expenses Platinum]] + IF(TblProd[[#This Row],[Plat Bonus]],TblPop[[#This Row],[Peasants]]*4) + SUM(TblConstr[[#This Row],[Dest Hom]:[Dest Doc]])*TblConstr[[#This Row],[CPA Platinum -DB]]*tech_3_3_2*TblTech[[#This Row],[3-3]]</f>
        <v>669478</v>
      </c>
      <c r="I104" s="96">
        <f ca="1">OFFSET(TblProd[[#This Row],[Food]],-1,0)+OFFSET(TblProd[[#This Row],[Food/hr]],-1,0)+ROUNDUP((TblConstr[[#This Row],[Farms]]*80+TblConstr[[#This Row],[Docks]]*35)*(1+OFFSET(TblProd[[#This Row],[Bonus Food/hr]],-1,0)),0)</f>
        <v>132373</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5486</v>
      </c>
      <c r="T104" s="96">
        <f ca="1">ROUND(TblProd[[#This Row],[Raw Food/hr]]*(1+TblProd[[#This Row],[Bonus Food/hr]])-TblProd[[#This Row],[Food decay]]-TblProd[[#This Row],[Food eaten]],0)</f>
        <v>667</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5486.4000000000005</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1323.73</v>
      </c>
      <c r="AP104" s="96">
        <f ca="1">(1+race_food_consumption)*TblPop[[#This Row],[Total]]*food_per_person*(1+tech_1_10*TblTech[[#This Row],[1-10]]+tech_7_5*TblTech[[#This Row],[7-5]] + IF(TblMagic[[#This Row],[Active Demonic Pact]]&gt;0,demonic_pact_food_cons,0))</f>
        <v>589.5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29</v>
      </c>
      <c r="BC104" s="160">
        <f>-TblProd[[#This Row],[Bank Lumber]] / 2 + -TblProd[[#This Row],[Bank Gems]] * 2 + -TblProd[[#This Row],[Bank Ore]] / 2</f>
        <v>0</v>
      </c>
      <c r="BD104" s="160"/>
      <c r="BE104" s="160"/>
      <c r="BF104" s="160"/>
      <c r="BG104" s="161">
        <f ca="1">TblProd[[#This Row],[Time]]</f>
        <v>45736.166666666424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669478</v>
      </c>
      <c r="BJ104" s="96">
        <f ca="1">TblProd[[#This Row],[Food]]</f>
        <v>132373</v>
      </c>
      <c r="BK104" s="96">
        <f ca="1">TblProd[[#This Row],[Lumber]]</f>
        <v>68885</v>
      </c>
      <c r="BL104" s="96">
        <f ca="1">TblProd[[#This Row],[Mana]]</f>
        <v>0</v>
      </c>
      <c r="BM104" s="96">
        <f ca="1">TblProd[[#This Row],[Ore]]</f>
        <v>0</v>
      </c>
    </row>
    <row r="105" spans="1:65" x14ac:dyDescent="0.2">
      <c r="A105" s="139">
        <v>30</v>
      </c>
      <c r="B105" s="154">
        <f ca="1">TblImps[[#This Row],[Time]]</f>
        <v>45736.208333333088</v>
      </c>
      <c r="C105" s="155"/>
      <c r="D105" s="156"/>
      <c r="E105" s="96">
        <f ca="1">TblConstr[[#This Row],[Land]]</f>
        <v>250</v>
      </c>
      <c r="F105" s="96">
        <f ca="1">TblPop[[#This Row],[Peasants]]</f>
        <v>1532</v>
      </c>
      <c r="G105" s="96">
        <f ca="1">TblMili[[#This Row],[Networth (2)]]</f>
        <v>6450</v>
      </c>
      <c r="H105" s="96">
        <f ca="1">OFFSET(TblProd[[#This Row],[Platinum]],-1,0)+OFFSET(TblProd[[#This Row],[Plat/hr]],-1,0) - TblProd[[#This Row],[Expenses Platinum]] + IF(TblProd[[#This Row],[Plat Bonus]],TblPop[[#This Row],[Peasants]]*4) + SUM(TblConstr[[#This Row],[Dest Hom]:[Dest Doc]])*TblConstr[[#This Row],[CPA Platinum -DB]]*tech_3_3_2*TblTech[[#This Row],[3-3]]</f>
        <v>674964</v>
      </c>
      <c r="I105" s="96">
        <f ca="1">OFFSET(TblProd[[#This Row],[Food]],-1,0)+OFFSET(TblProd[[#This Row],[Food/hr]],-1,0)+ROUNDUP((TblConstr[[#This Row],[Farms]]*80+TblConstr[[#This Row],[Docks]]*35)*(1+OFFSET(TblProd[[#This Row],[Bonus Food/hr]],-1,0)),0)</f>
        <v>133040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5486</v>
      </c>
      <c r="T105" s="96">
        <f ca="1">ROUND(TblProd[[#This Row],[Raw Food/hr]]*(1+TblProd[[#This Row],[Bonus Food/hr]])-TblProd[[#This Row],[Food decay]]-TblProd[[#This Row],[Food eaten]],0)</f>
        <v>660</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5486.4000000000005</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1330.4</v>
      </c>
      <c r="AP105" s="96">
        <f ca="1">(1+race_food_consumption)*TblPop[[#This Row],[Total]]*food_per_person*(1+tech_1_10*TblTech[[#This Row],[1-10]]+tech_7_5*TblTech[[#This Row],[7-5]] + IF(TblMagic[[#This Row],[Active Demonic Pact]]&gt;0,demonic_pact_food_cons,0))</f>
        <v>589.5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30</v>
      </c>
      <c r="BC105" s="160">
        <f>-TblProd[[#This Row],[Bank Lumber]] / 2 + -TblProd[[#This Row],[Bank Gems]] * 2 + -TblProd[[#This Row],[Bank Ore]] / 2</f>
        <v>0</v>
      </c>
      <c r="BD105" s="160"/>
      <c r="BE105" s="160"/>
      <c r="BF105" s="160"/>
      <c r="BG105" s="161">
        <f ca="1">TblProd[[#This Row],[Time]]</f>
        <v>45736.208333333088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674964</v>
      </c>
      <c r="BJ105" s="96">
        <f ca="1">TblProd[[#This Row],[Food]]</f>
        <v>133040</v>
      </c>
      <c r="BK105" s="96">
        <f ca="1">TblProd[[#This Row],[Lumber]]</f>
        <v>69196</v>
      </c>
      <c r="BL105" s="96">
        <f ca="1">TblProd[[#This Row],[Mana]]</f>
        <v>0</v>
      </c>
      <c r="BM105" s="96">
        <f ca="1">TblProd[[#This Row],[Ore]]</f>
        <v>0</v>
      </c>
    </row>
    <row r="106" spans="1:65" x14ac:dyDescent="0.2">
      <c r="A106" s="139">
        <v>31</v>
      </c>
      <c r="B106" s="154">
        <f ca="1">TblImps[[#This Row],[Time]]</f>
        <v>45736.249999999753</v>
      </c>
      <c r="C106" s="155"/>
      <c r="D106" s="156"/>
      <c r="E106" s="96">
        <f ca="1">TblConstr[[#This Row],[Land]]</f>
        <v>250</v>
      </c>
      <c r="F106" s="96">
        <f ca="1">TblPop[[#This Row],[Peasants]]</f>
        <v>1532</v>
      </c>
      <c r="G106" s="96">
        <f ca="1">TblMili[[#This Row],[Networth (2)]]</f>
        <v>6450</v>
      </c>
      <c r="H106" s="96">
        <f ca="1">OFFSET(TblProd[[#This Row],[Platinum]],-1,0)+OFFSET(TblProd[[#This Row],[Plat/hr]],-1,0) - TblProd[[#This Row],[Expenses Platinum]] + IF(TblProd[[#This Row],[Plat Bonus]],TblPop[[#This Row],[Peasants]]*4) + SUM(TblConstr[[#This Row],[Dest Hom]:[Dest Doc]])*TblConstr[[#This Row],[CPA Platinum -DB]]*tech_3_3_2*TblTech[[#This Row],[3-3]]</f>
        <v>680450</v>
      </c>
      <c r="I106" s="96">
        <f ca="1">OFFSET(TblProd[[#This Row],[Food]],-1,0)+OFFSET(TblProd[[#This Row],[Food/hr]],-1,0)+ROUNDUP((TblConstr[[#This Row],[Farms]]*80+TblConstr[[#This Row],[Docks]]*35)*(1+OFFSET(TblProd[[#This Row],[Bonus Food/hr]],-1,0)),0)</f>
        <v>133700</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5486</v>
      </c>
      <c r="T106" s="96">
        <f ca="1">ROUND(TblProd[[#This Row],[Raw Food/hr]]*(1+TblProd[[#This Row],[Bonus Food/hr]])-TblProd[[#This Row],[Food decay]]-TblProd[[#This Row],[Food eaten]],0)</f>
        <v>654</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5486.4000000000005</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1337</v>
      </c>
      <c r="AP106" s="96">
        <f ca="1">(1+race_food_consumption)*TblPop[[#This Row],[Total]]*food_per_person*(1+tech_1_10*TblTech[[#This Row],[1-10]]+tech_7_5*TblTech[[#This Row],[7-5]] + IF(TblMagic[[#This Row],[Active Demonic Pact]]&gt;0,demonic_pact_food_cons,0))</f>
        <v>589.5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31</v>
      </c>
      <c r="BC106" s="160">
        <f>-TblProd[[#This Row],[Bank Lumber]] / 2 + -TblProd[[#This Row],[Bank Gems]] * 2 + -TblProd[[#This Row],[Bank Ore]] / 2</f>
        <v>0</v>
      </c>
      <c r="BD106" s="160"/>
      <c r="BE106" s="160"/>
      <c r="BF106" s="160"/>
      <c r="BG106" s="161">
        <f ca="1">TblProd[[#This Row],[Time]]</f>
        <v>45736.249999999753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680450</v>
      </c>
      <c r="BJ106" s="96">
        <f ca="1">TblProd[[#This Row],[Food]]</f>
        <v>133700</v>
      </c>
      <c r="BK106" s="96">
        <f ca="1">TblProd[[#This Row],[Lumber]]</f>
        <v>69504</v>
      </c>
      <c r="BL106" s="96">
        <f ca="1">TblProd[[#This Row],[Mana]]</f>
        <v>0</v>
      </c>
      <c r="BM106" s="96">
        <f ca="1">TblProd[[#This Row],[Ore]]</f>
        <v>0</v>
      </c>
    </row>
    <row r="107" spans="1:65" x14ac:dyDescent="0.2">
      <c r="A107" s="139">
        <v>32</v>
      </c>
      <c r="B107" s="154">
        <f ca="1">TblImps[[#This Row],[Time]]</f>
        <v>45736.291666666417</v>
      </c>
      <c r="C107" s="155"/>
      <c r="D107" s="156"/>
      <c r="E107" s="96">
        <f ca="1">TblConstr[[#This Row],[Land]]</f>
        <v>250</v>
      </c>
      <c r="F107" s="96">
        <f ca="1">TblPop[[#This Row],[Peasants]]</f>
        <v>1532</v>
      </c>
      <c r="G107" s="96">
        <f ca="1">TblMili[[#This Row],[Networth (2)]]</f>
        <v>6450</v>
      </c>
      <c r="H107" s="96">
        <f ca="1">OFFSET(TblProd[[#This Row],[Platinum]],-1,0)+OFFSET(TblProd[[#This Row],[Plat/hr]],-1,0) - TblProd[[#This Row],[Expenses Platinum]] + IF(TblProd[[#This Row],[Plat Bonus]],TblPop[[#This Row],[Peasants]]*4) + SUM(TblConstr[[#This Row],[Dest Hom]:[Dest Doc]])*TblConstr[[#This Row],[CPA Platinum -DB]]*tech_3_3_2*TblTech[[#This Row],[3-3]]</f>
        <v>685936</v>
      </c>
      <c r="I107" s="96">
        <f ca="1">OFFSET(TblProd[[#This Row],[Food]],-1,0)+OFFSET(TblProd[[#This Row],[Food/hr]],-1,0)+ROUNDUP((TblConstr[[#This Row],[Farms]]*80+TblConstr[[#This Row],[Docks]]*35)*(1+OFFSET(TblProd[[#This Row],[Bonus Food/hr]],-1,0)),0)</f>
        <v>134354</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5486</v>
      </c>
      <c r="T107" s="96">
        <f ca="1">ROUND(TblProd[[#This Row],[Raw Food/hr]]*(1+TblProd[[#This Row],[Bonus Food/hr]])-TblProd[[#This Row],[Food decay]]-TblProd[[#This Row],[Food eaten]],0)</f>
        <v>647</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5486.4000000000005</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1343.54</v>
      </c>
      <c r="AP107" s="96">
        <f ca="1">(1+race_food_consumption)*TblPop[[#This Row],[Total]]*food_per_person*(1+tech_1_10*TblTech[[#This Row],[1-10]]+tech_7_5*TblTech[[#This Row],[7-5]] + IF(TblMagic[[#This Row],[Active Demonic Pact]]&gt;0,demonic_pact_food_cons,0))</f>
        <v>589.5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32</v>
      </c>
      <c r="BC107" s="160">
        <f>-TblProd[[#This Row],[Bank Lumber]] / 2 + -TblProd[[#This Row],[Bank Gems]] * 2 + -TblProd[[#This Row],[Bank Ore]] / 2</f>
        <v>0</v>
      </c>
      <c r="BD107" s="160"/>
      <c r="BE107" s="160"/>
      <c r="BF107" s="160"/>
      <c r="BG107" s="161">
        <f ca="1">TblProd[[#This Row],[Time]]</f>
        <v>45736.291666666417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685936</v>
      </c>
      <c r="BJ107" s="96">
        <f ca="1">TblProd[[#This Row],[Food]]</f>
        <v>134354</v>
      </c>
      <c r="BK107" s="96">
        <f ca="1">TblProd[[#This Row],[Lumber]]</f>
        <v>69809</v>
      </c>
      <c r="BL107" s="96">
        <f ca="1">TblProd[[#This Row],[Mana]]</f>
        <v>0</v>
      </c>
      <c r="BM107" s="96">
        <f ca="1">TblProd[[#This Row],[Ore]]</f>
        <v>0</v>
      </c>
    </row>
    <row r="108" spans="1:65" x14ac:dyDescent="0.2">
      <c r="A108" s="139">
        <v>33</v>
      </c>
      <c r="B108" s="154">
        <f ca="1">TblImps[[#This Row],[Time]]</f>
        <v>45736.333333333081</v>
      </c>
      <c r="C108" s="155"/>
      <c r="D108" s="156"/>
      <c r="E108" s="96">
        <f ca="1">TblConstr[[#This Row],[Land]]</f>
        <v>250</v>
      </c>
      <c r="F108" s="96">
        <f ca="1">TblPop[[#This Row],[Peasants]]</f>
        <v>1532</v>
      </c>
      <c r="G108" s="96">
        <f ca="1">TblMili[[#This Row],[Networth (2)]]</f>
        <v>6450</v>
      </c>
      <c r="H108" s="96">
        <f ca="1">OFFSET(TblProd[[#This Row],[Platinum]],-1,0)+OFFSET(TblProd[[#This Row],[Plat/hr]],-1,0) - TblProd[[#This Row],[Expenses Platinum]] + IF(TblProd[[#This Row],[Plat Bonus]],TblPop[[#This Row],[Peasants]]*4) + SUM(TblConstr[[#This Row],[Dest Hom]:[Dest Doc]])*TblConstr[[#This Row],[CPA Platinum -DB]]*tech_3_3_2*TblTech[[#This Row],[3-3]]</f>
        <v>691422</v>
      </c>
      <c r="I108" s="96">
        <f ca="1">OFFSET(TblProd[[#This Row],[Food]],-1,0)+OFFSET(TblProd[[#This Row],[Food/hr]],-1,0)+ROUNDUP((TblConstr[[#This Row],[Farms]]*80+TblConstr[[#This Row],[Docks]]*35)*(1+OFFSET(TblProd[[#This Row],[Bonus Food/hr]],-1,0)),0)</f>
        <v>135001</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5486</v>
      </c>
      <c r="T108" s="96">
        <f ca="1">ROUND(TblProd[[#This Row],[Raw Food/hr]]*(1+TblProd[[#This Row],[Bonus Food/hr]])-TblProd[[#This Row],[Food decay]]-TblProd[[#This Row],[Food eaten]],0)</f>
        <v>640</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5486.4000000000005</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1350.01</v>
      </c>
      <c r="AP108" s="96">
        <f ca="1">(1+race_food_consumption)*TblPop[[#This Row],[Total]]*food_per_person*(1+tech_1_10*TblTech[[#This Row],[1-10]]+tech_7_5*TblTech[[#This Row],[7-5]] + IF(TblMagic[[#This Row],[Active Demonic Pact]]&gt;0,demonic_pact_food_cons,0))</f>
        <v>589.5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33</v>
      </c>
      <c r="BC108" s="160">
        <f>-TblProd[[#This Row],[Bank Lumber]] / 2 + -TblProd[[#This Row],[Bank Gems]] * 2 + -TblProd[[#This Row],[Bank Ore]] / 2</f>
        <v>0</v>
      </c>
      <c r="BD108" s="160"/>
      <c r="BE108" s="160"/>
      <c r="BF108" s="160"/>
      <c r="BG108" s="161">
        <f ca="1">TblProd[[#This Row],[Time]]</f>
        <v>45736.333333333081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691422</v>
      </c>
      <c r="BJ108" s="96">
        <f ca="1">TblProd[[#This Row],[Food]]</f>
        <v>135001</v>
      </c>
      <c r="BK108" s="96">
        <f ca="1">TblProd[[#This Row],[Lumber]]</f>
        <v>70111</v>
      </c>
      <c r="BL108" s="96">
        <f ca="1">TblProd[[#This Row],[Mana]]</f>
        <v>0</v>
      </c>
      <c r="BM108" s="96">
        <f ca="1">TblProd[[#This Row],[Ore]]</f>
        <v>0</v>
      </c>
    </row>
    <row r="109" spans="1:65" x14ac:dyDescent="0.2">
      <c r="A109" s="139">
        <v>34</v>
      </c>
      <c r="B109" s="154">
        <f ca="1">TblImps[[#This Row],[Time]]</f>
        <v>45736.374999999745</v>
      </c>
      <c r="C109" s="155"/>
      <c r="D109" s="156"/>
      <c r="E109" s="96">
        <f ca="1">TblConstr[[#This Row],[Land]]</f>
        <v>250</v>
      </c>
      <c r="F109" s="96">
        <f ca="1">TblPop[[#This Row],[Peasants]]</f>
        <v>1532</v>
      </c>
      <c r="G109" s="96">
        <f ca="1">TblMili[[#This Row],[Networth (2)]]</f>
        <v>6450</v>
      </c>
      <c r="H109" s="96">
        <f ca="1">OFFSET(TblProd[[#This Row],[Platinum]],-1,0)+OFFSET(TblProd[[#This Row],[Plat/hr]],-1,0) - TblProd[[#This Row],[Expenses Platinum]] + IF(TblProd[[#This Row],[Plat Bonus]],TblPop[[#This Row],[Peasants]]*4) + SUM(TblConstr[[#This Row],[Dest Hom]:[Dest Doc]])*TblConstr[[#This Row],[CPA Platinum -DB]]*tech_3_3_2*TblTech[[#This Row],[3-3]]</f>
        <v>696908</v>
      </c>
      <c r="I109" s="96">
        <f ca="1">OFFSET(TblProd[[#This Row],[Food]],-1,0)+OFFSET(TblProd[[#This Row],[Food/hr]],-1,0)+ROUNDUP((TblConstr[[#This Row],[Farms]]*80+TblConstr[[#This Row],[Docks]]*35)*(1+OFFSET(TblProd[[#This Row],[Bonus Food/hr]],-1,0)),0)</f>
        <v>135641</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5486</v>
      </c>
      <c r="T109" s="96">
        <f ca="1">ROUND(TblProd[[#This Row],[Raw Food/hr]]*(1+TblProd[[#This Row],[Bonus Food/hr]])-TblProd[[#This Row],[Food decay]]-TblProd[[#This Row],[Food eaten]],0)</f>
        <v>634</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5486.4000000000005</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1356.41</v>
      </c>
      <c r="AP109" s="96">
        <f ca="1">(1+race_food_consumption)*TblPop[[#This Row],[Total]]*food_per_person*(1+tech_1_10*TblTech[[#This Row],[1-10]]+tech_7_5*TblTech[[#This Row],[7-5]] + IF(TblMagic[[#This Row],[Active Demonic Pact]]&gt;0,demonic_pact_food_cons,0))</f>
        <v>589.5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34</v>
      </c>
      <c r="BC109" s="160">
        <f>-TblProd[[#This Row],[Bank Lumber]] / 2 + -TblProd[[#This Row],[Bank Gems]] * 2 + -TblProd[[#This Row],[Bank Ore]] / 2</f>
        <v>0</v>
      </c>
      <c r="BD109" s="160"/>
      <c r="BE109" s="160"/>
      <c r="BF109" s="160"/>
      <c r="BG109" s="161">
        <f ca="1">TblProd[[#This Row],[Time]]</f>
        <v>45736.374999999745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696908</v>
      </c>
      <c r="BJ109" s="96">
        <f ca="1">TblProd[[#This Row],[Food]]</f>
        <v>135641</v>
      </c>
      <c r="BK109" s="96">
        <f ca="1">TblProd[[#This Row],[Lumber]]</f>
        <v>70410</v>
      </c>
      <c r="BL109" s="96">
        <f ca="1">TblProd[[#This Row],[Mana]]</f>
        <v>0</v>
      </c>
      <c r="BM109" s="96">
        <f ca="1">TblProd[[#This Row],[Ore]]</f>
        <v>0</v>
      </c>
    </row>
    <row r="110" spans="1:65" x14ac:dyDescent="0.2">
      <c r="A110" s="139">
        <v>35</v>
      </c>
      <c r="B110" s="154">
        <f ca="1">TblImps[[#This Row],[Time]]</f>
        <v>45736.41666666641</v>
      </c>
      <c r="C110" s="155"/>
      <c r="D110" s="156"/>
      <c r="E110" s="96">
        <f ca="1">TblConstr[[#This Row],[Land]]</f>
        <v>250</v>
      </c>
      <c r="F110" s="96">
        <f ca="1">TblPop[[#This Row],[Peasants]]</f>
        <v>1532</v>
      </c>
      <c r="G110" s="96">
        <f ca="1">TblMili[[#This Row],[Networth (2)]]</f>
        <v>6450</v>
      </c>
      <c r="H110" s="96">
        <f ca="1">OFFSET(TblProd[[#This Row],[Platinum]],-1,0)+OFFSET(TblProd[[#This Row],[Plat/hr]],-1,0) - TblProd[[#This Row],[Expenses Platinum]] + IF(TblProd[[#This Row],[Plat Bonus]],TblPop[[#This Row],[Peasants]]*4) + SUM(TblConstr[[#This Row],[Dest Hom]:[Dest Doc]])*TblConstr[[#This Row],[CPA Platinum -DB]]*tech_3_3_2*TblTech[[#This Row],[3-3]]</f>
        <v>702394</v>
      </c>
      <c r="I110" s="96">
        <f ca="1">OFFSET(TblProd[[#This Row],[Food]],-1,0)+OFFSET(TblProd[[#This Row],[Food/hr]],-1,0)+ROUNDUP((TblConstr[[#This Row],[Farms]]*80+TblConstr[[#This Row],[Docks]]*35)*(1+OFFSET(TblProd[[#This Row],[Bonus Food/hr]],-1,0)),0)</f>
        <v>136275</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5486</v>
      </c>
      <c r="T110" s="96">
        <f ca="1">ROUND(TblProd[[#This Row],[Raw Food/hr]]*(1+TblProd[[#This Row],[Bonus Food/hr]])-TblProd[[#This Row],[Food decay]]-TblProd[[#This Row],[Food eaten]],0)</f>
        <v>628</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5486.4000000000005</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1362.75</v>
      </c>
      <c r="AP110" s="96">
        <f ca="1">(1+race_food_consumption)*TblPop[[#This Row],[Total]]*food_per_person*(1+tech_1_10*TblTech[[#This Row],[1-10]]+tech_7_5*TblTech[[#This Row],[7-5]] + IF(TblMagic[[#This Row],[Active Demonic Pact]]&gt;0,demonic_pact_food_cons,0))</f>
        <v>589.5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35</v>
      </c>
      <c r="BC110" s="160">
        <f>-TblProd[[#This Row],[Bank Lumber]] / 2 + -TblProd[[#This Row],[Bank Gems]] * 2 + -TblProd[[#This Row],[Bank Ore]] / 2</f>
        <v>0</v>
      </c>
      <c r="BD110" s="160"/>
      <c r="BE110" s="160"/>
      <c r="BF110" s="160"/>
      <c r="BG110" s="161">
        <f ca="1">TblProd[[#This Row],[Time]]</f>
        <v>45736.41666666641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702394</v>
      </c>
      <c r="BJ110" s="96">
        <f ca="1">TblProd[[#This Row],[Food]]</f>
        <v>136275</v>
      </c>
      <c r="BK110" s="96">
        <f ca="1">TblProd[[#This Row],[Lumber]]</f>
        <v>70706</v>
      </c>
      <c r="BL110" s="96">
        <f ca="1">TblProd[[#This Row],[Mana]]</f>
        <v>0</v>
      </c>
      <c r="BM110" s="96">
        <f ca="1">TblProd[[#This Row],[Ore]]</f>
        <v>0</v>
      </c>
    </row>
    <row r="111" spans="1:65" x14ac:dyDescent="0.2">
      <c r="A111" s="139">
        <v>36</v>
      </c>
      <c r="B111" s="154">
        <f ca="1">TblImps[[#This Row],[Time]]</f>
        <v>45736.458333333074</v>
      </c>
      <c r="C111" s="155"/>
      <c r="D111" s="156"/>
      <c r="E111" s="96">
        <f ca="1">TblConstr[[#This Row],[Land]]</f>
        <v>250</v>
      </c>
      <c r="F111" s="96">
        <f ca="1">TblPop[[#This Row],[Peasants]]</f>
        <v>1532</v>
      </c>
      <c r="G111" s="96">
        <f ca="1">TblMili[[#This Row],[Networth (2)]]</f>
        <v>6450</v>
      </c>
      <c r="H111" s="96">
        <f ca="1">OFFSET(TblProd[[#This Row],[Platinum]],-1,0)+OFFSET(TblProd[[#This Row],[Plat/hr]],-1,0) - TblProd[[#This Row],[Expenses Platinum]] + IF(TblProd[[#This Row],[Plat Bonus]],TblPop[[#This Row],[Peasants]]*4) + SUM(TblConstr[[#This Row],[Dest Hom]:[Dest Doc]])*TblConstr[[#This Row],[CPA Platinum -DB]]*tech_3_3_2*TblTech[[#This Row],[3-3]]</f>
        <v>707880</v>
      </c>
      <c r="I111" s="96">
        <f ca="1">OFFSET(TblProd[[#This Row],[Food]],-1,0)+OFFSET(TblProd[[#This Row],[Food/hr]],-1,0)+ROUNDUP((TblConstr[[#This Row],[Farms]]*80+TblConstr[[#This Row],[Docks]]*35)*(1+OFFSET(TblProd[[#This Row],[Bonus Food/hr]],-1,0)),0)</f>
        <v>136903</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5486</v>
      </c>
      <c r="T111" s="96">
        <f ca="1">ROUND(TblProd[[#This Row],[Raw Food/hr]]*(1+TblProd[[#This Row],[Bonus Food/hr]])-TblProd[[#This Row],[Food decay]]-TblProd[[#This Row],[Food eaten]],0)</f>
        <v>621</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5486.4000000000005</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1369.03</v>
      </c>
      <c r="AP111" s="96">
        <f ca="1">(1+race_food_consumption)*TblPop[[#This Row],[Total]]*food_per_person*(1+tech_1_10*TblTech[[#This Row],[1-10]]+tech_7_5*TblTech[[#This Row],[7-5]] + IF(TblMagic[[#This Row],[Active Demonic Pact]]&gt;0,demonic_pact_food_cons,0))</f>
        <v>589.5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36</v>
      </c>
      <c r="BC111" s="160">
        <f>-TblProd[[#This Row],[Bank Lumber]] / 2 + -TblProd[[#This Row],[Bank Gems]] * 2 + -TblProd[[#This Row],[Bank Ore]] / 2</f>
        <v>0</v>
      </c>
      <c r="BD111" s="160"/>
      <c r="BE111" s="160"/>
      <c r="BF111" s="160"/>
      <c r="BG111" s="161">
        <f ca="1">TblProd[[#This Row],[Time]]</f>
        <v>45736.458333333074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707880</v>
      </c>
      <c r="BJ111" s="96">
        <f ca="1">TblProd[[#This Row],[Food]]</f>
        <v>136903</v>
      </c>
      <c r="BK111" s="96">
        <f ca="1">TblProd[[#This Row],[Lumber]]</f>
        <v>70999</v>
      </c>
      <c r="BL111" s="96">
        <f ca="1">TblProd[[#This Row],[Mana]]</f>
        <v>0</v>
      </c>
      <c r="BM111" s="96">
        <f ca="1">TblProd[[#This Row],[Ore]]</f>
        <v>0</v>
      </c>
    </row>
    <row r="112" spans="1:65" x14ac:dyDescent="0.2">
      <c r="A112" s="139">
        <v>37</v>
      </c>
      <c r="B112" s="154">
        <f ca="1">TblImps[[#This Row],[Time]]</f>
        <v>45736.499999999738</v>
      </c>
      <c r="C112" s="155"/>
      <c r="D112" s="156"/>
      <c r="E112" s="96">
        <f ca="1">TblConstr[[#This Row],[Land]]</f>
        <v>250</v>
      </c>
      <c r="F112" s="96">
        <f ca="1">TblPop[[#This Row],[Peasants]]</f>
        <v>1532</v>
      </c>
      <c r="G112" s="96">
        <f ca="1">TblMili[[#This Row],[Networth (2)]]</f>
        <v>6450</v>
      </c>
      <c r="H112" s="96">
        <f ca="1">OFFSET(TblProd[[#This Row],[Platinum]],-1,0)+OFFSET(TblProd[[#This Row],[Plat/hr]],-1,0) - TblProd[[#This Row],[Expenses Platinum]] + IF(TblProd[[#This Row],[Plat Bonus]],TblPop[[#This Row],[Peasants]]*4) + SUM(TblConstr[[#This Row],[Dest Hom]:[Dest Doc]])*TblConstr[[#This Row],[CPA Platinum -DB]]*tech_3_3_2*TblTech[[#This Row],[3-3]]</f>
        <v>713366</v>
      </c>
      <c r="I112" s="96">
        <f ca="1">OFFSET(TblProd[[#This Row],[Food]],-1,0)+OFFSET(TblProd[[#This Row],[Food/hr]],-1,0)+ROUNDUP((TblConstr[[#This Row],[Farms]]*80+TblConstr[[#This Row],[Docks]]*35)*(1+OFFSET(TblProd[[#This Row],[Bonus Food/hr]],-1,0)),0)</f>
        <v>137524</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5486</v>
      </c>
      <c r="T112" s="96">
        <f ca="1">ROUND(TblProd[[#This Row],[Raw Food/hr]]*(1+TblProd[[#This Row],[Bonus Food/hr]])-TblProd[[#This Row],[Food decay]]-TblProd[[#This Row],[Food eaten]],0)</f>
        <v>615</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5486.4000000000005</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1375.24</v>
      </c>
      <c r="AP112" s="96">
        <f ca="1">(1+race_food_consumption)*TblPop[[#This Row],[Total]]*food_per_person*(1+tech_1_10*TblTech[[#This Row],[1-10]]+tech_7_5*TblTech[[#This Row],[7-5]] + IF(TblMagic[[#This Row],[Active Demonic Pact]]&gt;0,demonic_pact_food_cons,0))</f>
        <v>589.5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37</v>
      </c>
      <c r="BC112" s="160">
        <f>-TblProd[[#This Row],[Bank Lumber]] / 2 + -TblProd[[#This Row],[Bank Gems]] * 2 + -TblProd[[#This Row],[Bank Ore]] / 2</f>
        <v>0</v>
      </c>
      <c r="BD112" s="160"/>
      <c r="BE112" s="160"/>
      <c r="BF112" s="160"/>
      <c r="BG112" s="161">
        <f ca="1">TblProd[[#This Row],[Time]]</f>
        <v>45736.499999999738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713366</v>
      </c>
      <c r="BJ112" s="96">
        <f ca="1">TblProd[[#This Row],[Food]]</f>
        <v>137524</v>
      </c>
      <c r="BK112" s="96">
        <f ca="1">TblProd[[#This Row],[Lumber]]</f>
        <v>71289</v>
      </c>
      <c r="BL112" s="96">
        <f ca="1">TblProd[[#This Row],[Mana]]</f>
        <v>0</v>
      </c>
      <c r="BM112" s="96">
        <f ca="1">TblProd[[#This Row],[Ore]]</f>
        <v>0</v>
      </c>
    </row>
    <row r="113" spans="1:65" x14ac:dyDescent="0.2">
      <c r="A113" s="139">
        <v>38</v>
      </c>
      <c r="B113" s="154">
        <f ca="1">TblImps[[#This Row],[Time]]</f>
        <v>45736.541666666402</v>
      </c>
      <c r="C113" s="155"/>
      <c r="D113" s="156"/>
      <c r="E113" s="96">
        <f ca="1">TblConstr[[#This Row],[Land]]</f>
        <v>250</v>
      </c>
      <c r="F113" s="96">
        <f ca="1">TblPop[[#This Row],[Peasants]]</f>
        <v>1532</v>
      </c>
      <c r="G113" s="96">
        <f ca="1">TblMili[[#This Row],[Networth (2)]]</f>
        <v>6450</v>
      </c>
      <c r="H113" s="96">
        <f ca="1">OFFSET(TblProd[[#This Row],[Platinum]],-1,0)+OFFSET(TblProd[[#This Row],[Plat/hr]],-1,0) - TblProd[[#This Row],[Expenses Platinum]] + IF(TblProd[[#This Row],[Plat Bonus]],TblPop[[#This Row],[Peasants]]*4) + SUM(TblConstr[[#This Row],[Dest Hom]:[Dest Doc]])*TblConstr[[#This Row],[CPA Platinum -DB]]*tech_3_3_2*TblTech[[#This Row],[3-3]]</f>
        <v>718852</v>
      </c>
      <c r="I113" s="96">
        <f ca="1">OFFSET(TblProd[[#This Row],[Food]],-1,0)+OFFSET(TblProd[[#This Row],[Food/hr]],-1,0)+ROUNDUP((TblConstr[[#This Row],[Farms]]*80+TblConstr[[#This Row],[Docks]]*35)*(1+OFFSET(TblProd[[#This Row],[Bonus Food/hr]],-1,0)),0)</f>
        <v>138139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5486</v>
      </c>
      <c r="T113" s="96">
        <f ca="1">ROUND(TblProd[[#This Row],[Raw Food/hr]]*(1+TblProd[[#This Row],[Bonus Food/hr]])-TblProd[[#This Row],[Food decay]]-TblProd[[#This Row],[Food eaten]],0)</f>
        <v>609</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5486.4000000000005</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1381.39</v>
      </c>
      <c r="AP113" s="96">
        <f ca="1">(1+race_food_consumption)*TblPop[[#This Row],[Total]]*food_per_person*(1+tech_1_10*TblTech[[#This Row],[1-10]]+tech_7_5*TblTech[[#This Row],[7-5]] + IF(TblMagic[[#This Row],[Active Demonic Pact]]&gt;0,demonic_pact_food_cons,0))</f>
        <v>589.5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38</v>
      </c>
      <c r="BC113" s="160">
        <f>-TblProd[[#This Row],[Bank Lumber]] / 2 + -TblProd[[#This Row],[Bank Gems]] * 2 + -TblProd[[#This Row],[Bank Ore]] / 2</f>
        <v>0</v>
      </c>
      <c r="BD113" s="160"/>
      <c r="BE113" s="160"/>
      <c r="BF113" s="160"/>
      <c r="BG113" s="161">
        <f ca="1">TblProd[[#This Row],[Time]]</f>
        <v>45736.541666666402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718852</v>
      </c>
      <c r="BJ113" s="96">
        <f ca="1">TblProd[[#This Row],[Food]]</f>
        <v>138139</v>
      </c>
      <c r="BK113" s="96">
        <f ca="1">TblProd[[#This Row],[Lumber]]</f>
        <v>71576</v>
      </c>
      <c r="BL113" s="96">
        <f ca="1">TblProd[[#This Row],[Mana]]</f>
        <v>0</v>
      </c>
      <c r="BM113" s="96">
        <f ca="1">TblProd[[#This Row],[Ore]]</f>
        <v>0</v>
      </c>
    </row>
    <row r="114" spans="1:65" x14ac:dyDescent="0.2">
      <c r="A114" s="139">
        <v>39</v>
      </c>
      <c r="B114" s="154">
        <f ca="1">TblImps[[#This Row],[Time]]</f>
        <v>45736.583333333067</v>
      </c>
      <c r="C114" s="155"/>
      <c r="D114" s="156"/>
      <c r="E114" s="96">
        <f ca="1">TblConstr[[#This Row],[Land]]</f>
        <v>250</v>
      </c>
      <c r="F114" s="96">
        <f ca="1">TblPop[[#This Row],[Peasants]]</f>
        <v>1532</v>
      </c>
      <c r="G114" s="96">
        <f ca="1">TblMili[[#This Row],[Networth (2)]]</f>
        <v>6450</v>
      </c>
      <c r="H114" s="96">
        <f ca="1">OFFSET(TblProd[[#This Row],[Platinum]],-1,0)+OFFSET(TblProd[[#This Row],[Plat/hr]],-1,0) - TblProd[[#This Row],[Expenses Platinum]] + IF(TblProd[[#This Row],[Plat Bonus]],TblPop[[#This Row],[Peasants]]*4) + SUM(TblConstr[[#This Row],[Dest Hom]:[Dest Doc]])*TblConstr[[#This Row],[CPA Platinum -DB]]*tech_3_3_2*TblTech[[#This Row],[3-3]]</f>
        <v>724338</v>
      </c>
      <c r="I114" s="96">
        <f ca="1">OFFSET(TblProd[[#This Row],[Food]],-1,0)+OFFSET(TblProd[[#This Row],[Food/hr]],-1,0)+ROUNDUP((TblConstr[[#This Row],[Farms]]*80+TblConstr[[#This Row],[Docks]]*35)*(1+OFFSET(TblProd[[#This Row],[Bonus Food/hr]],-1,0)),0)</f>
        <v>138748</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5486</v>
      </c>
      <c r="T114" s="96">
        <f ca="1">ROUND(TblProd[[#This Row],[Raw Food/hr]]*(1+TblProd[[#This Row],[Bonus Food/hr]])-TblProd[[#This Row],[Food decay]]-TblProd[[#This Row],[Food eaten]],0)</f>
        <v>603</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5486.4000000000005</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1387.48</v>
      </c>
      <c r="AP114" s="96">
        <f ca="1">(1+race_food_consumption)*TblPop[[#This Row],[Total]]*food_per_person*(1+tech_1_10*TblTech[[#This Row],[1-10]]+tech_7_5*TblTech[[#This Row],[7-5]] + IF(TblMagic[[#This Row],[Active Demonic Pact]]&gt;0,demonic_pact_food_cons,0))</f>
        <v>589.5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39</v>
      </c>
      <c r="BC114" s="160">
        <f>-TblProd[[#This Row],[Bank Lumber]] / 2 + -TblProd[[#This Row],[Bank Gems]] * 2 + -TblProd[[#This Row],[Bank Ore]] / 2</f>
        <v>0</v>
      </c>
      <c r="BD114" s="160"/>
      <c r="BE114" s="160"/>
      <c r="BF114" s="160"/>
      <c r="BG114" s="161">
        <f ca="1">TblProd[[#This Row],[Time]]</f>
        <v>45736.583333333067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724338</v>
      </c>
      <c r="BJ114" s="96">
        <f ca="1">TblProd[[#This Row],[Food]]</f>
        <v>138748</v>
      </c>
      <c r="BK114" s="96">
        <f ca="1">TblProd[[#This Row],[Lumber]]</f>
        <v>71860</v>
      </c>
      <c r="BL114" s="96">
        <f ca="1">TblProd[[#This Row],[Mana]]</f>
        <v>0</v>
      </c>
      <c r="BM114" s="96">
        <f ca="1">TblProd[[#This Row],[Ore]]</f>
        <v>0</v>
      </c>
    </row>
    <row r="115" spans="1:65" x14ac:dyDescent="0.2">
      <c r="A115" s="139">
        <v>40</v>
      </c>
      <c r="B115" s="154">
        <f ca="1">TblImps[[#This Row],[Time]]</f>
        <v>45736.624999999731</v>
      </c>
      <c r="C115" s="155"/>
      <c r="D115" s="156"/>
      <c r="E115" s="96">
        <f ca="1">TblConstr[[#This Row],[Land]]</f>
        <v>250</v>
      </c>
      <c r="F115" s="96">
        <f ca="1">TblPop[[#This Row],[Peasants]]</f>
        <v>1532</v>
      </c>
      <c r="G115" s="96">
        <f ca="1">TblMili[[#This Row],[Networth (2)]]</f>
        <v>6450</v>
      </c>
      <c r="H115" s="96">
        <f ca="1">OFFSET(TblProd[[#This Row],[Platinum]],-1,0)+OFFSET(TblProd[[#This Row],[Plat/hr]],-1,0) - TblProd[[#This Row],[Expenses Platinum]] + IF(TblProd[[#This Row],[Plat Bonus]],TblPop[[#This Row],[Peasants]]*4) + SUM(TblConstr[[#This Row],[Dest Hom]:[Dest Doc]])*TblConstr[[#This Row],[CPA Platinum -DB]]*tech_3_3_2*TblTech[[#This Row],[3-3]]</f>
        <v>729824</v>
      </c>
      <c r="I115" s="96">
        <f ca="1">OFFSET(TblProd[[#This Row],[Food]],-1,0)+OFFSET(TblProd[[#This Row],[Food/hr]],-1,0)+ROUNDUP((TblConstr[[#This Row],[Farms]]*80+TblConstr[[#This Row],[Docks]]*35)*(1+OFFSET(TblProd[[#This Row],[Bonus Food/hr]],-1,0)),0)</f>
        <v>139351</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5486</v>
      </c>
      <c r="T115" s="96">
        <f ca="1">ROUND(TblProd[[#This Row],[Raw Food/hr]]*(1+TblProd[[#This Row],[Bonus Food/hr]])-TblProd[[#This Row],[Food decay]]-TblProd[[#This Row],[Food eaten]],0)</f>
        <v>597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5486.4000000000005</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1393.51</v>
      </c>
      <c r="AP115" s="96">
        <f ca="1">(1+race_food_consumption)*TblPop[[#This Row],[Total]]*food_per_person*(1+tech_1_10*TblTech[[#This Row],[1-10]]+tech_7_5*TblTech[[#This Row],[7-5]] + IF(TblMagic[[#This Row],[Active Demonic Pact]]&gt;0,demonic_pact_food_cons,0))</f>
        <v>589.5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40</v>
      </c>
      <c r="BC115" s="160">
        <f>-TblProd[[#This Row],[Bank Lumber]] / 2 + -TblProd[[#This Row],[Bank Gems]] * 2 + -TblProd[[#This Row],[Bank Ore]] / 2</f>
        <v>0</v>
      </c>
      <c r="BD115" s="160"/>
      <c r="BE115" s="160"/>
      <c r="BF115" s="160"/>
      <c r="BG115" s="161">
        <f ca="1">TblProd[[#This Row],[Time]]</f>
        <v>45736.624999999731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729824</v>
      </c>
      <c r="BJ115" s="96">
        <f ca="1">TblProd[[#This Row],[Food]]</f>
        <v>139351</v>
      </c>
      <c r="BK115" s="96">
        <f ca="1">TblProd[[#This Row],[Lumber]]</f>
        <v>72141</v>
      </c>
      <c r="BL115" s="96">
        <f ca="1">TblProd[[#This Row],[Mana]]</f>
        <v>0</v>
      </c>
      <c r="BM115" s="96">
        <f ca="1">TblProd[[#This Row],[Ore]]</f>
        <v>0</v>
      </c>
    </row>
    <row r="116" spans="1:65" x14ac:dyDescent="0.2">
      <c r="A116" s="139">
        <v>41</v>
      </c>
      <c r="B116" s="154">
        <f ca="1">TblImps[[#This Row],[Time]]</f>
        <v>45736.666666666395</v>
      </c>
      <c r="C116" s="155"/>
      <c r="D116" s="156"/>
      <c r="E116" s="96">
        <f ca="1">TblConstr[[#This Row],[Land]]</f>
        <v>250</v>
      </c>
      <c r="F116" s="96">
        <f ca="1">TblPop[[#This Row],[Peasants]]</f>
        <v>1532</v>
      </c>
      <c r="G116" s="96">
        <f ca="1">TblMili[[#This Row],[Networth (2)]]</f>
        <v>6450</v>
      </c>
      <c r="H116" s="96">
        <f ca="1">OFFSET(TblProd[[#This Row],[Platinum]],-1,0)+OFFSET(TblProd[[#This Row],[Plat/hr]],-1,0) - TblProd[[#This Row],[Expenses Platinum]] + IF(TblProd[[#This Row],[Plat Bonus]],TblPop[[#This Row],[Peasants]]*4) + SUM(TblConstr[[#This Row],[Dest Hom]:[Dest Doc]])*TblConstr[[#This Row],[CPA Platinum -DB]]*tech_3_3_2*TblTech[[#This Row],[3-3]]</f>
        <v>735310</v>
      </c>
      <c r="I116" s="96">
        <f ca="1">OFFSET(TblProd[[#This Row],[Food]],-1,0)+OFFSET(TblProd[[#This Row],[Food/hr]],-1,0)+ROUNDUP((TblConstr[[#This Row],[Farms]]*80+TblConstr[[#This Row],[Docks]]*35)*(1+OFFSET(TblProd[[#This Row],[Bonus Food/hr]],-1,0)),0)</f>
        <v>139948</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5486</v>
      </c>
      <c r="T116" s="96">
        <f ca="1">ROUND(TblProd[[#This Row],[Raw Food/hr]]*(1+TblProd[[#This Row],[Bonus Food/hr]])-TblProd[[#This Row],[Food decay]]-TblProd[[#This Row],[Food eaten]],0)</f>
        <v>591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5486.4000000000005</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1399.48</v>
      </c>
      <c r="AP116" s="96">
        <f ca="1">(1+race_food_consumption)*TblPop[[#This Row],[Total]]*food_per_person*(1+tech_1_10*TblTech[[#This Row],[1-10]]+tech_7_5*TblTech[[#This Row],[7-5]] + IF(TblMagic[[#This Row],[Active Demonic Pact]]&gt;0,demonic_pact_food_cons,0))</f>
        <v>589.5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41</v>
      </c>
      <c r="BC116" s="160">
        <f>-TblProd[[#This Row],[Bank Lumber]] / 2 + -TblProd[[#This Row],[Bank Gems]] * 2 + -TblProd[[#This Row],[Bank Ore]] / 2</f>
        <v>0</v>
      </c>
      <c r="BD116" s="160"/>
      <c r="BE116" s="160"/>
      <c r="BF116" s="160"/>
      <c r="BG116" s="161">
        <f ca="1">TblProd[[#This Row],[Time]]</f>
        <v>45736.666666666395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735310</v>
      </c>
      <c r="BJ116" s="96">
        <f ca="1">TblProd[[#This Row],[Food]]</f>
        <v>139948</v>
      </c>
      <c r="BK116" s="96">
        <f ca="1">TblProd[[#This Row],[Lumber]]</f>
        <v>72420</v>
      </c>
      <c r="BL116" s="96">
        <f ca="1">TblProd[[#This Row],[Mana]]</f>
        <v>0</v>
      </c>
      <c r="BM116" s="96">
        <f ca="1">TblProd[[#This Row],[Ore]]</f>
        <v>0</v>
      </c>
    </row>
    <row r="117" spans="1:65" x14ac:dyDescent="0.2">
      <c r="A117" s="139">
        <v>42</v>
      </c>
      <c r="B117" s="154">
        <f ca="1">TblImps[[#This Row],[Time]]</f>
        <v>45736.708333333059</v>
      </c>
      <c r="C117" s="155"/>
      <c r="D117" s="156"/>
      <c r="E117" s="96">
        <f ca="1">TblConstr[[#This Row],[Land]]</f>
        <v>250</v>
      </c>
      <c r="F117" s="96">
        <f ca="1">TblPop[[#This Row],[Peasants]]</f>
        <v>1532</v>
      </c>
      <c r="G117" s="96">
        <f ca="1">TblMili[[#This Row],[Networth (2)]]</f>
        <v>6450</v>
      </c>
      <c r="H117" s="96">
        <f ca="1">OFFSET(TblProd[[#This Row],[Platinum]],-1,0)+OFFSET(TblProd[[#This Row],[Plat/hr]],-1,0) - TblProd[[#This Row],[Expenses Platinum]] + IF(TblProd[[#This Row],[Plat Bonus]],TblPop[[#This Row],[Peasants]]*4) + SUM(TblConstr[[#This Row],[Dest Hom]:[Dest Doc]])*TblConstr[[#This Row],[CPA Platinum -DB]]*tech_3_3_2*TblTech[[#This Row],[3-3]]</f>
        <v>740796</v>
      </c>
      <c r="I117" s="96">
        <f ca="1">OFFSET(TblProd[[#This Row],[Food]],-1,0)+OFFSET(TblProd[[#This Row],[Food/hr]],-1,0)+ROUNDUP((TblConstr[[#This Row],[Farms]]*80+TblConstr[[#This Row],[Docks]]*35)*(1+OFFSET(TblProd[[#This Row],[Bonus Food/hr]],-1,0)),0)</f>
        <v>140539</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5486</v>
      </c>
      <c r="T117" s="96">
        <f ca="1">ROUND(TblProd[[#This Row],[Raw Food/hr]]*(1+TblProd[[#This Row],[Bonus Food/hr]])-TblProd[[#This Row],[Food decay]]-TblProd[[#This Row],[Food eaten]],0)</f>
        <v>585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5486.4000000000005</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1405.39</v>
      </c>
      <c r="AP117" s="96">
        <f ca="1">(1+race_food_consumption)*TblPop[[#This Row],[Total]]*food_per_person*(1+tech_1_10*TblTech[[#This Row],[1-10]]+tech_7_5*TblTech[[#This Row],[7-5]] + IF(TblMagic[[#This Row],[Active Demonic Pact]]&gt;0,demonic_pact_food_cons,0))</f>
        <v>589.5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42</v>
      </c>
      <c r="BC117" s="160">
        <f>-TblProd[[#This Row],[Bank Lumber]] / 2 + -TblProd[[#This Row],[Bank Gems]] * 2 + -TblProd[[#This Row],[Bank Ore]] / 2</f>
        <v>0</v>
      </c>
      <c r="BD117" s="160"/>
      <c r="BE117" s="160"/>
      <c r="BF117" s="160"/>
      <c r="BG117" s="161">
        <f ca="1">TblProd[[#This Row],[Time]]</f>
        <v>45736.708333333059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740796</v>
      </c>
      <c r="BJ117" s="96">
        <f ca="1">TblProd[[#This Row],[Food]]</f>
        <v>140539</v>
      </c>
      <c r="BK117" s="96">
        <f ca="1">TblProd[[#This Row],[Lumber]]</f>
        <v>72696</v>
      </c>
      <c r="BL117" s="96">
        <f ca="1">TblProd[[#This Row],[Mana]]</f>
        <v>0</v>
      </c>
      <c r="BM117" s="96">
        <f ca="1">TblProd[[#This Row],[Ore]]</f>
        <v>0</v>
      </c>
    </row>
    <row r="118" spans="1:65" x14ac:dyDescent="0.2">
      <c r="A118" s="139">
        <v>43</v>
      </c>
      <c r="B118" s="154">
        <f ca="1">TblImps[[#This Row],[Time]]</f>
        <v>45736.749999999724</v>
      </c>
      <c r="C118" s="155"/>
      <c r="D118" s="156"/>
      <c r="E118" s="96">
        <f ca="1">TblConstr[[#This Row],[Land]]</f>
        <v>250</v>
      </c>
      <c r="F118" s="96">
        <f ca="1">TblPop[[#This Row],[Peasants]]</f>
        <v>1532</v>
      </c>
      <c r="G118" s="96">
        <f ca="1">TblMili[[#This Row],[Networth (2)]]</f>
        <v>6450</v>
      </c>
      <c r="H118" s="96">
        <f ca="1">OFFSET(TblProd[[#This Row],[Platinum]],-1,0)+OFFSET(TblProd[[#This Row],[Plat/hr]],-1,0) - TblProd[[#This Row],[Expenses Platinum]] + IF(TblProd[[#This Row],[Plat Bonus]],TblPop[[#This Row],[Peasants]]*4) + SUM(TblConstr[[#This Row],[Dest Hom]:[Dest Doc]])*TblConstr[[#This Row],[CPA Platinum -DB]]*tech_3_3_2*TblTech[[#This Row],[3-3]]</f>
        <v>746282</v>
      </c>
      <c r="I118" s="96">
        <f ca="1">OFFSET(TblProd[[#This Row],[Food]],-1,0)+OFFSET(TblProd[[#This Row],[Food/hr]],-1,0)+ROUNDUP((TblConstr[[#This Row],[Farms]]*80+TblConstr[[#This Row],[Docks]]*35)*(1+OFFSET(TblProd[[#This Row],[Bonus Food/hr]],-1,0)),0)</f>
        <v>141124</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5486</v>
      </c>
      <c r="T118" s="96">
        <f ca="1">ROUND(TblProd[[#This Row],[Raw Food/hr]]*(1+TblProd[[#This Row],[Bonus Food/hr]])-TblProd[[#This Row],[Food decay]]-TblProd[[#This Row],[Food eaten]],0)</f>
        <v>579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5486.4000000000005</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1411.24</v>
      </c>
      <c r="AP118" s="96">
        <f ca="1">(1+race_food_consumption)*TblPop[[#This Row],[Total]]*food_per_person*(1+tech_1_10*TblTech[[#This Row],[1-10]]+tech_7_5*TblTech[[#This Row],[7-5]] + IF(TblMagic[[#This Row],[Active Demonic Pact]]&gt;0,demonic_pact_food_cons,0))</f>
        <v>589.5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43</v>
      </c>
      <c r="BC118" s="160">
        <f>-TblProd[[#This Row],[Bank Lumber]] / 2 + -TblProd[[#This Row],[Bank Gems]] * 2 + -TblProd[[#This Row],[Bank Ore]] / 2</f>
        <v>0</v>
      </c>
      <c r="BD118" s="160"/>
      <c r="BE118" s="160"/>
      <c r="BF118" s="160"/>
      <c r="BG118" s="161">
        <f ca="1">TblProd[[#This Row],[Time]]</f>
        <v>45736.749999999724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746282</v>
      </c>
      <c r="BJ118" s="96">
        <f ca="1">TblProd[[#This Row],[Food]]</f>
        <v>141124</v>
      </c>
      <c r="BK118" s="96">
        <f ca="1">TblProd[[#This Row],[Lumber]]</f>
        <v>72969</v>
      </c>
      <c r="BL118" s="96">
        <f ca="1">TblProd[[#This Row],[Mana]]</f>
        <v>0</v>
      </c>
      <c r="BM118" s="96">
        <f ca="1">TblProd[[#This Row],[Ore]]</f>
        <v>0</v>
      </c>
    </row>
    <row r="119" spans="1:65" x14ac:dyDescent="0.2">
      <c r="A119" s="139">
        <v>44</v>
      </c>
      <c r="B119" s="154">
        <f ca="1">TblImps[[#This Row],[Time]]</f>
        <v>45736.791666666388</v>
      </c>
      <c r="C119" s="155"/>
      <c r="D119" s="156"/>
      <c r="E119" s="96">
        <f ca="1">TblConstr[[#This Row],[Land]]</f>
        <v>250</v>
      </c>
      <c r="F119" s="96">
        <f ca="1">TblPop[[#This Row],[Peasants]]</f>
        <v>1532</v>
      </c>
      <c r="G119" s="96">
        <f ca="1">TblMili[[#This Row],[Networth (2)]]</f>
        <v>6450</v>
      </c>
      <c r="H119" s="96">
        <f ca="1">OFFSET(TblProd[[#This Row],[Platinum]],-1,0)+OFFSET(TblProd[[#This Row],[Plat/hr]],-1,0) - TblProd[[#This Row],[Expenses Platinum]] + IF(TblProd[[#This Row],[Plat Bonus]],TblPop[[#This Row],[Peasants]]*4) + SUM(TblConstr[[#This Row],[Dest Hom]:[Dest Doc]])*TblConstr[[#This Row],[CPA Platinum -DB]]*tech_3_3_2*TblTech[[#This Row],[3-3]]</f>
        <v>751768</v>
      </c>
      <c r="I119" s="96">
        <f ca="1">OFFSET(TblProd[[#This Row],[Food]],-1,0)+OFFSET(TblProd[[#This Row],[Food/hr]],-1,0)+ROUNDUP((TblConstr[[#This Row],[Farms]]*80+TblConstr[[#This Row],[Docks]]*35)*(1+OFFSET(TblProd[[#This Row],[Bonus Food/hr]],-1,0)),0)</f>
        <v>141703</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5486</v>
      </c>
      <c r="T119" s="96">
        <f ca="1">ROUND(TblProd[[#This Row],[Raw Food/hr]]*(1+TblProd[[#This Row],[Bonus Food/hr]])-TblProd[[#This Row],[Food decay]]-TblProd[[#This Row],[Food eaten]],0)</f>
        <v>573</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5486.4000000000005</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1417.03</v>
      </c>
      <c r="AP119" s="96">
        <f ca="1">(1+race_food_consumption)*TblPop[[#This Row],[Total]]*food_per_person*(1+tech_1_10*TblTech[[#This Row],[1-10]]+tech_7_5*TblTech[[#This Row],[7-5]] + IF(TblMagic[[#This Row],[Active Demonic Pact]]&gt;0,demonic_pact_food_cons,0))</f>
        <v>589.5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44</v>
      </c>
      <c r="BC119" s="160">
        <f>-TblProd[[#This Row],[Bank Lumber]] / 2 + -TblProd[[#This Row],[Bank Gems]] * 2 + -TblProd[[#This Row],[Bank Ore]] / 2</f>
        <v>0</v>
      </c>
      <c r="BD119" s="160"/>
      <c r="BE119" s="160"/>
      <c r="BF119" s="160"/>
      <c r="BG119" s="161">
        <f ca="1">TblProd[[#This Row],[Time]]</f>
        <v>45736.791666666388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751768</v>
      </c>
      <c r="BJ119" s="96">
        <f ca="1">TblProd[[#This Row],[Food]]</f>
        <v>141703</v>
      </c>
      <c r="BK119" s="96">
        <f ca="1">TblProd[[#This Row],[Lumber]]</f>
        <v>73239</v>
      </c>
      <c r="BL119" s="96">
        <f ca="1">TblProd[[#This Row],[Mana]]</f>
        <v>0</v>
      </c>
      <c r="BM119" s="96">
        <f ca="1">TblProd[[#This Row],[Ore]]</f>
        <v>0</v>
      </c>
    </row>
    <row r="120" spans="1:65" x14ac:dyDescent="0.2">
      <c r="A120" s="139">
        <v>45</v>
      </c>
      <c r="B120" s="154">
        <f ca="1">TblImps[[#This Row],[Time]]</f>
        <v>45736.833333333052</v>
      </c>
      <c r="C120" s="155"/>
      <c r="D120" s="156"/>
      <c r="E120" s="96">
        <f ca="1">TblConstr[[#This Row],[Land]]</f>
        <v>250</v>
      </c>
      <c r="F120" s="96">
        <f ca="1">TblPop[[#This Row],[Peasants]]</f>
        <v>1532</v>
      </c>
      <c r="G120" s="96">
        <f ca="1">TblMili[[#This Row],[Networth (2)]]</f>
        <v>6450</v>
      </c>
      <c r="H120" s="96">
        <f ca="1">OFFSET(TblProd[[#This Row],[Platinum]],-1,0)+OFFSET(TblProd[[#This Row],[Plat/hr]],-1,0) - TblProd[[#This Row],[Expenses Platinum]] + IF(TblProd[[#This Row],[Plat Bonus]],TblPop[[#This Row],[Peasants]]*4) + SUM(TblConstr[[#This Row],[Dest Hom]:[Dest Doc]])*TblConstr[[#This Row],[CPA Platinum -DB]]*tech_3_3_2*TblTech[[#This Row],[3-3]]</f>
        <v>757254</v>
      </c>
      <c r="I120" s="96">
        <f ca="1">OFFSET(TblProd[[#This Row],[Food]],-1,0)+OFFSET(TblProd[[#This Row],[Food/hr]],-1,0)+ROUNDUP((TblConstr[[#This Row],[Farms]]*80+TblConstr[[#This Row],[Docks]]*35)*(1+OFFSET(TblProd[[#This Row],[Bonus Food/hr]],-1,0)),0)</f>
        <v>142276</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5486</v>
      </c>
      <c r="T120" s="96">
        <f ca="1">ROUND(TblProd[[#This Row],[Raw Food/hr]]*(1+TblProd[[#This Row],[Bonus Food/hr]])-TblProd[[#This Row],[Food decay]]-TblProd[[#This Row],[Food eaten]],0)</f>
        <v>568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5486.4000000000005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1422.76</v>
      </c>
      <c r="AP120" s="96">
        <f ca="1">(1+race_food_consumption)*TblPop[[#This Row],[Total]]*food_per_person*(1+tech_1_10*TblTech[[#This Row],[1-10]]+tech_7_5*TblTech[[#This Row],[7-5]] + IF(TblMagic[[#This Row],[Active Demonic Pact]]&gt;0,demonic_pact_food_cons,0))</f>
        <v>589.5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45</v>
      </c>
      <c r="BC120" s="160">
        <f>-TblProd[[#This Row],[Bank Lumber]] / 2 + -TblProd[[#This Row],[Bank Gems]] * 2 + -TblProd[[#This Row],[Bank Ore]] / 2</f>
        <v>0</v>
      </c>
      <c r="BD120" s="160"/>
      <c r="BE120" s="160"/>
      <c r="BF120" s="160"/>
      <c r="BG120" s="161">
        <f ca="1">TblProd[[#This Row],[Time]]</f>
        <v>45736.833333333052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757254</v>
      </c>
      <c r="BJ120" s="96">
        <f ca="1">TblProd[[#This Row],[Food]]</f>
        <v>142276</v>
      </c>
      <c r="BK120" s="96">
        <f ca="1">TblProd[[#This Row],[Lumber]]</f>
        <v>73507</v>
      </c>
      <c r="BL120" s="96">
        <f ca="1">TblProd[[#This Row],[Mana]]</f>
        <v>0</v>
      </c>
      <c r="BM120" s="96">
        <f ca="1">TblProd[[#This Row],[Ore]]</f>
        <v>0</v>
      </c>
    </row>
    <row r="121" spans="1:65" x14ac:dyDescent="0.2">
      <c r="A121" s="139">
        <v>46</v>
      </c>
      <c r="B121" s="154">
        <f ca="1">TblImps[[#This Row],[Time]]</f>
        <v>45736.874999999716</v>
      </c>
      <c r="C121" s="155"/>
      <c r="D121" s="156"/>
      <c r="E121" s="96">
        <f ca="1">TblConstr[[#This Row],[Land]]</f>
        <v>250</v>
      </c>
      <c r="F121" s="96">
        <f ca="1">TblPop[[#This Row],[Peasants]]</f>
        <v>1532</v>
      </c>
      <c r="G121" s="96">
        <f ca="1">TblMili[[#This Row],[Networth (2)]]</f>
        <v>6450</v>
      </c>
      <c r="H121" s="96">
        <f ca="1">OFFSET(TblProd[[#This Row],[Platinum]],-1,0)+OFFSET(TblProd[[#This Row],[Plat/hr]],-1,0) - TblProd[[#This Row],[Expenses Platinum]] + IF(TblProd[[#This Row],[Plat Bonus]],TblPop[[#This Row],[Peasants]]*4) + SUM(TblConstr[[#This Row],[Dest Hom]:[Dest Doc]])*TblConstr[[#This Row],[CPA Platinum -DB]]*tech_3_3_2*TblTech[[#This Row],[3-3]]</f>
        <v>762740</v>
      </c>
      <c r="I121" s="96">
        <f ca="1">OFFSET(TblProd[[#This Row],[Food]],-1,0)+OFFSET(TblProd[[#This Row],[Food/hr]],-1,0)+ROUNDUP((TblConstr[[#This Row],[Farms]]*80+TblConstr[[#This Row],[Docks]]*35)*(1+OFFSET(TblProd[[#This Row],[Bonus Food/hr]],-1,0)),0)</f>
        <v>142844</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5486</v>
      </c>
      <c r="T121" s="96">
        <f ca="1">ROUND(TblProd[[#This Row],[Raw Food/hr]]*(1+TblProd[[#This Row],[Bonus Food/hr]])-TblProd[[#This Row],[Food decay]]-TblProd[[#This Row],[Food eaten]],0)</f>
        <v>562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5486.4000000000005</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1428.44</v>
      </c>
      <c r="AP121" s="96">
        <f ca="1">(1+race_food_consumption)*TblPop[[#This Row],[Total]]*food_per_person*(1+tech_1_10*TblTech[[#This Row],[1-10]]+tech_7_5*TblTech[[#This Row],[7-5]] + IF(TblMagic[[#This Row],[Active Demonic Pact]]&gt;0,demonic_pact_food_cons,0))</f>
        <v>589.5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46</v>
      </c>
      <c r="BC121" s="160">
        <f>-TblProd[[#This Row],[Bank Lumber]] / 2 + -TblProd[[#This Row],[Bank Gems]] * 2 + -TblProd[[#This Row],[Bank Ore]] / 2</f>
        <v>0</v>
      </c>
      <c r="BD121" s="160"/>
      <c r="BE121" s="160"/>
      <c r="BF121" s="160"/>
      <c r="BG121" s="161">
        <f ca="1">TblProd[[#This Row],[Time]]</f>
        <v>45736.874999999716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762740</v>
      </c>
      <c r="BJ121" s="96">
        <f ca="1">TblProd[[#This Row],[Food]]</f>
        <v>142844</v>
      </c>
      <c r="BK121" s="96">
        <f ca="1">TblProd[[#This Row],[Lumber]]</f>
        <v>73772</v>
      </c>
      <c r="BL121" s="96">
        <f ca="1">TblProd[[#This Row],[Mana]]</f>
        <v>0</v>
      </c>
      <c r="BM121" s="96">
        <f ca="1">TblProd[[#This Row],[Ore]]</f>
        <v>0</v>
      </c>
    </row>
    <row r="122" spans="1:65" x14ac:dyDescent="0.2">
      <c r="A122" s="139">
        <v>47</v>
      </c>
      <c r="B122" s="154">
        <f ca="1">TblImps[[#This Row],[Time]]</f>
        <v>45736.91666666638</v>
      </c>
      <c r="C122" s="155"/>
      <c r="D122" s="156"/>
      <c r="E122" s="96">
        <f ca="1">TblConstr[[#This Row],[Land]]</f>
        <v>250</v>
      </c>
      <c r="F122" s="96">
        <f ca="1">TblPop[[#This Row],[Peasants]]</f>
        <v>1532</v>
      </c>
      <c r="G122" s="96">
        <f ca="1">TblMili[[#This Row],[Networth (2)]]</f>
        <v>6450</v>
      </c>
      <c r="H122" s="96">
        <f ca="1">OFFSET(TblProd[[#This Row],[Platinum]],-1,0)+OFFSET(TblProd[[#This Row],[Plat/hr]],-1,0) - TblProd[[#This Row],[Expenses Platinum]] + IF(TblProd[[#This Row],[Plat Bonus]],TblPop[[#This Row],[Peasants]]*4) + SUM(TblConstr[[#This Row],[Dest Hom]:[Dest Doc]])*TblConstr[[#This Row],[CPA Platinum -DB]]*tech_3_3_2*TblTech[[#This Row],[3-3]]</f>
        <v>768226</v>
      </c>
      <c r="I122" s="96">
        <f ca="1">OFFSET(TblProd[[#This Row],[Food]],-1,0)+OFFSET(TblProd[[#This Row],[Food/hr]],-1,0)+ROUNDUP((TblConstr[[#This Row],[Farms]]*80+TblConstr[[#This Row],[Docks]]*35)*(1+OFFSET(TblProd[[#This Row],[Bonus Food/hr]],-1,0)),0)</f>
        <v>143406</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5486</v>
      </c>
      <c r="T122" s="96">
        <f ca="1">ROUND(TblProd[[#This Row],[Raw Food/hr]]*(1+TblProd[[#This Row],[Bonus Food/hr]])-TblProd[[#This Row],[Food decay]]-TblProd[[#This Row],[Food eaten]],0)</f>
        <v>556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5486.4000000000005</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1434.06</v>
      </c>
      <c r="AP122" s="96">
        <f ca="1">(1+race_food_consumption)*TblPop[[#This Row],[Total]]*food_per_person*(1+tech_1_10*TblTech[[#This Row],[1-10]]+tech_7_5*TblTech[[#This Row],[7-5]] + IF(TblMagic[[#This Row],[Active Demonic Pact]]&gt;0,demonic_pact_food_cons,0))</f>
        <v>589.5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47</v>
      </c>
      <c r="BC122" s="160">
        <f>-TblProd[[#This Row],[Bank Lumber]] / 2 + -TblProd[[#This Row],[Bank Gems]] * 2 + -TblProd[[#This Row],[Bank Ore]] / 2</f>
        <v>0</v>
      </c>
      <c r="BD122" s="160"/>
      <c r="BE122" s="160"/>
      <c r="BF122" s="160"/>
      <c r="BG122" s="161">
        <f ca="1">TblProd[[#This Row],[Time]]</f>
        <v>45736.91666666638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768226</v>
      </c>
      <c r="BJ122" s="96">
        <f ca="1">TblProd[[#This Row],[Food]]</f>
        <v>143406</v>
      </c>
      <c r="BK122" s="96">
        <f ca="1">TblProd[[#This Row],[Lumber]]</f>
        <v>74034</v>
      </c>
      <c r="BL122" s="96">
        <f ca="1">TblProd[[#This Row],[Mana]]</f>
        <v>0</v>
      </c>
      <c r="BM122" s="96">
        <f ca="1">TblProd[[#This Row],[Ore]]</f>
        <v>0</v>
      </c>
    </row>
    <row r="123" spans="1:65" x14ac:dyDescent="0.2">
      <c r="A123" s="139">
        <v>48</v>
      </c>
      <c r="B123" s="154">
        <f ca="1">TblImps[[#This Row],[Time]]</f>
        <v>45736.958333333045</v>
      </c>
      <c r="C123" s="155"/>
      <c r="D123" s="156"/>
      <c r="E123" s="96">
        <f ca="1">TblConstr[[#This Row],[Land]]</f>
        <v>250</v>
      </c>
      <c r="F123" s="96">
        <f ca="1">TblPop[[#This Row],[Peasants]]</f>
        <v>1532</v>
      </c>
      <c r="G123" s="96">
        <f ca="1">TblMili[[#This Row],[Networth (2)]]</f>
        <v>6450</v>
      </c>
      <c r="H123" s="96">
        <f ca="1">OFFSET(TblProd[[#This Row],[Platinum]],-1,0)+OFFSET(TblProd[[#This Row],[Plat/hr]],-1,0) - TblProd[[#This Row],[Expenses Platinum]] + IF(TblProd[[#This Row],[Plat Bonus]],TblPop[[#This Row],[Peasants]]*4) + SUM(TblConstr[[#This Row],[Dest Hom]:[Dest Doc]])*TblConstr[[#This Row],[CPA Platinum -DB]]*tech_3_3_2*TblTech[[#This Row],[3-3]]</f>
        <v>773712</v>
      </c>
      <c r="I123" s="96">
        <f ca="1">OFFSET(TblProd[[#This Row],[Food]],-1,0)+OFFSET(TblProd[[#This Row],[Food/hr]],-1,0)+ROUNDUP((TblConstr[[#This Row],[Farms]]*80+TblConstr[[#This Row],[Docks]]*35)*(1+OFFSET(TblProd[[#This Row],[Bonus Food/hr]],-1,0)),0)</f>
        <v>143962</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5486</v>
      </c>
      <c r="T123" s="96">
        <f ca="1">ROUND(TblProd[[#This Row],[Raw Food/hr]]*(1+TblProd[[#This Row],[Bonus Food/hr]])-TblProd[[#This Row],[Food decay]]-TblProd[[#This Row],[Food eaten]],0)</f>
        <v>551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5486.4000000000005</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1439.6200000000001</v>
      </c>
      <c r="AP123" s="96">
        <f ca="1">(1+race_food_consumption)*TblPop[[#This Row],[Total]]*food_per_person*(1+tech_1_10*TblTech[[#This Row],[1-10]]+tech_7_5*TblTech[[#This Row],[7-5]] + IF(TblMagic[[#This Row],[Active Demonic Pact]]&gt;0,demonic_pact_food_cons,0))</f>
        <v>589.5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48</v>
      </c>
      <c r="BC123" s="160">
        <f>-TblProd[[#This Row],[Bank Lumber]] / 2 + -TblProd[[#This Row],[Bank Gems]] * 2 + -TblProd[[#This Row],[Bank Ore]] / 2</f>
        <v>0</v>
      </c>
      <c r="BD123" s="160"/>
      <c r="BE123" s="160"/>
      <c r="BF123" s="160"/>
      <c r="BG123" s="161">
        <f ca="1">TblProd[[#This Row],[Time]]</f>
        <v>45736.958333333045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773712</v>
      </c>
      <c r="BJ123" s="96">
        <f ca="1">TblProd[[#This Row],[Food]]</f>
        <v>143962</v>
      </c>
      <c r="BK123" s="96">
        <f ca="1">TblProd[[#This Row],[Lumber]]</f>
        <v>74294</v>
      </c>
      <c r="BL123" s="96">
        <f ca="1">TblProd[[#This Row],[Mana]]</f>
        <v>0</v>
      </c>
      <c r="BM123" s="96">
        <f ca="1">TblProd[[#This Row],[Ore]]</f>
        <v>0</v>
      </c>
    </row>
    <row r="124" spans="1:65" x14ac:dyDescent="0.2">
      <c r="A124" s="139">
        <v>49</v>
      </c>
      <c r="B124" s="154">
        <f ca="1">TblImps[[#This Row],[Time]]</f>
        <v>45736.999999999709</v>
      </c>
      <c r="C124" s="155"/>
      <c r="D124" s="156"/>
      <c r="E124" s="96">
        <f ca="1">TblConstr[[#This Row],[Land]]</f>
        <v>250</v>
      </c>
      <c r="F124" s="96">
        <f ca="1">TblPop[[#This Row],[Peasants]]</f>
        <v>1532</v>
      </c>
      <c r="G124" s="96">
        <f ca="1">TblMili[[#This Row],[Networth (2)]]</f>
        <v>6450</v>
      </c>
      <c r="H124" s="96">
        <f ca="1">OFFSET(TblProd[[#This Row],[Platinum]],-1,0)+OFFSET(TblProd[[#This Row],[Plat/hr]],-1,0) - TblProd[[#This Row],[Expenses Platinum]] + IF(TblProd[[#This Row],[Plat Bonus]],TblPop[[#This Row],[Peasants]]*4) + SUM(TblConstr[[#This Row],[Dest Hom]:[Dest Doc]])*TblConstr[[#This Row],[CPA Platinum -DB]]*tech_3_3_2*TblTech[[#This Row],[3-3]]</f>
        <v>779198</v>
      </c>
      <c r="I124" s="96">
        <f ca="1">OFFSET(TblProd[[#This Row],[Food]],-1,0)+OFFSET(TblProd[[#This Row],[Food/hr]],-1,0)+ROUNDUP((TblConstr[[#This Row],[Farms]]*80+TblConstr[[#This Row],[Docks]]*35)*(1+OFFSET(TblProd[[#This Row],[Bonus Food/hr]],-1,0)),0)</f>
        <v>144513</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5486</v>
      </c>
      <c r="T124" s="96">
        <f ca="1">ROUND(TblProd[[#This Row],[Raw Food/hr]]*(1+TblProd[[#This Row],[Bonus Food/hr]])-TblProd[[#This Row],[Food decay]]-TblProd[[#This Row],[Food eaten]],0)</f>
        <v>545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5486.4000000000005</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1445.13</v>
      </c>
      <c r="AP124" s="96">
        <f ca="1">(1+race_food_consumption)*TblPop[[#This Row],[Total]]*food_per_person*(1+tech_1_10*TblTech[[#This Row],[1-10]]+tech_7_5*TblTech[[#This Row],[7-5]] + IF(TblMagic[[#This Row],[Active Demonic Pact]]&gt;0,demonic_pact_food_cons,0))</f>
        <v>589.5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49</v>
      </c>
      <c r="BC124" s="160">
        <f>-TblProd[[#This Row],[Bank Lumber]] / 2 + -TblProd[[#This Row],[Bank Gems]] * 2 + -TblProd[[#This Row],[Bank Ore]] / 2</f>
        <v>0</v>
      </c>
      <c r="BD124" s="160"/>
      <c r="BE124" s="160"/>
      <c r="BF124" s="160"/>
      <c r="BG124" s="161">
        <f ca="1">TblProd[[#This Row],[Time]]</f>
        <v>45736.999999999709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779198</v>
      </c>
      <c r="BJ124" s="96">
        <f ca="1">TblProd[[#This Row],[Food]]</f>
        <v>144513</v>
      </c>
      <c r="BK124" s="96">
        <f ca="1">TblProd[[#This Row],[Lumber]]</f>
        <v>74551</v>
      </c>
      <c r="BL124" s="96">
        <f ca="1">TblProd[[#This Row],[Mana]]</f>
        <v>0</v>
      </c>
      <c r="BM124" s="96">
        <f ca="1">TblProd[[#This Row],[Ore]]</f>
        <v>0</v>
      </c>
    </row>
    <row r="125" spans="1:65" x14ac:dyDescent="0.2">
      <c r="A125" s="139">
        <v>50</v>
      </c>
      <c r="B125" s="154">
        <f ca="1">TblImps[[#This Row],[Time]]</f>
        <v>45737.041666666373</v>
      </c>
      <c r="C125" s="155"/>
      <c r="D125" s="156"/>
      <c r="E125" s="96">
        <f ca="1">TblConstr[[#This Row],[Land]]</f>
        <v>250</v>
      </c>
      <c r="F125" s="96">
        <f ca="1">TblPop[[#This Row],[Peasants]]</f>
        <v>1532</v>
      </c>
      <c r="G125" s="96">
        <f ca="1">TblMili[[#This Row],[Networth (2)]]</f>
        <v>6450</v>
      </c>
      <c r="H125" s="96">
        <f ca="1">OFFSET(TblProd[[#This Row],[Platinum]],-1,0)+OFFSET(TblProd[[#This Row],[Plat/hr]],-1,0) - TblProd[[#This Row],[Expenses Platinum]] + IF(TblProd[[#This Row],[Plat Bonus]],TblPop[[#This Row],[Peasants]]*4) + SUM(TblConstr[[#This Row],[Dest Hom]:[Dest Doc]])*TblConstr[[#This Row],[CPA Platinum -DB]]*tech_3_3_2*TblTech[[#This Row],[3-3]]</f>
        <v>784684</v>
      </c>
      <c r="I125" s="96">
        <f ca="1">OFFSET(TblProd[[#This Row],[Food]],-1,0)+OFFSET(TblProd[[#This Row],[Food/hr]],-1,0)+ROUNDUP((TblConstr[[#This Row],[Farms]]*80+TblConstr[[#This Row],[Docks]]*35)*(1+OFFSET(TblProd[[#This Row],[Bonus Food/hr]],-1,0)),0)</f>
        <v>145058</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5486</v>
      </c>
      <c r="T125" s="96">
        <f ca="1">ROUND(TblProd[[#This Row],[Raw Food/hr]]*(1+TblProd[[#This Row],[Bonus Food/hr]])-TblProd[[#This Row],[Food decay]]-TblProd[[#This Row],[Food eaten]],0)</f>
        <v>540</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5486.4000000000005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1450.58</v>
      </c>
      <c r="AP125" s="96">
        <f ca="1">(1+race_food_consumption)*TblPop[[#This Row],[Total]]*food_per_person*(1+tech_1_10*TblTech[[#This Row],[1-10]]+tech_7_5*TblTech[[#This Row],[7-5]] + IF(TblMagic[[#This Row],[Active Demonic Pact]]&gt;0,demonic_pact_food_cons,0))</f>
        <v>589.5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50</v>
      </c>
      <c r="BC125" s="160">
        <f>-TblProd[[#This Row],[Bank Lumber]] / 2 + -TblProd[[#This Row],[Bank Gems]] * 2 + -TblProd[[#This Row],[Bank Ore]] / 2</f>
        <v>0</v>
      </c>
      <c r="BD125" s="160"/>
      <c r="BE125" s="160"/>
      <c r="BF125" s="160"/>
      <c r="BG125" s="161">
        <f ca="1">TblProd[[#This Row],[Time]]</f>
        <v>45737.041666666373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784684</v>
      </c>
      <c r="BJ125" s="96">
        <f ca="1">TblProd[[#This Row],[Food]]</f>
        <v>145058</v>
      </c>
      <c r="BK125" s="96">
        <f ca="1">TblProd[[#This Row],[Lumber]]</f>
        <v>74805</v>
      </c>
      <c r="BL125" s="96">
        <f ca="1">TblProd[[#This Row],[Mana]]</f>
        <v>0</v>
      </c>
      <c r="BM125" s="96">
        <f ca="1">TblProd[[#This Row],[Ore]]</f>
        <v>0</v>
      </c>
    </row>
    <row r="126" spans="1:65" x14ac:dyDescent="0.2">
      <c r="A126" s="139">
        <v>51</v>
      </c>
      <c r="B126" s="154">
        <f ca="1">TblImps[[#This Row],[Time]]</f>
        <v>45737.083333333037</v>
      </c>
      <c r="C126" s="155"/>
      <c r="D126" s="156"/>
      <c r="E126" s="96">
        <f ca="1">TblConstr[[#This Row],[Land]]</f>
        <v>250</v>
      </c>
      <c r="F126" s="96">
        <f ca="1">TblPop[[#This Row],[Peasants]]</f>
        <v>1532</v>
      </c>
      <c r="G126" s="96">
        <f ca="1">TblMili[[#This Row],[Networth (2)]]</f>
        <v>6450</v>
      </c>
      <c r="H126" s="96">
        <f ca="1">OFFSET(TblProd[[#This Row],[Platinum]],-1,0)+OFFSET(TblProd[[#This Row],[Plat/hr]],-1,0) - TblProd[[#This Row],[Expenses Platinum]] + IF(TblProd[[#This Row],[Plat Bonus]],TblPop[[#This Row],[Peasants]]*4) + SUM(TblConstr[[#This Row],[Dest Hom]:[Dest Doc]])*TblConstr[[#This Row],[CPA Platinum -DB]]*tech_3_3_2*TblTech[[#This Row],[3-3]]</f>
        <v>790170</v>
      </c>
      <c r="I126" s="96">
        <f ca="1">OFFSET(TblProd[[#This Row],[Food]],-1,0)+OFFSET(TblProd[[#This Row],[Food/hr]],-1,0)+ROUNDUP((TblConstr[[#This Row],[Farms]]*80+TblConstr[[#This Row],[Docks]]*35)*(1+OFFSET(TblProd[[#This Row],[Bonus Food/hr]],-1,0)),0)</f>
        <v>145598</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5486</v>
      </c>
      <c r="T126" s="96">
        <f ca="1">ROUND(TblProd[[#This Row],[Raw Food/hr]]*(1+TblProd[[#This Row],[Bonus Food/hr]])-TblProd[[#This Row],[Food decay]]-TblProd[[#This Row],[Food eaten]],0)</f>
        <v>535</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5486.4000000000005</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1455.98</v>
      </c>
      <c r="AP126" s="96">
        <f ca="1">(1+race_food_consumption)*TblPop[[#This Row],[Total]]*food_per_person*(1+tech_1_10*TblTech[[#This Row],[1-10]]+tech_7_5*TblTech[[#This Row],[7-5]] + IF(TblMagic[[#This Row],[Active Demonic Pact]]&gt;0,demonic_pact_food_cons,0))</f>
        <v>589.5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51</v>
      </c>
      <c r="BC126" s="160">
        <f>-TblProd[[#This Row],[Bank Lumber]] / 2 + -TblProd[[#This Row],[Bank Gems]] * 2 + -TblProd[[#This Row],[Bank Ore]] / 2</f>
        <v>0</v>
      </c>
      <c r="BD126" s="160"/>
      <c r="BE126" s="160"/>
      <c r="BF126" s="160"/>
      <c r="BG126" s="161">
        <f ca="1">TblProd[[#This Row],[Time]]</f>
        <v>45737.083333333037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790170</v>
      </c>
      <c r="BJ126" s="96">
        <f ca="1">TblProd[[#This Row],[Food]]</f>
        <v>145598</v>
      </c>
      <c r="BK126" s="96">
        <f ca="1">TblProd[[#This Row],[Lumber]]</f>
        <v>75057</v>
      </c>
      <c r="BL126" s="96">
        <f ca="1">TblProd[[#This Row],[Mana]]</f>
        <v>0</v>
      </c>
      <c r="BM126" s="96">
        <f ca="1">TblProd[[#This Row],[Ore]]</f>
        <v>0</v>
      </c>
    </row>
    <row r="127" spans="1:65" x14ac:dyDescent="0.2">
      <c r="A127" s="139">
        <v>52</v>
      </c>
      <c r="B127" s="154">
        <f ca="1">TblImps[[#This Row],[Time]]</f>
        <v>45737.124999999702</v>
      </c>
      <c r="C127" s="155"/>
      <c r="D127" s="156"/>
      <c r="E127" s="96">
        <f ca="1">TblConstr[[#This Row],[Land]]</f>
        <v>250</v>
      </c>
      <c r="F127" s="96">
        <f ca="1">TblPop[[#This Row],[Peasants]]</f>
        <v>1532</v>
      </c>
      <c r="G127" s="96">
        <f ca="1">TblMili[[#This Row],[Networth (2)]]</f>
        <v>6450</v>
      </c>
      <c r="H127" s="96">
        <f ca="1">OFFSET(TblProd[[#This Row],[Platinum]],-1,0)+OFFSET(TblProd[[#This Row],[Plat/hr]],-1,0) - TblProd[[#This Row],[Expenses Platinum]] + IF(TblProd[[#This Row],[Plat Bonus]],TblPop[[#This Row],[Peasants]]*4) + SUM(TblConstr[[#This Row],[Dest Hom]:[Dest Doc]])*TblConstr[[#This Row],[CPA Platinum -DB]]*tech_3_3_2*TblTech[[#This Row],[3-3]]</f>
        <v>795656</v>
      </c>
      <c r="I127" s="96">
        <f ca="1">OFFSET(TblProd[[#This Row],[Food]],-1,0)+OFFSET(TblProd[[#This Row],[Food/hr]],-1,0)+ROUNDUP((TblConstr[[#This Row],[Farms]]*80+TblConstr[[#This Row],[Docks]]*35)*(1+OFFSET(TblProd[[#This Row],[Bonus Food/hr]],-1,0)),0)</f>
        <v>146133</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5486</v>
      </c>
      <c r="T127" s="96">
        <f ca="1">ROUND(TblProd[[#This Row],[Raw Food/hr]]*(1+TblProd[[#This Row],[Bonus Food/hr]])-TblProd[[#This Row],[Food decay]]-TblProd[[#This Row],[Food eaten]],0)</f>
        <v>529</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5486.4000000000005</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1461.33</v>
      </c>
      <c r="AP127" s="96">
        <f ca="1">(1+race_food_consumption)*TblPop[[#This Row],[Total]]*food_per_person*(1+tech_1_10*TblTech[[#This Row],[1-10]]+tech_7_5*TblTech[[#This Row],[7-5]] + IF(TblMagic[[#This Row],[Active Demonic Pact]]&gt;0,demonic_pact_food_cons,0))</f>
        <v>589.5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52</v>
      </c>
      <c r="BC127" s="160">
        <f>-TblProd[[#This Row],[Bank Lumber]] / 2 + -TblProd[[#This Row],[Bank Gems]] * 2 + -TblProd[[#This Row],[Bank Ore]] / 2</f>
        <v>0</v>
      </c>
      <c r="BD127" s="160"/>
      <c r="BE127" s="160"/>
      <c r="BF127" s="160"/>
      <c r="BG127" s="161">
        <f ca="1">TblProd[[#This Row],[Time]]</f>
        <v>45737.124999999702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795656</v>
      </c>
      <c r="BJ127" s="96">
        <f ca="1">TblProd[[#This Row],[Food]]</f>
        <v>146133</v>
      </c>
      <c r="BK127" s="96">
        <f ca="1">TblProd[[#This Row],[Lumber]]</f>
        <v>75306</v>
      </c>
      <c r="BL127" s="96">
        <f ca="1">TblProd[[#This Row],[Mana]]</f>
        <v>0</v>
      </c>
      <c r="BM127" s="96">
        <f ca="1">TblProd[[#This Row],[Ore]]</f>
        <v>0</v>
      </c>
    </row>
    <row r="128" spans="1:65" x14ac:dyDescent="0.2">
      <c r="A128" s="139">
        <v>53</v>
      </c>
      <c r="B128" s="154">
        <f ca="1">TblImps[[#This Row],[Time]]</f>
        <v>45737.166666666366</v>
      </c>
      <c r="C128" s="155"/>
      <c r="D128" s="156"/>
      <c r="E128" s="96">
        <f ca="1">TblConstr[[#This Row],[Land]]</f>
        <v>250</v>
      </c>
      <c r="F128" s="96">
        <f ca="1">TblPop[[#This Row],[Peasants]]</f>
        <v>1532</v>
      </c>
      <c r="G128" s="96">
        <f ca="1">TblMili[[#This Row],[Networth (2)]]</f>
        <v>6450</v>
      </c>
      <c r="H128" s="96">
        <f ca="1">OFFSET(TblProd[[#This Row],[Platinum]],-1,0)+OFFSET(TblProd[[#This Row],[Plat/hr]],-1,0) - TblProd[[#This Row],[Expenses Platinum]] + IF(TblProd[[#This Row],[Plat Bonus]],TblPop[[#This Row],[Peasants]]*4) + SUM(TblConstr[[#This Row],[Dest Hom]:[Dest Doc]])*TblConstr[[#This Row],[CPA Platinum -DB]]*tech_3_3_2*TblTech[[#This Row],[3-3]]</f>
        <v>801142</v>
      </c>
      <c r="I128" s="96">
        <f ca="1">OFFSET(TblProd[[#This Row],[Food]],-1,0)+OFFSET(TblProd[[#This Row],[Food/hr]],-1,0)+ROUNDUP((TblConstr[[#This Row],[Farms]]*80+TblConstr[[#This Row],[Docks]]*35)*(1+OFFSET(TblProd[[#This Row],[Bonus Food/hr]],-1,0)),0)</f>
        <v>146662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5486</v>
      </c>
      <c r="T128" s="96">
        <f ca="1">ROUND(TblProd[[#This Row],[Raw Food/hr]]*(1+TblProd[[#This Row],[Bonus Food/hr]])-TblProd[[#This Row],[Food decay]]-TblProd[[#This Row],[Food eaten]],0)</f>
        <v>524</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5486.4000000000005</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1466.6200000000001</v>
      </c>
      <c r="AP128" s="96">
        <f ca="1">(1+race_food_consumption)*TblPop[[#This Row],[Total]]*food_per_person*(1+tech_1_10*TblTech[[#This Row],[1-10]]+tech_7_5*TblTech[[#This Row],[7-5]] + IF(TblMagic[[#This Row],[Active Demonic Pact]]&gt;0,demonic_pact_food_cons,0))</f>
        <v>589.5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53</v>
      </c>
      <c r="BC128" s="160">
        <f>-TblProd[[#This Row],[Bank Lumber]] / 2 + -TblProd[[#This Row],[Bank Gems]] * 2 + -TblProd[[#This Row],[Bank Ore]] / 2</f>
        <v>0</v>
      </c>
      <c r="BD128" s="160"/>
      <c r="BE128" s="160"/>
      <c r="BF128" s="160"/>
      <c r="BG128" s="161">
        <f ca="1">TblProd[[#This Row],[Time]]</f>
        <v>45737.166666666366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801142</v>
      </c>
      <c r="BJ128" s="96">
        <f ca="1">TblProd[[#This Row],[Food]]</f>
        <v>146662</v>
      </c>
      <c r="BK128" s="96">
        <f ca="1">TblProd[[#This Row],[Lumber]]</f>
        <v>75553</v>
      </c>
      <c r="BL128" s="96">
        <f ca="1">TblProd[[#This Row],[Mana]]</f>
        <v>0</v>
      </c>
      <c r="BM128" s="96">
        <f ca="1">TblProd[[#This Row],[Ore]]</f>
        <v>0</v>
      </c>
    </row>
    <row r="129" spans="1:65" x14ac:dyDescent="0.2">
      <c r="A129" s="139">
        <v>54</v>
      </c>
      <c r="B129" s="154">
        <f ca="1">TblImps[[#This Row],[Time]]</f>
        <v>45737.20833333303</v>
      </c>
      <c r="C129" s="155"/>
      <c r="D129" s="156"/>
      <c r="E129" s="96">
        <f ca="1">TblConstr[[#This Row],[Land]]</f>
        <v>250</v>
      </c>
      <c r="F129" s="96">
        <f ca="1">TblPop[[#This Row],[Peasants]]</f>
        <v>1532</v>
      </c>
      <c r="G129" s="96">
        <f ca="1">TblMili[[#This Row],[Networth (2)]]</f>
        <v>6450</v>
      </c>
      <c r="H129" s="96">
        <f ca="1">OFFSET(TblProd[[#This Row],[Platinum]],-1,0)+OFFSET(TblProd[[#This Row],[Plat/hr]],-1,0) - TblProd[[#This Row],[Expenses Platinum]] + IF(TblProd[[#This Row],[Plat Bonus]],TblPop[[#This Row],[Peasants]]*4) + SUM(TblConstr[[#This Row],[Dest Hom]:[Dest Doc]])*TblConstr[[#This Row],[CPA Platinum -DB]]*tech_3_3_2*TblTech[[#This Row],[3-3]]</f>
        <v>806628</v>
      </c>
      <c r="I129" s="96">
        <f ca="1">OFFSET(TblProd[[#This Row],[Food]],-1,0)+OFFSET(TblProd[[#This Row],[Food/hr]],-1,0)+ROUNDUP((TblConstr[[#This Row],[Farms]]*80+TblConstr[[#This Row],[Docks]]*35)*(1+OFFSET(TblProd[[#This Row],[Bonus Food/hr]],-1,0)),0)</f>
        <v>147186</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5486</v>
      </c>
      <c r="T129" s="96">
        <f ca="1">ROUND(TblProd[[#This Row],[Raw Food/hr]]*(1+TblProd[[#This Row],[Bonus Food/hr]])-TblProd[[#This Row],[Food decay]]-TblProd[[#This Row],[Food eaten]],0)</f>
        <v>519</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5486.4000000000005</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1471.8600000000001</v>
      </c>
      <c r="AP129" s="96">
        <f ca="1">(1+race_food_consumption)*TblPop[[#This Row],[Total]]*food_per_person*(1+tech_1_10*TblTech[[#This Row],[1-10]]+tech_7_5*TblTech[[#This Row],[7-5]] + IF(TblMagic[[#This Row],[Active Demonic Pact]]&gt;0,demonic_pact_food_cons,0))</f>
        <v>589.5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54</v>
      </c>
      <c r="BC129" s="160">
        <f>-TblProd[[#This Row],[Bank Lumber]] / 2 + -TblProd[[#This Row],[Bank Gems]] * 2 + -TblProd[[#This Row],[Bank Ore]] / 2</f>
        <v>0</v>
      </c>
      <c r="BD129" s="160"/>
      <c r="BE129" s="160"/>
      <c r="BF129" s="160"/>
      <c r="BG129" s="161">
        <f ca="1">TblProd[[#This Row],[Time]]</f>
        <v>45737.20833333303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806628</v>
      </c>
      <c r="BJ129" s="96">
        <f ca="1">TblProd[[#This Row],[Food]]</f>
        <v>147186</v>
      </c>
      <c r="BK129" s="96">
        <f ca="1">TblProd[[#This Row],[Lumber]]</f>
        <v>75797</v>
      </c>
      <c r="BL129" s="96">
        <f ca="1">TblProd[[#This Row],[Mana]]</f>
        <v>0</v>
      </c>
      <c r="BM129" s="96">
        <f ca="1">TblProd[[#This Row],[Ore]]</f>
        <v>0</v>
      </c>
    </row>
    <row r="130" spans="1:65" x14ac:dyDescent="0.2">
      <c r="A130" s="139">
        <v>55</v>
      </c>
      <c r="B130" s="154">
        <f ca="1">TblImps[[#This Row],[Time]]</f>
        <v>45737.249999999694</v>
      </c>
      <c r="C130" s="155"/>
      <c r="D130" s="156"/>
      <c r="E130" s="96">
        <f ca="1">TblConstr[[#This Row],[Land]]</f>
        <v>250</v>
      </c>
      <c r="F130" s="96">
        <f ca="1">TblPop[[#This Row],[Peasants]]</f>
        <v>1532</v>
      </c>
      <c r="G130" s="96">
        <f ca="1">TblMili[[#This Row],[Networth (2)]]</f>
        <v>6450</v>
      </c>
      <c r="H130" s="96">
        <f ca="1">OFFSET(TblProd[[#This Row],[Platinum]],-1,0)+OFFSET(TblProd[[#This Row],[Plat/hr]],-1,0) - TblProd[[#This Row],[Expenses Platinum]] + IF(TblProd[[#This Row],[Plat Bonus]],TblPop[[#This Row],[Peasants]]*4) + SUM(TblConstr[[#This Row],[Dest Hom]:[Dest Doc]])*TblConstr[[#This Row],[CPA Platinum -DB]]*tech_3_3_2*TblTech[[#This Row],[3-3]]</f>
        <v>812114</v>
      </c>
      <c r="I130" s="96">
        <f ca="1">OFFSET(TblProd[[#This Row],[Food]],-1,0)+OFFSET(TblProd[[#This Row],[Food/hr]],-1,0)+ROUNDUP((TblConstr[[#This Row],[Farms]]*80+TblConstr[[#This Row],[Docks]]*35)*(1+OFFSET(TblProd[[#This Row],[Bonus Food/hr]],-1,0)),0)</f>
        <v>147705</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5486</v>
      </c>
      <c r="T130" s="96">
        <f ca="1">ROUND(TblProd[[#This Row],[Raw Food/hr]]*(1+TblProd[[#This Row],[Bonus Food/hr]])-TblProd[[#This Row],[Food decay]]-TblProd[[#This Row],[Food eaten]],0)</f>
        <v>513</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5486.4000000000005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1477.05</v>
      </c>
      <c r="AP130" s="96">
        <f ca="1">(1+race_food_consumption)*TblPop[[#This Row],[Total]]*food_per_person*(1+tech_1_10*TblTech[[#This Row],[1-10]]+tech_7_5*TblTech[[#This Row],[7-5]] + IF(TblMagic[[#This Row],[Active Demonic Pact]]&gt;0,demonic_pact_food_cons,0))</f>
        <v>589.5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55</v>
      </c>
      <c r="BC130" s="160">
        <f>-TblProd[[#This Row],[Bank Lumber]] / 2 + -TblProd[[#This Row],[Bank Gems]] * 2 + -TblProd[[#This Row],[Bank Ore]] / 2</f>
        <v>0</v>
      </c>
      <c r="BD130" s="160"/>
      <c r="BE130" s="160"/>
      <c r="BF130" s="160"/>
      <c r="BG130" s="161">
        <f ca="1">TblProd[[#This Row],[Time]]</f>
        <v>45737.249999999694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812114</v>
      </c>
      <c r="BJ130" s="96">
        <f ca="1">TblProd[[#This Row],[Food]]</f>
        <v>147705</v>
      </c>
      <c r="BK130" s="96">
        <f ca="1">TblProd[[#This Row],[Lumber]]</f>
        <v>76039</v>
      </c>
      <c r="BL130" s="96">
        <f ca="1">TblProd[[#This Row],[Mana]]</f>
        <v>0</v>
      </c>
      <c r="BM130" s="96">
        <f ca="1">TblProd[[#This Row],[Ore]]</f>
        <v>0</v>
      </c>
    </row>
    <row r="131" spans="1:65" x14ac:dyDescent="0.2">
      <c r="A131" s="139">
        <v>56</v>
      </c>
      <c r="B131" s="154">
        <f ca="1">TblImps[[#This Row],[Time]]</f>
        <v>45737.291666666359</v>
      </c>
      <c r="C131" s="155"/>
      <c r="D131" s="156"/>
      <c r="E131" s="96">
        <f ca="1">TblConstr[[#This Row],[Land]]</f>
        <v>250</v>
      </c>
      <c r="F131" s="96">
        <f ca="1">TblPop[[#This Row],[Peasants]]</f>
        <v>1532</v>
      </c>
      <c r="G131" s="96">
        <f ca="1">TblMili[[#This Row],[Networth (2)]]</f>
        <v>6450</v>
      </c>
      <c r="H131" s="96">
        <f ca="1">OFFSET(TblProd[[#This Row],[Platinum]],-1,0)+OFFSET(TblProd[[#This Row],[Plat/hr]],-1,0) - TblProd[[#This Row],[Expenses Platinum]] + IF(TblProd[[#This Row],[Plat Bonus]],TblPop[[#This Row],[Peasants]]*4) + SUM(TblConstr[[#This Row],[Dest Hom]:[Dest Doc]])*TblConstr[[#This Row],[CPA Platinum -DB]]*tech_3_3_2*TblTech[[#This Row],[3-3]]</f>
        <v>817600</v>
      </c>
      <c r="I131" s="96">
        <f ca="1">OFFSET(TblProd[[#This Row],[Food]],-1,0)+OFFSET(TblProd[[#This Row],[Food/hr]],-1,0)+ROUNDUP((TblConstr[[#This Row],[Farms]]*80+TblConstr[[#This Row],[Docks]]*35)*(1+OFFSET(TblProd[[#This Row],[Bonus Food/hr]],-1,0)),0)</f>
        <v>148218</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5486</v>
      </c>
      <c r="T131" s="96">
        <f ca="1">ROUND(TblProd[[#This Row],[Raw Food/hr]]*(1+TblProd[[#This Row],[Bonus Food/hr]])-TblProd[[#This Row],[Food decay]]-TblProd[[#This Row],[Food eaten]],0)</f>
        <v>508</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5486.4000000000005</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1482.18</v>
      </c>
      <c r="AP131" s="96">
        <f ca="1">(1+race_food_consumption)*TblPop[[#This Row],[Total]]*food_per_person*(1+tech_1_10*TblTech[[#This Row],[1-10]]+tech_7_5*TblTech[[#This Row],[7-5]] + IF(TblMagic[[#This Row],[Active Demonic Pact]]&gt;0,demonic_pact_food_cons,0))</f>
        <v>589.5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56</v>
      </c>
      <c r="BC131" s="160">
        <f>-TblProd[[#This Row],[Bank Lumber]] / 2 + -TblProd[[#This Row],[Bank Gems]] * 2 + -TblProd[[#This Row],[Bank Ore]] / 2</f>
        <v>0</v>
      </c>
      <c r="BD131" s="160"/>
      <c r="BE131" s="160"/>
      <c r="BF131" s="160"/>
      <c r="BG131" s="161">
        <f ca="1">TblProd[[#This Row],[Time]]</f>
        <v>45737.291666666359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817600</v>
      </c>
      <c r="BJ131" s="96">
        <f ca="1">TblProd[[#This Row],[Food]]</f>
        <v>148218</v>
      </c>
      <c r="BK131" s="96">
        <f ca="1">TblProd[[#This Row],[Lumber]]</f>
        <v>76279</v>
      </c>
      <c r="BL131" s="96">
        <f ca="1">TblProd[[#This Row],[Mana]]</f>
        <v>0</v>
      </c>
      <c r="BM131" s="96">
        <f ca="1">TblProd[[#This Row],[Ore]]</f>
        <v>0</v>
      </c>
    </row>
    <row r="132" spans="1:65" x14ac:dyDescent="0.2">
      <c r="A132" s="139">
        <v>57</v>
      </c>
      <c r="B132" s="154">
        <f ca="1">TblImps[[#This Row],[Time]]</f>
        <v>45737.333333333023</v>
      </c>
      <c r="C132" s="155"/>
      <c r="D132" s="156"/>
      <c r="E132" s="96">
        <f ca="1">TblConstr[[#This Row],[Land]]</f>
        <v>250</v>
      </c>
      <c r="F132" s="96">
        <f ca="1">TblPop[[#This Row],[Peasants]]</f>
        <v>1532</v>
      </c>
      <c r="G132" s="96">
        <f ca="1">TblMili[[#This Row],[Networth (2)]]</f>
        <v>6450</v>
      </c>
      <c r="H132" s="96">
        <f ca="1">OFFSET(TblProd[[#This Row],[Platinum]],-1,0)+OFFSET(TblProd[[#This Row],[Plat/hr]],-1,0) - TblProd[[#This Row],[Expenses Platinum]] + IF(TblProd[[#This Row],[Plat Bonus]],TblPop[[#This Row],[Peasants]]*4) + SUM(TblConstr[[#This Row],[Dest Hom]:[Dest Doc]])*TblConstr[[#This Row],[CPA Platinum -DB]]*tech_3_3_2*TblTech[[#This Row],[3-3]]</f>
        <v>823086</v>
      </c>
      <c r="I132" s="96">
        <f ca="1">OFFSET(TblProd[[#This Row],[Food]],-1,0)+OFFSET(TblProd[[#This Row],[Food/hr]],-1,0)+ROUNDUP((TblConstr[[#This Row],[Farms]]*80+TblConstr[[#This Row],[Docks]]*35)*(1+OFFSET(TblProd[[#This Row],[Bonus Food/hr]],-1,0)),0)</f>
        <v>148726</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5486</v>
      </c>
      <c r="T132" s="96">
        <f ca="1">ROUND(TblProd[[#This Row],[Raw Food/hr]]*(1+TblProd[[#This Row],[Bonus Food/hr]])-TblProd[[#This Row],[Food decay]]-TblProd[[#This Row],[Food eaten]],0)</f>
        <v>503</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5486.4000000000005</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1487.26</v>
      </c>
      <c r="AP132" s="96">
        <f ca="1">(1+race_food_consumption)*TblPop[[#This Row],[Total]]*food_per_person*(1+tech_1_10*TblTech[[#This Row],[1-10]]+tech_7_5*TblTech[[#This Row],[7-5]] + IF(TblMagic[[#This Row],[Active Demonic Pact]]&gt;0,demonic_pact_food_cons,0))</f>
        <v>589.5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57</v>
      </c>
      <c r="BC132" s="160">
        <f>-TblProd[[#This Row],[Bank Lumber]] / 2 + -TblProd[[#This Row],[Bank Gems]] * 2 + -TblProd[[#This Row],[Bank Ore]] / 2</f>
        <v>0</v>
      </c>
      <c r="BD132" s="160"/>
      <c r="BE132" s="160"/>
      <c r="BF132" s="160"/>
      <c r="BG132" s="161">
        <f ca="1">TblProd[[#This Row],[Time]]</f>
        <v>45737.333333333023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823086</v>
      </c>
      <c r="BJ132" s="96">
        <f ca="1">TblProd[[#This Row],[Food]]</f>
        <v>148726</v>
      </c>
      <c r="BK132" s="96">
        <f ca="1">TblProd[[#This Row],[Lumber]]</f>
        <v>76516</v>
      </c>
      <c r="BL132" s="96">
        <f ca="1">TblProd[[#This Row],[Mana]]</f>
        <v>0</v>
      </c>
      <c r="BM132" s="96">
        <f ca="1">TblProd[[#This Row],[Ore]]</f>
        <v>0</v>
      </c>
    </row>
    <row r="133" spans="1:65" x14ac:dyDescent="0.2">
      <c r="A133" s="139">
        <v>58</v>
      </c>
      <c r="B133" s="154">
        <f ca="1">TblImps[[#This Row],[Time]]</f>
        <v>45737.374999999687</v>
      </c>
      <c r="C133" s="155"/>
      <c r="D133" s="156"/>
      <c r="E133" s="96">
        <f ca="1">TblConstr[[#This Row],[Land]]</f>
        <v>250</v>
      </c>
      <c r="F133" s="96">
        <f ca="1">TblPop[[#This Row],[Peasants]]</f>
        <v>1532</v>
      </c>
      <c r="G133" s="96">
        <f ca="1">TblMili[[#This Row],[Networth (2)]]</f>
        <v>6450</v>
      </c>
      <c r="H133" s="96">
        <f ca="1">OFFSET(TblProd[[#This Row],[Platinum]],-1,0)+OFFSET(TblProd[[#This Row],[Plat/hr]],-1,0) - TblProd[[#This Row],[Expenses Platinum]] + IF(TblProd[[#This Row],[Plat Bonus]],TblPop[[#This Row],[Peasants]]*4) + SUM(TblConstr[[#This Row],[Dest Hom]:[Dest Doc]])*TblConstr[[#This Row],[CPA Platinum -DB]]*tech_3_3_2*TblTech[[#This Row],[3-3]]</f>
        <v>828572</v>
      </c>
      <c r="I133" s="96">
        <f ca="1">OFFSET(TblProd[[#This Row],[Food]],-1,0)+OFFSET(TblProd[[#This Row],[Food/hr]],-1,0)+ROUNDUP((TblConstr[[#This Row],[Farms]]*80+TblConstr[[#This Row],[Docks]]*35)*(1+OFFSET(TblProd[[#This Row],[Bonus Food/hr]],-1,0)),0)</f>
        <v>149229</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5486</v>
      </c>
      <c r="T133" s="96">
        <f ca="1">ROUND(TblProd[[#This Row],[Raw Food/hr]]*(1+TblProd[[#This Row],[Bonus Food/hr]])-TblProd[[#This Row],[Food decay]]-TblProd[[#This Row],[Food eaten]],0)</f>
        <v>498</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5486.4000000000005</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1492.29</v>
      </c>
      <c r="AP133" s="96">
        <f ca="1">(1+race_food_consumption)*TblPop[[#This Row],[Total]]*food_per_person*(1+tech_1_10*TblTech[[#This Row],[1-10]]+tech_7_5*TblTech[[#This Row],[7-5]] + IF(TblMagic[[#This Row],[Active Demonic Pact]]&gt;0,demonic_pact_food_cons,0))</f>
        <v>589.5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58</v>
      </c>
      <c r="BC133" s="160">
        <f>-TblProd[[#This Row],[Bank Lumber]] / 2 + -TblProd[[#This Row],[Bank Gems]] * 2 + -TblProd[[#This Row],[Bank Ore]] / 2</f>
        <v>0</v>
      </c>
      <c r="BD133" s="160"/>
      <c r="BE133" s="160"/>
      <c r="BF133" s="160"/>
      <c r="BG133" s="161">
        <f ca="1">TblProd[[#This Row],[Time]]</f>
        <v>45737.374999999687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828572</v>
      </c>
      <c r="BJ133" s="96">
        <f ca="1">TblProd[[#This Row],[Food]]</f>
        <v>149229</v>
      </c>
      <c r="BK133" s="96">
        <f ca="1">TblProd[[#This Row],[Lumber]]</f>
        <v>76751</v>
      </c>
      <c r="BL133" s="96">
        <f ca="1">TblProd[[#This Row],[Mana]]</f>
        <v>0</v>
      </c>
      <c r="BM133" s="96">
        <f ca="1">TblProd[[#This Row],[Ore]]</f>
        <v>0</v>
      </c>
    </row>
    <row r="134" spans="1:65" x14ac:dyDescent="0.2">
      <c r="A134" s="139">
        <v>59</v>
      </c>
      <c r="B134" s="154">
        <f ca="1">TblImps[[#This Row],[Time]]</f>
        <v>45737.416666666351</v>
      </c>
      <c r="C134" s="155"/>
      <c r="D134" s="156"/>
      <c r="E134" s="96">
        <f ca="1">TblConstr[[#This Row],[Land]]</f>
        <v>250</v>
      </c>
      <c r="F134" s="96">
        <f ca="1">TblPop[[#This Row],[Peasants]]</f>
        <v>1532</v>
      </c>
      <c r="G134" s="96">
        <f ca="1">TblMili[[#This Row],[Networth (2)]]</f>
        <v>6450</v>
      </c>
      <c r="H134" s="96">
        <f ca="1">OFFSET(TblProd[[#This Row],[Platinum]],-1,0)+OFFSET(TblProd[[#This Row],[Plat/hr]],-1,0) - TblProd[[#This Row],[Expenses Platinum]] + IF(TblProd[[#This Row],[Plat Bonus]],TblPop[[#This Row],[Peasants]]*4) + SUM(TblConstr[[#This Row],[Dest Hom]:[Dest Doc]])*TblConstr[[#This Row],[CPA Platinum -DB]]*tech_3_3_2*TblTech[[#This Row],[3-3]]</f>
        <v>834058</v>
      </c>
      <c r="I134" s="96">
        <f ca="1">OFFSET(TblProd[[#This Row],[Food]],-1,0)+OFFSET(TblProd[[#This Row],[Food/hr]],-1,0)+ROUNDUP((TblConstr[[#This Row],[Farms]]*80+TblConstr[[#This Row],[Docks]]*35)*(1+OFFSET(TblProd[[#This Row],[Bonus Food/hr]],-1,0)),0)</f>
        <v>149727</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5486</v>
      </c>
      <c r="T134" s="96">
        <f ca="1">ROUND(TblProd[[#This Row],[Raw Food/hr]]*(1+TblProd[[#This Row],[Bonus Food/hr]])-TblProd[[#This Row],[Food decay]]-TblProd[[#This Row],[Food eaten]],0)</f>
        <v>493</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5486.4000000000005</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1497.27</v>
      </c>
      <c r="AP134" s="96">
        <f ca="1">(1+race_food_consumption)*TblPop[[#This Row],[Total]]*food_per_person*(1+tech_1_10*TblTech[[#This Row],[1-10]]+tech_7_5*TblTech[[#This Row],[7-5]] + IF(TblMagic[[#This Row],[Active Demonic Pact]]&gt;0,demonic_pact_food_cons,0))</f>
        <v>589.5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59</v>
      </c>
      <c r="BC134" s="160">
        <f>-TblProd[[#This Row],[Bank Lumber]] / 2 + -TblProd[[#This Row],[Bank Gems]] * 2 + -TblProd[[#This Row],[Bank Ore]] / 2</f>
        <v>0</v>
      </c>
      <c r="BD134" s="160"/>
      <c r="BE134" s="160"/>
      <c r="BF134" s="160"/>
      <c r="BG134" s="161">
        <f ca="1">TblProd[[#This Row],[Time]]</f>
        <v>45737.416666666351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834058</v>
      </c>
      <c r="BJ134" s="96">
        <f ca="1">TblProd[[#This Row],[Food]]</f>
        <v>149727</v>
      </c>
      <c r="BK134" s="96">
        <f ca="1">TblProd[[#This Row],[Lumber]]</f>
        <v>76983</v>
      </c>
      <c r="BL134" s="96">
        <f ca="1">TblProd[[#This Row],[Mana]]</f>
        <v>0</v>
      </c>
      <c r="BM134" s="96">
        <f ca="1">TblProd[[#This Row],[Ore]]</f>
        <v>0</v>
      </c>
    </row>
    <row r="135" spans="1:65" x14ac:dyDescent="0.2">
      <c r="A135" s="139">
        <v>60</v>
      </c>
      <c r="B135" s="154">
        <f ca="1">TblImps[[#This Row],[Time]]</f>
        <v>45737.458333333016</v>
      </c>
      <c r="C135" s="155"/>
      <c r="D135" s="156"/>
      <c r="E135" s="96">
        <f ca="1">TblConstr[[#This Row],[Land]]</f>
        <v>250</v>
      </c>
      <c r="F135" s="96">
        <f ca="1">TblPop[[#This Row],[Peasants]]</f>
        <v>1532</v>
      </c>
      <c r="G135" s="96">
        <f ca="1">TblMili[[#This Row],[Networth (2)]]</f>
        <v>6450</v>
      </c>
      <c r="H135" s="96">
        <f ca="1">OFFSET(TblProd[[#This Row],[Platinum]],-1,0)+OFFSET(TblProd[[#This Row],[Plat/hr]],-1,0) - TblProd[[#This Row],[Expenses Platinum]] + IF(TblProd[[#This Row],[Plat Bonus]],TblPop[[#This Row],[Peasants]]*4) + SUM(TblConstr[[#This Row],[Dest Hom]:[Dest Doc]])*TblConstr[[#This Row],[CPA Platinum -DB]]*tech_3_3_2*TblTech[[#This Row],[3-3]]</f>
        <v>839544</v>
      </c>
      <c r="I135" s="96">
        <f ca="1">OFFSET(TblProd[[#This Row],[Food]],-1,0)+OFFSET(TblProd[[#This Row],[Food/hr]],-1,0)+ROUNDUP((TblConstr[[#This Row],[Farms]]*80+TblConstr[[#This Row],[Docks]]*35)*(1+OFFSET(TblProd[[#This Row],[Bonus Food/hr]],-1,0)),0)</f>
        <v>150220</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5486</v>
      </c>
      <c r="T135" s="96">
        <f ca="1">ROUND(TblProd[[#This Row],[Raw Food/hr]]*(1+TblProd[[#This Row],[Bonus Food/hr]])-TblProd[[#This Row],[Food decay]]-TblProd[[#This Row],[Food eaten]],0)</f>
        <v>488</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5486.4000000000005</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1502.2</v>
      </c>
      <c r="AP135" s="96">
        <f ca="1">(1+race_food_consumption)*TblPop[[#This Row],[Total]]*food_per_person*(1+tech_1_10*TblTech[[#This Row],[1-10]]+tech_7_5*TblTech[[#This Row],[7-5]] + IF(TblMagic[[#This Row],[Active Demonic Pact]]&gt;0,demonic_pact_food_cons,0))</f>
        <v>589.5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60</v>
      </c>
      <c r="BC135" s="160">
        <f>-TblProd[[#This Row],[Bank Lumber]] / 2 + -TblProd[[#This Row],[Bank Gems]] * 2 + -TblProd[[#This Row],[Bank Ore]] / 2</f>
        <v>0</v>
      </c>
      <c r="BD135" s="160"/>
      <c r="BE135" s="160"/>
      <c r="BF135" s="160"/>
      <c r="BG135" s="161">
        <f ca="1">TblProd[[#This Row],[Time]]</f>
        <v>45737.458333333016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839544</v>
      </c>
      <c r="BJ135" s="96">
        <f ca="1">TblProd[[#This Row],[Food]]</f>
        <v>150220</v>
      </c>
      <c r="BK135" s="96">
        <f ca="1">TblProd[[#This Row],[Lumber]]</f>
        <v>77213</v>
      </c>
      <c r="BL135" s="96">
        <f ca="1">TblProd[[#This Row],[Mana]]</f>
        <v>0</v>
      </c>
      <c r="BM135" s="96">
        <f ca="1">TblProd[[#This Row],[Ore]]</f>
        <v>0</v>
      </c>
    </row>
    <row r="136" spans="1:65" x14ac:dyDescent="0.2">
      <c r="A136" s="139">
        <v>61</v>
      </c>
      <c r="B136" s="154">
        <f ca="1">TblImps[[#This Row],[Time]]</f>
        <v>45737.49999999968</v>
      </c>
      <c r="C136" s="155"/>
      <c r="D136" s="156"/>
      <c r="E136" s="96">
        <f ca="1">TblConstr[[#This Row],[Land]]</f>
        <v>250</v>
      </c>
      <c r="F136" s="96">
        <f ca="1">TblPop[[#This Row],[Peasants]]</f>
        <v>1532</v>
      </c>
      <c r="G136" s="96">
        <f ca="1">TblMili[[#This Row],[Networth (2)]]</f>
        <v>6450</v>
      </c>
      <c r="H136" s="96">
        <f ca="1">OFFSET(TblProd[[#This Row],[Platinum]],-1,0)+OFFSET(TblProd[[#This Row],[Plat/hr]],-1,0) - TblProd[[#This Row],[Expenses Platinum]] + IF(TblProd[[#This Row],[Plat Bonus]],TblPop[[#This Row],[Peasants]]*4) + SUM(TblConstr[[#This Row],[Dest Hom]:[Dest Doc]])*TblConstr[[#This Row],[CPA Platinum -DB]]*tech_3_3_2*TblTech[[#This Row],[3-3]]</f>
        <v>845030</v>
      </c>
      <c r="I136" s="96">
        <f ca="1">OFFSET(TblProd[[#This Row],[Food]],-1,0)+OFFSET(TblProd[[#This Row],[Food/hr]],-1,0)+ROUNDUP((TblConstr[[#This Row],[Farms]]*80+TblConstr[[#This Row],[Docks]]*35)*(1+OFFSET(TblProd[[#This Row],[Bonus Food/hr]],-1,0)),0)</f>
        <v>150708</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483</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1507.08</v>
      </c>
      <c r="AP136" s="96">
        <f ca="1">(1+race_food_consumption)*TblPop[[#This Row],[Total]]*food_per_person*(1+tech_1_10*TblTech[[#This Row],[1-10]]+tech_7_5*TblTech[[#This Row],[7-5]] + IF(TblMagic[[#This Row],[Active Demonic Pact]]&gt;0,demonic_pact_food_cons,0))</f>
        <v>589.5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61</v>
      </c>
      <c r="BC136" s="160">
        <f>-TblProd[[#This Row],[Bank Lumber]] / 2 + -TblProd[[#This Row],[Bank Gems]] * 2 + -TblProd[[#This Row],[Bank Ore]] / 2</f>
        <v>0</v>
      </c>
      <c r="BD136" s="160"/>
      <c r="BE136" s="160"/>
      <c r="BF136" s="160"/>
      <c r="BG136" s="161">
        <f ca="1">TblProd[[#This Row],[Time]]</f>
        <v>45737.49999999968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845030</v>
      </c>
      <c r="BJ136" s="96">
        <f ca="1">TblProd[[#This Row],[Food]]</f>
        <v>150708</v>
      </c>
      <c r="BK136" s="96">
        <f ca="1">TblProd[[#This Row],[Lumber]]</f>
        <v>77441</v>
      </c>
      <c r="BL136" s="96">
        <f ca="1">TblProd[[#This Row],[Mana]]</f>
        <v>0</v>
      </c>
      <c r="BM136" s="96">
        <f ca="1">TblProd[[#This Row],[Ore]]</f>
        <v>0</v>
      </c>
    </row>
    <row r="1269" spans="3:12" x14ac:dyDescent="0.2">
      <c r="C1269" s="500" t="s">
        <v>314</v>
      </c>
      <c r="D1269" s="453"/>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10"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03" t="s">
        <v>56</v>
      </c>
      <c r="P1" s="503"/>
      <c r="Q1" s="453"/>
      <c r="R1" s="5"/>
      <c r="S1" s="5"/>
      <c r="T1" s="5"/>
      <c r="U1" s="5"/>
      <c r="V1" s="5"/>
      <c r="W1" s="5"/>
      <c r="X1" s="5"/>
      <c r="Y1" s="5"/>
      <c r="Z1" s="5"/>
      <c r="AA1" s="5"/>
      <c r="AB1" s="5"/>
      <c r="AC1" s="5"/>
      <c r="AD1" s="5"/>
      <c r="AE1" s="5"/>
      <c r="AF1" s="5"/>
      <c r="AG1" s="5"/>
      <c r="AH1" s="5"/>
      <c r="AI1" s="176" t="s">
        <v>513</v>
      </c>
      <c r="AJ1" s="176" t="s">
        <v>516</v>
      </c>
      <c r="AK1" s="503" t="s">
        <v>77</v>
      </c>
      <c r="AL1" s="503"/>
      <c r="AM1" s="501" t="s">
        <v>514</v>
      </c>
      <c r="AN1" s="501"/>
      <c r="AO1" s="501" t="s">
        <v>515</v>
      </c>
      <c r="AP1" s="501"/>
      <c r="AQ1" s="501" t="s">
        <v>512</v>
      </c>
      <c r="AR1" s="501"/>
      <c r="AS1" s="5"/>
      <c r="AT1" s="5"/>
      <c r="AU1" s="5"/>
      <c r="AV1" s="5" t="s">
        <v>511</v>
      </c>
      <c r="AW1" s="5"/>
      <c r="AX1" s="5"/>
      <c r="AY1" s="501" t="s">
        <v>53</v>
      </c>
      <c r="AZ1" s="501"/>
      <c r="BA1" s="501"/>
      <c r="BB1" s="28"/>
      <c r="BC1" s="28"/>
      <c r="BD1" s="28"/>
      <c r="BE1" s="28"/>
      <c r="BF1" s="28"/>
      <c r="BG1" s="28"/>
      <c r="BH1" s="28"/>
      <c r="BI1" s="28"/>
      <c r="BJ1" s="28"/>
      <c r="BK1" s="28"/>
      <c r="BL1" s="28"/>
      <c r="BM1" s="28"/>
      <c r="BN1" s="28"/>
      <c r="BO1" s="28"/>
      <c r="BP1" s="28"/>
      <c r="BQ1" s="28"/>
      <c r="BR1" s="5"/>
      <c r="BS1" s="5"/>
      <c r="BT1" s="5"/>
      <c r="BU1" s="5"/>
      <c r="BV1" s="5"/>
      <c r="BW1" s="503" t="s">
        <v>84</v>
      </c>
      <c r="BX1" s="503"/>
      <c r="BY1" s="5"/>
      <c r="BZ1" s="5"/>
      <c r="CA1" s="5"/>
      <c r="CB1" s="5"/>
      <c r="CC1" s="5"/>
      <c r="CD1" s="5"/>
      <c r="CE1" s="5"/>
      <c r="CF1" s="5"/>
      <c r="CG1" s="5"/>
      <c r="CH1" s="5"/>
      <c r="CI1" s="5"/>
      <c r="CJ1" s="5"/>
      <c r="CK1" s="5"/>
      <c r="CL1" s="5"/>
      <c r="CM1" s="5"/>
      <c r="CN1" s="5"/>
      <c r="CO1" s="5"/>
      <c r="CP1" s="5"/>
      <c r="CQ1" s="501" t="s">
        <v>18</v>
      </c>
      <c r="CR1" s="501"/>
      <c r="CS1" s="28"/>
      <c r="CT1" s="28"/>
      <c r="CU1" s="28"/>
      <c r="CV1" s="28"/>
      <c r="CW1" s="28"/>
      <c r="CX1" s="5"/>
      <c r="CY1" s="5"/>
      <c r="CZ1" s="503" t="s">
        <v>293</v>
      </c>
      <c r="DA1" s="503"/>
      <c r="DB1" s="503"/>
      <c r="DC1" s="503"/>
      <c r="DD1" s="503"/>
      <c r="DE1" s="5"/>
      <c r="DF1" s="5"/>
      <c r="DG1" s="503" t="s">
        <v>257</v>
      </c>
      <c r="DH1" s="503"/>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997</v>
      </c>
      <c r="E3" s="137" t="s">
        <v>769</v>
      </c>
      <c r="F3" s="137" t="s">
        <v>1</v>
      </c>
      <c r="G3" s="172" t="s">
        <v>243</v>
      </c>
      <c r="H3" s="137" t="s">
        <v>58</v>
      </c>
      <c r="I3" s="137" t="s">
        <v>245</v>
      </c>
      <c r="J3" s="137" t="s">
        <v>244</v>
      </c>
      <c r="K3" s="137" t="s">
        <v>60</v>
      </c>
      <c r="L3" s="137" t="s">
        <v>242</v>
      </c>
      <c r="M3" s="137" t="s">
        <v>62</v>
      </c>
      <c r="N3" s="137" t="s">
        <v>1041</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810</v>
      </c>
      <c r="AJ3" s="137" t="s">
        <v>811</v>
      </c>
      <c r="AK3" s="137" t="s">
        <v>2</v>
      </c>
      <c r="AL3" s="137" t="s">
        <v>7</v>
      </c>
      <c r="AM3" s="137" t="s">
        <v>806</v>
      </c>
      <c r="AN3" s="137" t="s">
        <v>807</v>
      </c>
      <c r="AO3" s="137" t="s">
        <v>808</v>
      </c>
      <c r="AP3" s="137" t="s">
        <v>809</v>
      </c>
      <c r="AQ3" s="137" t="s">
        <v>1029</v>
      </c>
      <c r="AR3" s="137" t="s">
        <v>1030</v>
      </c>
      <c r="AS3" s="137" t="s">
        <v>517</v>
      </c>
      <c r="AT3" s="137" t="s">
        <v>518</v>
      </c>
      <c r="AU3" s="137" t="s">
        <v>770</v>
      </c>
      <c r="AV3" s="137" t="s">
        <v>812</v>
      </c>
      <c r="AW3" s="137" t="s">
        <v>813</v>
      </c>
      <c r="AX3" s="137" t="s">
        <v>771</v>
      </c>
      <c r="AY3" s="172" t="s">
        <v>814</v>
      </c>
      <c r="AZ3" s="137" t="s">
        <v>815</v>
      </c>
      <c r="BA3" s="137" t="s">
        <v>816</v>
      </c>
      <c r="BB3" s="137" t="s">
        <v>817</v>
      </c>
      <c r="BC3" s="137" t="s">
        <v>818</v>
      </c>
      <c r="BD3" s="137" t="s">
        <v>819</v>
      </c>
      <c r="BE3" s="137" t="s">
        <v>820</v>
      </c>
      <c r="BF3" s="137" t="s">
        <v>821</v>
      </c>
      <c r="BG3" s="137" t="s">
        <v>822</v>
      </c>
      <c r="BH3" s="137" t="s">
        <v>823</v>
      </c>
      <c r="BI3" s="137" t="s">
        <v>824</v>
      </c>
      <c r="BJ3" s="137" t="s">
        <v>825</v>
      </c>
      <c r="BK3" s="137" t="s">
        <v>826</v>
      </c>
      <c r="BL3" s="137" t="s">
        <v>827</v>
      </c>
      <c r="BM3" s="137" t="s">
        <v>828</v>
      </c>
      <c r="BN3" s="137" t="s">
        <v>829</v>
      </c>
      <c r="BO3" s="137" t="s">
        <v>830</v>
      </c>
      <c r="BP3" s="137" t="s">
        <v>831</v>
      </c>
      <c r="BQ3" s="174" t="s">
        <v>832</v>
      </c>
      <c r="BR3" s="137" t="s">
        <v>785</v>
      </c>
      <c r="BS3" s="137" t="s">
        <v>786</v>
      </c>
      <c r="BT3" s="137" t="s">
        <v>877</v>
      </c>
      <c r="BU3" s="137" t="s">
        <v>855</v>
      </c>
      <c r="BV3" s="137" t="s">
        <v>787</v>
      </c>
      <c r="BW3" s="137" t="s">
        <v>1012</v>
      </c>
      <c r="BX3" s="137" t="s">
        <v>897</v>
      </c>
      <c r="BY3" s="137" t="s">
        <v>898</v>
      </c>
      <c r="BZ3" s="137" t="s">
        <v>899</v>
      </c>
      <c r="CA3" s="137" t="s">
        <v>900</v>
      </c>
      <c r="CB3" s="137" t="s">
        <v>901</v>
      </c>
      <c r="CC3" s="137" t="s">
        <v>902</v>
      </c>
      <c r="CD3" s="137" t="s">
        <v>903</v>
      </c>
      <c r="CE3" s="137" t="s">
        <v>904</v>
      </c>
      <c r="CF3" s="137" t="s">
        <v>905</v>
      </c>
      <c r="CG3" s="137" t="s">
        <v>906</v>
      </c>
      <c r="CH3" s="137" t="s">
        <v>907</v>
      </c>
      <c r="CI3" s="137" t="s">
        <v>908</v>
      </c>
      <c r="CJ3" s="137" t="s">
        <v>909</v>
      </c>
      <c r="CK3" s="137" t="s">
        <v>910</v>
      </c>
      <c r="CL3" s="137" t="s">
        <v>911</v>
      </c>
      <c r="CM3" s="137" t="s">
        <v>912</v>
      </c>
      <c r="CN3" s="137" t="s">
        <v>913</v>
      </c>
      <c r="CO3" s="137" t="s">
        <v>914</v>
      </c>
      <c r="CP3" s="137" t="s">
        <v>861</v>
      </c>
      <c r="CQ3" s="137" t="s">
        <v>798</v>
      </c>
      <c r="CR3" s="137" t="s">
        <v>799</v>
      </c>
      <c r="CS3" s="137" t="s">
        <v>800</v>
      </c>
      <c r="CT3" s="137" t="s">
        <v>801</v>
      </c>
      <c r="CU3" s="137" t="s">
        <v>802</v>
      </c>
      <c r="CV3" s="137" t="s">
        <v>803</v>
      </c>
      <c r="CW3" s="137" t="s">
        <v>804</v>
      </c>
      <c r="CX3" s="137" t="s">
        <v>257</v>
      </c>
      <c r="CY3" s="137" t="s">
        <v>862</v>
      </c>
      <c r="CZ3" s="137" t="s">
        <v>866</v>
      </c>
      <c r="DA3" s="137" t="s">
        <v>867</v>
      </c>
      <c r="DB3" s="137" t="s">
        <v>868</v>
      </c>
      <c r="DC3" s="137" t="s">
        <v>869</v>
      </c>
      <c r="DD3" s="137" t="s">
        <v>870</v>
      </c>
      <c r="DE3" s="137" t="s">
        <v>871</v>
      </c>
      <c r="DF3" s="137" t="s">
        <v>872</v>
      </c>
      <c r="DG3" s="137" t="s">
        <v>805</v>
      </c>
      <c r="DH3" s="137" t="s">
        <v>294</v>
      </c>
      <c r="DI3" s="137" t="s">
        <v>532</v>
      </c>
      <c r="DJ3" s="137" t="s">
        <v>533</v>
      </c>
    </row>
    <row r="4" spans="1:114" x14ac:dyDescent="0.2">
      <c r="A4" s="177">
        <f>TblRezone[[#This Row],[Hour]]</f>
        <v>1</v>
      </c>
      <c r="B4" s="178">
        <f ca="1">SUM(TblConstr[[#This Row],[Plain]:[Water]])</f>
        <v>160</v>
      </c>
      <c r="C4" s="179">
        <f>SUM(TblConstr[[#This Row],[Tot Hom]:[Tot Doc]])</f>
        <v>90</v>
      </c>
      <c r="D4" s="179">
        <f>SUM(TblConstr[[#This Row],[Hom]:[Doc]])</f>
        <v>0</v>
      </c>
      <c r="E4" s="180"/>
      <c r="F4" s="61">
        <f ca="1">TblConstr[[#This Row],[Barren]]+TblConstr[[#This Row],[Buildings]]+TblConstr[[#This Row],[Incoming]]</f>
        <v>250</v>
      </c>
      <c r="G4" s="405">
        <f ca="1">start_plains+TblConstr[[#This Row],[Ch_Plain]]</f>
        <v>40</v>
      </c>
      <c r="H4" s="406">
        <f ca="1">start_forest+TblConstr[[#This Row],[Ch_Forest]]</f>
        <v>20</v>
      </c>
      <c r="I4" s="407">
        <f ca="1">start_mountains+TblConstr[[#This Row],[Ch_Mountain]]</f>
        <v>20</v>
      </c>
      <c r="J4" s="408">
        <f ca="1">start_hills+TblConstr[[#This Row],[Ch_Hill]]</f>
        <v>20</v>
      </c>
      <c r="K4" s="409">
        <f ca="1">start_swamp+TblConstr[[#This Row],[Ch_Swamp]]</f>
        <v>20</v>
      </c>
      <c r="L4" s="410">
        <f ca="1">start_caverns+TblConstr[[#This Row],[Ch_Cavern]]</f>
        <v>20</v>
      </c>
      <c r="M4" s="411">
        <f ca="1">start_water+TblConstr[[#This Row],[Ch_Water]]</f>
        <v>20</v>
      </c>
      <c r="N4" s="382">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45732</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6">
        <f ca="1">ROUNDDOWN( MAX(1 - MIN(facs_constr_factor*TblConstr[[#This Row],[Facs -DB]],facs_constr_max) + tech_1_11*TblTech[[#This Row],[11-1]] + tech_6_3_2*TblTech[[#This Row],[6-3]] + tech_5_2_3*TblTech[[#This Row],[5-2]], 1-global_constr_cap) * TblConstr[[#This Row],[RCPA Lumber]],0)</f>
        <v>88</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6">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2">
        <f ca="1">SUM($O4:$AG4)*AN4</f>
        <v>0</v>
      </c>
      <c r="AS4" s="403">
        <f>MIN(SUM(Constants!A30:G30)+SUM(TblConstr[[#This Row],[Dest Hom]:[Dest Doc]]),SUM(TblConstr[[#This Row],[Hom]:[Doc]]))</f>
        <v>0</v>
      </c>
      <c r="AT4" s="412">
        <f>IF(TblExplore[[#This Row],[Land Bonus]]&lt;&gt;0,MAX(0, MIN(20, 20 + SUM(TblConstr[[#This Row],[Hom]:[Doc]]) - SUM(TblConstr[[#This Row],[Dest Hom]:[Dest Doc]]) - SUM(Constants!A$30:G$30)-20*TblExplore[[#This Row],[Land Bonus]])),0)</f>
        <v>0</v>
      </c>
      <c r="AU4" s="144"/>
      <c r="AV4" s="96">
        <f ca="1">ROUND((TblConstr[[#This Row],[Land]]-250 - IF(TblExplore[[#This Row],[Land Bonus]]&lt;&gt;0,20,0))*1.25 + 850 + 0,0)</f>
        <v>850</v>
      </c>
      <c r="AW4" s="96">
        <f ca="1">ROUND((TblConstr[[#This Row],[Land]]-250 - IF(TblExplore[[#This Row],[Land Bonus]]&lt;&gt;0,20,0))*0.285 + 87.5 + 0/4.25,0)</f>
        <v>88</v>
      </c>
      <c r="AX4" s="156"/>
      <c r="AY4" s="413">
        <f>start_homes-TblConstr[[#This Row],[Dest Hom]]</f>
        <v>10</v>
      </c>
      <c r="AZ4" s="414">
        <f>start_alchs-TblConstr[[#This Row],[Dest Alc]]</f>
        <v>30</v>
      </c>
      <c r="BA4" s="414">
        <f>start_farms-TblConstr[[#This Row],[Dest Farm]]</f>
        <v>30</v>
      </c>
      <c r="BB4" s="414">
        <f>start_smithies-TblConstr[[#This Row],[Dest Smi]]</f>
        <v>0</v>
      </c>
      <c r="BC4" s="414">
        <f>start_masons-TblConstr[[#This Row],[Dest Mas]]</f>
        <v>0</v>
      </c>
      <c r="BD4" s="415">
        <f>start_ly-TblConstr[[#This Row],[Dest Ly]]</f>
        <v>20</v>
      </c>
      <c r="BE4" s="415">
        <f>start_havens-TblConstr[[#This Row],[Dest Hav]]</f>
        <v>0</v>
      </c>
      <c r="BF4" s="416">
        <f>start_om-TblConstr[[#This Row],[Dest OM]]</f>
        <v>0</v>
      </c>
      <c r="BG4" s="416">
        <f>start_gn-TblConstr[[#This Row],[Dest GN]]</f>
        <v>0</v>
      </c>
      <c r="BH4" s="417">
        <f>start_facs-TblConstr[[#This Row],[Dest Fac]]</f>
        <v>0</v>
      </c>
      <c r="BI4" s="417">
        <f>start_gt-TblConstr[[#This Row],[Dest GT]]</f>
        <v>0</v>
      </c>
      <c r="BJ4" s="417">
        <f>start_rax-TblConstr[[#This Row],[Dest Bar]]</f>
        <v>0</v>
      </c>
      <c r="BK4" s="417">
        <f>start_shrines-TblConstr[[#This Row],[Dest Shr]]</f>
        <v>0</v>
      </c>
      <c r="BL4" s="418">
        <f>start_towers-TblConstr[[#This Row],[Dest Tow]]</f>
        <v>0</v>
      </c>
      <c r="BM4" s="418">
        <f>start_temples-TblConstr[[#This Row],[Dest Tem]]</f>
        <v>0</v>
      </c>
      <c r="BN4" s="418">
        <f>start_temples-TblConstr[[#This Row],[Dest WG]]</f>
        <v>0</v>
      </c>
      <c r="BO4" s="419">
        <f>start_dm-TblConstr[[#This Row],[Dest DM]]</f>
        <v>0</v>
      </c>
      <c r="BP4" s="419">
        <f>start_schools-TblConstr[[#This Row],[Dest Sch]]</f>
        <v>0</v>
      </c>
      <c r="BQ4" s="420">
        <f>start_docks-TblConstr[[#This Row],[Dest Doc]]</f>
        <v>0</v>
      </c>
      <c r="BR4" s="144"/>
      <c r="BS4" s="156"/>
      <c r="BT4" s="96">
        <f ca="1">TblConstr[[#This Row],[Land]]</f>
        <v>250</v>
      </c>
      <c r="BU4" s="161">
        <f>TblImps[[#This Row],[Time]]</f>
        <v>45732</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86">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100</v>
      </c>
      <c r="DA4" s="96">
        <f ca="1">H4+SUM(T$4:U4)+SUM(BD4:BE4)</f>
        <v>40</v>
      </c>
      <c r="DB4" s="45">
        <f ca="1">I4+SUM(V$4:W4)+SUM(BF4:BG4)</f>
        <v>20</v>
      </c>
      <c r="DC4" s="96">
        <f ca="1">J4+SUM(X$4:Y4)+SUM(BH4:BI4)</f>
        <v>20</v>
      </c>
      <c r="DD4" s="96">
        <f ca="1">K4+SUM(AB$4:AD4)+SUM(BL4:BN4)</f>
        <v>20</v>
      </c>
      <c r="DE4" s="45">
        <f ca="1">L4+SUM(AE$4:AE4)+BO4</f>
        <v>20</v>
      </c>
      <c r="DF4" s="96">
        <f ca="1">M4+SUM(AG$4:AG4)+BQ4</f>
        <v>20</v>
      </c>
      <c r="DG4" s="45" cm="1">
        <f t="array" aca="1" ref="DG4" ca="1">INDEX(TblConstr[[Total Plain]:[Total Water]],ROW()-ROW(TblConstr[#Headers]),MATCH("Total "&amp;home_land,TblConstr[[#Headers],[Total Plain]:[Total Water]],0))+TblConstr[[#This Row],[Homes]]</f>
        <v>110</v>
      </c>
      <c r="DH4" s="45">
        <f>SUM(O$4:O4)+AY4</f>
        <v>10</v>
      </c>
      <c r="DI4" s="96">
        <v>0</v>
      </c>
      <c r="DJ4" s="45">
        <v>0</v>
      </c>
    </row>
    <row r="5" spans="1:114" x14ac:dyDescent="0.2">
      <c r="A5" s="177">
        <f>TblRezone[[#This Row],[Hour]]</f>
        <v>2</v>
      </c>
      <c r="B5" s="178">
        <f ca="1">SUM(TblConstr[[#This Row],[Plain]:[Water]])</f>
        <v>160</v>
      </c>
      <c r="C5" s="179">
        <f ca="1">SUM(TblConstr[[#This Row],[Tot Hom]:[Tot Doc]])</f>
        <v>90</v>
      </c>
      <c r="D5" s="179">
        <f>SUM(O$4:AG5)</f>
        <v>0</v>
      </c>
      <c r="E5" s="180"/>
      <c r="F5" s="61">
        <f ca="1">TblConstr[[#This Row],[Barren]]+TblConstr[[#This Row],[Buildings]]+TblConstr[[#This Row],[Incoming]]</f>
        <v>250</v>
      </c>
      <c r="G5" s="189">
        <f ca="1">OFFSET(TblConstr[[#This Row],[Plain]],-1,0)+TblConstr[[#This Row],[Ch_Plain]]</f>
        <v>40</v>
      </c>
      <c r="H5" s="184">
        <f ca="1">OFFSET(TblConstr[[#This Row],[Forest]],-1,0)+TblConstr[[#This Row],[Ch_Forest]]</f>
        <v>20</v>
      </c>
      <c r="I5" s="384">
        <f ca="1">OFFSET(TblConstr[[#This Row],[Mountain]],-1,0)+TblConstr[[#This Row],[Ch_Mountain]]</f>
        <v>20</v>
      </c>
      <c r="J5" s="388">
        <f ca="1">OFFSET(TblConstr[[#This Row],[Hill]],-1,0)+TblConstr[[#This Row],[Ch_Hill]]</f>
        <v>20</v>
      </c>
      <c r="K5" s="392">
        <f ca="1">OFFSET(TblConstr[[#This Row],[Swamp]],-1,0)+TblConstr[[#This Row],[Ch_Swamp]]</f>
        <v>20</v>
      </c>
      <c r="L5" s="187">
        <f ca="1">OFFSET(TblConstr[[#This Row],[Cavern]],-1,0)+TblConstr[[#This Row],[Ch_Cavern]]</f>
        <v>20</v>
      </c>
      <c r="M5" s="188">
        <f ca="1">OFFSET(TblConstr[[#This Row],[Water]],-1,0)+TblConstr[[#This Row],[Ch_Water]]</f>
        <v>20</v>
      </c>
      <c r="N5" s="382">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45732.041666666664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124860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6">
        <f ca="1">ROUNDDOWN( MAX(1 - MIN(facs_constr_factor*TblConstr[[#This Row],[Facs -DB]],facs_constr_max) + tech_1_11*TblTech[[#This Row],[11-1]] + tech_6_3_2*TblTech[[#This Row],[6-3]] + tech_5_2_3*TblTech[[#This Row],[5-2]], 1-global_constr_cap) * TblConstr[[#This Row],[RCPA Lumber]],0)</f>
        <v>88</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6">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ROUND((TblConstr[[#This Row],[Land]]-250 - IF(TblExplore[[#This Row],[Land Bonus]]&lt;&gt;0,20,0))*1.25 + 850 + 0,0)</f>
        <v>850</v>
      </c>
      <c r="AW5" s="96">
        <f ca="1">ROUND((TblConstr[[#This Row],[Land]]-250 - IF(TblExplore[[#This Row],[Land Bonus]]&lt;&gt;0,20,0))*0.285 + 87.5 + 0/4.25,0)</f>
        <v>88</v>
      </c>
      <c r="AX5" s="156"/>
      <c r="AY5" s="190" cm="1">
        <f t="array" aca="1" ref="AY5" ca="1">IF(TblConstr[[#This Row],[Hour]:[Hour]]&gt;12,OFFSET(TblConstr[[#This Row],[Hom]],-12,0),0)+OFFSET(TblConstr[[#This Row],[Tot Hom]],-1,0)-TblConstr[[#This Row],[Dest Hom]]</f>
        <v>10</v>
      </c>
      <c r="AZ5" s="191" cm="1">
        <f t="array" aca="1" ref="AZ5" ca="1">IF(TblConstr[[#This Row],[Hour]:[Hour]]&gt;12,OFFSET(TblConstr[[#This Row],[Alc]],-12,0),0)+OFFSET(TblConstr[[#This Row],[Tot Alc]],-1,0)-TblConstr[[#This Row],[Dest Alc]]</f>
        <v>30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86" cm="1">
        <f t="array" aca="1" ref="BF5" ca="1">IF(TblConstr[[#This Row],[Hour]:[Hour]]&gt;12,OFFSET(TblConstr[[#This Row],[OM]],-12,0),0)+OFFSET(TblConstr[[#This Row],[Tot OM]],-1,0)-TblConstr[[#This Row],[Dest OM]]</f>
        <v>0</v>
      </c>
      <c r="BG5" s="386" cm="1">
        <f t="array" aca="1" ref="BG5" ca="1">IF(TblConstr[[#This Row],[Hour]:[Hour]]&gt;12,OFFSET(TblConstr[[#This Row],[GN]],-12,0),0)+OFFSET(TblConstr[[#This Row],[Tot GN]],-1,0)-TblConstr[[#This Row],[Dest GN]]</f>
        <v>0</v>
      </c>
      <c r="BH5" s="390" cm="1">
        <f t="array" aca="1" ref="BH5" ca="1">IF(TblConstr[[#This Row],[Hour]:[Hour]]&gt;12,OFFSET(TblConstr[[#This Row],[Fac]],-12,0),0)+OFFSET(TblConstr[[#This Row],[Tot Fac]],-1,0)-TblConstr[[#This Row],[Dest Fac]]</f>
        <v>0</v>
      </c>
      <c r="BI5" s="390" cm="1">
        <f t="array" aca="1" ref="BI5" ca="1">IF(TblConstr[[#This Row],[Hour]:[Hour]]&gt;12,OFFSET(TblConstr[[#This Row],[GT]],-12,0),0)+OFFSET(TblConstr[[#This Row],[Tot GT]],-1,0)-TblConstr[[#This Row],[Dest GT]]</f>
        <v>0</v>
      </c>
      <c r="BJ5" s="390" cm="1">
        <f t="array" aca="1" ref="BJ5" ca="1">IF(TblConstr[[#This Row],[Hour]:[Hour]]&gt;12,OFFSET(TblConstr[[#This Row],[Bar]],-12,0),0)+OFFSET(TblConstr[[#This Row],[Tot Bar]],-1,0)-TblConstr[[#This Row],[Dest Bar]]</f>
        <v>0</v>
      </c>
      <c r="BK5" s="390" cm="1">
        <f t="array" aca="1" ref="BK5" ca="1">IF(TblConstr[[#This Row],[Hour]:[Hour]]&gt;12,OFFSET(TblConstr[[#This Row],[Shr]],-12,0),0)+OFFSET(TblConstr[[#This Row],[Tot Shr]],-1,0)-TblConstr[[#This Row],[Dest Shr]]</f>
        <v>0</v>
      </c>
      <c r="BL5" s="394" cm="1">
        <f t="array" aca="1" ref="BL5" ca="1">IF(TblConstr[[#This Row],[Hour]:[Hour]]&gt;12,OFFSET(TblConstr[[#This Row],[Tow]],-12,0),0)+OFFSET(TblConstr[[#This Row],[Tot Tow]],-1,0)-TblConstr[[#This Row],[Dest Tow]]</f>
        <v>0</v>
      </c>
      <c r="BM5" s="394" cm="1">
        <f t="array" aca="1" ref="BM5" ca="1">IF(TblConstr[[#This Row],[Hour]:[Hour]]&gt;12,OFFSET(TblConstr[[#This Row],[Tem]],-12,0),0)+OFFSET(TblConstr[[#This Row],[Tot Tem]],-1,0)-TblConstr[[#This Row],[Dest Tem]]</f>
        <v>0</v>
      </c>
      <c r="BN5" s="394"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250</v>
      </c>
      <c r="BU5" s="161">
        <f ca="1">TblImps[[#This Row],[Time]]</f>
        <v>45732.041666666664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84">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100</v>
      </c>
      <c r="DA5" s="96">
        <f ca="1">H5+SUM(T$4:U5)+SUM(BD5:BE5)</f>
        <v>40</v>
      </c>
      <c r="DB5" s="45">
        <f ca="1">I5+SUM(V$4:W5)+SUM(BF5:BG5)</f>
        <v>20</v>
      </c>
      <c r="DC5" s="96">
        <f ca="1">J5+SUM(X$4:Y5)+SUM(BH5:BI5)</f>
        <v>20</v>
      </c>
      <c r="DD5" s="96">
        <f ca="1">K5+SUM(AB$4:AD5)+SUM(BL5:BN5)</f>
        <v>20</v>
      </c>
      <c r="DE5" s="45">
        <f ca="1">L5+SUM(AE$4:AE5)+BO5</f>
        <v>20</v>
      </c>
      <c r="DF5" s="96">
        <f ca="1">M5+SUM(AG$4:AG5)+BQ5</f>
        <v>20</v>
      </c>
      <c r="DG5" s="96" cm="1">
        <f t="array" aca="1" ref="DG5" ca="1">INDEX(TblConstr[[Total Plain]:[Total Water]],ROW()-ROW(TblConstr[#Headers]),MATCH("Total "&amp;home_land,TblConstr[[#Headers],[Total Plain]:[Total Water]],0))+TblConstr[[#This Row],[Homes]]</f>
        <v>110</v>
      </c>
      <c r="DH5" s="45">
        <f ca="1">SUM(O$4:O5)+AY5</f>
        <v>10</v>
      </c>
      <c r="DI5" s="96">
        <f ca="1">MAX(BA5-BA4,0)</f>
        <v>0</v>
      </c>
      <c r="DJ5" s="45">
        <f ca="1">MAX(BQ5-BQ4,0)</f>
        <v>0</v>
      </c>
    </row>
    <row r="6" spans="1:114" x14ac:dyDescent="0.2">
      <c r="A6" s="177">
        <f>TblRezone[[#This Row],[Hour]]</f>
        <v>3</v>
      </c>
      <c r="B6" s="178">
        <f ca="1">SUM(TblConstr[[#This Row],[Plain]:[Water]])</f>
        <v>160</v>
      </c>
      <c r="C6" s="179">
        <f ca="1">SUM(TblConstr[[#This Row],[Tot Hom]:[Tot Doc]])</f>
        <v>90</v>
      </c>
      <c r="D6" s="179">
        <f>SUM(O$4:AG6)</f>
        <v>0</v>
      </c>
      <c r="E6" s="180"/>
      <c r="F6" s="61">
        <f ca="1">TblConstr[[#This Row],[Barren]]+TblConstr[[#This Row],[Buildings]]+TblConstr[[#This Row],[Incoming]]</f>
        <v>250</v>
      </c>
      <c r="G6" s="189">
        <f ca="1">OFFSET(TblConstr[[#This Row],[Plain]],-1,0)+TblConstr[[#This Row],[Ch_Plain]]</f>
        <v>40</v>
      </c>
      <c r="H6" s="184">
        <f ca="1">OFFSET(TblConstr[[#This Row],[Forest]],-1,0)+TblConstr[[#This Row],[Ch_Forest]]</f>
        <v>20</v>
      </c>
      <c r="I6" s="384">
        <f ca="1">OFFSET(TblConstr[[#This Row],[Mountain]],-1,0)+TblConstr[[#This Row],[Ch_Mountain]]</f>
        <v>20</v>
      </c>
      <c r="J6" s="388">
        <f ca="1">OFFSET(TblConstr[[#This Row],[Hill]],-1,0)+TblConstr[[#This Row],[Ch_Hill]]</f>
        <v>20</v>
      </c>
      <c r="K6" s="392">
        <f ca="1">OFFSET(TblConstr[[#This Row],[Swamp]],-1,0)+TblConstr[[#This Row],[Ch_Swamp]]</f>
        <v>20</v>
      </c>
      <c r="L6" s="187">
        <f ca="1">OFFSET(TblConstr[[#This Row],[Cavern]],-1,0)+TblConstr[[#This Row],[Ch_Cavern]]</f>
        <v>20</v>
      </c>
      <c r="M6" s="188">
        <f ca="1">OFFSET(TblConstr[[#This Row],[Water]],-1,0)+TblConstr[[#This Row],[Ch_Water]]</f>
        <v>20</v>
      </c>
      <c r="N6" s="382">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45732.083333333328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129790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6">
        <f ca="1">ROUNDDOWN( MAX(1 - MIN(facs_constr_factor*TblConstr[[#This Row],[Facs -DB]],facs_constr_max) + tech_1_11*TblTech[[#This Row],[11-1]] + tech_6_3_2*TblTech[[#This Row],[6-3]] + tech_5_2_3*TblTech[[#This Row],[5-2]], 1-global_constr_cap) * TblConstr[[#This Row],[RCPA Lumber]],0)</f>
        <v>88</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6">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ROUND((TblConstr[[#This Row],[Land]]-250 - IF(TblExplore[[#This Row],[Land Bonus]]&lt;&gt;0,20,0))*1.25 + 850 + 0,0)</f>
        <v>850</v>
      </c>
      <c r="AW6" s="96">
        <f ca="1">ROUND((TblConstr[[#This Row],[Land]]-250 - IF(TblExplore[[#This Row],[Land Bonus]]&lt;&gt;0,20,0))*0.285 + 87.5 + 0/4.25,0)</f>
        <v>88</v>
      </c>
      <c r="AX6" s="156"/>
      <c r="AY6" s="190" cm="1">
        <f t="array" aca="1" ref="AY6" ca="1">IF(TblConstr[[#This Row],[Hour]:[Hour]]&gt;12,OFFSET(TblConstr[[#This Row],[Hom]],-12,0),0)+OFFSET(TblConstr[[#This Row],[Tot Hom]],-1,0)-TblConstr[[#This Row],[Dest Hom]]</f>
        <v>10</v>
      </c>
      <c r="AZ6" s="191" cm="1">
        <f t="array" aca="1" ref="AZ6" ca="1">IF(TblConstr[[#This Row],[Hour]:[Hour]]&gt;12,OFFSET(TblConstr[[#This Row],[Alc]],-12,0),0)+OFFSET(TblConstr[[#This Row],[Tot Alc]],-1,0)-TblConstr[[#This Row],[Dest Alc]]</f>
        <v>30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86" cm="1">
        <f t="array" aca="1" ref="BF6" ca="1">IF(TblConstr[[#This Row],[Hour]:[Hour]]&gt;12,OFFSET(TblConstr[[#This Row],[OM]],-12,0),0)+OFFSET(TblConstr[[#This Row],[Tot OM]],-1,0)-TblConstr[[#This Row],[Dest OM]]</f>
        <v>0</v>
      </c>
      <c r="BG6" s="386" cm="1">
        <f t="array" aca="1" ref="BG6" ca="1">IF(TblConstr[[#This Row],[Hour]:[Hour]]&gt;12,OFFSET(TblConstr[[#This Row],[GN]],-12,0),0)+OFFSET(TblConstr[[#This Row],[Tot GN]],-1,0)-TblConstr[[#This Row],[Dest GN]]</f>
        <v>0</v>
      </c>
      <c r="BH6" s="390" cm="1">
        <f t="array" aca="1" ref="BH6" ca="1">IF(TblConstr[[#This Row],[Hour]:[Hour]]&gt;12,OFFSET(TblConstr[[#This Row],[Fac]],-12,0),0)+OFFSET(TblConstr[[#This Row],[Tot Fac]],-1,0)-TblConstr[[#This Row],[Dest Fac]]</f>
        <v>0</v>
      </c>
      <c r="BI6" s="390" cm="1">
        <f t="array" aca="1" ref="BI6" ca="1">IF(TblConstr[[#This Row],[Hour]:[Hour]]&gt;12,OFFSET(TblConstr[[#This Row],[GT]],-12,0),0)+OFFSET(TblConstr[[#This Row],[Tot GT]],-1,0)-TblConstr[[#This Row],[Dest GT]]</f>
        <v>0</v>
      </c>
      <c r="BJ6" s="390" cm="1">
        <f t="array" aca="1" ref="BJ6" ca="1">IF(TblConstr[[#This Row],[Hour]:[Hour]]&gt;12,OFFSET(TblConstr[[#This Row],[Bar]],-12,0),0)+OFFSET(TblConstr[[#This Row],[Tot Bar]],-1,0)-TblConstr[[#This Row],[Dest Bar]]</f>
        <v>0</v>
      </c>
      <c r="BK6" s="390" cm="1">
        <f t="array" aca="1" ref="BK6" ca="1">IF(TblConstr[[#This Row],[Hour]:[Hour]]&gt;12,OFFSET(TblConstr[[#This Row],[Shr]],-12,0),0)+OFFSET(TblConstr[[#This Row],[Tot Shr]],-1,0)-TblConstr[[#This Row],[Dest Shr]]</f>
        <v>0</v>
      </c>
      <c r="BL6" s="394" cm="1">
        <f t="array" aca="1" ref="BL6" ca="1">IF(TblConstr[[#This Row],[Hour]:[Hour]]&gt;12,OFFSET(TblConstr[[#This Row],[Tow]],-12,0),0)+OFFSET(TblConstr[[#This Row],[Tot Tow]],-1,0)-TblConstr[[#This Row],[Dest Tow]]</f>
        <v>0</v>
      </c>
      <c r="BM6" s="394" cm="1">
        <f t="array" aca="1" ref="BM6" ca="1">IF(TblConstr[[#This Row],[Hour]:[Hour]]&gt;12,OFFSET(TblConstr[[#This Row],[Tem]],-12,0),0)+OFFSET(TblConstr[[#This Row],[Tot Tem]],-1,0)-TblConstr[[#This Row],[Dest Tem]]</f>
        <v>0</v>
      </c>
      <c r="BN6" s="394"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250</v>
      </c>
      <c r="BU6" s="161">
        <f ca="1">TblImps[[#This Row],[Time]]</f>
        <v>45732.083333333328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84">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100</v>
      </c>
      <c r="DA6" s="96">
        <f ca="1">H6+SUM(T$4:U6)+SUM(BD6:BE6)</f>
        <v>40</v>
      </c>
      <c r="DB6" s="45">
        <f ca="1">I6+SUM(V$4:W6)+SUM(BF6:BG6)</f>
        <v>20</v>
      </c>
      <c r="DC6" s="96">
        <f ca="1">J6+SUM(X$4:Y6)+SUM(BH6:BI6)</f>
        <v>20</v>
      </c>
      <c r="DD6" s="96">
        <f ca="1">K6+SUM(AB$4:AD6)+SUM(BL6:BN6)</f>
        <v>20</v>
      </c>
      <c r="DE6" s="45">
        <f ca="1">L6+SUM(AE$4:AE6)+BO6</f>
        <v>20</v>
      </c>
      <c r="DF6" s="96">
        <f ca="1">M6+SUM(AG$4:AG6)+BQ6</f>
        <v>20</v>
      </c>
      <c r="DG6" s="96"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7">
        <f>TblRezone[[#This Row],[Hour]]</f>
        <v>4</v>
      </c>
      <c r="B7" s="178">
        <f ca="1">SUM(TblConstr[[#This Row],[Plain]:[Water]])</f>
        <v>160</v>
      </c>
      <c r="C7" s="179">
        <f ca="1">SUM(TblConstr[[#This Row],[Tot Hom]:[Tot Doc]])</f>
        <v>90</v>
      </c>
      <c r="D7" s="179">
        <f>SUM(O$4:AG7)</f>
        <v>0</v>
      </c>
      <c r="E7" s="180"/>
      <c r="F7" s="61">
        <f ca="1">TblConstr[[#This Row],[Barren]]+TblConstr[[#This Row],[Buildings]]+TblConstr[[#This Row],[Incoming]]</f>
        <v>250</v>
      </c>
      <c r="G7" s="189">
        <f ca="1">OFFSET(TblConstr[[#This Row],[Plain]],-1,0)+TblConstr[[#This Row],[Ch_Plain]]</f>
        <v>40</v>
      </c>
      <c r="H7" s="184">
        <f ca="1">OFFSET(TblConstr[[#This Row],[Forest]],-1,0)+TblConstr[[#This Row],[Ch_Forest]]</f>
        <v>20</v>
      </c>
      <c r="I7" s="384">
        <f ca="1">OFFSET(TblConstr[[#This Row],[Mountain]],-1,0)+TblConstr[[#This Row],[Ch_Mountain]]</f>
        <v>20</v>
      </c>
      <c r="J7" s="388">
        <f ca="1">OFFSET(TblConstr[[#This Row],[Hill]],-1,0)+TblConstr[[#This Row],[Ch_Hill]]</f>
        <v>20</v>
      </c>
      <c r="K7" s="392">
        <f ca="1">OFFSET(TblConstr[[#This Row],[Swamp]],-1,0)+TblConstr[[#This Row],[Ch_Swamp]]</f>
        <v>20</v>
      </c>
      <c r="L7" s="187">
        <f ca="1">OFFSET(TblConstr[[#This Row],[Cavern]],-1,0)+TblConstr[[#This Row],[Ch_Cavern]]</f>
        <v>20</v>
      </c>
      <c r="M7" s="188">
        <f ca="1">OFFSET(TblConstr[[#This Row],[Water]],-1,0)+TblConstr[[#This Row],[Ch_Water]]</f>
        <v>20</v>
      </c>
      <c r="N7" s="382">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45732.124999999993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134790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6">
        <f ca="1">ROUNDDOWN( MAX(1 - MIN(facs_constr_factor*TblConstr[[#This Row],[Facs -DB]],facs_constr_max) + tech_1_11*TblTech[[#This Row],[11-1]] + tech_6_3_2*TblTech[[#This Row],[6-3]] + tech_5_2_3*TblTech[[#This Row],[5-2]], 1-global_constr_cap) * TblConstr[[#This Row],[RCPA Lumber]],0)</f>
        <v>88</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6">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ROUND((TblConstr[[#This Row],[Land]]-250 - IF(TblExplore[[#This Row],[Land Bonus]]&lt;&gt;0,20,0))*1.25 + 850 + 0,0)</f>
        <v>850</v>
      </c>
      <c r="AW7" s="96">
        <f ca="1">ROUND((TblConstr[[#This Row],[Land]]-250 - IF(TblExplore[[#This Row],[Land Bonus]]&lt;&gt;0,20,0))*0.285 + 87.5 + 0/4.25,0)</f>
        <v>88</v>
      </c>
      <c r="AX7" s="156"/>
      <c r="AY7" s="190" cm="1">
        <f t="array" aca="1" ref="AY7" ca="1">IF(TblConstr[[#This Row],[Hour]:[Hour]]&gt;12,OFFSET(TblConstr[[#This Row],[Hom]],-12,0),0)+OFFSET(TblConstr[[#This Row],[Tot Hom]],-1,0)-TblConstr[[#This Row],[Dest Hom]]</f>
        <v>10</v>
      </c>
      <c r="AZ7" s="191" cm="1">
        <f t="array" aca="1" ref="AZ7" ca="1">IF(TblConstr[[#This Row],[Hour]:[Hour]]&gt;12,OFFSET(TblConstr[[#This Row],[Alc]],-12,0),0)+OFFSET(TblConstr[[#This Row],[Tot Alc]],-1,0)-TblConstr[[#This Row],[Dest Alc]]</f>
        <v>30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86" cm="1">
        <f t="array" aca="1" ref="BF7" ca="1">IF(TblConstr[[#This Row],[Hour]:[Hour]]&gt;12,OFFSET(TblConstr[[#This Row],[OM]],-12,0),0)+OFFSET(TblConstr[[#This Row],[Tot OM]],-1,0)-TblConstr[[#This Row],[Dest OM]]</f>
        <v>0</v>
      </c>
      <c r="BG7" s="386" cm="1">
        <f t="array" aca="1" ref="BG7" ca="1">IF(TblConstr[[#This Row],[Hour]:[Hour]]&gt;12,OFFSET(TblConstr[[#This Row],[GN]],-12,0),0)+OFFSET(TblConstr[[#This Row],[Tot GN]],-1,0)-TblConstr[[#This Row],[Dest GN]]</f>
        <v>0</v>
      </c>
      <c r="BH7" s="390" cm="1">
        <f t="array" aca="1" ref="BH7" ca="1">IF(TblConstr[[#This Row],[Hour]:[Hour]]&gt;12,OFFSET(TblConstr[[#This Row],[Fac]],-12,0),0)+OFFSET(TblConstr[[#This Row],[Tot Fac]],-1,0)-TblConstr[[#This Row],[Dest Fac]]</f>
        <v>0</v>
      </c>
      <c r="BI7" s="390" cm="1">
        <f t="array" aca="1" ref="BI7" ca="1">IF(TblConstr[[#This Row],[Hour]:[Hour]]&gt;12,OFFSET(TblConstr[[#This Row],[GT]],-12,0),0)+OFFSET(TblConstr[[#This Row],[Tot GT]],-1,0)-TblConstr[[#This Row],[Dest GT]]</f>
        <v>0</v>
      </c>
      <c r="BJ7" s="390" cm="1">
        <f t="array" aca="1" ref="BJ7" ca="1">IF(TblConstr[[#This Row],[Hour]:[Hour]]&gt;12,OFFSET(TblConstr[[#This Row],[Bar]],-12,0),0)+OFFSET(TblConstr[[#This Row],[Tot Bar]],-1,0)-TblConstr[[#This Row],[Dest Bar]]</f>
        <v>0</v>
      </c>
      <c r="BK7" s="390" cm="1">
        <f t="array" aca="1" ref="BK7" ca="1">IF(TblConstr[[#This Row],[Hour]:[Hour]]&gt;12,OFFSET(TblConstr[[#This Row],[Shr]],-12,0),0)+OFFSET(TblConstr[[#This Row],[Tot Shr]],-1,0)-TblConstr[[#This Row],[Dest Shr]]</f>
        <v>0</v>
      </c>
      <c r="BL7" s="394" cm="1">
        <f t="array" aca="1" ref="BL7" ca="1">IF(TblConstr[[#This Row],[Hour]:[Hour]]&gt;12,OFFSET(TblConstr[[#This Row],[Tow]],-12,0),0)+OFFSET(TblConstr[[#This Row],[Tot Tow]],-1,0)-TblConstr[[#This Row],[Dest Tow]]</f>
        <v>0</v>
      </c>
      <c r="BM7" s="394" cm="1">
        <f t="array" aca="1" ref="BM7" ca="1">IF(TblConstr[[#This Row],[Hour]:[Hour]]&gt;12,OFFSET(TblConstr[[#This Row],[Tem]],-12,0),0)+OFFSET(TblConstr[[#This Row],[Tot Tem]],-1,0)-TblConstr[[#This Row],[Dest Tem]]</f>
        <v>0</v>
      </c>
      <c r="BN7" s="394"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250</v>
      </c>
      <c r="BU7" s="161">
        <f ca="1">TblImps[[#This Row],[Time]]</f>
        <v>45732.124999999993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84">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100</v>
      </c>
      <c r="DA7" s="96">
        <f ca="1">H7+SUM(T$4:U7)+SUM(BD7:BE7)</f>
        <v>40</v>
      </c>
      <c r="DB7" s="45">
        <f ca="1">I7+SUM(V$4:W7)+SUM(BF7:BG7)</f>
        <v>20</v>
      </c>
      <c r="DC7" s="96">
        <f ca="1">J7+SUM(X$4:Y7)+SUM(BH7:BI7)</f>
        <v>20</v>
      </c>
      <c r="DD7" s="96">
        <f ca="1">K7+SUM(AB$4:AD7)+SUM(BL7:BN7)</f>
        <v>20</v>
      </c>
      <c r="DE7" s="45">
        <f ca="1">L7+SUM(AE$4:AE7)+BO7</f>
        <v>20</v>
      </c>
      <c r="DF7" s="96">
        <f ca="1">M7+SUM(AG$4:AG7)+BQ7</f>
        <v>20</v>
      </c>
      <c r="DG7" s="96"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1">
        <f>TblRezone[[#This Row],[Hour]]</f>
        <v>5</v>
      </c>
      <c r="B8" s="178">
        <f ca="1">SUM(TblConstr[[#This Row],[Plain]:[Water]])</f>
        <v>160</v>
      </c>
      <c r="C8" s="179">
        <f ca="1">SUM(TblConstr[[#This Row],[Tot Hom]:[Tot Doc]])</f>
        <v>90</v>
      </c>
      <c r="D8" s="179">
        <f>SUM(O$4:AG8)</f>
        <v>0</v>
      </c>
      <c r="E8" s="180"/>
      <c r="F8" s="61">
        <f ca="1">TblConstr[[#This Row],[Barren]]+TblConstr[[#This Row],[Buildings]]+TblConstr[[#This Row],[Incoming]]</f>
        <v>250</v>
      </c>
      <c r="G8" s="189">
        <f ca="1">OFFSET(TblConstr[[#This Row],[Plain]],-1,0)+TblConstr[[#This Row],[Ch_Plain]]</f>
        <v>40</v>
      </c>
      <c r="H8" s="184">
        <f ca="1">OFFSET(TblConstr[[#This Row],[Forest]],-1,0)+TblConstr[[#This Row],[Ch_Forest]]</f>
        <v>20</v>
      </c>
      <c r="I8" s="384">
        <f ca="1">OFFSET(TblConstr[[#This Row],[Mountain]],-1,0)+TblConstr[[#This Row],[Ch_Mountain]]</f>
        <v>20</v>
      </c>
      <c r="J8" s="388">
        <f ca="1">OFFSET(TblConstr[[#This Row],[Hill]],-1,0)+TblConstr[[#This Row],[Ch_Hill]]</f>
        <v>20</v>
      </c>
      <c r="K8" s="392">
        <f ca="1">OFFSET(TblConstr[[#This Row],[Swamp]],-1,0)+TblConstr[[#This Row],[Ch_Swamp]]</f>
        <v>20</v>
      </c>
      <c r="L8" s="187">
        <f ca="1">OFFSET(TblConstr[[#This Row],[Cavern]],-1,0)+TblConstr[[#This Row],[Ch_Cavern]]</f>
        <v>20</v>
      </c>
      <c r="M8" s="188">
        <f ca="1">OFFSET(TblConstr[[#This Row],[Water]],-1,0)+TblConstr[[#This Row],[Ch_Water]]</f>
        <v>20</v>
      </c>
      <c r="N8" s="382">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45732.166666666657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139860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6">
        <f ca="1">ROUNDDOWN( MAX(1 - MIN(facs_constr_factor*TblConstr[[#This Row],[Facs -DB]],facs_constr_max) + tech_1_11*TblTech[[#This Row],[11-1]] + tech_6_3_2*TblTech[[#This Row],[6-3]] + tech_5_2_3*TblTech[[#This Row],[5-2]], 1-global_constr_cap) * TblConstr[[#This Row],[RCPA Lumber]],0)</f>
        <v>88</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6">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ROUND((TblConstr[[#This Row],[Land]]-250 - IF(TblExplore[[#This Row],[Land Bonus]]&lt;&gt;0,20,0))*1.25 + 850 + 0,0)</f>
        <v>850</v>
      </c>
      <c r="AW8" s="96">
        <f ca="1">ROUND((TblConstr[[#This Row],[Land]]-250 - IF(TblExplore[[#This Row],[Land Bonus]]&lt;&gt;0,20,0))*0.285 + 87.5 + 0/4.25,0)</f>
        <v>88</v>
      </c>
      <c r="AX8" s="156"/>
      <c r="AY8" s="190" cm="1">
        <f t="array" aca="1" ref="AY8" ca="1">IF(TblConstr[[#This Row],[Hour]:[Hour]]&gt;12,OFFSET(TblConstr[[#This Row],[Hom]],-12,0),0)+OFFSET(TblConstr[[#This Row],[Tot Hom]],-1,0)-TblConstr[[#This Row],[Dest Hom]]</f>
        <v>10</v>
      </c>
      <c r="AZ8" s="191" cm="1">
        <f t="array" aca="1" ref="AZ8" ca="1">IF(TblConstr[[#This Row],[Hour]:[Hour]]&gt;12,OFFSET(TblConstr[[#This Row],[Alc]],-12,0),0)+OFFSET(TblConstr[[#This Row],[Tot Alc]],-1,0)-TblConstr[[#This Row],[Dest Alc]]</f>
        <v>30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86" cm="1">
        <f t="array" aca="1" ref="BF8" ca="1">IF(TblConstr[[#This Row],[Hour]:[Hour]]&gt;12,OFFSET(TblConstr[[#This Row],[OM]],-12,0),0)+OFFSET(TblConstr[[#This Row],[Tot OM]],-1,0)-TblConstr[[#This Row],[Dest OM]]</f>
        <v>0</v>
      </c>
      <c r="BG8" s="386" cm="1">
        <f t="array" aca="1" ref="BG8" ca="1">IF(TblConstr[[#This Row],[Hour]:[Hour]]&gt;12,OFFSET(TblConstr[[#This Row],[GN]],-12,0),0)+OFFSET(TblConstr[[#This Row],[Tot GN]],-1,0)-TblConstr[[#This Row],[Dest GN]]</f>
        <v>0</v>
      </c>
      <c r="BH8" s="390" cm="1">
        <f t="array" aca="1" ref="BH8" ca="1">IF(TblConstr[[#This Row],[Hour]:[Hour]]&gt;12,OFFSET(TblConstr[[#This Row],[Fac]],-12,0),0)+OFFSET(TblConstr[[#This Row],[Tot Fac]],-1,0)-TblConstr[[#This Row],[Dest Fac]]</f>
        <v>0</v>
      </c>
      <c r="BI8" s="390" cm="1">
        <f t="array" aca="1" ref="BI8" ca="1">IF(TblConstr[[#This Row],[Hour]:[Hour]]&gt;12,OFFSET(TblConstr[[#This Row],[GT]],-12,0),0)+OFFSET(TblConstr[[#This Row],[Tot GT]],-1,0)-TblConstr[[#This Row],[Dest GT]]</f>
        <v>0</v>
      </c>
      <c r="BJ8" s="390" cm="1">
        <f t="array" aca="1" ref="BJ8" ca="1">IF(TblConstr[[#This Row],[Hour]:[Hour]]&gt;12,OFFSET(TblConstr[[#This Row],[Bar]],-12,0),0)+OFFSET(TblConstr[[#This Row],[Tot Bar]],-1,0)-TblConstr[[#This Row],[Dest Bar]]</f>
        <v>0</v>
      </c>
      <c r="BK8" s="390" cm="1">
        <f t="array" aca="1" ref="BK8" ca="1">IF(TblConstr[[#This Row],[Hour]:[Hour]]&gt;12,OFFSET(TblConstr[[#This Row],[Shr]],-12,0),0)+OFFSET(TblConstr[[#This Row],[Tot Shr]],-1,0)-TblConstr[[#This Row],[Dest Shr]]</f>
        <v>0</v>
      </c>
      <c r="BL8" s="394" cm="1">
        <f t="array" aca="1" ref="BL8" ca="1">IF(TblConstr[[#This Row],[Hour]:[Hour]]&gt;12,OFFSET(TblConstr[[#This Row],[Tow]],-12,0),0)+OFFSET(TblConstr[[#This Row],[Tot Tow]],-1,0)-TblConstr[[#This Row],[Dest Tow]]</f>
        <v>0</v>
      </c>
      <c r="BM8" s="394" cm="1">
        <f t="array" aca="1" ref="BM8" ca="1">IF(TblConstr[[#This Row],[Hour]:[Hour]]&gt;12,OFFSET(TblConstr[[#This Row],[Tem]],-12,0),0)+OFFSET(TblConstr[[#This Row],[Tot Tem]],-1,0)-TblConstr[[#This Row],[Dest Tem]]</f>
        <v>0</v>
      </c>
      <c r="BN8" s="394"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250</v>
      </c>
      <c r="BU8" s="161">
        <f ca="1">TblImps[[#This Row],[Time]]</f>
        <v>45732.166666666657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84">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100</v>
      </c>
      <c r="DA8" s="96">
        <f ca="1">H8+SUM(T$4:U8)+SUM(BD8:BE8)</f>
        <v>40</v>
      </c>
      <c r="DB8" s="45">
        <f ca="1">I8+SUM(V$4:W8)+SUM(BF8:BG8)</f>
        <v>20</v>
      </c>
      <c r="DC8" s="96">
        <f ca="1">J8+SUM(X$4:Y8)+SUM(BH8:BI8)</f>
        <v>20</v>
      </c>
      <c r="DD8" s="96">
        <f ca="1">K8+SUM(AB$4:AD8)+SUM(BL8:BN8)</f>
        <v>20</v>
      </c>
      <c r="DE8" s="45">
        <f ca="1">L8+SUM(AE$4:AE8)+BO8</f>
        <v>20</v>
      </c>
      <c r="DF8" s="96">
        <f ca="1">M8+SUM(AG$4:AG8)+BQ8</f>
        <v>20</v>
      </c>
      <c r="DG8" s="96"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7">
        <f>TblRezone[[#This Row],[Hour]]</f>
        <v>6</v>
      </c>
      <c r="B9" s="178">
        <f ca="1">SUM(TblConstr[[#This Row],[Plain]:[Water]])</f>
        <v>160</v>
      </c>
      <c r="C9" s="179">
        <f ca="1">SUM(TblConstr[[#This Row],[Tot Hom]:[Tot Doc]])</f>
        <v>90</v>
      </c>
      <c r="D9" s="179">
        <f>SUM(O$4:AG9)</f>
        <v>0</v>
      </c>
      <c r="E9" s="180"/>
      <c r="F9" s="61">
        <f ca="1">TblConstr[[#This Row],[Barren]]+TblConstr[[#This Row],[Buildings]]+TblConstr[[#This Row],[Incoming]]</f>
        <v>250</v>
      </c>
      <c r="G9" s="189">
        <f ca="1">OFFSET(TblConstr[[#This Row],[Plain]],-1,0)+TblConstr[[#This Row],[Ch_Plain]]</f>
        <v>40</v>
      </c>
      <c r="H9" s="184">
        <f ca="1">OFFSET(TblConstr[[#This Row],[Forest]],-1,0)+TblConstr[[#This Row],[Ch_Forest]]</f>
        <v>20</v>
      </c>
      <c r="I9" s="384">
        <f ca="1">OFFSET(TblConstr[[#This Row],[Mountain]],-1,0)+TblConstr[[#This Row],[Ch_Mountain]]</f>
        <v>20</v>
      </c>
      <c r="J9" s="388">
        <f ca="1">OFFSET(TblConstr[[#This Row],[Hill]],-1,0)+TblConstr[[#This Row],[Ch_Hill]]</f>
        <v>20</v>
      </c>
      <c r="K9" s="392">
        <f ca="1">OFFSET(TblConstr[[#This Row],[Swamp]],-1,0)+TblConstr[[#This Row],[Ch_Swamp]]</f>
        <v>20</v>
      </c>
      <c r="L9" s="187">
        <f ca="1">OFFSET(TblConstr[[#This Row],[Cavern]],-1,0)+TblConstr[[#This Row],[Ch_Cavern]]</f>
        <v>20</v>
      </c>
      <c r="M9" s="188">
        <f ca="1">OFFSET(TblConstr[[#This Row],[Water]],-1,0)+TblConstr[[#This Row],[Ch_Water]]</f>
        <v>20</v>
      </c>
      <c r="N9" s="382">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45732.208333333321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145003</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6">
        <f ca="1">ROUNDDOWN( MAX(1 - MIN(facs_constr_factor*TblConstr[[#This Row],[Facs -DB]],facs_constr_max) + tech_1_11*TblTech[[#This Row],[11-1]] + tech_6_3_2*TblTech[[#This Row],[6-3]] + tech_5_2_3*TblTech[[#This Row],[5-2]], 1-global_constr_cap) * TblConstr[[#This Row],[RCPA Lumber]],0)</f>
        <v>88</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6">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ROUND((TblConstr[[#This Row],[Land]]-250 - IF(TblExplore[[#This Row],[Land Bonus]]&lt;&gt;0,20,0))*1.25 + 850 + 0,0)</f>
        <v>850</v>
      </c>
      <c r="AW9" s="96">
        <f ca="1">ROUND((TblConstr[[#This Row],[Land]]-250 - IF(TblExplore[[#This Row],[Land Bonus]]&lt;&gt;0,20,0))*0.285 + 87.5 + 0/4.25,0)</f>
        <v>88</v>
      </c>
      <c r="AX9" s="156"/>
      <c r="AY9" s="190" cm="1">
        <f t="array" aca="1" ref="AY9" ca="1">IF(TblConstr[[#This Row],[Hour]:[Hour]]&gt;12,OFFSET(TblConstr[[#This Row],[Hom]],-12,0),0)+OFFSET(TblConstr[[#This Row],[Tot Hom]],-1,0)-TblConstr[[#This Row],[Dest Hom]]</f>
        <v>10</v>
      </c>
      <c r="AZ9" s="191" cm="1">
        <f t="array" aca="1" ref="AZ9" ca="1">IF(TblConstr[[#This Row],[Hour]:[Hour]]&gt;12,OFFSET(TblConstr[[#This Row],[Alc]],-12,0),0)+OFFSET(TblConstr[[#This Row],[Tot Alc]],-1,0)-TblConstr[[#This Row],[Dest Alc]]</f>
        <v>30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86" cm="1">
        <f t="array" aca="1" ref="BF9" ca="1">IF(TblConstr[[#This Row],[Hour]:[Hour]]&gt;12,OFFSET(TblConstr[[#This Row],[OM]],-12,0),0)+OFFSET(TblConstr[[#This Row],[Tot OM]],-1,0)-TblConstr[[#This Row],[Dest OM]]</f>
        <v>0</v>
      </c>
      <c r="BG9" s="386" cm="1">
        <f t="array" aca="1" ref="BG9" ca="1">IF(TblConstr[[#This Row],[Hour]:[Hour]]&gt;12,OFFSET(TblConstr[[#This Row],[GN]],-12,0),0)+OFFSET(TblConstr[[#This Row],[Tot GN]],-1,0)-TblConstr[[#This Row],[Dest GN]]</f>
        <v>0</v>
      </c>
      <c r="BH9" s="390" cm="1">
        <f t="array" aca="1" ref="BH9" ca="1">IF(TblConstr[[#This Row],[Hour]:[Hour]]&gt;12,OFFSET(TblConstr[[#This Row],[Fac]],-12,0),0)+OFFSET(TblConstr[[#This Row],[Tot Fac]],-1,0)-TblConstr[[#This Row],[Dest Fac]]</f>
        <v>0</v>
      </c>
      <c r="BI9" s="390" cm="1">
        <f t="array" aca="1" ref="BI9" ca="1">IF(TblConstr[[#This Row],[Hour]:[Hour]]&gt;12,OFFSET(TblConstr[[#This Row],[GT]],-12,0),0)+OFFSET(TblConstr[[#This Row],[Tot GT]],-1,0)-TblConstr[[#This Row],[Dest GT]]</f>
        <v>0</v>
      </c>
      <c r="BJ9" s="390" cm="1">
        <f t="array" aca="1" ref="BJ9" ca="1">IF(TblConstr[[#This Row],[Hour]:[Hour]]&gt;12,OFFSET(TblConstr[[#This Row],[Bar]],-12,0),0)+OFFSET(TblConstr[[#This Row],[Tot Bar]],-1,0)-TblConstr[[#This Row],[Dest Bar]]</f>
        <v>0</v>
      </c>
      <c r="BK9" s="390" cm="1">
        <f t="array" aca="1" ref="BK9" ca="1">IF(TblConstr[[#This Row],[Hour]:[Hour]]&gt;12,OFFSET(TblConstr[[#This Row],[Shr]],-12,0),0)+OFFSET(TblConstr[[#This Row],[Tot Shr]],-1,0)-TblConstr[[#This Row],[Dest Shr]]</f>
        <v>0</v>
      </c>
      <c r="BL9" s="394" cm="1">
        <f t="array" aca="1" ref="BL9" ca="1">IF(TblConstr[[#This Row],[Hour]:[Hour]]&gt;12,OFFSET(TblConstr[[#This Row],[Tow]],-12,0),0)+OFFSET(TblConstr[[#This Row],[Tot Tow]],-1,0)-TblConstr[[#This Row],[Dest Tow]]</f>
        <v>0</v>
      </c>
      <c r="BM9" s="394" cm="1">
        <f t="array" aca="1" ref="BM9" ca="1">IF(TblConstr[[#This Row],[Hour]:[Hour]]&gt;12,OFFSET(TblConstr[[#This Row],[Tem]],-12,0),0)+OFFSET(TblConstr[[#This Row],[Tot Tem]],-1,0)-TblConstr[[#This Row],[Dest Tem]]</f>
        <v>0</v>
      </c>
      <c r="BN9" s="394"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250</v>
      </c>
      <c r="BU9" s="161">
        <f ca="1">TblImps[[#This Row],[Time]]</f>
        <v>45732.208333333321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84">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100</v>
      </c>
      <c r="DA9" s="96">
        <f ca="1">H9+SUM(T$4:U9)+SUM(BD9:BE9)</f>
        <v>40</v>
      </c>
      <c r="DB9" s="45">
        <f ca="1">I9+SUM(V$4:W9)+SUM(BF9:BG9)</f>
        <v>20</v>
      </c>
      <c r="DC9" s="96">
        <f ca="1">J9+SUM(X$4:Y9)+SUM(BH9:BI9)</f>
        <v>20</v>
      </c>
      <c r="DD9" s="96">
        <f ca="1">K9+SUM(AB$4:AD9)+SUM(BL9:BN9)</f>
        <v>20</v>
      </c>
      <c r="DE9" s="45">
        <f ca="1">L9+SUM(AE$4:AE9)+BO9</f>
        <v>20</v>
      </c>
      <c r="DF9" s="96">
        <f ca="1">M9+SUM(AG$4:AG9)+BQ9</f>
        <v>20</v>
      </c>
      <c r="DG9" s="96"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7">
        <f>TblRezone[[#This Row],[Hour]]</f>
        <v>7</v>
      </c>
      <c r="B10" s="178">
        <f ca="1">SUM(TblConstr[[#This Row],[Plain]:[Water]])</f>
        <v>160</v>
      </c>
      <c r="C10" s="179">
        <f ca="1">SUM(TblConstr[[#This Row],[Tot Hom]:[Tot Doc]])</f>
        <v>90</v>
      </c>
      <c r="D10" s="179">
        <f>SUM(O$4:AG10)</f>
        <v>0</v>
      </c>
      <c r="E10" s="180"/>
      <c r="F10" s="61">
        <f ca="1">TblConstr[[#This Row],[Barren]]+TblConstr[[#This Row],[Buildings]]+TblConstr[[#This Row],[Incoming]]</f>
        <v>250</v>
      </c>
      <c r="G10" s="189">
        <f ca="1">OFFSET(TblConstr[[#This Row],[Plain]],-1,0)+TblConstr[[#This Row],[Ch_Plain]]</f>
        <v>40</v>
      </c>
      <c r="H10" s="184">
        <f ca="1">OFFSET(TblConstr[[#This Row],[Forest]],-1,0)+TblConstr[[#This Row],[Ch_Forest]]</f>
        <v>20</v>
      </c>
      <c r="I10" s="384">
        <f ca="1">OFFSET(TblConstr[[#This Row],[Mountain]],-1,0)+TblConstr[[#This Row],[Ch_Mountain]]</f>
        <v>20</v>
      </c>
      <c r="J10" s="388">
        <f ca="1">OFFSET(TblConstr[[#This Row],[Hill]],-1,0)+TblConstr[[#This Row],[Ch_Hill]]</f>
        <v>20</v>
      </c>
      <c r="K10" s="392">
        <f ca="1">OFFSET(TblConstr[[#This Row],[Swamp]],-1,0)+TblConstr[[#This Row],[Ch_Swamp]]</f>
        <v>20</v>
      </c>
      <c r="L10" s="187">
        <f ca="1">OFFSET(TblConstr[[#This Row],[Cavern]],-1,0)+TblConstr[[#This Row],[Ch_Cavern]]</f>
        <v>20</v>
      </c>
      <c r="M10" s="188">
        <f ca="1">OFFSET(TblConstr[[#This Row],[Water]],-1,0)+TblConstr[[#This Row],[Ch_Water]]</f>
        <v>20</v>
      </c>
      <c r="N10" s="382">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45732.249999999985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150222</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6">
        <f ca="1">ROUNDDOWN( MAX(1 - MIN(facs_constr_factor*TblConstr[[#This Row],[Facs -DB]],facs_constr_max) + tech_1_11*TblTech[[#This Row],[11-1]] + tech_6_3_2*TblTech[[#This Row],[6-3]] + tech_5_2_3*TblTech[[#This Row],[5-2]], 1-global_constr_cap) * TblConstr[[#This Row],[RCPA Lumber]],0)</f>
        <v>88</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6">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ROUND((TblConstr[[#This Row],[Land]]-250 - IF(TblExplore[[#This Row],[Land Bonus]]&lt;&gt;0,20,0))*1.25 + 850 + 0,0)</f>
        <v>850</v>
      </c>
      <c r="AW10" s="96">
        <f ca="1">ROUND((TblConstr[[#This Row],[Land]]-250 - IF(TblExplore[[#This Row],[Land Bonus]]&lt;&gt;0,20,0))*0.285 + 87.5 + 0/4.25,0)</f>
        <v>88</v>
      </c>
      <c r="AX10" s="156"/>
      <c r="AY10" s="190" cm="1">
        <f t="array" aca="1" ref="AY10" ca="1">IF(TblConstr[[#This Row],[Hour]:[Hour]]&gt;12,OFFSET(TblConstr[[#This Row],[Hom]],-12,0),0)+OFFSET(TblConstr[[#This Row],[Tot Hom]],-1,0)-TblConstr[[#This Row],[Dest Hom]]</f>
        <v>10</v>
      </c>
      <c r="AZ10" s="191" cm="1">
        <f t="array" aca="1" ref="AZ10" ca="1">IF(TblConstr[[#This Row],[Hour]:[Hour]]&gt;12,OFFSET(TblConstr[[#This Row],[Alc]],-12,0),0)+OFFSET(TblConstr[[#This Row],[Tot Alc]],-1,0)-TblConstr[[#This Row],[Dest Alc]]</f>
        <v>30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86" cm="1">
        <f t="array" aca="1" ref="BF10" ca="1">IF(TblConstr[[#This Row],[Hour]:[Hour]]&gt;12,OFFSET(TblConstr[[#This Row],[OM]],-12,0),0)+OFFSET(TblConstr[[#This Row],[Tot OM]],-1,0)-TblConstr[[#This Row],[Dest OM]]</f>
        <v>0</v>
      </c>
      <c r="BG10" s="386" cm="1">
        <f t="array" aca="1" ref="BG10" ca="1">IF(TblConstr[[#This Row],[Hour]:[Hour]]&gt;12,OFFSET(TblConstr[[#This Row],[GN]],-12,0),0)+OFFSET(TblConstr[[#This Row],[Tot GN]],-1,0)-TblConstr[[#This Row],[Dest GN]]</f>
        <v>0</v>
      </c>
      <c r="BH10" s="390" cm="1">
        <f t="array" aca="1" ref="BH10" ca="1">IF(TblConstr[[#This Row],[Hour]:[Hour]]&gt;12,OFFSET(TblConstr[[#This Row],[Fac]],-12,0),0)+OFFSET(TblConstr[[#This Row],[Tot Fac]],-1,0)-TblConstr[[#This Row],[Dest Fac]]</f>
        <v>0</v>
      </c>
      <c r="BI10" s="390" cm="1">
        <f t="array" aca="1" ref="BI10" ca="1">IF(TblConstr[[#This Row],[Hour]:[Hour]]&gt;12,OFFSET(TblConstr[[#This Row],[GT]],-12,0),0)+OFFSET(TblConstr[[#This Row],[Tot GT]],-1,0)-TblConstr[[#This Row],[Dest GT]]</f>
        <v>0</v>
      </c>
      <c r="BJ10" s="390" cm="1">
        <f t="array" aca="1" ref="BJ10" ca="1">IF(TblConstr[[#This Row],[Hour]:[Hour]]&gt;12,OFFSET(TblConstr[[#This Row],[Bar]],-12,0),0)+OFFSET(TblConstr[[#This Row],[Tot Bar]],-1,0)-TblConstr[[#This Row],[Dest Bar]]</f>
        <v>0</v>
      </c>
      <c r="BK10" s="390" cm="1">
        <f t="array" aca="1" ref="BK10" ca="1">IF(TblConstr[[#This Row],[Hour]:[Hour]]&gt;12,OFFSET(TblConstr[[#This Row],[Shr]],-12,0),0)+OFFSET(TblConstr[[#This Row],[Tot Shr]],-1,0)-TblConstr[[#This Row],[Dest Shr]]</f>
        <v>0</v>
      </c>
      <c r="BL10" s="394" cm="1">
        <f t="array" aca="1" ref="BL10" ca="1">IF(TblConstr[[#This Row],[Hour]:[Hour]]&gt;12,OFFSET(TblConstr[[#This Row],[Tow]],-12,0),0)+OFFSET(TblConstr[[#This Row],[Tot Tow]],-1,0)-TblConstr[[#This Row],[Dest Tow]]</f>
        <v>0</v>
      </c>
      <c r="BM10" s="394" cm="1">
        <f t="array" aca="1" ref="BM10" ca="1">IF(TblConstr[[#This Row],[Hour]:[Hour]]&gt;12,OFFSET(TblConstr[[#This Row],[Tem]],-12,0),0)+OFFSET(TblConstr[[#This Row],[Tot Tem]],-1,0)-TblConstr[[#This Row],[Dest Tem]]</f>
        <v>0</v>
      </c>
      <c r="BN10" s="394"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250</v>
      </c>
      <c r="BU10" s="161">
        <f ca="1">TblImps[[#This Row],[Time]]</f>
        <v>45732.249999999985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84">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100</v>
      </c>
      <c r="DA10" s="96">
        <f ca="1">H10+SUM(T$4:U10)+SUM(BD10:BE10)</f>
        <v>40</v>
      </c>
      <c r="DB10" s="45">
        <f ca="1">I10+SUM(V$4:W10)+SUM(BF10:BG10)</f>
        <v>20</v>
      </c>
      <c r="DC10" s="96">
        <f ca="1">J10+SUM(X$4:Y10)+SUM(BH10:BI10)</f>
        <v>20</v>
      </c>
      <c r="DD10" s="96">
        <f ca="1">K10+SUM(AB$4:AD10)+SUM(BL10:BN10)</f>
        <v>20</v>
      </c>
      <c r="DE10" s="45">
        <f ca="1">L10+SUM(AE$4:AE10)+BO10</f>
        <v>20</v>
      </c>
      <c r="DF10" s="96">
        <f ca="1">M10+SUM(AG$4:AG10)+BQ10</f>
        <v>20</v>
      </c>
      <c r="DG10" s="96"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7">
        <f>TblRezone[[#This Row],[Hour]]</f>
        <v>8</v>
      </c>
      <c r="B11" s="178">
        <f ca="1">SUM(TblConstr[[#This Row],[Plain]:[Water]])</f>
        <v>160</v>
      </c>
      <c r="C11" s="179">
        <f ca="1">SUM(TblConstr[[#This Row],[Tot Hom]:[Tot Doc]])</f>
        <v>90</v>
      </c>
      <c r="D11" s="179">
        <f>SUM(O$4:AG11)</f>
        <v>0</v>
      </c>
      <c r="E11" s="180"/>
      <c r="F11" s="61">
        <f ca="1">TblConstr[[#This Row],[Barren]]+TblConstr[[#This Row],[Buildings]]+TblConstr[[#This Row],[Incoming]]</f>
        <v>250</v>
      </c>
      <c r="G11" s="189">
        <f ca="1">OFFSET(TblConstr[[#This Row],[Plain]],-1,0)+TblConstr[[#This Row],[Ch_Plain]]</f>
        <v>40</v>
      </c>
      <c r="H11" s="184">
        <f ca="1">OFFSET(TblConstr[[#This Row],[Forest]],-1,0)+TblConstr[[#This Row],[Ch_Forest]]</f>
        <v>20</v>
      </c>
      <c r="I11" s="384">
        <f ca="1">OFFSET(TblConstr[[#This Row],[Mountain]],-1,0)+TblConstr[[#This Row],[Ch_Mountain]]</f>
        <v>20</v>
      </c>
      <c r="J11" s="388">
        <f ca="1">OFFSET(TblConstr[[#This Row],[Hill]],-1,0)+TblConstr[[#This Row],[Ch_Hill]]</f>
        <v>20</v>
      </c>
      <c r="K11" s="392">
        <f ca="1">OFFSET(TblConstr[[#This Row],[Swamp]],-1,0)+TblConstr[[#This Row],[Ch_Swamp]]</f>
        <v>20</v>
      </c>
      <c r="L11" s="187">
        <f ca="1">OFFSET(TblConstr[[#This Row],[Cavern]],-1,0)+TblConstr[[#This Row],[Ch_Cavern]]</f>
        <v>20</v>
      </c>
      <c r="M11" s="188">
        <f ca="1">OFFSET(TblConstr[[#This Row],[Water]],-1,0)+TblConstr[[#This Row],[Ch_Water]]</f>
        <v>20</v>
      </c>
      <c r="N11" s="382">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45732.29166666665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155519</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6">
        <f ca="1">ROUNDDOWN( MAX(1 - MIN(facs_constr_factor*TblConstr[[#This Row],[Facs -DB]],facs_constr_max) + tech_1_11*TblTech[[#This Row],[11-1]] + tech_6_3_2*TblTech[[#This Row],[6-3]] + tech_5_2_3*TblTech[[#This Row],[5-2]], 1-global_constr_cap) * TblConstr[[#This Row],[RCPA Lumber]],0)</f>
        <v>88</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6">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ROUND((TblConstr[[#This Row],[Land]]-250 - IF(TblExplore[[#This Row],[Land Bonus]]&lt;&gt;0,20,0))*1.25 + 850 + 0,0)</f>
        <v>850</v>
      </c>
      <c r="AW11" s="96">
        <f ca="1">ROUND((TblConstr[[#This Row],[Land]]-250 - IF(TblExplore[[#This Row],[Land Bonus]]&lt;&gt;0,20,0))*0.285 + 87.5 + 0/4.25,0)</f>
        <v>88</v>
      </c>
      <c r="AX11" s="156"/>
      <c r="AY11" s="190" cm="1">
        <f t="array" aca="1" ref="AY11" ca="1">IF(TblConstr[[#This Row],[Hour]:[Hour]]&gt;12,OFFSET(TblConstr[[#This Row],[Hom]],-12,0),0)+OFFSET(TblConstr[[#This Row],[Tot Hom]],-1,0)-TblConstr[[#This Row],[Dest Hom]]</f>
        <v>10</v>
      </c>
      <c r="AZ11" s="191" cm="1">
        <f t="array" aca="1" ref="AZ11" ca="1">IF(TblConstr[[#This Row],[Hour]:[Hour]]&gt;12,OFFSET(TblConstr[[#This Row],[Alc]],-12,0),0)+OFFSET(TblConstr[[#This Row],[Tot Alc]],-1,0)-TblConstr[[#This Row],[Dest Alc]]</f>
        <v>30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86" cm="1">
        <f t="array" aca="1" ref="BF11" ca="1">IF(TblConstr[[#This Row],[Hour]:[Hour]]&gt;12,OFFSET(TblConstr[[#This Row],[OM]],-12,0),0)+OFFSET(TblConstr[[#This Row],[Tot OM]],-1,0)-TblConstr[[#This Row],[Dest OM]]</f>
        <v>0</v>
      </c>
      <c r="BG11" s="386" cm="1">
        <f t="array" aca="1" ref="BG11" ca="1">IF(TblConstr[[#This Row],[Hour]:[Hour]]&gt;12,OFFSET(TblConstr[[#This Row],[GN]],-12,0),0)+OFFSET(TblConstr[[#This Row],[Tot GN]],-1,0)-TblConstr[[#This Row],[Dest GN]]</f>
        <v>0</v>
      </c>
      <c r="BH11" s="390" cm="1">
        <f t="array" aca="1" ref="BH11" ca="1">IF(TblConstr[[#This Row],[Hour]:[Hour]]&gt;12,OFFSET(TblConstr[[#This Row],[Fac]],-12,0),0)+OFFSET(TblConstr[[#This Row],[Tot Fac]],-1,0)-TblConstr[[#This Row],[Dest Fac]]</f>
        <v>0</v>
      </c>
      <c r="BI11" s="390" cm="1">
        <f t="array" aca="1" ref="BI11" ca="1">IF(TblConstr[[#This Row],[Hour]:[Hour]]&gt;12,OFFSET(TblConstr[[#This Row],[GT]],-12,0),0)+OFFSET(TblConstr[[#This Row],[Tot GT]],-1,0)-TblConstr[[#This Row],[Dest GT]]</f>
        <v>0</v>
      </c>
      <c r="BJ11" s="390" cm="1">
        <f t="array" aca="1" ref="BJ11" ca="1">IF(TblConstr[[#This Row],[Hour]:[Hour]]&gt;12,OFFSET(TblConstr[[#This Row],[Bar]],-12,0),0)+OFFSET(TblConstr[[#This Row],[Tot Bar]],-1,0)-TblConstr[[#This Row],[Dest Bar]]</f>
        <v>0</v>
      </c>
      <c r="BK11" s="390" cm="1">
        <f t="array" aca="1" ref="BK11" ca="1">IF(TblConstr[[#This Row],[Hour]:[Hour]]&gt;12,OFFSET(TblConstr[[#This Row],[Shr]],-12,0),0)+OFFSET(TblConstr[[#This Row],[Tot Shr]],-1,0)-TblConstr[[#This Row],[Dest Shr]]</f>
        <v>0</v>
      </c>
      <c r="BL11" s="394" cm="1">
        <f t="array" aca="1" ref="BL11" ca="1">IF(TblConstr[[#This Row],[Hour]:[Hour]]&gt;12,OFFSET(TblConstr[[#This Row],[Tow]],-12,0),0)+OFFSET(TblConstr[[#This Row],[Tot Tow]],-1,0)-TblConstr[[#This Row],[Dest Tow]]</f>
        <v>0</v>
      </c>
      <c r="BM11" s="394" cm="1">
        <f t="array" aca="1" ref="BM11" ca="1">IF(TblConstr[[#This Row],[Hour]:[Hour]]&gt;12,OFFSET(TblConstr[[#This Row],[Tem]],-12,0),0)+OFFSET(TblConstr[[#This Row],[Tot Tem]],-1,0)-TblConstr[[#This Row],[Dest Tem]]</f>
        <v>0</v>
      </c>
      <c r="BN11" s="394"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250</v>
      </c>
      <c r="BU11" s="161">
        <f ca="1">TblImps[[#This Row],[Time]]</f>
        <v>45732.29166666665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84">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100</v>
      </c>
      <c r="DA11" s="96">
        <f ca="1">H11+SUM(T$4:U11)+SUM(BD11:BE11)</f>
        <v>40</v>
      </c>
      <c r="DB11" s="45">
        <f ca="1">I11+SUM(V$4:W11)+SUM(BF11:BG11)</f>
        <v>20</v>
      </c>
      <c r="DC11" s="96">
        <f ca="1">J11+SUM(X$4:Y11)+SUM(BH11:BI11)</f>
        <v>20</v>
      </c>
      <c r="DD11" s="96">
        <f ca="1">K11+SUM(AB$4:AD11)+SUM(BL11:BN11)</f>
        <v>20</v>
      </c>
      <c r="DE11" s="45">
        <f ca="1">L11+SUM(AE$4:AE11)+BO11</f>
        <v>20</v>
      </c>
      <c r="DF11" s="96">
        <f ca="1">M11+SUM(AG$4:AG11)+BQ11</f>
        <v>20</v>
      </c>
      <c r="DG11" s="96"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7">
        <f>TblRezone[[#This Row],[Hour]]</f>
        <v>9</v>
      </c>
      <c r="B12" s="178">
        <f ca="1">SUM(TblConstr[[#This Row],[Plain]:[Water]])</f>
        <v>160</v>
      </c>
      <c r="C12" s="179">
        <f ca="1">SUM(TblConstr[[#This Row],[Tot Hom]:[Tot Doc]])</f>
        <v>90</v>
      </c>
      <c r="D12" s="179">
        <f>SUM(O$4:AG12)</f>
        <v>0</v>
      </c>
      <c r="E12" s="180"/>
      <c r="F12" s="61">
        <f ca="1">TblConstr[[#This Row],[Barren]]+TblConstr[[#This Row],[Buildings]]+TblConstr[[#This Row],[Incoming]]</f>
        <v>250</v>
      </c>
      <c r="G12" s="189">
        <f ca="1">OFFSET(TblConstr[[#This Row],[Plain]],-1,0)+TblConstr[[#This Row],[Ch_Plain]]</f>
        <v>40</v>
      </c>
      <c r="H12" s="184">
        <f ca="1">OFFSET(TblConstr[[#This Row],[Forest]],-1,0)+TblConstr[[#This Row],[Ch_Forest]]</f>
        <v>20</v>
      </c>
      <c r="I12" s="384">
        <f ca="1">OFFSET(TblConstr[[#This Row],[Mountain]],-1,0)+TblConstr[[#This Row],[Ch_Mountain]]</f>
        <v>20</v>
      </c>
      <c r="J12" s="388">
        <f ca="1">OFFSET(TblConstr[[#This Row],[Hill]],-1,0)+TblConstr[[#This Row],[Ch_Hill]]</f>
        <v>20</v>
      </c>
      <c r="K12" s="392">
        <f ca="1">OFFSET(TblConstr[[#This Row],[Swamp]],-1,0)+TblConstr[[#This Row],[Ch_Swamp]]</f>
        <v>20</v>
      </c>
      <c r="L12" s="187">
        <f ca="1">OFFSET(TblConstr[[#This Row],[Cavern]],-1,0)+TblConstr[[#This Row],[Ch_Cavern]]</f>
        <v>20</v>
      </c>
      <c r="M12" s="188">
        <f ca="1">OFFSET(TblConstr[[#This Row],[Water]],-1,0)+TblConstr[[#This Row],[Ch_Water]]</f>
        <v>20</v>
      </c>
      <c r="N12" s="382">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45732.333333333314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160892</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6">
        <f ca="1">ROUNDDOWN( MAX(1 - MIN(facs_constr_factor*TblConstr[[#This Row],[Facs -DB]],facs_constr_max) + tech_1_11*TblTech[[#This Row],[11-1]] + tech_6_3_2*TblTech[[#This Row],[6-3]] + tech_5_2_3*TblTech[[#This Row],[5-2]], 1-global_constr_cap) * TblConstr[[#This Row],[RCPA Lumber]],0)</f>
        <v>88</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6">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ROUND((TblConstr[[#This Row],[Land]]-250 - IF(TblExplore[[#This Row],[Land Bonus]]&lt;&gt;0,20,0))*1.25 + 850 + 0,0)</f>
        <v>850</v>
      </c>
      <c r="AW12" s="96">
        <f ca="1">ROUND((TblConstr[[#This Row],[Land]]-250 - IF(TblExplore[[#This Row],[Land Bonus]]&lt;&gt;0,20,0))*0.285 + 87.5 + 0/4.25,0)</f>
        <v>88</v>
      </c>
      <c r="AX12" s="156"/>
      <c r="AY12" s="190" cm="1">
        <f t="array" aca="1" ref="AY12" ca="1">IF(TblConstr[[#This Row],[Hour]:[Hour]]&gt;12,OFFSET(TblConstr[[#This Row],[Hom]],-12,0),0)+OFFSET(TblConstr[[#This Row],[Tot Hom]],-1,0)-TblConstr[[#This Row],[Dest Hom]]</f>
        <v>10</v>
      </c>
      <c r="AZ12" s="191" cm="1">
        <f t="array" aca="1" ref="AZ12" ca="1">IF(TblConstr[[#This Row],[Hour]:[Hour]]&gt;12,OFFSET(TblConstr[[#This Row],[Alc]],-12,0),0)+OFFSET(TblConstr[[#This Row],[Tot Alc]],-1,0)-TblConstr[[#This Row],[Dest Alc]]</f>
        <v>30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86" cm="1">
        <f t="array" aca="1" ref="BF12" ca="1">IF(TblConstr[[#This Row],[Hour]:[Hour]]&gt;12,OFFSET(TblConstr[[#This Row],[OM]],-12,0),0)+OFFSET(TblConstr[[#This Row],[Tot OM]],-1,0)-TblConstr[[#This Row],[Dest OM]]</f>
        <v>0</v>
      </c>
      <c r="BG12" s="386" cm="1">
        <f t="array" aca="1" ref="BG12" ca="1">IF(TblConstr[[#This Row],[Hour]:[Hour]]&gt;12,OFFSET(TblConstr[[#This Row],[GN]],-12,0),0)+OFFSET(TblConstr[[#This Row],[Tot GN]],-1,0)-TblConstr[[#This Row],[Dest GN]]</f>
        <v>0</v>
      </c>
      <c r="BH12" s="390" cm="1">
        <f t="array" aca="1" ref="BH12" ca="1">IF(TblConstr[[#This Row],[Hour]:[Hour]]&gt;12,OFFSET(TblConstr[[#This Row],[Fac]],-12,0),0)+OFFSET(TblConstr[[#This Row],[Tot Fac]],-1,0)-TblConstr[[#This Row],[Dest Fac]]</f>
        <v>0</v>
      </c>
      <c r="BI12" s="390" cm="1">
        <f t="array" aca="1" ref="BI12" ca="1">IF(TblConstr[[#This Row],[Hour]:[Hour]]&gt;12,OFFSET(TblConstr[[#This Row],[GT]],-12,0),0)+OFFSET(TblConstr[[#This Row],[Tot GT]],-1,0)-TblConstr[[#This Row],[Dest GT]]</f>
        <v>0</v>
      </c>
      <c r="BJ12" s="390" cm="1">
        <f t="array" aca="1" ref="BJ12" ca="1">IF(TblConstr[[#This Row],[Hour]:[Hour]]&gt;12,OFFSET(TblConstr[[#This Row],[Bar]],-12,0),0)+OFFSET(TblConstr[[#This Row],[Tot Bar]],-1,0)-TblConstr[[#This Row],[Dest Bar]]</f>
        <v>0</v>
      </c>
      <c r="BK12" s="390" cm="1">
        <f t="array" aca="1" ref="BK12" ca="1">IF(TblConstr[[#This Row],[Hour]:[Hour]]&gt;12,OFFSET(TblConstr[[#This Row],[Shr]],-12,0),0)+OFFSET(TblConstr[[#This Row],[Tot Shr]],-1,0)-TblConstr[[#This Row],[Dest Shr]]</f>
        <v>0</v>
      </c>
      <c r="BL12" s="394" cm="1">
        <f t="array" aca="1" ref="BL12" ca="1">IF(TblConstr[[#This Row],[Hour]:[Hour]]&gt;12,OFFSET(TblConstr[[#This Row],[Tow]],-12,0),0)+OFFSET(TblConstr[[#This Row],[Tot Tow]],-1,0)-TblConstr[[#This Row],[Dest Tow]]</f>
        <v>0</v>
      </c>
      <c r="BM12" s="394" cm="1">
        <f t="array" aca="1" ref="BM12" ca="1">IF(TblConstr[[#This Row],[Hour]:[Hour]]&gt;12,OFFSET(TblConstr[[#This Row],[Tem]],-12,0),0)+OFFSET(TblConstr[[#This Row],[Tot Tem]],-1,0)-TblConstr[[#This Row],[Dest Tem]]</f>
        <v>0</v>
      </c>
      <c r="BN12" s="394"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250</v>
      </c>
      <c r="BU12" s="161">
        <f ca="1">TblImps[[#This Row],[Time]]</f>
        <v>45732.333333333314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84">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100</v>
      </c>
      <c r="DA12" s="96">
        <f ca="1">H12+SUM(T$4:U12)+SUM(BD12:BE12)</f>
        <v>40</v>
      </c>
      <c r="DB12" s="45">
        <f ca="1">I12+SUM(V$4:W12)+SUM(BF12:BG12)</f>
        <v>20</v>
      </c>
      <c r="DC12" s="96">
        <f ca="1">J12+SUM(X$4:Y12)+SUM(BH12:BI12)</f>
        <v>20</v>
      </c>
      <c r="DD12" s="96">
        <f ca="1">K12+SUM(AB$4:AD12)+SUM(BL12:BN12)</f>
        <v>20</v>
      </c>
      <c r="DE12" s="45">
        <f ca="1">L12+SUM(AE$4:AE12)+BO12</f>
        <v>20</v>
      </c>
      <c r="DF12" s="96">
        <f ca="1">M12+SUM(AG$4:AG12)+BQ12</f>
        <v>20</v>
      </c>
      <c r="DG12" s="96"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7">
        <f>TblRezone[[#This Row],[Hour]]</f>
        <v>10</v>
      </c>
      <c r="B13" s="178">
        <f ca="1">SUM(TblConstr[[#This Row],[Plain]:[Water]])</f>
        <v>160</v>
      </c>
      <c r="C13" s="179">
        <f ca="1">SUM(TblConstr[[#This Row],[Tot Hom]:[Tot Doc]])</f>
        <v>90</v>
      </c>
      <c r="D13" s="179">
        <f>SUM(O$4:AG13)</f>
        <v>0</v>
      </c>
      <c r="E13" s="180"/>
      <c r="F13" s="61">
        <f ca="1">TblConstr[[#This Row],[Barren]]+TblConstr[[#This Row],[Buildings]]+TblConstr[[#This Row],[Incoming]]</f>
        <v>250</v>
      </c>
      <c r="G13" s="189">
        <f ca="1">OFFSET(TblConstr[[#This Row],[Plain]],-1,0)+TblConstr[[#This Row],[Ch_Plain]]</f>
        <v>40</v>
      </c>
      <c r="H13" s="184">
        <f ca="1">OFFSET(TblConstr[[#This Row],[Forest]],-1,0)+TblConstr[[#This Row],[Ch_Forest]]</f>
        <v>20</v>
      </c>
      <c r="I13" s="384">
        <f ca="1">OFFSET(TblConstr[[#This Row],[Mountain]],-1,0)+TblConstr[[#This Row],[Ch_Mountain]]</f>
        <v>20</v>
      </c>
      <c r="J13" s="388">
        <f ca="1">OFFSET(TblConstr[[#This Row],[Hill]],-1,0)+TblConstr[[#This Row],[Ch_Hill]]</f>
        <v>20</v>
      </c>
      <c r="K13" s="392">
        <f ca="1">OFFSET(TblConstr[[#This Row],[Swamp]],-1,0)+TblConstr[[#This Row],[Ch_Swamp]]</f>
        <v>20</v>
      </c>
      <c r="L13" s="187">
        <f ca="1">OFFSET(TblConstr[[#This Row],[Cavern]],-1,0)+TblConstr[[#This Row],[Ch_Cavern]]</f>
        <v>20</v>
      </c>
      <c r="M13" s="188">
        <f ca="1">OFFSET(TblConstr[[#This Row],[Water]],-1,0)+TblConstr[[#This Row],[Ch_Water]]</f>
        <v>20</v>
      </c>
      <c r="N13" s="382">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45732.374999999978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166343</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6">
        <f ca="1">ROUNDDOWN( MAX(1 - MIN(facs_constr_factor*TblConstr[[#This Row],[Facs -DB]],facs_constr_max) + tech_1_11*TblTech[[#This Row],[11-1]] + tech_6_3_2*TblTech[[#This Row],[6-3]] + tech_5_2_3*TblTech[[#This Row],[5-2]], 1-global_constr_cap) * TblConstr[[#This Row],[RCPA Lumber]],0)</f>
        <v>88</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6">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ROUND((TblConstr[[#This Row],[Land]]-250 - IF(TblExplore[[#This Row],[Land Bonus]]&lt;&gt;0,20,0))*1.25 + 850 + 0,0)</f>
        <v>850</v>
      </c>
      <c r="AW13" s="96">
        <f ca="1">ROUND((TblConstr[[#This Row],[Land]]-250 - IF(TblExplore[[#This Row],[Land Bonus]]&lt;&gt;0,20,0))*0.285 + 87.5 + 0/4.25,0)</f>
        <v>88</v>
      </c>
      <c r="AX13" s="156"/>
      <c r="AY13" s="190" cm="1">
        <f t="array" aca="1" ref="AY13" ca="1">IF(TblConstr[[#This Row],[Hour]:[Hour]]&gt;12,OFFSET(TblConstr[[#This Row],[Hom]],-12,0),0)+OFFSET(TblConstr[[#This Row],[Tot Hom]],-1,0)-TblConstr[[#This Row],[Dest Hom]]</f>
        <v>10</v>
      </c>
      <c r="AZ13" s="191" cm="1">
        <f t="array" aca="1" ref="AZ13" ca="1">IF(TblConstr[[#This Row],[Hour]:[Hour]]&gt;12,OFFSET(TblConstr[[#This Row],[Alc]],-12,0),0)+OFFSET(TblConstr[[#This Row],[Tot Alc]],-1,0)-TblConstr[[#This Row],[Dest Alc]]</f>
        <v>30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86" cm="1">
        <f t="array" aca="1" ref="BF13" ca="1">IF(TblConstr[[#This Row],[Hour]:[Hour]]&gt;12,OFFSET(TblConstr[[#This Row],[OM]],-12,0),0)+OFFSET(TblConstr[[#This Row],[Tot OM]],-1,0)-TblConstr[[#This Row],[Dest OM]]</f>
        <v>0</v>
      </c>
      <c r="BG13" s="386" cm="1">
        <f t="array" aca="1" ref="BG13" ca="1">IF(TblConstr[[#This Row],[Hour]:[Hour]]&gt;12,OFFSET(TblConstr[[#This Row],[GN]],-12,0),0)+OFFSET(TblConstr[[#This Row],[Tot GN]],-1,0)-TblConstr[[#This Row],[Dest GN]]</f>
        <v>0</v>
      </c>
      <c r="BH13" s="390" cm="1">
        <f t="array" aca="1" ref="BH13" ca="1">IF(TblConstr[[#This Row],[Hour]:[Hour]]&gt;12,OFFSET(TblConstr[[#This Row],[Fac]],-12,0),0)+OFFSET(TblConstr[[#This Row],[Tot Fac]],-1,0)-TblConstr[[#This Row],[Dest Fac]]</f>
        <v>0</v>
      </c>
      <c r="BI13" s="390" cm="1">
        <f t="array" aca="1" ref="BI13" ca="1">IF(TblConstr[[#This Row],[Hour]:[Hour]]&gt;12,OFFSET(TblConstr[[#This Row],[GT]],-12,0),0)+OFFSET(TblConstr[[#This Row],[Tot GT]],-1,0)-TblConstr[[#This Row],[Dest GT]]</f>
        <v>0</v>
      </c>
      <c r="BJ13" s="390" cm="1">
        <f t="array" aca="1" ref="BJ13" ca="1">IF(TblConstr[[#This Row],[Hour]:[Hour]]&gt;12,OFFSET(TblConstr[[#This Row],[Bar]],-12,0),0)+OFFSET(TblConstr[[#This Row],[Tot Bar]],-1,0)-TblConstr[[#This Row],[Dest Bar]]</f>
        <v>0</v>
      </c>
      <c r="BK13" s="390" cm="1">
        <f t="array" aca="1" ref="BK13" ca="1">IF(TblConstr[[#This Row],[Hour]:[Hour]]&gt;12,OFFSET(TblConstr[[#This Row],[Shr]],-12,0),0)+OFFSET(TblConstr[[#This Row],[Tot Shr]],-1,0)-TblConstr[[#This Row],[Dest Shr]]</f>
        <v>0</v>
      </c>
      <c r="BL13" s="394" cm="1">
        <f t="array" aca="1" ref="BL13" ca="1">IF(TblConstr[[#This Row],[Hour]:[Hour]]&gt;12,OFFSET(TblConstr[[#This Row],[Tow]],-12,0),0)+OFFSET(TblConstr[[#This Row],[Tot Tow]],-1,0)-TblConstr[[#This Row],[Dest Tow]]</f>
        <v>0</v>
      </c>
      <c r="BM13" s="394" cm="1">
        <f t="array" aca="1" ref="BM13" ca="1">IF(TblConstr[[#This Row],[Hour]:[Hour]]&gt;12,OFFSET(TblConstr[[#This Row],[Tem]],-12,0),0)+OFFSET(TblConstr[[#This Row],[Tot Tem]],-1,0)-TblConstr[[#This Row],[Dest Tem]]</f>
        <v>0</v>
      </c>
      <c r="BN13" s="394"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250</v>
      </c>
      <c r="BU13" s="161">
        <f ca="1">TblImps[[#This Row],[Time]]</f>
        <v>45732.374999999978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84">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100</v>
      </c>
      <c r="DA13" s="96">
        <f ca="1">H13+SUM(T$4:U13)+SUM(BD13:BE13)</f>
        <v>40</v>
      </c>
      <c r="DB13" s="45">
        <f ca="1">I13+SUM(V$4:W13)+SUM(BF13:BG13)</f>
        <v>20</v>
      </c>
      <c r="DC13" s="96">
        <f ca="1">J13+SUM(X$4:Y13)+SUM(BH13:BI13)</f>
        <v>20</v>
      </c>
      <c r="DD13" s="96">
        <f ca="1">K13+SUM(AB$4:AD13)+SUM(BL13:BN13)</f>
        <v>20</v>
      </c>
      <c r="DE13" s="45">
        <f ca="1">L13+SUM(AE$4:AE13)+BO13</f>
        <v>20</v>
      </c>
      <c r="DF13" s="96">
        <f ca="1">M13+SUM(AG$4:AG13)+BQ13</f>
        <v>20</v>
      </c>
      <c r="DG13" s="96"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7">
        <f>TblRezone[[#This Row],[Hour]]</f>
        <v>11</v>
      </c>
      <c r="B14" s="178">
        <f ca="1">SUM(TblConstr[[#This Row],[Plain]:[Water]])</f>
        <v>160</v>
      </c>
      <c r="C14" s="179">
        <f ca="1">SUM(TblConstr[[#This Row],[Tot Hom]:[Tot Doc]])</f>
        <v>90</v>
      </c>
      <c r="D14" s="179">
        <f>SUM(O$4:AG14)</f>
        <v>0</v>
      </c>
      <c r="E14" s="180"/>
      <c r="F14" s="61">
        <f ca="1">TblConstr[[#This Row],[Barren]]+TblConstr[[#This Row],[Buildings]]+TblConstr[[#This Row],[Incoming]]</f>
        <v>250</v>
      </c>
      <c r="G14" s="189">
        <f ca="1">OFFSET(TblConstr[[#This Row],[Plain]],-1,0)+TblConstr[[#This Row],[Ch_Plain]]</f>
        <v>40</v>
      </c>
      <c r="H14" s="184">
        <f ca="1">OFFSET(TblConstr[[#This Row],[Forest]],-1,0)+TblConstr[[#This Row],[Ch_Forest]]</f>
        <v>20</v>
      </c>
      <c r="I14" s="384">
        <f ca="1">OFFSET(TblConstr[[#This Row],[Mountain]],-1,0)+TblConstr[[#This Row],[Ch_Mountain]]</f>
        <v>20</v>
      </c>
      <c r="J14" s="388">
        <f ca="1">OFFSET(TblConstr[[#This Row],[Hill]],-1,0)+TblConstr[[#This Row],[Ch_Hill]]</f>
        <v>20</v>
      </c>
      <c r="K14" s="392">
        <f ca="1">OFFSET(TblConstr[[#This Row],[Swamp]],-1,0)+TblConstr[[#This Row],[Ch_Swamp]]</f>
        <v>20</v>
      </c>
      <c r="L14" s="187">
        <f ca="1">OFFSET(TblConstr[[#This Row],[Cavern]],-1,0)+TblConstr[[#This Row],[Ch_Cavern]]</f>
        <v>20</v>
      </c>
      <c r="M14" s="188">
        <f ca="1">OFFSET(TblConstr[[#This Row],[Water]],-1,0)+TblConstr[[#This Row],[Ch_Water]]</f>
        <v>20</v>
      </c>
      <c r="N14" s="382">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45732.416666666642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171875</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6">
        <f ca="1">ROUNDDOWN( MAX(1 - MIN(facs_constr_factor*TblConstr[[#This Row],[Facs -DB]],facs_constr_max) + tech_1_11*TblTech[[#This Row],[11-1]] + tech_6_3_2*TblTech[[#This Row],[6-3]] + tech_5_2_3*TblTech[[#This Row],[5-2]], 1-global_constr_cap) * TblConstr[[#This Row],[RCPA Lumber]],0)</f>
        <v>88</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6">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ROUND((TblConstr[[#This Row],[Land]]-250 - IF(TblExplore[[#This Row],[Land Bonus]]&lt;&gt;0,20,0))*1.25 + 850 + 0,0)</f>
        <v>850</v>
      </c>
      <c r="AW14" s="96">
        <f ca="1">ROUND((TblConstr[[#This Row],[Land]]-250 - IF(TblExplore[[#This Row],[Land Bonus]]&lt;&gt;0,20,0))*0.285 + 87.5 + 0/4.25,0)</f>
        <v>88</v>
      </c>
      <c r="AX14" s="156"/>
      <c r="AY14" s="190" cm="1">
        <f t="array" aca="1" ref="AY14" ca="1">IF(TblConstr[[#This Row],[Hour]:[Hour]]&gt;12,OFFSET(TblConstr[[#This Row],[Hom]],-12,0),0)+OFFSET(TblConstr[[#This Row],[Tot Hom]],-1,0)-TblConstr[[#This Row],[Dest Hom]]</f>
        <v>10</v>
      </c>
      <c r="AZ14" s="191" cm="1">
        <f t="array" aca="1" ref="AZ14" ca="1">IF(TblConstr[[#This Row],[Hour]:[Hour]]&gt;12,OFFSET(TblConstr[[#This Row],[Alc]],-12,0),0)+OFFSET(TblConstr[[#This Row],[Tot Alc]],-1,0)-TblConstr[[#This Row],[Dest Alc]]</f>
        <v>30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86" cm="1">
        <f t="array" aca="1" ref="BF14" ca="1">IF(TblConstr[[#This Row],[Hour]:[Hour]]&gt;12,OFFSET(TblConstr[[#This Row],[OM]],-12,0),0)+OFFSET(TblConstr[[#This Row],[Tot OM]],-1,0)-TblConstr[[#This Row],[Dest OM]]</f>
        <v>0</v>
      </c>
      <c r="BG14" s="386" cm="1">
        <f t="array" aca="1" ref="BG14" ca="1">IF(TblConstr[[#This Row],[Hour]:[Hour]]&gt;12,OFFSET(TblConstr[[#This Row],[GN]],-12,0),0)+OFFSET(TblConstr[[#This Row],[Tot GN]],-1,0)-TblConstr[[#This Row],[Dest GN]]</f>
        <v>0</v>
      </c>
      <c r="BH14" s="390" cm="1">
        <f t="array" aca="1" ref="BH14" ca="1">IF(TblConstr[[#This Row],[Hour]:[Hour]]&gt;12,OFFSET(TblConstr[[#This Row],[Fac]],-12,0),0)+OFFSET(TblConstr[[#This Row],[Tot Fac]],-1,0)-TblConstr[[#This Row],[Dest Fac]]</f>
        <v>0</v>
      </c>
      <c r="BI14" s="390" cm="1">
        <f t="array" aca="1" ref="BI14" ca="1">IF(TblConstr[[#This Row],[Hour]:[Hour]]&gt;12,OFFSET(TblConstr[[#This Row],[GT]],-12,0),0)+OFFSET(TblConstr[[#This Row],[Tot GT]],-1,0)-TblConstr[[#This Row],[Dest GT]]</f>
        <v>0</v>
      </c>
      <c r="BJ14" s="390" cm="1">
        <f t="array" aca="1" ref="BJ14" ca="1">IF(TblConstr[[#This Row],[Hour]:[Hour]]&gt;12,OFFSET(TblConstr[[#This Row],[Bar]],-12,0),0)+OFFSET(TblConstr[[#This Row],[Tot Bar]],-1,0)-TblConstr[[#This Row],[Dest Bar]]</f>
        <v>0</v>
      </c>
      <c r="BK14" s="390" cm="1">
        <f t="array" aca="1" ref="BK14" ca="1">IF(TblConstr[[#This Row],[Hour]:[Hour]]&gt;12,OFFSET(TblConstr[[#This Row],[Shr]],-12,0),0)+OFFSET(TblConstr[[#This Row],[Tot Shr]],-1,0)-TblConstr[[#This Row],[Dest Shr]]</f>
        <v>0</v>
      </c>
      <c r="BL14" s="394" cm="1">
        <f t="array" aca="1" ref="BL14" ca="1">IF(TblConstr[[#This Row],[Hour]:[Hour]]&gt;12,OFFSET(TblConstr[[#This Row],[Tow]],-12,0),0)+OFFSET(TblConstr[[#This Row],[Tot Tow]],-1,0)-TblConstr[[#This Row],[Dest Tow]]</f>
        <v>0</v>
      </c>
      <c r="BM14" s="394" cm="1">
        <f t="array" aca="1" ref="BM14" ca="1">IF(TblConstr[[#This Row],[Hour]:[Hour]]&gt;12,OFFSET(TblConstr[[#This Row],[Tem]],-12,0),0)+OFFSET(TblConstr[[#This Row],[Tot Tem]],-1,0)-TblConstr[[#This Row],[Dest Tem]]</f>
        <v>0</v>
      </c>
      <c r="BN14" s="394"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250</v>
      </c>
      <c r="BU14" s="161">
        <f ca="1">TblImps[[#This Row],[Time]]</f>
        <v>45732.416666666642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84">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100</v>
      </c>
      <c r="DA14" s="96">
        <f ca="1">H14+SUM(T$4:U14)+SUM(BD14:BE14)</f>
        <v>40</v>
      </c>
      <c r="DB14" s="45">
        <f ca="1">I14+SUM(V$4:W14)+SUM(BF14:BG14)</f>
        <v>20</v>
      </c>
      <c r="DC14" s="96">
        <f ca="1">J14+SUM(X$4:Y14)+SUM(BH14:BI14)</f>
        <v>20</v>
      </c>
      <c r="DD14" s="96">
        <f ca="1">K14+SUM(AB$4:AD14)+SUM(BL14:BN14)</f>
        <v>20</v>
      </c>
      <c r="DE14" s="45">
        <f ca="1">L14+SUM(AE$4:AE14)+BO14</f>
        <v>20</v>
      </c>
      <c r="DF14" s="96">
        <f ca="1">M14+SUM(AG$4:AG14)+BQ14</f>
        <v>20</v>
      </c>
      <c r="DG14" s="96"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7">
        <f>TblRezone[[#This Row],[Hour]]</f>
        <v>12</v>
      </c>
      <c r="B15" s="178">
        <f ca="1">SUM(TblConstr[[#This Row],[Plain]:[Water]])</f>
        <v>160</v>
      </c>
      <c r="C15" s="179">
        <f ca="1">SUM(TblConstr[[#This Row],[Tot Hom]:[Tot Doc]])</f>
        <v>90</v>
      </c>
      <c r="D15" s="179">
        <f>SUM(O$4:AG15)</f>
        <v>0</v>
      </c>
      <c r="E15" s="180"/>
      <c r="F15" s="61">
        <f ca="1">TblConstr[[#This Row],[Barren]]+TblConstr[[#This Row],[Buildings]]+TblConstr[[#This Row],[Incoming]]</f>
        <v>250</v>
      </c>
      <c r="G15" s="189">
        <f ca="1">OFFSET(TblConstr[[#This Row],[Plain]],-1,0)+TblConstr[[#This Row],[Ch_Plain]]</f>
        <v>40</v>
      </c>
      <c r="H15" s="184">
        <f ca="1">OFFSET(TblConstr[[#This Row],[Forest]],-1,0)+TblConstr[[#This Row],[Ch_Forest]]</f>
        <v>20</v>
      </c>
      <c r="I15" s="384">
        <f ca="1">OFFSET(TblConstr[[#This Row],[Mountain]],-1,0)+TblConstr[[#This Row],[Ch_Mountain]]</f>
        <v>20</v>
      </c>
      <c r="J15" s="388">
        <f ca="1">OFFSET(TblConstr[[#This Row],[Hill]],-1,0)+TblConstr[[#This Row],[Ch_Hill]]</f>
        <v>20</v>
      </c>
      <c r="K15" s="392">
        <f ca="1">OFFSET(TblConstr[[#This Row],[Swamp]],-1,0)+TblConstr[[#This Row],[Ch_Swamp]]</f>
        <v>20</v>
      </c>
      <c r="L15" s="187">
        <f ca="1">OFFSET(TblConstr[[#This Row],[Cavern]],-1,0)+TblConstr[[#This Row],[Ch_Cavern]]</f>
        <v>20</v>
      </c>
      <c r="M15" s="188">
        <f ca="1">OFFSET(TblConstr[[#This Row],[Water]],-1,0)+TblConstr[[#This Row],[Ch_Water]]</f>
        <v>20</v>
      </c>
      <c r="N15" s="382">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45732.458333333307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177491</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6">
        <f ca="1">ROUNDDOWN( MAX(1 - MIN(facs_constr_factor*TblConstr[[#This Row],[Facs -DB]],facs_constr_max) + tech_1_11*TblTech[[#This Row],[11-1]] + tech_6_3_2*TblTech[[#This Row],[6-3]] + tech_5_2_3*TblTech[[#This Row],[5-2]], 1-global_constr_cap) * TblConstr[[#This Row],[RCPA Lumber]],0)</f>
        <v>88</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6">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ROUND((TblConstr[[#This Row],[Land]]-250 - IF(TblExplore[[#This Row],[Land Bonus]]&lt;&gt;0,20,0))*1.25 + 850 + 0,0)</f>
        <v>850</v>
      </c>
      <c r="AW15" s="96">
        <f ca="1">ROUND((TblConstr[[#This Row],[Land]]-250 - IF(TblExplore[[#This Row],[Land Bonus]]&lt;&gt;0,20,0))*0.285 + 87.5 + 0/4.25,0)</f>
        <v>88</v>
      </c>
      <c r="AX15" s="156"/>
      <c r="AY15" s="190" cm="1">
        <f t="array" aca="1" ref="AY15" ca="1">IF(TblConstr[[#This Row],[Hour]:[Hour]]&gt;12,OFFSET(TblConstr[[#This Row],[Hom]],-12,0),0)+OFFSET(TblConstr[[#This Row],[Tot Hom]],-1,0)-TblConstr[[#This Row],[Dest Hom]]</f>
        <v>10</v>
      </c>
      <c r="AZ15" s="191" cm="1">
        <f t="array" aca="1" ref="AZ15" ca="1">IF(TblConstr[[#This Row],[Hour]:[Hour]]&gt;12,OFFSET(TblConstr[[#This Row],[Alc]],-12,0),0)+OFFSET(TblConstr[[#This Row],[Tot Alc]],-1,0)-TblConstr[[#This Row],[Dest Alc]]</f>
        <v>30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86" cm="1">
        <f t="array" aca="1" ref="BF15" ca="1">IF(TblConstr[[#This Row],[Hour]:[Hour]]&gt;12,OFFSET(TblConstr[[#This Row],[OM]],-12,0),0)+OFFSET(TblConstr[[#This Row],[Tot OM]],-1,0)-TblConstr[[#This Row],[Dest OM]]</f>
        <v>0</v>
      </c>
      <c r="BG15" s="386" cm="1">
        <f t="array" aca="1" ref="BG15" ca="1">IF(TblConstr[[#This Row],[Hour]:[Hour]]&gt;12,OFFSET(TblConstr[[#This Row],[GN]],-12,0),0)+OFFSET(TblConstr[[#This Row],[Tot GN]],-1,0)-TblConstr[[#This Row],[Dest GN]]</f>
        <v>0</v>
      </c>
      <c r="BH15" s="390" cm="1">
        <f t="array" aca="1" ref="BH15" ca="1">IF(TblConstr[[#This Row],[Hour]:[Hour]]&gt;12,OFFSET(TblConstr[[#This Row],[Fac]],-12,0),0)+OFFSET(TblConstr[[#This Row],[Tot Fac]],-1,0)-TblConstr[[#This Row],[Dest Fac]]</f>
        <v>0</v>
      </c>
      <c r="BI15" s="390" cm="1">
        <f t="array" aca="1" ref="BI15" ca="1">IF(TblConstr[[#This Row],[Hour]:[Hour]]&gt;12,OFFSET(TblConstr[[#This Row],[GT]],-12,0),0)+OFFSET(TblConstr[[#This Row],[Tot GT]],-1,0)-TblConstr[[#This Row],[Dest GT]]</f>
        <v>0</v>
      </c>
      <c r="BJ15" s="390" cm="1">
        <f t="array" aca="1" ref="BJ15" ca="1">IF(TblConstr[[#This Row],[Hour]:[Hour]]&gt;12,OFFSET(TblConstr[[#This Row],[Bar]],-12,0),0)+OFFSET(TblConstr[[#This Row],[Tot Bar]],-1,0)-TblConstr[[#This Row],[Dest Bar]]</f>
        <v>0</v>
      </c>
      <c r="BK15" s="390" cm="1">
        <f t="array" aca="1" ref="BK15" ca="1">IF(TblConstr[[#This Row],[Hour]:[Hour]]&gt;12,OFFSET(TblConstr[[#This Row],[Shr]],-12,0),0)+OFFSET(TblConstr[[#This Row],[Tot Shr]],-1,0)-TblConstr[[#This Row],[Dest Shr]]</f>
        <v>0</v>
      </c>
      <c r="BL15" s="394" cm="1">
        <f t="array" aca="1" ref="BL15" ca="1">IF(TblConstr[[#This Row],[Hour]:[Hour]]&gt;12,OFFSET(TblConstr[[#This Row],[Tow]],-12,0),0)+OFFSET(TblConstr[[#This Row],[Tot Tow]],-1,0)-TblConstr[[#This Row],[Dest Tow]]</f>
        <v>0</v>
      </c>
      <c r="BM15" s="394" cm="1">
        <f t="array" aca="1" ref="BM15" ca="1">IF(TblConstr[[#This Row],[Hour]:[Hour]]&gt;12,OFFSET(TblConstr[[#This Row],[Tem]],-12,0),0)+OFFSET(TblConstr[[#This Row],[Tot Tem]],-1,0)-TblConstr[[#This Row],[Dest Tem]]</f>
        <v>0</v>
      </c>
      <c r="BN15" s="394"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250</v>
      </c>
      <c r="BU15" s="161">
        <f ca="1">TblImps[[#This Row],[Time]]</f>
        <v>45732.458333333307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84">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100</v>
      </c>
      <c r="DA15" s="96">
        <f ca="1">H15+SUM(T$4:U15)+SUM(BD15:BE15)</f>
        <v>40</v>
      </c>
      <c r="DB15" s="45">
        <f ca="1">I15+SUM(V$4:W15)+SUM(BF15:BG15)</f>
        <v>20</v>
      </c>
      <c r="DC15" s="96">
        <f ca="1">J15+SUM(X$4:Y15)+SUM(BH15:BI15)</f>
        <v>20</v>
      </c>
      <c r="DD15" s="96">
        <f ca="1">K15+SUM(AB$4:AD15)+SUM(BL15:BN15)</f>
        <v>20</v>
      </c>
      <c r="DE15" s="45">
        <f ca="1">L15+SUM(AE$4:AE15)+BO15</f>
        <v>20</v>
      </c>
      <c r="DF15" s="96">
        <f ca="1">M15+SUM(AG$4:AG15)+BQ15</f>
        <v>20</v>
      </c>
      <c r="DG15" s="96"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7">
        <f>TblRezone[[#This Row],[Hour]]</f>
        <v>13</v>
      </c>
      <c r="B16" s="178">
        <f ca="1">SUM(TblConstr[[#This Row],[Plain]:[Water]])</f>
        <v>160</v>
      </c>
      <c r="C16" s="179">
        <f ca="1">SUM(TblConstr[[#This Row],[Tot Hom]:[Tot Doc]])</f>
        <v>90</v>
      </c>
      <c r="D16" s="179">
        <f t="shared" ref="D16:D46" si="2">SUM(O5:AG16)</f>
        <v>0</v>
      </c>
      <c r="E16" s="180"/>
      <c r="F16" s="61">
        <f ca="1">TblConstr[[#This Row],[Barren]]+TblConstr[[#This Row],[Buildings]]+TblConstr[[#This Row],[Incoming]]</f>
        <v>250</v>
      </c>
      <c r="G16" s="189">
        <f ca="1">OFFSET(TblConstr[[#This Row],[Plain]],-1,0)+TblConstr[[#This Row],[Ch_Plain]]</f>
        <v>40</v>
      </c>
      <c r="H16" s="184">
        <f ca="1">OFFSET(TblConstr[[#This Row],[Forest]],-1,0)+TblConstr[[#This Row],[Ch_Forest]]</f>
        <v>20</v>
      </c>
      <c r="I16" s="384">
        <f ca="1">OFFSET(TblConstr[[#This Row],[Mountain]],-1,0)+TblConstr[[#This Row],[Ch_Mountain]]</f>
        <v>20</v>
      </c>
      <c r="J16" s="388">
        <f ca="1">OFFSET(TblConstr[[#This Row],[Hill]],-1,0)+TblConstr[[#This Row],[Ch_Hill]]</f>
        <v>20</v>
      </c>
      <c r="K16" s="392">
        <f ca="1">OFFSET(TblConstr[[#This Row],[Swamp]],-1,0)+TblConstr[[#This Row],[Ch_Swamp]]</f>
        <v>20</v>
      </c>
      <c r="L16" s="187">
        <f ca="1">OFFSET(TblConstr[[#This Row],[Cavern]],-1,0)+TblConstr[[#This Row],[Ch_Cavern]]</f>
        <v>20</v>
      </c>
      <c r="M16" s="188">
        <f ca="1">OFFSET(TblConstr[[#This Row],[Water]],-1,0)+TblConstr[[#This Row],[Ch_Water]]</f>
        <v>20</v>
      </c>
      <c r="N16" s="382">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45732.499999999971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183161</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6">
        <f ca="1">ROUNDDOWN( MAX(1 - MIN(facs_constr_factor*TblConstr[[#This Row],[Facs -DB]],facs_constr_max) + tech_1_11*TblTech[[#This Row],[11-1]] + tech_6_3_2*TblTech[[#This Row],[6-3]] + tech_5_2_3*TblTech[[#This Row],[5-2]], 1-global_constr_cap) * TblConstr[[#This Row],[RCPA Lumber]],0)</f>
        <v>88</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6">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ROUND((TblConstr[[#This Row],[Land]]-250 - IF(TblExplore[[#This Row],[Land Bonus]]&lt;&gt;0,20,0))*1.25 + 850 + 0,0)</f>
        <v>850</v>
      </c>
      <c r="AW16" s="96">
        <f ca="1">ROUND((TblConstr[[#This Row],[Land]]-250 - IF(TblExplore[[#This Row],[Land Bonus]]&lt;&gt;0,20,0))*0.285 + 87.5 + 0/4.25,0)</f>
        <v>88</v>
      </c>
      <c r="AX16" s="156"/>
      <c r="AY16" s="190" cm="1">
        <f t="array" aca="1" ref="AY16" ca="1">IF(TblConstr[[#This Row],[Hour]:[Hour]]&gt;12,OFFSET(TblConstr[[#This Row],[Hom]],-12,0),0)+OFFSET(TblConstr[[#This Row],[Tot Hom]],-1,0)-TblConstr[[#This Row],[Dest Hom]]</f>
        <v>10</v>
      </c>
      <c r="AZ16" s="191">
        <f ca="1">IF(TblConstr[[#This Row],[Hour]:[Hour]]&gt;12,OFFSET(TblConstr[[#This Row],[Alc]],-12,0),0)+OFFSET(TblConstr[[#This Row],[Tot Alc]],-1,0)-TblConstr[[#This Row],[Dest Alc]]</f>
        <v>30</v>
      </c>
      <c r="BA16" s="191" cm="1">
        <f t="array" aca="1" ref="BA16" ca="1">IF(TblConstr[[#This Row],[Hour]:[Hour]]&gt;12,OFFSET(TblConstr[[#This Row],[Far]],-12,0),0)+OFFSET(TblConstr[[#This Row],[Tot Farm]],-1,0)-TblConstr[[#This Row],[Dest Farm]]</f>
        <v>30</v>
      </c>
      <c r="BB16" s="191" cm="1">
        <f t="array" aca="1" ref="BB16" ca="1">IF(TblConstr[[#This Row],[Hour]:[Hour]]&gt;12,OFFSET(TblConstr[[#This Row],[Smi]],-12,0),0)+OFFSET(TblConstr[[#This Row],[Tot Smi]],-1,0)-TblConstr[[#This Row],[Dest Smi]]</f>
        <v>0</v>
      </c>
      <c r="BC16" s="191" cm="1">
        <f t="array" aca="1" ref="BC16" ca="1">IF(TblConstr[[#This Row],[Hour]:[Hour]]&gt;12,OFFSET(TblConstr[[#This Row],[Mas]],-12,0),0)+OFFSET(TblConstr[[#This Row],[Tot Mas]],-1,0)-TblConstr[[#This Row],[Dest Mas]]</f>
        <v>0</v>
      </c>
      <c r="BD16" s="192" cm="1">
        <f t="array" aca="1" ref="BD16" ca="1">IF(TblConstr[[#This Row],[Hour]:[Hour]]&gt;12,OFFSET(TblConstr[[#This Row],[Ly]],-12,0),0)+OFFSET(TblConstr[[#This Row],[Tot Ly]],-1,0)-TblConstr[[#This Row],[Dest Ly]]</f>
        <v>20</v>
      </c>
      <c r="BE16" s="192" cm="1">
        <f t="array" aca="1" ref="BE16" ca="1">IF(TblConstr[[#This Row],[Hour]:[Hour]]&gt;12,OFFSET(TblConstr[[#This Row],[Hav]],-12,0),0)+OFFSET(TblConstr[[#This Row],[Tot Hav]],-1,0)-TblConstr[[#This Row],[Dest Hav]]</f>
        <v>0</v>
      </c>
      <c r="BF16" s="386" cm="1">
        <f t="array" aca="1" ref="BF16" ca="1">IF(TblConstr[[#This Row],[Hour]:[Hour]]&gt;12,OFFSET(TblConstr[[#This Row],[OM]],-12,0),0)+OFFSET(TblConstr[[#This Row],[Tot OM]],-1,0)-TblConstr[[#This Row],[Dest OM]]</f>
        <v>0</v>
      </c>
      <c r="BG16" s="386" cm="1">
        <f t="array" aca="1" ref="BG16" ca="1">IF(TblConstr[[#This Row],[Hour]:[Hour]]&gt;12,OFFSET(TblConstr[[#This Row],[GN]],-12,0),0)+OFFSET(TblConstr[[#This Row],[Tot GN]],-1,0)-TblConstr[[#This Row],[Dest GN]]</f>
        <v>0</v>
      </c>
      <c r="BH16" s="390" cm="1">
        <f t="array" aca="1" ref="BH16" ca="1">IF(TblConstr[[#This Row],[Hour]:[Hour]]&gt;12,OFFSET(TblConstr[[#This Row],[Fac]],-12,0),0)+OFFSET(TblConstr[[#This Row],[Tot Fac]],-1,0)-TblConstr[[#This Row],[Dest Fac]]</f>
        <v>0</v>
      </c>
      <c r="BI16" s="390" cm="1">
        <f t="array" aca="1" ref="BI16" ca="1">IF(TblConstr[[#This Row],[Hour]:[Hour]]&gt;12,OFFSET(TblConstr[[#This Row],[GT]],-12,0),0)+OFFSET(TblConstr[[#This Row],[Tot GT]],-1,0)-TblConstr[[#This Row],[Dest GT]]</f>
        <v>0</v>
      </c>
      <c r="BJ16" s="390" cm="1">
        <f t="array" aca="1" ref="BJ16" ca="1">IF(TblConstr[[#This Row],[Hour]:[Hour]]&gt;12,OFFSET(TblConstr[[#This Row],[Bar]],-12,0),0)+OFFSET(TblConstr[[#This Row],[Tot Bar]],-1,0)-TblConstr[[#This Row],[Dest Bar]]</f>
        <v>0</v>
      </c>
      <c r="BK16" s="390" cm="1">
        <f t="array" aca="1" ref="BK16" ca="1">IF(TblConstr[[#This Row],[Hour]:[Hour]]&gt;12,OFFSET(TblConstr[[#This Row],[Shr]],-12,0),0)+OFFSET(TblConstr[[#This Row],[Tot Shr]],-1,0)-TblConstr[[#This Row],[Dest Shr]]</f>
        <v>0</v>
      </c>
      <c r="BL16" s="394" cm="1">
        <f t="array" aca="1" ref="BL16" ca="1">IF(TblConstr[[#This Row],[Hour]:[Hour]]&gt;12,OFFSET(TblConstr[[#This Row],[Tow]],-12,0),0)+OFFSET(TblConstr[[#This Row],[Tot Tow]],-1,0)-TblConstr[[#This Row],[Dest Tow]]</f>
        <v>0</v>
      </c>
      <c r="BM16" s="394" cm="1">
        <f t="array" aca="1" ref="BM16" ca="1">IF(TblConstr[[#This Row],[Hour]:[Hour]]&gt;12,OFFSET(TblConstr[[#This Row],[Tem]],-12,0),0)+OFFSET(TblConstr[[#This Row],[Tot Tem]],-1,0)-TblConstr[[#This Row],[Dest Tem]]</f>
        <v>0</v>
      </c>
      <c r="BN16" s="394" cm="1">
        <f t="array" aca="1" ref="BN16" ca="1">IF(TblConstr[[#This Row],[Hour]:[Hour]]&gt;12,OFFSET(TblConstr[[#This Row],[WG]],-12,0),0)+OFFSET(TblConstr[[#This Row],[Tot WG]],-1,0)-TblConstr[[#This Row],[Dest WG]]</f>
        <v>0</v>
      </c>
      <c r="BO16" s="193" cm="1">
        <f t="array" aca="1" ref="BO16" ca="1">IF(TblConstr[[#This Row],[Hour]:[Hour]]&gt;12,OFFSET(TblConstr[[#This Row],[DM]],-12,0),0)+OFFSET(TblConstr[[#This Row],[Tot DM]],-1,0)-TblConstr[[#This Row],[Dest DM]]</f>
        <v>0</v>
      </c>
      <c r="BP16" s="193" cm="1">
        <f t="array" aca="1" ref="BP16" ca="1">IF(TblConstr[[#This Row],[Hour]:[Hour]]&gt;12,OFFSET(TblConstr[[#This Row],[Sch]],-12,0),0)+OFFSET(TblConstr[[#This Row],[Tot Sch]],-1,0)-TblConstr[[#This Row],[Dest Sch]]</f>
        <v>0</v>
      </c>
      <c r="BQ16" s="194" cm="1">
        <f t="array" aca="1" ref="BQ16" ca="1">IF(TblConstr[[#This Row],[Hour]:[Hour]]&gt;12,OFFSET(TblConstr[[#This Row],[Doc]],-12,0),0)+OFFSET(TblConstr[[#This Row],[Tot Doc]],-1,0)-TblConstr[[#This Row],[Dest Doc]]</f>
        <v>0</v>
      </c>
      <c r="BR16" s="144"/>
      <c r="BS16" s="156"/>
      <c r="BT16" s="96">
        <f ca="1">TblConstr[[#This Row],[Land]]</f>
        <v>250</v>
      </c>
      <c r="BU16" s="161">
        <f ca="1">TblImps[[#This Row],[Time]]</f>
        <v>45732.499999999971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84">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100</v>
      </c>
      <c r="DA16" s="96">
        <f t="shared" ref="DA16:DA47" ca="1" si="4">H16+SUM(T5:U16)+SUM(BD16:BE16)</f>
        <v>40</v>
      </c>
      <c r="DB16" s="45">
        <f t="shared" ref="DB16:DB47" ca="1" si="5">I16+SUM(V5:W16)+SUM(BF16:BG16)</f>
        <v>20</v>
      </c>
      <c r="DC16" s="96">
        <f t="shared" ref="DC16:DC47" ca="1" si="6">J16+SUM(X5:Y16)+SUM(BH16:BI16)</f>
        <v>20</v>
      </c>
      <c r="DD16" s="96">
        <f t="shared" ref="DD16:DD47" ca="1" si="7">K16+SUM(AB5:AD16)+SUM(BL16:BN16)</f>
        <v>20</v>
      </c>
      <c r="DE16" s="45">
        <f t="shared" ref="DE16:DE47" ca="1" si="8">L16+SUM(AE5:AE16)+BO16</f>
        <v>20</v>
      </c>
      <c r="DF16" s="96">
        <f t="shared" ref="DF16:DF47" ca="1" si="9">M16+SUM(AG5:AG16)+BQ16</f>
        <v>20</v>
      </c>
      <c r="DG16" s="96"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7">
        <f>TblRezone[[#This Row],[Hour]]</f>
        <v>14</v>
      </c>
      <c r="B17" s="178">
        <f ca="1">SUM(TblConstr[[#This Row],[Plain]:[Water]])</f>
        <v>160</v>
      </c>
      <c r="C17" s="179">
        <f ca="1">SUM(TblConstr[[#This Row],[Tot Hom]:[Tot Doc]])</f>
        <v>90</v>
      </c>
      <c r="D17" s="179">
        <f t="shared" si="2"/>
        <v>0</v>
      </c>
      <c r="E17" s="180"/>
      <c r="F17" s="61">
        <f ca="1">TblConstr[[#This Row],[Barren]]+TblConstr[[#This Row],[Buildings]]+TblConstr[[#This Row],[Incoming]]</f>
        <v>250</v>
      </c>
      <c r="G17" s="189">
        <f ca="1">OFFSET(TblConstr[[#This Row],[Plain]],-1,0)+TblConstr[[#This Row],[Ch_Plain]]</f>
        <v>40</v>
      </c>
      <c r="H17" s="184">
        <f ca="1">OFFSET(TblConstr[[#This Row],[Forest]],-1,0)+TblConstr[[#This Row],[Ch_Forest]]</f>
        <v>20</v>
      </c>
      <c r="I17" s="384">
        <f ca="1">OFFSET(TblConstr[[#This Row],[Mountain]],-1,0)+TblConstr[[#This Row],[Ch_Mountain]]</f>
        <v>20</v>
      </c>
      <c r="J17" s="388">
        <f ca="1">OFFSET(TblConstr[[#This Row],[Hill]],-1,0)+TblConstr[[#This Row],[Ch_Hill]]</f>
        <v>20</v>
      </c>
      <c r="K17" s="392">
        <f ca="1">OFFSET(TblConstr[[#This Row],[Swamp]],-1,0)+TblConstr[[#This Row],[Ch_Swamp]]</f>
        <v>20</v>
      </c>
      <c r="L17" s="187">
        <f ca="1">OFFSET(TblConstr[[#This Row],[Cavern]],-1,0)+TblConstr[[#This Row],[Ch_Cavern]]</f>
        <v>20</v>
      </c>
      <c r="M17" s="188">
        <f ca="1">OFFSET(TblConstr[[#This Row],[Water]],-1,0)+TblConstr[[#This Row],[Ch_Water]]</f>
        <v>20</v>
      </c>
      <c r="N17" s="382">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45732.541666666635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188831</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6">
        <f ca="1">ROUNDDOWN( MAX(1 - MIN(facs_constr_factor*TblConstr[[#This Row],[Facs -DB]],facs_constr_max) + tech_1_11*TblTech[[#This Row],[11-1]] + tech_6_3_2*TblTech[[#This Row],[6-3]] + tech_5_2_3*TblTech[[#This Row],[5-2]], 1-global_constr_cap) * TblConstr[[#This Row],[RCPA Lumber]],0)</f>
        <v>88</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6">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ROUND((TblConstr[[#This Row],[Land]]-250 - IF(TblExplore[[#This Row],[Land Bonus]]&lt;&gt;0,20,0))*1.25 + 850 + 0,0)</f>
        <v>850</v>
      </c>
      <c r="AW17" s="96">
        <f ca="1">ROUND((TblConstr[[#This Row],[Land]]-250 - IF(TblExplore[[#This Row],[Land Bonus]]&lt;&gt;0,20,0))*0.285 + 87.5 + 0/4.25,0)</f>
        <v>88</v>
      </c>
      <c r="AX17" s="156"/>
      <c r="AY17" s="190" cm="1">
        <f t="array" aca="1" ref="AY17" ca="1">IF(TblConstr[[#This Row],[Hour]:[Hour]]&gt;12,OFFSET(TblConstr[[#This Row],[Hom]],-12,0),0)+OFFSET(TblConstr[[#This Row],[Tot Hom]],-1,0)-TblConstr[[#This Row],[Dest Hom]]</f>
        <v>10</v>
      </c>
      <c r="AZ17" s="191" cm="1">
        <f t="array" aca="1" ref="AZ17" ca="1">IF(TblConstr[[#This Row],[Hour]:[Hour]]&gt;12,OFFSET(TblConstr[[#This Row],[Alc]],-12,0),0)+OFFSET(TblConstr[[#This Row],[Tot Alc]],-1,0)-TblConstr[[#This Row],[Dest Alc]]</f>
        <v>30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86" cm="1">
        <f t="array" aca="1" ref="BF17" ca="1">IF(TblConstr[[#This Row],[Hour]:[Hour]]&gt;12,OFFSET(TblConstr[[#This Row],[OM]],-12,0),0)+OFFSET(TblConstr[[#This Row],[Tot OM]],-1,0)-TblConstr[[#This Row],[Dest OM]]</f>
        <v>0</v>
      </c>
      <c r="BG17" s="386" cm="1">
        <f t="array" aca="1" ref="BG17" ca="1">IF(TblConstr[[#This Row],[Hour]:[Hour]]&gt;12,OFFSET(TblConstr[[#This Row],[GN]],-12,0),0)+OFFSET(TblConstr[[#This Row],[Tot GN]],-1,0)-TblConstr[[#This Row],[Dest GN]]</f>
        <v>0</v>
      </c>
      <c r="BH17" s="390" cm="1">
        <f t="array" aca="1" ref="BH17" ca="1">IF(TblConstr[[#This Row],[Hour]:[Hour]]&gt;12,OFFSET(TblConstr[[#This Row],[Fac]],-12,0),0)+OFFSET(TblConstr[[#This Row],[Tot Fac]],-1,0)-TblConstr[[#This Row],[Dest Fac]]</f>
        <v>0</v>
      </c>
      <c r="BI17" s="390" cm="1">
        <f t="array" aca="1" ref="BI17" ca="1">IF(TblConstr[[#This Row],[Hour]:[Hour]]&gt;12,OFFSET(TblConstr[[#This Row],[GT]],-12,0),0)+OFFSET(TblConstr[[#This Row],[Tot GT]],-1,0)-TblConstr[[#This Row],[Dest GT]]</f>
        <v>0</v>
      </c>
      <c r="BJ17" s="390" cm="1">
        <f t="array" aca="1" ref="BJ17" ca="1">IF(TblConstr[[#This Row],[Hour]:[Hour]]&gt;12,OFFSET(TblConstr[[#This Row],[Bar]],-12,0),0)+OFFSET(TblConstr[[#This Row],[Tot Bar]],-1,0)-TblConstr[[#This Row],[Dest Bar]]</f>
        <v>0</v>
      </c>
      <c r="BK17" s="390" cm="1">
        <f t="array" aca="1" ref="BK17" ca="1">IF(TblConstr[[#This Row],[Hour]:[Hour]]&gt;12,OFFSET(TblConstr[[#This Row],[Shr]],-12,0),0)+OFFSET(TblConstr[[#This Row],[Tot Shr]],-1,0)-TblConstr[[#This Row],[Dest Shr]]</f>
        <v>0</v>
      </c>
      <c r="BL17" s="394" cm="1">
        <f t="array" aca="1" ref="BL17" ca="1">IF(TblConstr[[#This Row],[Hour]:[Hour]]&gt;12,OFFSET(TblConstr[[#This Row],[Tow]],-12,0),0)+OFFSET(TblConstr[[#This Row],[Tot Tow]],-1,0)-TblConstr[[#This Row],[Dest Tow]]</f>
        <v>0</v>
      </c>
      <c r="BM17" s="394" cm="1">
        <f t="array" aca="1" ref="BM17" ca="1">IF(TblConstr[[#This Row],[Hour]:[Hour]]&gt;12,OFFSET(TblConstr[[#This Row],[Tem]],-12,0),0)+OFFSET(TblConstr[[#This Row],[Tot Tem]],-1,0)-TblConstr[[#This Row],[Dest Tem]]</f>
        <v>0</v>
      </c>
      <c r="BN17" s="394"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250</v>
      </c>
      <c r="BU17" s="161">
        <f ca="1">TblImps[[#This Row],[Time]]</f>
        <v>45732.541666666635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84">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100</v>
      </c>
      <c r="DA17" s="96">
        <f t="shared" ca="1" si="4"/>
        <v>40</v>
      </c>
      <c r="DB17" s="45">
        <f t="shared" ca="1" si="5"/>
        <v>20</v>
      </c>
      <c r="DC17" s="96">
        <f t="shared" ca="1" si="6"/>
        <v>20</v>
      </c>
      <c r="DD17" s="96">
        <f t="shared" ca="1" si="7"/>
        <v>20</v>
      </c>
      <c r="DE17" s="45">
        <f t="shared" ca="1" si="8"/>
        <v>20</v>
      </c>
      <c r="DF17" s="96">
        <f t="shared" ca="1" si="9"/>
        <v>20</v>
      </c>
      <c r="DG17" s="96"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7">
        <f>TblRezone[[#This Row],[Hour]]</f>
        <v>15</v>
      </c>
      <c r="B18" s="178">
        <f ca="1">SUM(TblConstr[[#This Row],[Plain]:[Water]])</f>
        <v>160</v>
      </c>
      <c r="C18" s="179">
        <f ca="1">SUM(TblConstr[[#This Row],[Tot Hom]:[Tot Doc]])</f>
        <v>90</v>
      </c>
      <c r="D18" s="179">
        <f t="shared" si="2"/>
        <v>0</v>
      </c>
      <c r="E18" s="180"/>
      <c r="F18" s="61">
        <f ca="1">TblConstr[[#This Row],[Barren]]+TblConstr[[#This Row],[Buildings]]+TblConstr[[#This Row],[Incoming]]</f>
        <v>250</v>
      </c>
      <c r="G18" s="189">
        <f ca="1">OFFSET(TblConstr[[#This Row],[Plain]],-1,0)+TblConstr[[#This Row],[Ch_Plain]]</f>
        <v>40</v>
      </c>
      <c r="H18" s="184">
        <f ca="1">OFFSET(TblConstr[[#This Row],[Forest]],-1,0)+TblConstr[[#This Row],[Ch_Forest]]</f>
        <v>20</v>
      </c>
      <c r="I18" s="384">
        <f ca="1">OFFSET(TblConstr[[#This Row],[Mountain]],-1,0)+TblConstr[[#This Row],[Ch_Mountain]]</f>
        <v>20</v>
      </c>
      <c r="J18" s="388">
        <f ca="1">OFFSET(TblConstr[[#This Row],[Hill]],-1,0)+TblConstr[[#This Row],[Ch_Hill]]</f>
        <v>20</v>
      </c>
      <c r="K18" s="392">
        <f ca="1">OFFSET(TblConstr[[#This Row],[Swamp]],-1,0)+TblConstr[[#This Row],[Ch_Swamp]]</f>
        <v>20</v>
      </c>
      <c r="L18" s="187">
        <f ca="1">OFFSET(TblConstr[[#This Row],[Cavern]],-1,0)+TblConstr[[#This Row],[Ch_Cavern]]</f>
        <v>20</v>
      </c>
      <c r="M18" s="188">
        <f ca="1">OFFSET(TblConstr[[#This Row],[Water]],-1,0)+TblConstr[[#This Row],[Ch_Water]]</f>
        <v>20</v>
      </c>
      <c r="N18" s="382">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45732.583333333299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194501</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6">
        <f ca="1">ROUNDDOWN( MAX(1 - MIN(facs_constr_factor*TblConstr[[#This Row],[Facs -DB]],facs_constr_max) + tech_1_11*TblTech[[#This Row],[11-1]] + tech_6_3_2*TblTech[[#This Row],[6-3]] + tech_5_2_3*TblTech[[#This Row],[5-2]], 1-global_constr_cap) * TblConstr[[#This Row],[RCPA Lumber]],0)</f>
        <v>88</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6">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ROUND((TblConstr[[#This Row],[Land]]-250 - IF(TblExplore[[#This Row],[Land Bonus]]&lt;&gt;0,20,0))*1.25 + 850 + 0,0)</f>
        <v>850</v>
      </c>
      <c r="AW18" s="96">
        <f ca="1">ROUND((TblConstr[[#This Row],[Land]]-250 - IF(TblExplore[[#This Row],[Land Bonus]]&lt;&gt;0,20,0))*0.285 + 87.5 + 0/4.25,0)</f>
        <v>88</v>
      </c>
      <c r="AX18" s="156"/>
      <c r="AY18" s="190" cm="1">
        <f t="array" aca="1" ref="AY18" ca="1">IF(TblConstr[[#This Row],[Hour]:[Hour]]&gt;12,OFFSET(TblConstr[[#This Row],[Hom]],-12,0),0)+OFFSET(TblConstr[[#This Row],[Tot Hom]],-1,0)-TblConstr[[#This Row],[Dest Hom]]</f>
        <v>10</v>
      </c>
      <c r="AZ18" s="191" cm="1">
        <f t="array" aca="1" ref="AZ18" ca="1">IF(TblConstr[[#This Row],[Hour]:[Hour]]&gt;12,OFFSET(TblConstr[[#This Row],[Alc]],-12,0),0)+OFFSET(TblConstr[[#This Row],[Tot Alc]],-1,0)-TblConstr[[#This Row],[Dest Alc]]</f>
        <v>30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86" cm="1">
        <f t="array" aca="1" ref="BF18" ca="1">IF(TblConstr[[#This Row],[Hour]:[Hour]]&gt;12,OFFSET(TblConstr[[#This Row],[OM]],-12,0),0)+OFFSET(TblConstr[[#This Row],[Tot OM]],-1,0)-TblConstr[[#This Row],[Dest OM]]</f>
        <v>0</v>
      </c>
      <c r="BG18" s="386" cm="1">
        <f t="array" aca="1" ref="BG18" ca="1">IF(TblConstr[[#This Row],[Hour]:[Hour]]&gt;12,OFFSET(TblConstr[[#This Row],[GN]],-12,0),0)+OFFSET(TblConstr[[#This Row],[Tot GN]],-1,0)-TblConstr[[#This Row],[Dest GN]]</f>
        <v>0</v>
      </c>
      <c r="BH18" s="390" cm="1">
        <f t="array" aca="1" ref="BH18" ca="1">IF(TblConstr[[#This Row],[Hour]:[Hour]]&gt;12,OFFSET(TblConstr[[#This Row],[Fac]],-12,0),0)+OFFSET(TblConstr[[#This Row],[Tot Fac]],-1,0)-TblConstr[[#This Row],[Dest Fac]]</f>
        <v>0</v>
      </c>
      <c r="BI18" s="390" cm="1">
        <f t="array" aca="1" ref="BI18" ca="1">IF(TblConstr[[#This Row],[Hour]:[Hour]]&gt;12,OFFSET(TblConstr[[#This Row],[GT]],-12,0),0)+OFFSET(TblConstr[[#This Row],[Tot GT]],-1,0)-TblConstr[[#This Row],[Dest GT]]</f>
        <v>0</v>
      </c>
      <c r="BJ18" s="390" cm="1">
        <f t="array" aca="1" ref="BJ18" ca="1">IF(TblConstr[[#This Row],[Hour]:[Hour]]&gt;12,OFFSET(TblConstr[[#This Row],[Bar]],-12,0),0)+OFFSET(TblConstr[[#This Row],[Tot Bar]],-1,0)-TblConstr[[#This Row],[Dest Bar]]</f>
        <v>0</v>
      </c>
      <c r="BK18" s="390" cm="1">
        <f t="array" aca="1" ref="BK18" ca="1">IF(TblConstr[[#This Row],[Hour]:[Hour]]&gt;12,OFFSET(TblConstr[[#This Row],[Shr]],-12,0),0)+OFFSET(TblConstr[[#This Row],[Tot Shr]],-1,0)-TblConstr[[#This Row],[Dest Shr]]</f>
        <v>0</v>
      </c>
      <c r="BL18" s="394" cm="1">
        <f t="array" aca="1" ref="BL18" ca="1">IF(TblConstr[[#This Row],[Hour]:[Hour]]&gt;12,OFFSET(TblConstr[[#This Row],[Tow]],-12,0),0)+OFFSET(TblConstr[[#This Row],[Tot Tow]],-1,0)-TblConstr[[#This Row],[Dest Tow]]</f>
        <v>0</v>
      </c>
      <c r="BM18" s="394" cm="1">
        <f t="array" aca="1" ref="BM18" ca="1">IF(TblConstr[[#This Row],[Hour]:[Hour]]&gt;12,OFFSET(TblConstr[[#This Row],[Tem]],-12,0),0)+OFFSET(TblConstr[[#This Row],[Tot Tem]],-1,0)-TblConstr[[#This Row],[Dest Tem]]</f>
        <v>0</v>
      </c>
      <c r="BN18" s="394"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250</v>
      </c>
      <c r="BU18" s="161">
        <f ca="1">TblImps[[#This Row],[Time]]</f>
        <v>45732.583333333299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84">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100</v>
      </c>
      <c r="DA18" s="96">
        <f t="shared" ca="1" si="4"/>
        <v>40</v>
      </c>
      <c r="DB18" s="45">
        <f t="shared" ca="1" si="5"/>
        <v>20</v>
      </c>
      <c r="DC18" s="96">
        <f t="shared" ca="1" si="6"/>
        <v>20</v>
      </c>
      <c r="DD18" s="96">
        <f t="shared" ca="1" si="7"/>
        <v>20</v>
      </c>
      <c r="DE18" s="45">
        <f t="shared" ca="1" si="8"/>
        <v>20</v>
      </c>
      <c r="DF18" s="96">
        <f t="shared" ca="1" si="9"/>
        <v>20</v>
      </c>
      <c r="DG18" s="96"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7">
        <f>TblRezone[[#This Row],[Hour]]</f>
        <v>16</v>
      </c>
      <c r="B19" s="178">
        <f ca="1">SUM(TblConstr[[#This Row],[Plain]:[Water]])</f>
        <v>160</v>
      </c>
      <c r="C19" s="179">
        <f ca="1">SUM(TblConstr[[#This Row],[Tot Hom]:[Tot Doc]])</f>
        <v>90</v>
      </c>
      <c r="D19" s="179">
        <f t="shared" si="2"/>
        <v>0</v>
      </c>
      <c r="E19" s="180"/>
      <c r="F19" s="61">
        <f ca="1">TblConstr[[#This Row],[Barren]]+TblConstr[[#This Row],[Buildings]]+TblConstr[[#This Row],[Incoming]]</f>
        <v>250</v>
      </c>
      <c r="G19" s="189">
        <f ca="1">OFFSET(TblConstr[[#This Row],[Plain]],-1,0)+TblConstr[[#This Row],[Ch_Plain]]</f>
        <v>40</v>
      </c>
      <c r="H19" s="184">
        <f ca="1">OFFSET(TblConstr[[#This Row],[Forest]],-1,0)+TblConstr[[#This Row],[Ch_Forest]]</f>
        <v>20</v>
      </c>
      <c r="I19" s="384">
        <f ca="1">OFFSET(TblConstr[[#This Row],[Mountain]],-1,0)+TblConstr[[#This Row],[Ch_Mountain]]</f>
        <v>20</v>
      </c>
      <c r="J19" s="388">
        <f ca="1">OFFSET(TblConstr[[#This Row],[Hill]],-1,0)+TblConstr[[#This Row],[Ch_Hill]]</f>
        <v>20</v>
      </c>
      <c r="K19" s="392">
        <f ca="1">OFFSET(TblConstr[[#This Row],[Swamp]],-1,0)+TblConstr[[#This Row],[Ch_Swamp]]</f>
        <v>20</v>
      </c>
      <c r="L19" s="187">
        <f ca="1">OFFSET(TblConstr[[#This Row],[Cavern]],-1,0)+TblConstr[[#This Row],[Ch_Cavern]]</f>
        <v>20</v>
      </c>
      <c r="M19" s="188">
        <f ca="1">OFFSET(TblConstr[[#This Row],[Water]],-1,0)+TblConstr[[#This Row],[Ch_Water]]</f>
        <v>20</v>
      </c>
      <c r="N19" s="382">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45732.624999999964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200171</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6">
        <f ca="1">ROUNDDOWN( MAX(1 - MIN(facs_constr_factor*TblConstr[[#This Row],[Facs -DB]],facs_constr_max) + tech_1_11*TblTech[[#This Row],[11-1]] + tech_6_3_2*TblTech[[#This Row],[6-3]] + tech_5_2_3*TblTech[[#This Row],[5-2]], 1-global_constr_cap) * TblConstr[[#This Row],[RCPA Lumber]],0)</f>
        <v>88</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6">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ROUND((TblConstr[[#This Row],[Land]]-250 - IF(TblExplore[[#This Row],[Land Bonus]]&lt;&gt;0,20,0))*1.25 + 850 + 0,0)</f>
        <v>850</v>
      </c>
      <c r="AW19" s="96">
        <f ca="1">ROUND((TblConstr[[#This Row],[Land]]-250 - IF(TblExplore[[#This Row],[Land Bonus]]&lt;&gt;0,20,0))*0.285 + 87.5 + 0/4.25,0)</f>
        <v>88</v>
      </c>
      <c r="AX19" s="156"/>
      <c r="AY19" s="190" cm="1">
        <f t="array" aca="1" ref="AY19" ca="1">IF(TblConstr[[#This Row],[Hour]:[Hour]]&gt;12,OFFSET(TblConstr[[#This Row],[Hom]],-12,0),0)+OFFSET(TblConstr[[#This Row],[Tot Hom]],-1,0)-TblConstr[[#This Row],[Dest Hom]]</f>
        <v>10</v>
      </c>
      <c r="AZ19" s="191" cm="1">
        <f t="array" aca="1" ref="AZ19" ca="1">IF(TblConstr[[#This Row],[Hour]:[Hour]]&gt;12,OFFSET(TblConstr[[#This Row],[Alc]],-12,0),0)+OFFSET(TblConstr[[#This Row],[Tot Alc]],-1,0)-TblConstr[[#This Row],[Dest Alc]]</f>
        <v>30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86" cm="1">
        <f t="array" aca="1" ref="BF19" ca="1">IF(TblConstr[[#This Row],[Hour]:[Hour]]&gt;12,OFFSET(TblConstr[[#This Row],[OM]],-12,0),0)+OFFSET(TblConstr[[#This Row],[Tot OM]],-1,0)-TblConstr[[#This Row],[Dest OM]]</f>
        <v>0</v>
      </c>
      <c r="BG19" s="386" cm="1">
        <f t="array" aca="1" ref="BG19" ca="1">IF(TblConstr[[#This Row],[Hour]:[Hour]]&gt;12,OFFSET(TblConstr[[#This Row],[GN]],-12,0),0)+OFFSET(TblConstr[[#This Row],[Tot GN]],-1,0)-TblConstr[[#This Row],[Dest GN]]</f>
        <v>0</v>
      </c>
      <c r="BH19" s="390" cm="1">
        <f t="array" aca="1" ref="BH19" ca="1">IF(TblConstr[[#This Row],[Hour]:[Hour]]&gt;12,OFFSET(TblConstr[[#This Row],[Fac]],-12,0),0)+OFFSET(TblConstr[[#This Row],[Tot Fac]],-1,0)-TblConstr[[#This Row],[Dest Fac]]</f>
        <v>0</v>
      </c>
      <c r="BI19" s="390" cm="1">
        <f t="array" aca="1" ref="BI19" ca="1">IF(TblConstr[[#This Row],[Hour]:[Hour]]&gt;12,OFFSET(TblConstr[[#This Row],[GT]],-12,0),0)+OFFSET(TblConstr[[#This Row],[Tot GT]],-1,0)-TblConstr[[#This Row],[Dest GT]]</f>
        <v>0</v>
      </c>
      <c r="BJ19" s="390" cm="1">
        <f t="array" aca="1" ref="BJ19" ca="1">IF(TblConstr[[#This Row],[Hour]:[Hour]]&gt;12,OFFSET(TblConstr[[#This Row],[Bar]],-12,0),0)+OFFSET(TblConstr[[#This Row],[Tot Bar]],-1,0)-TblConstr[[#This Row],[Dest Bar]]</f>
        <v>0</v>
      </c>
      <c r="BK19" s="390" cm="1">
        <f t="array" aca="1" ref="BK19" ca="1">IF(TblConstr[[#This Row],[Hour]:[Hour]]&gt;12,OFFSET(TblConstr[[#This Row],[Shr]],-12,0),0)+OFFSET(TblConstr[[#This Row],[Tot Shr]],-1,0)-TblConstr[[#This Row],[Dest Shr]]</f>
        <v>0</v>
      </c>
      <c r="BL19" s="394" cm="1">
        <f t="array" aca="1" ref="BL19" ca="1">IF(TblConstr[[#This Row],[Hour]:[Hour]]&gt;12,OFFSET(TblConstr[[#This Row],[Tow]],-12,0),0)+OFFSET(TblConstr[[#This Row],[Tot Tow]],-1,0)-TblConstr[[#This Row],[Dest Tow]]</f>
        <v>0</v>
      </c>
      <c r="BM19" s="394" cm="1">
        <f t="array" aca="1" ref="BM19" ca="1">IF(TblConstr[[#This Row],[Hour]:[Hour]]&gt;12,OFFSET(TblConstr[[#This Row],[Tem]],-12,0),0)+OFFSET(TblConstr[[#This Row],[Tot Tem]],-1,0)-TblConstr[[#This Row],[Dest Tem]]</f>
        <v>0</v>
      </c>
      <c r="BN19" s="394"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250</v>
      </c>
      <c r="BU19" s="161">
        <f ca="1">TblImps[[#This Row],[Time]]</f>
        <v>45732.624999999964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84">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100</v>
      </c>
      <c r="DA19" s="96">
        <f t="shared" ca="1" si="4"/>
        <v>40</v>
      </c>
      <c r="DB19" s="45">
        <f t="shared" ca="1" si="5"/>
        <v>20</v>
      </c>
      <c r="DC19" s="96">
        <f t="shared" ca="1" si="6"/>
        <v>20</v>
      </c>
      <c r="DD19" s="96">
        <f t="shared" ca="1" si="7"/>
        <v>20</v>
      </c>
      <c r="DE19" s="45">
        <f t="shared" ca="1" si="8"/>
        <v>20</v>
      </c>
      <c r="DF19" s="96">
        <f t="shared" ca="1" si="9"/>
        <v>20</v>
      </c>
      <c r="DG19" s="96"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7">
        <f>TblRezone[[#This Row],[Hour]]</f>
        <v>17</v>
      </c>
      <c r="B20" s="178">
        <f ca="1">SUM(TblConstr[[#This Row],[Plain]:[Water]])</f>
        <v>160</v>
      </c>
      <c r="C20" s="179">
        <f ca="1">SUM(TblConstr[[#This Row],[Tot Hom]:[Tot Doc]])</f>
        <v>90</v>
      </c>
      <c r="D20" s="179">
        <f t="shared" si="2"/>
        <v>0</v>
      </c>
      <c r="E20" s="180"/>
      <c r="F20" s="61">
        <f ca="1">TblConstr[[#This Row],[Barren]]+TblConstr[[#This Row],[Buildings]]+TblConstr[[#This Row],[Incoming]]</f>
        <v>250</v>
      </c>
      <c r="G20" s="189">
        <f ca="1">OFFSET(TblConstr[[#This Row],[Plain]],-1,0)+TblConstr[[#This Row],[Ch_Plain]]</f>
        <v>40</v>
      </c>
      <c r="H20" s="184">
        <f ca="1">OFFSET(TblConstr[[#This Row],[Forest]],-1,0)+TblConstr[[#This Row],[Ch_Forest]]</f>
        <v>20</v>
      </c>
      <c r="I20" s="384">
        <f ca="1">OFFSET(TblConstr[[#This Row],[Mountain]],-1,0)+TblConstr[[#This Row],[Ch_Mountain]]</f>
        <v>20</v>
      </c>
      <c r="J20" s="388">
        <f ca="1">OFFSET(TblConstr[[#This Row],[Hill]],-1,0)+TblConstr[[#This Row],[Ch_Hill]]</f>
        <v>20</v>
      </c>
      <c r="K20" s="392">
        <f ca="1">OFFSET(TblConstr[[#This Row],[Swamp]],-1,0)+TblConstr[[#This Row],[Ch_Swamp]]</f>
        <v>20</v>
      </c>
      <c r="L20" s="187">
        <f ca="1">OFFSET(TblConstr[[#This Row],[Cavern]],-1,0)+TblConstr[[#This Row],[Ch_Cavern]]</f>
        <v>20</v>
      </c>
      <c r="M20" s="188">
        <f ca="1">OFFSET(TblConstr[[#This Row],[Water]],-1,0)+TblConstr[[#This Row],[Ch_Water]]</f>
        <v>20</v>
      </c>
      <c r="N20" s="382">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45732.666666666628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205841</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6">
        <f ca="1">ROUNDDOWN( MAX(1 - MIN(facs_constr_factor*TblConstr[[#This Row],[Facs -DB]],facs_constr_max) + tech_1_11*TblTech[[#This Row],[11-1]] + tech_6_3_2*TblTech[[#This Row],[6-3]] + tech_5_2_3*TblTech[[#This Row],[5-2]], 1-global_constr_cap) * TblConstr[[#This Row],[RCPA Lumber]],0)</f>
        <v>88</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6">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ROUND((TblConstr[[#This Row],[Land]]-250 - IF(TblExplore[[#This Row],[Land Bonus]]&lt;&gt;0,20,0))*1.25 + 850 + 0,0)</f>
        <v>850</v>
      </c>
      <c r="AW20" s="96">
        <f ca="1">ROUND((TblConstr[[#This Row],[Land]]-250 - IF(TblExplore[[#This Row],[Land Bonus]]&lt;&gt;0,20,0))*0.285 + 87.5 + 0/4.25,0)</f>
        <v>88</v>
      </c>
      <c r="AX20" s="156"/>
      <c r="AY20" s="190" cm="1">
        <f t="array" aca="1" ref="AY20" ca="1">IF(TblConstr[[#This Row],[Hour]:[Hour]]&gt;12,OFFSET(TblConstr[[#This Row],[Hom]],-12,0),0)+OFFSET(TblConstr[[#This Row],[Tot Hom]],-1,0)-TblConstr[[#This Row],[Dest Hom]]</f>
        <v>10</v>
      </c>
      <c r="AZ20" s="191" cm="1">
        <f t="array" aca="1" ref="AZ20" ca="1">IF(TblConstr[[#This Row],[Hour]:[Hour]]&gt;12,OFFSET(TblConstr[[#This Row],[Alc]],-12,0),0)+OFFSET(TblConstr[[#This Row],[Tot Alc]],-1,0)-TblConstr[[#This Row],[Dest Alc]]</f>
        <v>30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86" cm="1">
        <f t="array" aca="1" ref="BF20" ca="1">IF(TblConstr[[#This Row],[Hour]:[Hour]]&gt;12,OFFSET(TblConstr[[#This Row],[OM]],-12,0),0)+OFFSET(TblConstr[[#This Row],[Tot OM]],-1,0)-TblConstr[[#This Row],[Dest OM]]</f>
        <v>0</v>
      </c>
      <c r="BG20" s="386" cm="1">
        <f t="array" aca="1" ref="BG20" ca="1">IF(TblConstr[[#This Row],[Hour]:[Hour]]&gt;12,OFFSET(TblConstr[[#This Row],[GN]],-12,0),0)+OFFSET(TblConstr[[#This Row],[Tot GN]],-1,0)-TblConstr[[#This Row],[Dest GN]]</f>
        <v>0</v>
      </c>
      <c r="BH20" s="390" cm="1">
        <f t="array" aca="1" ref="BH20" ca="1">IF(TblConstr[[#This Row],[Hour]:[Hour]]&gt;12,OFFSET(TblConstr[[#This Row],[Fac]],-12,0),0)+OFFSET(TblConstr[[#This Row],[Tot Fac]],-1,0)-TblConstr[[#This Row],[Dest Fac]]</f>
        <v>0</v>
      </c>
      <c r="BI20" s="390" cm="1">
        <f t="array" aca="1" ref="BI20" ca="1">IF(TblConstr[[#This Row],[Hour]:[Hour]]&gt;12,OFFSET(TblConstr[[#This Row],[GT]],-12,0),0)+OFFSET(TblConstr[[#This Row],[Tot GT]],-1,0)-TblConstr[[#This Row],[Dest GT]]</f>
        <v>0</v>
      </c>
      <c r="BJ20" s="390" cm="1">
        <f t="array" aca="1" ref="BJ20" ca="1">IF(TblConstr[[#This Row],[Hour]:[Hour]]&gt;12,OFFSET(TblConstr[[#This Row],[Bar]],-12,0),0)+OFFSET(TblConstr[[#This Row],[Tot Bar]],-1,0)-TblConstr[[#This Row],[Dest Bar]]</f>
        <v>0</v>
      </c>
      <c r="BK20" s="390" cm="1">
        <f t="array" aca="1" ref="BK20" ca="1">IF(TblConstr[[#This Row],[Hour]:[Hour]]&gt;12,OFFSET(TblConstr[[#This Row],[Shr]],-12,0),0)+OFFSET(TblConstr[[#This Row],[Tot Shr]],-1,0)-TblConstr[[#This Row],[Dest Shr]]</f>
        <v>0</v>
      </c>
      <c r="BL20" s="394" cm="1">
        <f t="array" aca="1" ref="BL20" ca="1">IF(TblConstr[[#This Row],[Hour]:[Hour]]&gt;12,OFFSET(TblConstr[[#This Row],[Tow]],-12,0),0)+OFFSET(TblConstr[[#This Row],[Tot Tow]],-1,0)-TblConstr[[#This Row],[Dest Tow]]</f>
        <v>0</v>
      </c>
      <c r="BM20" s="394" cm="1">
        <f t="array" aca="1" ref="BM20" ca="1">IF(TblConstr[[#This Row],[Hour]:[Hour]]&gt;12,OFFSET(TblConstr[[#This Row],[Tem]],-12,0),0)+OFFSET(TblConstr[[#This Row],[Tot Tem]],-1,0)-TblConstr[[#This Row],[Dest Tem]]</f>
        <v>0</v>
      </c>
      <c r="BN20" s="394"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250</v>
      </c>
      <c r="BU20" s="161">
        <f ca="1">TblImps[[#This Row],[Time]]</f>
        <v>45732.666666666628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84">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100</v>
      </c>
      <c r="DA20" s="96">
        <f t="shared" ca="1" si="4"/>
        <v>40</v>
      </c>
      <c r="DB20" s="45">
        <f t="shared" ca="1" si="5"/>
        <v>20</v>
      </c>
      <c r="DC20" s="96">
        <f t="shared" ca="1" si="6"/>
        <v>20</v>
      </c>
      <c r="DD20" s="96">
        <f t="shared" ca="1" si="7"/>
        <v>20</v>
      </c>
      <c r="DE20" s="45">
        <f t="shared" ca="1" si="8"/>
        <v>20</v>
      </c>
      <c r="DF20" s="96">
        <f t="shared" ca="1" si="9"/>
        <v>20</v>
      </c>
      <c r="DG20" s="96"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7">
        <f>TblRezone[[#This Row],[Hour]]</f>
        <v>18</v>
      </c>
      <c r="B21" s="178">
        <f ca="1">SUM(TblConstr[[#This Row],[Plain]:[Water]])</f>
        <v>160</v>
      </c>
      <c r="C21" s="179">
        <f ca="1">SUM(TblConstr[[#This Row],[Tot Hom]:[Tot Doc]])</f>
        <v>90</v>
      </c>
      <c r="D21" s="179">
        <f t="shared" si="2"/>
        <v>0</v>
      </c>
      <c r="E21" s="180"/>
      <c r="F21" s="61">
        <f ca="1">TblConstr[[#This Row],[Barren]]+TblConstr[[#This Row],[Buildings]]+TblConstr[[#This Row],[Incoming]]</f>
        <v>250</v>
      </c>
      <c r="G21" s="189">
        <f ca="1">OFFSET(TblConstr[[#This Row],[Plain]],-1,0)+TblConstr[[#This Row],[Ch_Plain]]</f>
        <v>40</v>
      </c>
      <c r="H21" s="184">
        <f ca="1">OFFSET(TblConstr[[#This Row],[Forest]],-1,0)+TblConstr[[#This Row],[Ch_Forest]]</f>
        <v>20</v>
      </c>
      <c r="I21" s="384">
        <f ca="1">OFFSET(TblConstr[[#This Row],[Mountain]],-1,0)+TblConstr[[#This Row],[Ch_Mountain]]</f>
        <v>20</v>
      </c>
      <c r="J21" s="388">
        <f ca="1">OFFSET(TblConstr[[#This Row],[Hill]],-1,0)+TblConstr[[#This Row],[Ch_Hill]]</f>
        <v>20</v>
      </c>
      <c r="K21" s="392">
        <f ca="1">OFFSET(TblConstr[[#This Row],[Swamp]],-1,0)+TblConstr[[#This Row],[Ch_Swamp]]</f>
        <v>20</v>
      </c>
      <c r="L21" s="187">
        <f ca="1">OFFSET(TblConstr[[#This Row],[Cavern]],-1,0)+TblConstr[[#This Row],[Ch_Cavern]]</f>
        <v>20</v>
      </c>
      <c r="M21" s="188">
        <f ca="1">OFFSET(TblConstr[[#This Row],[Water]],-1,0)+TblConstr[[#This Row],[Ch_Water]]</f>
        <v>20</v>
      </c>
      <c r="N21" s="382">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45732.708333333292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211511</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6">
        <f ca="1">ROUNDDOWN( MAX(1 - MIN(facs_constr_factor*TblConstr[[#This Row],[Facs -DB]],facs_constr_max) + tech_1_11*TblTech[[#This Row],[11-1]] + tech_6_3_2*TblTech[[#This Row],[6-3]] + tech_5_2_3*TblTech[[#This Row],[5-2]], 1-global_constr_cap) * TblConstr[[#This Row],[RCPA Lumber]],0)</f>
        <v>88</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6">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ROUND((TblConstr[[#This Row],[Land]]-250 - IF(TblExplore[[#This Row],[Land Bonus]]&lt;&gt;0,20,0))*1.25 + 850 + 0,0)</f>
        <v>850</v>
      </c>
      <c r="AW21" s="96">
        <f ca="1">ROUND((TblConstr[[#This Row],[Land]]-250 - IF(TblExplore[[#This Row],[Land Bonus]]&lt;&gt;0,20,0))*0.285 + 87.5 + 0/4.25,0)</f>
        <v>88</v>
      </c>
      <c r="AX21" s="156"/>
      <c r="AY21" s="190" cm="1">
        <f t="array" aca="1" ref="AY21" ca="1">IF(TblConstr[[#This Row],[Hour]:[Hour]]&gt;12,OFFSET(TblConstr[[#This Row],[Hom]],-12,0),0)+OFFSET(TblConstr[[#This Row],[Tot Hom]],-1,0)-TblConstr[[#This Row],[Dest Hom]]</f>
        <v>10</v>
      </c>
      <c r="AZ21" s="191" cm="1">
        <f t="array" aca="1" ref="AZ21" ca="1">IF(TblConstr[[#This Row],[Hour]:[Hour]]&gt;12,OFFSET(TblConstr[[#This Row],[Alc]],-12,0),0)+OFFSET(TblConstr[[#This Row],[Tot Alc]],-1,0)-TblConstr[[#This Row],[Dest Alc]]</f>
        <v>30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86" cm="1">
        <f t="array" aca="1" ref="BF21" ca="1">IF(TblConstr[[#This Row],[Hour]:[Hour]]&gt;12,OFFSET(TblConstr[[#This Row],[OM]],-12,0),0)+OFFSET(TblConstr[[#This Row],[Tot OM]],-1,0)-TblConstr[[#This Row],[Dest OM]]</f>
        <v>0</v>
      </c>
      <c r="BG21" s="386" cm="1">
        <f t="array" aca="1" ref="BG21" ca="1">IF(TblConstr[[#This Row],[Hour]:[Hour]]&gt;12,OFFSET(TblConstr[[#This Row],[GN]],-12,0),0)+OFFSET(TblConstr[[#This Row],[Tot GN]],-1,0)-TblConstr[[#This Row],[Dest GN]]</f>
        <v>0</v>
      </c>
      <c r="BH21" s="390" cm="1">
        <f t="array" aca="1" ref="BH21" ca="1">IF(TblConstr[[#This Row],[Hour]:[Hour]]&gt;12,OFFSET(TblConstr[[#This Row],[Fac]],-12,0),0)+OFFSET(TblConstr[[#This Row],[Tot Fac]],-1,0)-TblConstr[[#This Row],[Dest Fac]]</f>
        <v>0</v>
      </c>
      <c r="BI21" s="390" cm="1">
        <f t="array" aca="1" ref="BI21" ca="1">IF(TblConstr[[#This Row],[Hour]:[Hour]]&gt;12,OFFSET(TblConstr[[#This Row],[GT]],-12,0),0)+OFFSET(TblConstr[[#This Row],[Tot GT]],-1,0)-TblConstr[[#This Row],[Dest GT]]</f>
        <v>0</v>
      </c>
      <c r="BJ21" s="390" cm="1">
        <f t="array" aca="1" ref="BJ21" ca="1">IF(TblConstr[[#This Row],[Hour]:[Hour]]&gt;12,OFFSET(TblConstr[[#This Row],[Bar]],-12,0),0)+OFFSET(TblConstr[[#This Row],[Tot Bar]],-1,0)-TblConstr[[#This Row],[Dest Bar]]</f>
        <v>0</v>
      </c>
      <c r="BK21" s="390" cm="1">
        <f t="array" aca="1" ref="BK21" ca="1">IF(TblConstr[[#This Row],[Hour]:[Hour]]&gt;12,OFFSET(TblConstr[[#This Row],[Shr]],-12,0),0)+OFFSET(TblConstr[[#This Row],[Tot Shr]],-1,0)-TblConstr[[#This Row],[Dest Shr]]</f>
        <v>0</v>
      </c>
      <c r="BL21" s="394" cm="1">
        <f t="array" aca="1" ref="BL21" ca="1">IF(TblConstr[[#This Row],[Hour]:[Hour]]&gt;12,OFFSET(TblConstr[[#This Row],[Tow]],-12,0),0)+OFFSET(TblConstr[[#This Row],[Tot Tow]],-1,0)-TblConstr[[#This Row],[Dest Tow]]</f>
        <v>0</v>
      </c>
      <c r="BM21" s="394" cm="1">
        <f t="array" aca="1" ref="BM21" ca="1">IF(TblConstr[[#This Row],[Hour]:[Hour]]&gt;12,OFFSET(TblConstr[[#This Row],[Tem]],-12,0),0)+OFFSET(TblConstr[[#This Row],[Tot Tem]],-1,0)-TblConstr[[#This Row],[Dest Tem]]</f>
        <v>0</v>
      </c>
      <c r="BN21" s="394"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250</v>
      </c>
      <c r="BU21" s="161">
        <f ca="1">TblImps[[#This Row],[Time]]</f>
        <v>45732.708333333292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84">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100</v>
      </c>
      <c r="DA21" s="96">
        <f t="shared" ca="1" si="4"/>
        <v>40</v>
      </c>
      <c r="DB21" s="45">
        <f t="shared" ca="1" si="5"/>
        <v>20</v>
      </c>
      <c r="DC21" s="96">
        <f t="shared" ca="1" si="6"/>
        <v>20</v>
      </c>
      <c r="DD21" s="96">
        <f t="shared" ca="1" si="7"/>
        <v>20</v>
      </c>
      <c r="DE21" s="45">
        <f t="shared" ca="1" si="8"/>
        <v>20</v>
      </c>
      <c r="DF21" s="96">
        <f t="shared" ca="1" si="9"/>
        <v>20</v>
      </c>
      <c r="DG21" s="96"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7">
        <f>TblRezone[[#This Row],[Hour]]</f>
        <v>19</v>
      </c>
      <c r="B22" s="178">
        <f ca="1">SUM(TblConstr[[#This Row],[Plain]:[Water]])</f>
        <v>160</v>
      </c>
      <c r="C22" s="179">
        <f ca="1">SUM(TblConstr[[#This Row],[Tot Hom]:[Tot Doc]])</f>
        <v>90</v>
      </c>
      <c r="D22" s="179">
        <f t="shared" si="2"/>
        <v>0</v>
      </c>
      <c r="E22" s="180"/>
      <c r="F22" s="61">
        <f ca="1">TblConstr[[#This Row],[Barren]]+TblConstr[[#This Row],[Buildings]]+TblConstr[[#This Row],[Incoming]]</f>
        <v>250</v>
      </c>
      <c r="G22" s="189">
        <f ca="1">OFFSET(TblConstr[[#This Row],[Plain]],-1,0)+TblConstr[[#This Row],[Ch_Plain]]</f>
        <v>40</v>
      </c>
      <c r="H22" s="184">
        <f ca="1">OFFSET(TblConstr[[#This Row],[Forest]],-1,0)+TblConstr[[#This Row],[Ch_Forest]]</f>
        <v>20</v>
      </c>
      <c r="I22" s="384">
        <f ca="1">OFFSET(TblConstr[[#This Row],[Mountain]],-1,0)+TblConstr[[#This Row],[Ch_Mountain]]</f>
        <v>20</v>
      </c>
      <c r="J22" s="388">
        <f ca="1">OFFSET(TblConstr[[#This Row],[Hill]],-1,0)+TblConstr[[#This Row],[Ch_Hill]]</f>
        <v>20</v>
      </c>
      <c r="K22" s="392">
        <f ca="1">OFFSET(TblConstr[[#This Row],[Swamp]],-1,0)+TblConstr[[#This Row],[Ch_Swamp]]</f>
        <v>20</v>
      </c>
      <c r="L22" s="187">
        <f ca="1">OFFSET(TblConstr[[#This Row],[Cavern]],-1,0)+TblConstr[[#This Row],[Ch_Cavern]]</f>
        <v>20</v>
      </c>
      <c r="M22" s="188">
        <f ca="1">OFFSET(TblConstr[[#This Row],[Water]],-1,0)+TblConstr[[#This Row],[Ch_Water]]</f>
        <v>20</v>
      </c>
      <c r="N22" s="382">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45732.749999999956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217181</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6">
        <f ca="1">ROUNDDOWN( MAX(1 - MIN(facs_constr_factor*TblConstr[[#This Row],[Facs -DB]],facs_constr_max) + tech_1_11*TblTech[[#This Row],[11-1]] + tech_6_3_2*TblTech[[#This Row],[6-3]] + tech_5_2_3*TblTech[[#This Row],[5-2]], 1-global_constr_cap) * TblConstr[[#This Row],[RCPA Lumber]],0)</f>
        <v>88</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6">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ROUND((TblConstr[[#This Row],[Land]]-250 - IF(TblExplore[[#This Row],[Land Bonus]]&lt;&gt;0,20,0))*1.25 + 850 + 0,0)</f>
        <v>850</v>
      </c>
      <c r="AW22" s="96">
        <f ca="1">ROUND((TblConstr[[#This Row],[Land]]-250 - IF(TblExplore[[#This Row],[Land Bonus]]&lt;&gt;0,20,0))*0.285 + 87.5 + 0/4.25,0)</f>
        <v>88</v>
      </c>
      <c r="AX22" s="156"/>
      <c r="AY22" s="190" cm="1">
        <f t="array" aca="1" ref="AY22" ca="1">IF(TblConstr[[#This Row],[Hour]:[Hour]]&gt;12,OFFSET(TblConstr[[#This Row],[Hom]],-12,0),0)+OFFSET(TblConstr[[#This Row],[Tot Hom]],-1,0)-TblConstr[[#This Row],[Dest Hom]]</f>
        <v>10</v>
      </c>
      <c r="AZ22" s="191" cm="1">
        <f t="array" aca="1" ref="AZ22" ca="1">IF(TblConstr[[#This Row],[Hour]:[Hour]]&gt;12,OFFSET(TblConstr[[#This Row],[Alc]],-12,0),0)+OFFSET(TblConstr[[#This Row],[Tot Alc]],-1,0)-TblConstr[[#This Row],[Dest Alc]]</f>
        <v>30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86" cm="1">
        <f t="array" aca="1" ref="BF22" ca="1">IF(TblConstr[[#This Row],[Hour]:[Hour]]&gt;12,OFFSET(TblConstr[[#This Row],[OM]],-12,0),0)+OFFSET(TblConstr[[#This Row],[Tot OM]],-1,0)-TblConstr[[#This Row],[Dest OM]]</f>
        <v>0</v>
      </c>
      <c r="BG22" s="386" cm="1">
        <f t="array" aca="1" ref="BG22" ca="1">IF(TblConstr[[#This Row],[Hour]:[Hour]]&gt;12,OFFSET(TblConstr[[#This Row],[GN]],-12,0),0)+OFFSET(TblConstr[[#This Row],[Tot GN]],-1,0)-TblConstr[[#This Row],[Dest GN]]</f>
        <v>0</v>
      </c>
      <c r="BH22" s="390" cm="1">
        <f t="array" aca="1" ref="BH22" ca="1">IF(TblConstr[[#This Row],[Hour]:[Hour]]&gt;12,OFFSET(TblConstr[[#This Row],[Fac]],-12,0),0)+OFFSET(TblConstr[[#This Row],[Tot Fac]],-1,0)-TblConstr[[#This Row],[Dest Fac]]</f>
        <v>0</v>
      </c>
      <c r="BI22" s="390" cm="1">
        <f t="array" aca="1" ref="BI22" ca="1">IF(TblConstr[[#This Row],[Hour]:[Hour]]&gt;12,OFFSET(TblConstr[[#This Row],[GT]],-12,0),0)+OFFSET(TblConstr[[#This Row],[Tot GT]],-1,0)-TblConstr[[#This Row],[Dest GT]]</f>
        <v>0</v>
      </c>
      <c r="BJ22" s="390" cm="1">
        <f t="array" aca="1" ref="BJ22" ca="1">IF(TblConstr[[#This Row],[Hour]:[Hour]]&gt;12,OFFSET(TblConstr[[#This Row],[Bar]],-12,0),0)+OFFSET(TblConstr[[#This Row],[Tot Bar]],-1,0)-TblConstr[[#This Row],[Dest Bar]]</f>
        <v>0</v>
      </c>
      <c r="BK22" s="390" cm="1">
        <f t="array" aca="1" ref="BK22" ca="1">IF(TblConstr[[#This Row],[Hour]:[Hour]]&gt;12,OFFSET(TblConstr[[#This Row],[Shr]],-12,0),0)+OFFSET(TblConstr[[#This Row],[Tot Shr]],-1,0)-TblConstr[[#This Row],[Dest Shr]]</f>
        <v>0</v>
      </c>
      <c r="BL22" s="394" cm="1">
        <f t="array" aca="1" ref="BL22" ca="1">IF(TblConstr[[#This Row],[Hour]:[Hour]]&gt;12,OFFSET(TblConstr[[#This Row],[Tow]],-12,0),0)+OFFSET(TblConstr[[#This Row],[Tot Tow]],-1,0)-TblConstr[[#This Row],[Dest Tow]]</f>
        <v>0</v>
      </c>
      <c r="BM22" s="394" cm="1">
        <f t="array" aca="1" ref="BM22" ca="1">IF(TblConstr[[#This Row],[Hour]:[Hour]]&gt;12,OFFSET(TblConstr[[#This Row],[Tem]],-12,0),0)+OFFSET(TblConstr[[#This Row],[Tot Tem]],-1,0)-TblConstr[[#This Row],[Dest Tem]]</f>
        <v>0</v>
      </c>
      <c r="BN22" s="394"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250</v>
      </c>
      <c r="BU22" s="161">
        <f ca="1">TblImps[[#This Row],[Time]]</f>
        <v>45732.749999999956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84">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100</v>
      </c>
      <c r="DA22" s="96">
        <f t="shared" ca="1" si="4"/>
        <v>40</v>
      </c>
      <c r="DB22" s="45">
        <f t="shared" ca="1" si="5"/>
        <v>20</v>
      </c>
      <c r="DC22" s="96">
        <f t="shared" ca="1" si="6"/>
        <v>20</v>
      </c>
      <c r="DD22" s="96">
        <f t="shared" ca="1" si="7"/>
        <v>20</v>
      </c>
      <c r="DE22" s="45">
        <f t="shared" ca="1" si="8"/>
        <v>20</v>
      </c>
      <c r="DF22" s="96">
        <f t="shared" ca="1" si="9"/>
        <v>20</v>
      </c>
      <c r="DG22" s="96"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7">
        <f>TblRezone[[#This Row],[Hour]]</f>
        <v>20</v>
      </c>
      <c r="B23" s="178">
        <f ca="1">SUM(TblConstr[[#This Row],[Plain]:[Water]])</f>
        <v>160</v>
      </c>
      <c r="C23" s="179">
        <f ca="1">SUM(TblConstr[[#This Row],[Tot Hom]:[Tot Doc]])</f>
        <v>90</v>
      </c>
      <c r="D23" s="179">
        <f t="shared" si="2"/>
        <v>0</v>
      </c>
      <c r="E23" s="180"/>
      <c r="F23" s="61">
        <f ca="1">TblConstr[[#This Row],[Barren]]+TblConstr[[#This Row],[Buildings]]+TblConstr[[#This Row],[Incoming]]</f>
        <v>250</v>
      </c>
      <c r="G23" s="189">
        <f ca="1">OFFSET(TblConstr[[#This Row],[Plain]],-1,0)+TblConstr[[#This Row],[Ch_Plain]]</f>
        <v>40</v>
      </c>
      <c r="H23" s="184">
        <f ca="1">OFFSET(TblConstr[[#This Row],[Forest]],-1,0)+TblConstr[[#This Row],[Ch_Forest]]</f>
        <v>20</v>
      </c>
      <c r="I23" s="384">
        <f ca="1">OFFSET(TblConstr[[#This Row],[Mountain]],-1,0)+TblConstr[[#This Row],[Ch_Mountain]]</f>
        <v>20</v>
      </c>
      <c r="J23" s="388">
        <f ca="1">OFFSET(TblConstr[[#This Row],[Hill]],-1,0)+TblConstr[[#This Row],[Ch_Hill]]</f>
        <v>20</v>
      </c>
      <c r="K23" s="392">
        <f ca="1">OFFSET(TblConstr[[#This Row],[Swamp]],-1,0)+TblConstr[[#This Row],[Ch_Swamp]]</f>
        <v>20</v>
      </c>
      <c r="L23" s="187">
        <f ca="1">OFFSET(TblConstr[[#This Row],[Cavern]],-1,0)+TblConstr[[#This Row],[Ch_Cavern]]</f>
        <v>20</v>
      </c>
      <c r="M23" s="188">
        <f ca="1">OFFSET(TblConstr[[#This Row],[Water]],-1,0)+TblConstr[[#This Row],[Ch_Water]]</f>
        <v>20</v>
      </c>
      <c r="N23" s="382">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45732.791666666621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222851</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6">
        <f ca="1">ROUNDDOWN( MAX(1 - MIN(facs_constr_factor*TblConstr[[#This Row],[Facs -DB]],facs_constr_max) + tech_1_11*TblTech[[#This Row],[11-1]] + tech_6_3_2*TblTech[[#This Row],[6-3]] + tech_5_2_3*TblTech[[#This Row],[5-2]], 1-global_constr_cap) * TblConstr[[#This Row],[RCPA Lumber]],0)</f>
        <v>88</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6">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ROUND((TblConstr[[#This Row],[Land]]-250 - IF(TblExplore[[#This Row],[Land Bonus]]&lt;&gt;0,20,0))*1.25 + 850 + 0,0)</f>
        <v>850</v>
      </c>
      <c r="AW23" s="96">
        <f ca="1">ROUND((TblConstr[[#This Row],[Land]]-250 - IF(TblExplore[[#This Row],[Land Bonus]]&lt;&gt;0,20,0))*0.285 + 87.5 + 0/4.25,0)</f>
        <v>88</v>
      </c>
      <c r="AX23" s="156"/>
      <c r="AY23" s="190" cm="1">
        <f t="array" aca="1" ref="AY23" ca="1">IF(TblConstr[[#This Row],[Hour]:[Hour]]&gt;12,OFFSET(TblConstr[[#This Row],[Hom]],-12,0),0)+OFFSET(TblConstr[[#This Row],[Tot Hom]],-1,0)-TblConstr[[#This Row],[Dest Hom]]</f>
        <v>10</v>
      </c>
      <c r="AZ23" s="191" cm="1">
        <f t="array" aca="1" ref="AZ23" ca="1">IF(TblConstr[[#This Row],[Hour]:[Hour]]&gt;12,OFFSET(TblConstr[[#This Row],[Alc]],-12,0),0)+OFFSET(TblConstr[[#This Row],[Tot Alc]],-1,0)-TblConstr[[#This Row],[Dest Alc]]</f>
        <v>30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86" cm="1">
        <f t="array" aca="1" ref="BF23" ca="1">IF(TblConstr[[#This Row],[Hour]:[Hour]]&gt;12,OFFSET(TblConstr[[#This Row],[OM]],-12,0),0)+OFFSET(TblConstr[[#This Row],[Tot OM]],-1,0)-TblConstr[[#This Row],[Dest OM]]</f>
        <v>0</v>
      </c>
      <c r="BG23" s="386" cm="1">
        <f t="array" aca="1" ref="BG23" ca="1">IF(TblConstr[[#This Row],[Hour]:[Hour]]&gt;12,OFFSET(TblConstr[[#This Row],[GN]],-12,0),0)+OFFSET(TblConstr[[#This Row],[Tot GN]],-1,0)-TblConstr[[#This Row],[Dest GN]]</f>
        <v>0</v>
      </c>
      <c r="BH23" s="390" cm="1">
        <f t="array" aca="1" ref="BH23" ca="1">IF(TblConstr[[#This Row],[Hour]:[Hour]]&gt;12,OFFSET(TblConstr[[#This Row],[Fac]],-12,0),0)+OFFSET(TblConstr[[#This Row],[Tot Fac]],-1,0)-TblConstr[[#This Row],[Dest Fac]]</f>
        <v>0</v>
      </c>
      <c r="BI23" s="390" cm="1">
        <f t="array" aca="1" ref="BI23" ca="1">IF(TblConstr[[#This Row],[Hour]:[Hour]]&gt;12,OFFSET(TblConstr[[#This Row],[GT]],-12,0),0)+OFFSET(TblConstr[[#This Row],[Tot GT]],-1,0)-TblConstr[[#This Row],[Dest GT]]</f>
        <v>0</v>
      </c>
      <c r="BJ23" s="390" cm="1">
        <f t="array" aca="1" ref="BJ23" ca="1">IF(TblConstr[[#This Row],[Hour]:[Hour]]&gt;12,OFFSET(TblConstr[[#This Row],[Bar]],-12,0),0)+OFFSET(TblConstr[[#This Row],[Tot Bar]],-1,0)-TblConstr[[#This Row],[Dest Bar]]</f>
        <v>0</v>
      </c>
      <c r="BK23" s="390" cm="1">
        <f t="array" aca="1" ref="BK23" ca="1">IF(TblConstr[[#This Row],[Hour]:[Hour]]&gt;12,OFFSET(TblConstr[[#This Row],[Shr]],-12,0),0)+OFFSET(TblConstr[[#This Row],[Tot Shr]],-1,0)-TblConstr[[#This Row],[Dest Shr]]</f>
        <v>0</v>
      </c>
      <c r="BL23" s="394" cm="1">
        <f t="array" aca="1" ref="BL23" ca="1">IF(TblConstr[[#This Row],[Hour]:[Hour]]&gt;12,OFFSET(TblConstr[[#This Row],[Tow]],-12,0),0)+OFFSET(TblConstr[[#This Row],[Tot Tow]],-1,0)-TblConstr[[#This Row],[Dest Tow]]</f>
        <v>0</v>
      </c>
      <c r="BM23" s="394" cm="1">
        <f t="array" aca="1" ref="BM23" ca="1">IF(TblConstr[[#This Row],[Hour]:[Hour]]&gt;12,OFFSET(TblConstr[[#This Row],[Tem]],-12,0),0)+OFFSET(TblConstr[[#This Row],[Tot Tem]],-1,0)-TblConstr[[#This Row],[Dest Tem]]</f>
        <v>0</v>
      </c>
      <c r="BN23" s="394"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250</v>
      </c>
      <c r="BU23" s="161">
        <f ca="1">TblImps[[#This Row],[Time]]</f>
        <v>45732.791666666621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84">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100</v>
      </c>
      <c r="DA23" s="96">
        <f t="shared" ca="1" si="4"/>
        <v>40</v>
      </c>
      <c r="DB23" s="45">
        <f t="shared" ca="1" si="5"/>
        <v>20</v>
      </c>
      <c r="DC23" s="96">
        <f t="shared" ca="1" si="6"/>
        <v>20</v>
      </c>
      <c r="DD23" s="96">
        <f t="shared" ca="1" si="7"/>
        <v>20</v>
      </c>
      <c r="DE23" s="45">
        <f t="shared" ca="1" si="8"/>
        <v>20</v>
      </c>
      <c r="DF23" s="96">
        <f t="shared" ca="1" si="9"/>
        <v>20</v>
      </c>
      <c r="DG23" s="96"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7">
        <f>TblRezone[[#This Row],[Hour]]</f>
        <v>21</v>
      </c>
      <c r="B24" s="178">
        <f ca="1">SUM(TblConstr[[#This Row],[Plain]:[Water]])</f>
        <v>160</v>
      </c>
      <c r="C24" s="179">
        <f ca="1">SUM(TblConstr[[#This Row],[Tot Hom]:[Tot Doc]])</f>
        <v>90</v>
      </c>
      <c r="D24" s="179">
        <f t="shared" si="2"/>
        <v>0</v>
      </c>
      <c r="E24" s="180"/>
      <c r="F24" s="61">
        <f ca="1">TblConstr[[#This Row],[Barren]]+TblConstr[[#This Row],[Buildings]]+TblConstr[[#This Row],[Incoming]]</f>
        <v>250</v>
      </c>
      <c r="G24" s="189">
        <f ca="1">OFFSET(TblConstr[[#This Row],[Plain]],-1,0)+TblConstr[[#This Row],[Ch_Plain]]</f>
        <v>40</v>
      </c>
      <c r="H24" s="184">
        <f ca="1">OFFSET(TblConstr[[#This Row],[Forest]],-1,0)+TblConstr[[#This Row],[Ch_Forest]]</f>
        <v>20</v>
      </c>
      <c r="I24" s="384">
        <f ca="1">OFFSET(TblConstr[[#This Row],[Mountain]],-1,0)+TblConstr[[#This Row],[Ch_Mountain]]</f>
        <v>20</v>
      </c>
      <c r="J24" s="388">
        <f ca="1">OFFSET(TblConstr[[#This Row],[Hill]],-1,0)+TblConstr[[#This Row],[Ch_Hill]]</f>
        <v>20</v>
      </c>
      <c r="K24" s="392">
        <f ca="1">OFFSET(TblConstr[[#This Row],[Swamp]],-1,0)+TblConstr[[#This Row],[Ch_Swamp]]</f>
        <v>20</v>
      </c>
      <c r="L24" s="187">
        <f ca="1">OFFSET(TblConstr[[#This Row],[Cavern]],-1,0)+TblConstr[[#This Row],[Ch_Cavern]]</f>
        <v>20</v>
      </c>
      <c r="M24" s="188">
        <f ca="1">OFFSET(TblConstr[[#This Row],[Water]],-1,0)+TblConstr[[#This Row],[Ch_Water]]</f>
        <v>20</v>
      </c>
      <c r="N24" s="382">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45732.833333333285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228521</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6">
        <f ca="1">ROUNDDOWN( MAX(1 - MIN(facs_constr_factor*TblConstr[[#This Row],[Facs -DB]],facs_constr_max) + tech_1_11*TblTech[[#This Row],[11-1]] + tech_6_3_2*TblTech[[#This Row],[6-3]] + tech_5_2_3*TblTech[[#This Row],[5-2]], 1-global_constr_cap) * TblConstr[[#This Row],[RCPA Lumber]],0)</f>
        <v>88</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6">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ROUND((TblConstr[[#This Row],[Land]]-250 - IF(TblExplore[[#This Row],[Land Bonus]]&lt;&gt;0,20,0))*1.25 + 850 + 0,0)</f>
        <v>850</v>
      </c>
      <c r="AW24" s="96">
        <f ca="1">ROUND((TblConstr[[#This Row],[Land]]-250 - IF(TblExplore[[#This Row],[Land Bonus]]&lt;&gt;0,20,0))*0.285 + 87.5 + 0/4.25,0)</f>
        <v>88</v>
      </c>
      <c r="AX24" s="156"/>
      <c r="AY24" s="190" cm="1">
        <f t="array" aca="1" ref="AY24" ca="1">IF(TblConstr[[#This Row],[Hour]:[Hour]]&gt;12,OFFSET(TblConstr[[#This Row],[Hom]],-12,0),0)+OFFSET(TblConstr[[#This Row],[Tot Hom]],-1,0)-TblConstr[[#This Row],[Dest Hom]]</f>
        <v>10</v>
      </c>
      <c r="AZ24" s="191" cm="1">
        <f t="array" aca="1" ref="AZ24" ca="1">IF(TblConstr[[#This Row],[Hour]:[Hour]]&gt;12,OFFSET(TblConstr[[#This Row],[Alc]],-12,0),0)+OFFSET(TblConstr[[#This Row],[Tot Alc]],-1,0)-TblConstr[[#This Row],[Dest Alc]]</f>
        <v>30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86" cm="1">
        <f t="array" aca="1" ref="BF24" ca="1">IF(TblConstr[[#This Row],[Hour]:[Hour]]&gt;12,OFFSET(TblConstr[[#This Row],[OM]],-12,0),0)+OFFSET(TblConstr[[#This Row],[Tot OM]],-1,0)-TblConstr[[#This Row],[Dest OM]]</f>
        <v>0</v>
      </c>
      <c r="BG24" s="386" cm="1">
        <f t="array" aca="1" ref="BG24" ca="1">IF(TblConstr[[#This Row],[Hour]:[Hour]]&gt;12,OFFSET(TblConstr[[#This Row],[GN]],-12,0),0)+OFFSET(TblConstr[[#This Row],[Tot GN]],-1,0)-TblConstr[[#This Row],[Dest GN]]</f>
        <v>0</v>
      </c>
      <c r="BH24" s="390" cm="1">
        <f t="array" aca="1" ref="BH24" ca="1">IF(TblConstr[[#This Row],[Hour]:[Hour]]&gt;12,OFFSET(TblConstr[[#This Row],[Fac]],-12,0),0)+OFFSET(TblConstr[[#This Row],[Tot Fac]],-1,0)-TblConstr[[#This Row],[Dest Fac]]</f>
        <v>0</v>
      </c>
      <c r="BI24" s="390" cm="1">
        <f t="array" aca="1" ref="BI24" ca="1">IF(TblConstr[[#This Row],[Hour]:[Hour]]&gt;12,OFFSET(TblConstr[[#This Row],[GT]],-12,0),0)+OFFSET(TblConstr[[#This Row],[Tot GT]],-1,0)-TblConstr[[#This Row],[Dest GT]]</f>
        <v>0</v>
      </c>
      <c r="BJ24" s="390" cm="1">
        <f t="array" aca="1" ref="BJ24" ca="1">IF(TblConstr[[#This Row],[Hour]:[Hour]]&gt;12,OFFSET(TblConstr[[#This Row],[Bar]],-12,0),0)+OFFSET(TblConstr[[#This Row],[Tot Bar]],-1,0)-TblConstr[[#This Row],[Dest Bar]]</f>
        <v>0</v>
      </c>
      <c r="BK24" s="390" cm="1">
        <f t="array" aca="1" ref="BK24" ca="1">IF(TblConstr[[#This Row],[Hour]:[Hour]]&gt;12,OFFSET(TblConstr[[#This Row],[Shr]],-12,0),0)+OFFSET(TblConstr[[#This Row],[Tot Shr]],-1,0)-TblConstr[[#This Row],[Dest Shr]]</f>
        <v>0</v>
      </c>
      <c r="BL24" s="394" cm="1">
        <f t="array" aca="1" ref="BL24" ca="1">IF(TblConstr[[#This Row],[Hour]:[Hour]]&gt;12,OFFSET(TblConstr[[#This Row],[Tow]],-12,0),0)+OFFSET(TblConstr[[#This Row],[Tot Tow]],-1,0)-TblConstr[[#This Row],[Dest Tow]]</f>
        <v>0</v>
      </c>
      <c r="BM24" s="394" cm="1">
        <f t="array" aca="1" ref="BM24" ca="1">IF(TblConstr[[#This Row],[Hour]:[Hour]]&gt;12,OFFSET(TblConstr[[#This Row],[Tem]],-12,0),0)+OFFSET(TblConstr[[#This Row],[Tot Tem]],-1,0)-TblConstr[[#This Row],[Dest Tem]]</f>
        <v>0</v>
      </c>
      <c r="BN24" s="394"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250</v>
      </c>
      <c r="BU24" s="161">
        <f ca="1">TblImps[[#This Row],[Time]]</f>
        <v>45732.833333333285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84">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100</v>
      </c>
      <c r="DA24" s="96">
        <f t="shared" ca="1" si="4"/>
        <v>40</v>
      </c>
      <c r="DB24" s="45">
        <f t="shared" ca="1" si="5"/>
        <v>20</v>
      </c>
      <c r="DC24" s="96">
        <f t="shared" ca="1" si="6"/>
        <v>20</v>
      </c>
      <c r="DD24" s="96">
        <f t="shared" ca="1" si="7"/>
        <v>20</v>
      </c>
      <c r="DE24" s="45">
        <f t="shared" ca="1" si="8"/>
        <v>20</v>
      </c>
      <c r="DF24" s="96">
        <f t="shared" ca="1" si="9"/>
        <v>20</v>
      </c>
      <c r="DG24" s="96"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7">
        <f>TblRezone[[#This Row],[Hour]]</f>
        <v>22</v>
      </c>
      <c r="B25" s="178">
        <f ca="1">SUM(TblConstr[[#This Row],[Plain]:[Water]])</f>
        <v>160</v>
      </c>
      <c r="C25" s="179">
        <f ca="1">SUM(TblConstr[[#This Row],[Tot Hom]:[Tot Doc]])</f>
        <v>90</v>
      </c>
      <c r="D25" s="179">
        <f t="shared" si="2"/>
        <v>0</v>
      </c>
      <c r="E25" s="180"/>
      <c r="F25" s="61">
        <f ca="1">TblConstr[[#This Row],[Barren]]+TblConstr[[#This Row],[Buildings]]+TblConstr[[#This Row],[Incoming]]</f>
        <v>250</v>
      </c>
      <c r="G25" s="189">
        <f ca="1">OFFSET(TblConstr[[#This Row],[Plain]],-1,0)+TblConstr[[#This Row],[Ch_Plain]]</f>
        <v>40</v>
      </c>
      <c r="H25" s="184">
        <f ca="1">OFFSET(TblConstr[[#This Row],[Forest]],-1,0)+TblConstr[[#This Row],[Ch_Forest]]</f>
        <v>20</v>
      </c>
      <c r="I25" s="384">
        <f ca="1">OFFSET(TblConstr[[#This Row],[Mountain]],-1,0)+TblConstr[[#This Row],[Ch_Mountain]]</f>
        <v>20</v>
      </c>
      <c r="J25" s="388">
        <f ca="1">OFFSET(TblConstr[[#This Row],[Hill]],-1,0)+TblConstr[[#This Row],[Ch_Hill]]</f>
        <v>20</v>
      </c>
      <c r="K25" s="392">
        <f ca="1">OFFSET(TblConstr[[#This Row],[Swamp]],-1,0)+TblConstr[[#This Row],[Ch_Swamp]]</f>
        <v>20</v>
      </c>
      <c r="L25" s="187">
        <f ca="1">OFFSET(TblConstr[[#This Row],[Cavern]],-1,0)+TblConstr[[#This Row],[Ch_Cavern]]</f>
        <v>20</v>
      </c>
      <c r="M25" s="188">
        <f ca="1">OFFSET(TblConstr[[#This Row],[Water]],-1,0)+TblConstr[[#This Row],[Ch_Water]]</f>
        <v>20</v>
      </c>
      <c r="N25" s="382">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45732.874999999949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234191</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6">
        <f ca="1">ROUNDDOWN( MAX(1 - MIN(facs_constr_factor*TblConstr[[#This Row],[Facs -DB]],facs_constr_max) + tech_1_11*TblTech[[#This Row],[11-1]] + tech_6_3_2*TblTech[[#This Row],[6-3]] + tech_5_2_3*TblTech[[#This Row],[5-2]], 1-global_constr_cap) * TblConstr[[#This Row],[RCPA Lumber]],0)</f>
        <v>88</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6">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ROUND((TblConstr[[#This Row],[Land]]-250 - IF(TblExplore[[#This Row],[Land Bonus]]&lt;&gt;0,20,0))*1.25 + 850 + 0,0)</f>
        <v>850</v>
      </c>
      <c r="AW25" s="96">
        <f ca="1">ROUND((TblConstr[[#This Row],[Land]]-250 - IF(TblExplore[[#This Row],[Land Bonus]]&lt;&gt;0,20,0))*0.285 + 87.5 + 0/4.25,0)</f>
        <v>88</v>
      </c>
      <c r="AX25" s="156"/>
      <c r="AY25" s="190" cm="1">
        <f t="array" aca="1" ref="AY25" ca="1">IF(TblConstr[[#This Row],[Hour]:[Hour]]&gt;12,OFFSET(TblConstr[[#This Row],[Hom]],-12,0),0)+OFFSET(TblConstr[[#This Row],[Tot Hom]],-1,0)-TblConstr[[#This Row],[Dest Hom]]</f>
        <v>10</v>
      </c>
      <c r="AZ25" s="191" cm="1">
        <f t="array" aca="1" ref="AZ25" ca="1">IF(TblConstr[[#This Row],[Hour]:[Hour]]&gt;12,OFFSET(TblConstr[[#This Row],[Alc]],-12,0),0)+OFFSET(TblConstr[[#This Row],[Tot Alc]],-1,0)-TblConstr[[#This Row],[Dest Alc]]</f>
        <v>30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86" cm="1">
        <f t="array" aca="1" ref="BF25" ca="1">IF(TblConstr[[#This Row],[Hour]:[Hour]]&gt;12,OFFSET(TblConstr[[#This Row],[OM]],-12,0),0)+OFFSET(TblConstr[[#This Row],[Tot OM]],-1,0)-TblConstr[[#This Row],[Dest OM]]</f>
        <v>0</v>
      </c>
      <c r="BG25" s="386" cm="1">
        <f t="array" aca="1" ref="BG25" ca="1">IF(TblConstr[[#This Row],[Hour]:[Hour]]&gt;12,OFFSET(TblConstr[[#This Row],[GN]],-12,0),0)+OFFSET(TblConstr[[#This Row],[Tot GN]],-1,0)-TblConstr[[#This Row],[Dest GN]]</f>
        <v>0</v>
      </c>
      <c r="BH25" s="390" cm="1">
        <f t="array" aca="1" ref="BH25" ca="1">IF(TblConstr[[#This Row],[Hour]:[Hour]]&gt;12,OFFSET(TblConstr[[#This Row],[Fac]],-12,0),0)+OFFSET(TblConstr[[#This Row],[Tot Fac]],-1,0)-TblConstr[[#This Row],[Dest Fac]]</f>
        <v>0</v>
      </c>
      <c r="BI25" s="390" cm="1">
        <f t="array" aca="1" ref="BI25" ca="1">IF(TblConstr[[#This Row],[Hour]:[Hour]]&gt;12,OFFSET(TblConstr[[#This Row],[GT]],-12,0),0)+OFFSET(TblConstr[[#This Row],[Tot GT]],-1,0)-TblConstr[[#This Row],[Dest GT]]</f>
        <v>0</v>
      </c>
      <c r="BJ25" s="390" cm="1">
        <f t="array" aca="1" ref="BJ25" ca="1">IF(TblConstr[[#This Row],[Hour]:[Hour]]&gt;12,OFFSET(TblConstr[[#This Row],[Bar]],-12,0),0)+OFFSET(TblConstr[[#This Row],[Tot Bar]],-1,0)-TblConstr[[#This Row],[Dest Bar]]</f>
        <v>0</v>
      </c>
      <c r="BK25" s="390" cm="1">
        <f t="array" aca="1" ref="BK25" ca="1">IF(TblConstr[[#This Row],[Hour]:[Hour]]&gt;12,OFFSET(TblConstr[[#This Row],[Shr]],-12,0),0)+OFFSET(TblConstr[[#This Row],[Tot Shr]],-1,0)-TblConstr[[#This Row],[Dest Shr]]</f>
        <v>0</v>
      </c>
      <c r="BL25" s="394" cm="1">
        <f t="array" aca="1" ref="BL25" ca="1">IF(TblConstr[[#This Row],[Hour]:[Hour]]&gt;12,OFFSET(TblConstr[[#This Row],[Tow]],-12,0),0)+OFFSET(TblConstr[[#This Row],[Tot Tow]],-1,0)-TblConstr[[#This Row],[Dest Tow]]</f>
        <v>0</v>
      </c>
      <c r="BM25" s="394" cm="1">
        <f t="array" aca="1" ref="BM25" ca="1">IF(TblConstr[[#This Row],[Hour]:[Hour]]&gt;12,OFFSET(TblConstr[[#This Row],[Tem]],-12,0),0)+OFFSET(TblConstr[[#This Row],[Tot Tem]],-1,0)-TblConstr[[#This Row],[Dest Tem]]</f>
        <v>0</v>
      </c>
      <c r="BN25" s="394"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250</v>
      </c>
      <c r="BU25" s="161">
        <f ca="1">TblImps[[#This Row],[Time]]</f>
        <v>45732.874999999949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84">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100</v>
      </c>
      <c r="DA25" s="96">
        <f t="shared" ca="1" si="4"/>
        <v>40</v>
      </c>
      <c r="DB25" s="45">
        <f t="shared" ca="1" si="5"/>
        <v>20</v>
      </c>
      <c r="DC25" s="96">
        <f t="shared" ca="1" si="6"/>
        <v>20</v>
      </c>
      <c r="DD25" s="96">
        <f t="shared" ca="1" si="7"/>
        <v>20</v>
      </c>
      <c r="DE25" s="45">
        <f t="shared" ca="1" si="8"/>
        <v>20</v>
      </c>
      <c r="DF25" s="96">
        <f t="shared" ca="1" si="9"/>
        <v>20</v>
      </c>
      <c r="DG25" s="96"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7">
        <f>TblRezone[[#This Row],[Hour]]</f>
        <v>23</v>
      </c>
      <c r="B26" s="178">
        <f ca="1">SUM(TblConstr[[#This Row],[Plain]:[Water]])</f>
        <v>160</v>
      </c>
      <c r="C26" s="179">
        <f ca="1">SUM(TblConstr[[#This Row],[Tot Hom]:[Tot Doc]])</f>
        <v>90</v>
      </c>
      <c r="D26" s="179">
        <f>SUM(O15:AG26)</f>
        <v>0</v>
      </c>
      <c r="E26" s="180"/>
      <c r="F26" s="61">
        <f ca="1">TblConstr[[#This Row],[Barren]]+TblConstr[[#This Row],[Buildings]]+TblConstr[[#This Row],[Incoming]]</f>
        <v>250</v>
      </c>
      <c r="G26" s="189">
        <f ca="1">OFFSET(TblConstr[[#This Row],[Plain]],-1,0)+TblConstr[[#This Row],[Ch_Plain]]</f>
        <v>40</v>
      </c>
      <c r="H26" s="184">
        <f ca="1">OFFSET(TblConstr[[#This Row],[Forest]],-1,0)+TblConstr[[#This Row],[Ch_Forest]]</f>
        <v>20</v>
      </c>
      <c r="I26" s="384">
        <f ca="1">OFFSET(TblConstr[[#This Row],[Mountain]],-1,0)+TblConstr[[#This Row],[Ch_Mountain]]</f>
        <v>20</v>
      </c>
      <c r="J26" s="388">
        <f ca="1">OFFSET(TblConstr[[#This Row],[Hill]],-1,0)+TblConstr[[#This Row],[Ch_Hill]]</f>
        <v>20</v>
      </c>
      <c r="K26" s="392">
        <f ca="1">OFFSET(TblConstr[[#This Row],[Swamp]],-1,0)+TblConstr[[#This Row],[Ch_Swamp]]</f>
        <v>20</v>
      </c>
      <c r="L26" s="187">
        <f ca="1">OFFSET(TblConstr[[#This Row],[Cavern]],-1,0)+TblConstr[[#This Row],[Ch_Cavern]]</f>
        <v>20</v>
      </c>
      <c r="M26" s="188">
        <f ca="1">OFFSET(TblConstr[[#This Row],[Water]],-1,0)+TblConstr[[#This Row],[Ch_Water]]</f>
        <v>20</v>
      </c>
      <c r="N26" s="382">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45732.916666666613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239861</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6">
        <f ca="1">ROUNDDOWN( MAX(1 - MIN(facs_constr_factor*TblConstr[[#This Row],[Facs -DB]],facs_constr_max) + tech_1_11*TblTech[[#This Row],[11-1]] + tech_6_3_2*TblTech[[#This Row],[6-3]] + tech_5_2_3*TblTech[[#This Row],[5-2]], 1-global_constr_cap) * TblConstr[[#This Row],[RCPA Lumber]],0)</f>
        <v>88</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6">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ROUND((TblConstr[[#This Row],[Land]]-250 - IF(TblExplore[[#This Row],[Land Bonus]]&lt;&gt;0,20,0))*1.25 + 850 + 0,0)</f>
        <v>850</v>
      </c>
      <c r="AW26" s="96">
        <f ca="1">ROUND((TblConstr[[#This Row],[Land]]-250 - IF(TblExplore[[#This Row],[Land Bonus]]&lt;&gt;0,20,0))*0.285 + 87.5 + 0/4.25,0)</f>
        <v>88</v>
      </c>
      <c r="AX26" s="156"/>
      <c r="AY26" s="190" cm="1">
        <f t="array" aca="1" ref="AY26" ca="1">IF(TblConstr[[#This Row],[Hour]:[Hour]]&gt;12,OFFSET(TblConstr[[#This Row],[Hom]],-12,0),0)+OFFSET(TblConstr[[#This Row],[Tot Hom]],-1,0)-TblConstr[[#This Row],[Dest Hom]]</f>
        <v>10</v>
      </c>
      <c r="AZ26" s="191" cm="1">
        <f t="array" aca="1" ref="AZ26" ca="1">IF(TblConstr[[#This Row],[Hour]:[Hour]]&gt;12,OFFSET(TblConstr[[#This Row],[Alc]],-12,0),0)+OFFSET(TblConstr[[#This Row],[Tot Alc]],-1,0)-TblConstr[[#This Row],[Dest Alc]]</f>
        <v>30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86" cm="1">
        <f t="array" aca="1" ref="BF26" ca="1">IF(TblConstr[[#This Row],[Hour]:[Hour]]&gt;12,OFFSET(TblConstr[[#This Row],[OM]],-12,0),0)+OFFSET(TblConstr[[#This Row],[Tot OM]],-1,0)-TblConstr[[#This Row],[Dest OM]]</f>
        <v>0</v>
      </c>
      <c r="BG26" s="386" cm="1">
        <f t="array" aca="1" ref="BG26" ca="1">IF(TblConstr[[#This Row],[Hour]:[Hour]]&gt;12,OFFSET(TblConstr[[#This Row],[GN]],-12,0),0)+OFFSET(TblConstr[[#This Row],[Tot GN]],-1,0)-TblConstr[[#This Row],[Dest GN]]</f>
        <v>0</v>
      </c>
      <c r="BH26" s="390" cm="1">
        <f t="array" aca="1" ref="BH26" ca="1">IF(TblConstr[[#This Row],[Hour]:[Hour]]&gt;12,OFFSET(TblConstr[[#This Row],[Fac]],-12,0),0)+OFFSET(TblConstr[[#This Row],[Tot Fac]],-1,0)-TblConstr[[#This Row],[Dest Fac]]</f>
        <v>0</v>
      </c>
      <c r="BI26" s="390" cm="1">
        <f t="array" aca="1" ref="BI26" ca="1">IF(TblConstr[[#This Row],[Hour]:[Hour]]&gt;12,OFFSET(TblConstr[[#This Row],[GT]],-12,0),0)+OFFSET(TblConstr[[#This Row],[Tot GT]],-1,0)-TblConstr[[#This Row],[Dest GT]]</f>
        <v>0</v>
      </c>
      <c r="BJ26" s="390" cm="1">
        <f t="array" aca="1" ref="BJ26" ca="1">IF(TblConstr[[#This Row],[Hour]:[Hour]]&gt;12,OFFSET(TblConstr[[#This Row],[Bar]],-12,0),0)+OFFSET(TblConstr[[#This Row],[Tot Bar]],-1,0)-TblConstr[[#This Row],[Dest Bar]]</f>
        <v>0</v>
      </c>
      <c r="BK26" s="390" cm="1">
        <f t="array" aca="1" ref="BK26" ca="1">IF(TblConstr[[#This Row],[Hour]:[Hour]]&gt;12,OFFSET(TblConstr[[#This Row],[Shr]],-12,0),0)+OFFSET(TblConstr[[#This Row],[Tot Shr]],-1,0)-TblConstr[[#This Row],[Dest Shr]]</f>
        <v>0</v>
      </c>
      <c r="BL26" s="394" cm="1">
        <f t="array" aca="1" ref="BL26" ca="1">IF(TblConstr[[#This Row],[Hour]:[Hour]]&gt;12,OFFSET(TblConstr[[#This Row],[Tow]],-12,0),0)+OFFSET(TblConstr[[#This Row],[Tot Tow]],-1,0)-TblConstr[[#This Row],[Dest Tow]]</f>
        <v>0</v>
      </c>
      <c r="BM26" s="394" cm="1">
        <f t="array" aca="1" ref="BM26" ca="1">IF(TblConstr[[#This Row],[Hour]:[Hour]]&gt;12,OFFSET(TblConstr[[#This Row],[Tem]],-12,0),0)+OFFSET(TblConstr[[#This Row],[Tot Tem]],-1,0)-TblConstr[[#This Row],[Dest Tem]]</f>
        <v>0</v>
      </c>
      <c r="BN26" s="394"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250</v>
      </c>
      <c r="BU26" s="161">
        <f ca="1">TblImps[[#This Row],[Time]]</f>
        <v>45732.916666666613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84">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100</v>
      </c>
      <c r="DA26" s="96">
        <f t="shared" ca="1" si="4"/>
        <v>40</v>
      </c>
      <c r="DB26" s="45">
        <f t="shared" ca="1" si="5"/>
        <v>20</v>
      </c>
      <c r="DC26" s="96">
        <f t="shared" ca="1" si="6"/>
        <v>20</v>
      </c>
      <c r="DD26" s="96">
        <f t="shared" ca="1" si="7"/>
        <v>20</v>
      </c>
      <c r="DE26" s="45">
        <f t="shared" ca="1" si="8"/>
        <v>20</v>
      </c>
      <c r="DF26" s="96">
        <f t="shared" ca="1" si="9"/>
        <v>20</v>
      </c>
      <c r="DG26" s="96"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7">
        <f>TblRezone[[#This Row],[Hour]]</f>
        <v>24</v>
      </c>
      <c r="B27" s="178">
        <f ca="1">SUM(TblConstr[[#This Row],[Plain]:[Water]])</f>
        <v>160</v>
      </c>
      <c r="C27" s="179">
        <f ca="1">SUM(TblConstr[[#This Row],[Tot Hom]:[Tot Doc]])</f>
        <v>90</v>
      </c>
      <c r="D27" s="179">
        <f t="shared" si="2"/>
        <v>0</v>
      </c>
      <c r="E27" s="180"/>
      <c r="F27" s="61">
        <f ca="1">TblConstr[[#This Row],[Barren]]+TblConstr[[#This Row],[Buildings]]+TblConstr[[#This Row],[Incoming]]</f>
        <v>250</v>
      </c>
      <c r="G27" s="189">
        <f ca="1">OFFSET(TblConstr[[#This Row],[Plain]],-1,0)+TblConstr[[#This Row],[Ch_Plain]]</f>
        <v>40</v>
      </c>
      <c r="H27" s="184">
        <f ca="1">OFFSET(TblConstr[[#This Row],[Forest]],-1,0)+TblConstr[[#This Row],[Ch_Forest]]</f>
        <v>20</v>
      </c>
      <c r="I27" s="384">
        <f ca="1">OFFSET(TblConstr[[#This Row],[Mountain]],-1,0)+TblConstr[[#This Row],[Ch_Mountain]]</f>
        <v>20</v>
      </c>
      <c r="J27" s="388">
        <f ca="1">OFFSET(TblConstr[[#This Row],[Hill]],-1,0)+TblConstr[[#This Row],[Ch_Hill]]</f>
        <v>20</v>
      </c>
      <c r="K27" s="392">
        <f ca="1">OFFSET(TblConstr[[#This Row],[Swamp]],-1,0)+TblConstr[[#This Row],[Ch_Swamp]]</f>
        <v>20</v>
      </c>
      <c r="L27" s="187">
        <f ca="1">OFFSET(TblConstr[[#This Row],[Cavern]],-1,0)+TblConstr[[#This Row],[Ch_Cavern]]</f>
        <v>20</v>
      </c>
      <c r="M27" s="188">
        <f ca="1">OFFSET(TblConstr[[#This Row],[Water]],-1,0)+TblConstr[[#This Row],[Ch_Water]]</f>
        <v>20</v>
      </c>
      <c r="N27" s="382">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45732.958333333278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245531</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6">
        <f ca="1">ROUNDDOWN( MAX(1 - MIN(facs_constr_factor*TblConstr[[#This Row],[Facs -DB]],facs_constr_max) + tech_1_11*TblTech[[#This Row],[11-1]] + tech_6_3_2*TblTech[[#This Row],[6-3]] + tech_5_2_3*TblTech[[#This Row],[5-2]], 1-global_constr_cap) * TblConstr[[#This Row],[RCPA Lumber]],0)</f>
        <v>88</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6">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ROUND((TblConstr[[#This Row],[Land]]-250 - IF(TblExplore[[#This Row],[Land Bonus]]&lt;&gt;0,20,0))*1.25 + 850 + 0,0)</f>
        <v>850</v>
      </c>
      <c r="AW27" s="96">
        <f ca="1">ROUND((TblConstr[[#This Row],[Land]]-250 - IF(TblExplore[[#This Row],[Land Bonus]]&lt;&gt;0,20,0))*0.285 + 87.5 + 0/4.25,0)</f>
        <v>88</v>
      </c>
      <c r="AX27" s="156"/>
      <c r="AY27" s="190" cm="1">
        <f t="array" aca="1" ref="AY27" ca="1">IF(TblConstr[[#This Row],[Hour]:[Hour]]&gt;12,OFFSET(TblConstr[[#This Row],[Hom]],-12,0),0)+OFFSET(TblConstr[[#This Row],[Tot Hom]],-1,0)-TblConstr[[#This Row],[Dest Hom]]</f>
        <v>10</v>
      </c>
      <c r="AZ27" s="191" cm="1">
        <f t="array" aca="1" ref="AZ27" ca="1">IF(TblConstr[[#This Row],[Hour]:[Hour]]&gt;12,OFFSET(TblConstr[[#This Row],[Alc]],-12,0),0)+OFFSET(TblConstr[[#This Row],[Tot Alc]],-1,0)-TblConstr[[#This Row],[Dest Alc]]</f>
        <v>30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86" cm="1">
        <f t="array" aca="1" ref="BF27" ca="1">IF(TblConstr[[#This Row],[Hour]:[Hour]]&gt;12,OFFSET(TblConstr[[#This Row],[OM]],-12,0),0)+OFFSET(TblConstr[[#This Row],[Tot OM]],-1,0)-TblConstr[[#This Row],[Dest OM]]</f>
        <v>0</v>
      </c>
      <c r="BG27" s="386" cm="1">
        <f t="array" aca="1" ref="BG27" ca="1">IF(TblConstr[[#This Row],[Hour]:[Hour]]&gt;12,OFFSET(TblConstr[[#This Row],[GN]],-12,0),0)+OFFSET(TblConstr[[#This Row],[Tot GN]],-1,0)-TblConstr[[#This Row],[Dest GN]]</f>
        <v>0</v>
      </c>
      <c r="BH27" s="390" cm="1">
        <f t="array" aca="1" ref="BH27" ca="1">IF(TblConstr[[#This Row],[Hour]:[Hour]]&gt;12,OFFSET(TblConstr[[#This Row],[Fac]],-12,0),0)+OFFSET(TblConstr[[#This Row],[Tot Fac]],-1,0)-TblConstr[[#This Row],[Dest Fac]]</f>
        <v>0</v>
      </c>
      <c r="BI27" s="390" cm="1">
        <f t="array" aca="1" ref="BI27" ca="1">IF(TblConstr[[#This Row],[Hour]:[Hour]]&gt;12,OFFSET(TblConstr[[#This Row],[GT]],-12,0),0)+OFFSET(TblConstr[[#This Row],[Tot GT]],-1,0)-TblConstr[[#This Row],[Dest GT]]</f>
        <v>0</v>
      </c>
      <c r="BJ27" s="390" cm="1">
        <f t="array" aca="1" ref="BJ27" ca="1">IF(TblConstr[[#This Row],[Hour]:[Hour]]&gt;12,OFFSET(TblConstr[[#This Row],[Bar]],-12,0),0)+OFFSET(TblConstr[[#This Row],[Tot Bar]],-1,0)-TblConstr[[#This Row],[Dest Bar]]</f>
        <v>0</v>
      </c>
      <c r="BK27" s="390" cm="1">
        <f t="array" aca="1" ref="BK27" ca="1">IF(TblConstr[[#This Row],[Hour]:[Hour]]&gt;12,OFFSET(TblConstr[[#This Row],[Shr]],-12,0),0)+OFFSET(TblConstr[[#This Row],[Tot Shr]],-1,0)-TblConstr[[#This Row],[Dest Shr]]</f>
        <v>0</v>
      </c>
      <c r="BL27" s="394" cm="1">
        <f t="array" aca="1" ref="BL27" ca="1">IF(TblConstr[[#This Row],[Hour]:[Hour]]&gt;12,OFFSET(TblConstr[[#This Row],[Tow]],-12,0),0)+OFFSET(TblConstr[[#This Row],[Tot Tow]],-1,0)-TblConstr[[#This Row],[Dest Tow]]</f>
        <v>0</v>
      </c>
      <c r="BM27" s="394" cm="1">
        <f t="array" aca="1" ref="BM27" ca="1">IF(TblConstr[[#This Row],[Hour]:[Hour]]&gt;12,OFFSET(TblConstr[[#This Row],[Tem]],-12,0),0)+OFFSET(TblConstr[[#This Row],[Tot Tem]],-1,0)-TblConstr[[#This Row],[Dest Tem]]</f>
        <v>0</v>
      </c>
      <c r="BN27" s="394"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250</v>
      </c>
      <c r="BU27" s="161">
        <f ca="1">TblImps[[#This Row],[Time]]</f>
        <v>45732.958333333278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84">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100</v>
      </c>
      <c r="DA27" s="96">
        <f t="shared" ca="1" si="4"/>
        <v>40</v>
      </c>
      <c r="DB27" s="45">
        <f t="shared" ca="1" si="5"/>
        <v>20</v>
      </c>
      <c r="DC27" s="96">
        <f t="shared" ca="1" si="6"/>
        <v>20</v>
      </c>
      <c r="DD27" s="96">
        <f t="shared" ca="1" si="7"/>
        <v>20</v>
      </c>
      <c r="DE27" s="45">
        <f t="shared" ca="1" si="8"/>
        <v>20</v>
      </c>
      <c r="DF27" s="96">
        <f t="shared" ca="1" si="9"/>
        <v>20</v>
      </c>
      <c r="DG27" s="96"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7">
        <f>TblRezone[[#This Row],[Hour]]</f>
        <v>25</v>
      </c>
      <c r="B28" s="178">
        <f ca="1">SUM(TblConstr[[#This Row],[Plain]:[Water]])</f>
        <v>160</v>
      </c>
      <c r="C28" s="179">
        <f ca="1">SUM(TblConstr[[#This Row],[Tot Hom]:[Tot Doc]])</f>
        <v>90</v>
      </c>
      <c r="D28" s="179">
        <f t="shared" si="2"/>
        <v>0</v>
      </c>
      <c r="E28" s="180"/>
      <c r="F28" s="61">
        <f ca="1">TblConstr[[#This Row],[Barren]]+TblConstr[[#This Row],[Buildings]]+TblConstr[[#This Row],[Incoming]]</f>
        <v>250</v>
      </c>
      <c r="G28" s="189">
        <f ca="1">OFFSET(TblConstr[[#This Row],[Plain]],-1,0)+TblConstr[[#This Row],[Ch_Plain]]</f>
        <v>40</v>
      </c>
      <c r="H28" s="184">
        <f ca="1">OFFSET(TblConstr[[#This Row],[Forest]],-1,0)+TblConstr[[#This Row],[Ch_Forest]]</f>
        <v>20</v>
      </c>
      <c r="I28" s="384">
        <f ca="1">OFFSET(TblConstr[[#This Row],[Mountain]],-1,0)+TblConstr[[#This Row],[Ch_Mountain]]</f>
        <v>20</v>
      </c>
      <c r="J28" s="388">
        <f ca="1">OFFSET(TblConstr[[#This Row],[Hill]],-1,0)+TblConstr[[#This Row],[Ch_Hill]]</f>
        <v>20</v>
      </c>
      <c r="K28" s="392">
        <f ca="1">OFFSET(TblConstr[[#This Row],[Swamp]],-1,0)+TblConstr[[#This Row],[Ch_Swamp]]</f>
        <v>20</v>
      </c>
      <c r="L28" s="187">
        <f ca="1">OFFSET(TblConstr[[#This Row],[Cavern]],-1,0)+TblConstr[[#This Row],[Ch_Cavern]]</f>
        <v>20</v>
      </c>
      <c r="M28" s="188">
        <f ca="1">OFFSET(TblConstr[[#This Row],[Water]],-1,0)+TblConstr[[#This Row],[Ch_Water]]</f>
        <v>20</v>
      </c>
      <c r="N28" s="382">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45732.999999999942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251201</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6">
        <f ca="1">ROUNDDOWN( MAX(1 - MIN(facs_constr_factor*TblConstr[[#This Row],[Facs -DB]],facs_constr_max) + tech_1_11*TblTech[[#This Row],[11-1]] + tech_6_3_2*TblTech[[#This Row],[6-3]] + tech_5_2_3*TblTech[[#This Row],[5-2]], 1-global_constr_cap) * TblConstr[[#This Row],[RCPA Lumber]],0)</f>
        <v>88</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6">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ROUND((TblConstr[[#This Row],[Land]]-250 - IF(TblExplore[[#This Row],[Land Bonus]]&lt;&gt;0,20,0))*1.25 + 850 + 0,0)</f>
        <v>850</v>
      </c>
      <c r="AW28" s="96">
        <f ca="1">ROUND((TblConstr[[#This Row],[Land]]-250 - IF(TblExplore[[#This Row],[Land Bonus]]&lt;&gt;0,20,0))*0.285 + 87.5 + 0/4.25,0)</f>
        <v>88</v>
      </c>
      <c r="AX28" s="156"/>
      <c r="AY28" s="190" cm="1">
        <f t="array" aca="1" ref="AY28" ca="1">IF(TblConstr[[#This Row],[Hour]:[Hour]]&gt;12,OFFSET(TblConstr[[#This Row],[Hom]],-12,0),0)+OFFSET(TblConstr[[#This Row],[Tot Hom]],-1,0)-TblConstr[[#This Row],[Dest Hom]]</f>
        <v>10</v>
      </c>
      <c r="AZ28" s="191" cm="1">
        <f t="array" aca="1" ref="AZ28" ca="1">IF(TblConstr[[#This Row],[Hour]:[Hour]]&gt;12,OFFSET(TblConstr[[#This Row],[Alc]],-12,0),0)+OFFSET(TblConstr[[#This Row],[Tot Alc]],-1,0)-TblConstr[[#This Row],[Dest Alc]]</f>
        <v>30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86" cm="1">
        <f t="array" aca="1" ref="BF28" ca="1">IF(TblConstr[[#This Row],[Hour]:[Hour]]&gt;12,OFFSET(TblConstr[[#This Row],[OM]],-12,0),0)+OFFSET(TblConstr[[#This Row],[Tot OM]],-1,0)-TblConstr[[#This Row],[Dest OM]]</f>
        <v>0</v>
      </c>
      <c r="BG28" s="386" cm="1">
        <f t="array" aca="1" ref="BG28" ca="1">IF(TblConstr[[#This Row],[Hour]:[Hour]]&gt;12,OFFSET(TblConstr[[#This Row],[GN]],-12,0),0)+OFFSET(TblConstr[[#This Row],[Tot GN]],-1,0)-TblConstr[[#This Row],[Dest GN]]</f>
        <v>0</v>
      </c>
      <c r="BH28" s="390" cm="1">
        <f t="array" aca="1" ref="BH28" ca="1">IF(TblConstr[[#This Row],[Hour]:[Hour]]&gt;12,OFFSET(TblConstr[[#This Row],[Fac]],-12,0),0)+OFFSET(TblConstr[[#This Row],[Tot Fac]],-1,0)-TblConstr[[#This Row],[Dest Fac]]</f>
        <v>0</v>
      </c>
      <c r="BI28" s="390" cm="1">
        <f t="array" aca="1" ref="BI28" ca="1">IF(TblConstr[[#This Row],[Hour]:[Hour]]&gt;12,OFFSET(TblConstr[[#This Row],[GT]],-12,0),0)+OFFSET(TblConstr[[#This Row],[Tot GT]],-1,0)-TblConstr[[#This Row],[Dest GT]]</f>
        <v>0</v>
      </c>
      <c r="BJ28" s="390" cm="1">
        <f t="array" aca="1" ref="BJ28" ca="1">IF(TblConstr[[#This Row],[Hour]:[Hour]]&gt;12,OFFSET(TblConstr[[#This Row],[Bar]],-12,0),0)+OFFSET(TblConstr[[#This Row],[Tot Bar]],-1,0)-TblConstr[[#This Row],[Dest Bar]]</f>
        <v>0</v>
      </c>
      <c r="BK28" s="390" cm="1">
        <f t="array" aca="1" ref="BK28" ca="1">IF(TblConstr[[#This Row],[Hour]:[Hour]]&gt;12,OFFSET(TblConstr[[#This Row],[Shr]],-12,0),0)+OFFSET(TblConstr[[#This Row],[Tot Shr]],-1,0)-TblConstr[[#This Row],[Dest Shr]]</f>
        <v>0</v>
      </c>
      <c r="BL28" s="394" cm="1">
        <f t="array" aca="1" ref="BL28" ca="1">IF(TblConstr[[#This Row],[Hour]:[Hour]]&gt;12,OFFSET(TblConstr[[#This Row],[Tow]],-12,0),0)+OFFSET(TblConstr[[#This Row],[Tot Tow]],-1,0)-TblConstr[[#This Row],[Dest Tow]]</f>
        <v>0</v>
      </c>
      <c r="BM28" s="394" cm="1">
        <f t="array" aca="1" ref="BM28" ca="1">IF(TblConstr[[#This Row],[Hour]:[Hour]]&gt;12,OFFSET(TblConstr[[#This Row],[Tem]],-12,0),0)+OFFSET(TblConstr[[#This Row],[Tot Tem]],-1,0)-TblConstr[[#This Row],[Dest Tem]]</f>
        <v>0</v>
      </c>
      <c r="BN28" s="394"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250</v>
      </c>
      <c r="BU28" s="161">
        <f ca="1">TblImps[[#This Row],[Time]]</f>
        <v>45732.999999999942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84">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100</v>
      </c>
      <c r="DA28" s="96">
        <f t="shared" ca="1" si="4"/>
        <v>40</v>
      </c>
      <c r="DB28" s="45">
        <f t="shared" ca="1" si="5"/>
        <v>20</v>
      </c>
      <c r="DC28" s="96">
        <f t="shared" ca="1" si="6"/>
        <v>20</v>
      </c>
      <c r="DD28" s="96">
        <f t="shared" ca="1" si="7"/>
        <v>20</v>
      </c>
      <c r="DE28" s="45">
        <f t="shared" ca="1" si="8"/>
        <v>20</v>
      </c>
      <c r="DF28" s="96">
        <f t="shared" ca="1" si="9"/>
        <v>20</v>
      </c>
      <c r="DG28" s="96"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7">
        <f>TblRezone[[#This Row],[Hour]]</f>
        <v>26</v>
      </c>
      <c r="B29" s="178">
        <f ca="1">SUM(TblConstr[[#This Row],[Plain]:[Water]])</f>
        <v>160</v>
      </c>
      <c r="C29" s="179">
        <f ca="1">SUM(TblConstr[[#This Row],[Tot Hom]:[Tot Doc]])</f>
        <v>90</v>
      </c>
      <c r="D29" s="179">
        <f t="shared" si="2"/>
        <v>0</v>
      </c>
      <c r="E29" s="180"/>
      <c r="F29" s="61">
        <f ca="1">TblConstr[[#This Row],[Barren]]+TblConstr[[#This Row],[Buildings]]+TblConstr[[#This Row],[Incoming]]</f>
        <v>250</v>
      </c>
      <c r="G29" s="189">
        <f ca="1">OFFSET(TblConstr[[#This Row],[Plain]],-1,0)+TblConstr[[#This Row],[Ch_Plain]]</f>
        <v>40</v>
      </c>
      <c r="H29" s="184">
        <f ca="1">OFFSET(TblConstr[[#This Row],[Forest]],-1,0)+TblConstr[[#This Row],[Ch_Forest]]</f>
        <v>20</v>
      </c>
      <c r="I29" s="384">
        <f ca="1">OFFSET(TblConstr[[#This Row],[Mountain]],-1,0)+TblConstr[[#This Row],[Ch_Mountain]]</f>
        <v>20</v>
      </c>
      <c r="J29" s="388">
        <f ca="1">OFFSET(TblConstr[[#This Row],[Hill]],-1,0)+TblConstr[[#This Row],[Ch_Hill]]</f>
        <v>20</v>
      </c>
      <c r="K29" s="392">
        <f ca="1">OFFSET(TblConstr[[#This Row],[Swamp]],-1,0)+TblConstr[[#This Row],[Ch_Swamp]]</f>
        <v>20</v>
      </c>
      <c r="L29" s="187">
        <f ca="1">OFFSET(TblConstr[[#This Row],[Cavern]],-1,0)+TblConstr[[#This Row],[Ch_Cavern]]</f>
        <v>20</v>
      </c>
      <c r="M29" s="188">
        <f ca="1">OFFSET(TblConstr[[#This Row],[Water]],-1,0)+TblConstr[[#This Row],[Ch_Water]]</f>
        <v>20</v>
      </c>
      <c r="N29" s="382">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45733.041666666606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256871</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6">
        <f ca="1">ROUNDDOWN( MAX(1 - MIN(facs_constr_factor*TblConstr[[#This Row],[Facs -DB]],facs_constr_max) + tech_1_11*TblTech[[#This Row],[11-1]] + tech_6_3_2*TblTech[[#This Row],[6-3]] + tech_5_2_3*TblTech[[#This Row],[5-2]], 1-global_constr_cap) * TblConstr[[#This Row],[RCPA Lumber]],0)</f>
        <v>88</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6">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ROUND((TblConstr[[#This Row],[Land]]-250 - IF(TblExplore[[#This Row],[Land Bonus]]&lt;&gt;0,20,0))*1.25 + 850 + 0,0)</f>
        <v>850</v>
      </c>
      <c r="AW29" s="96">
        <f ca="1">ROUND((TblConstr[[#This Row],[Land]]-250 - IF(TblExplore[[#This Row],[Land Bonus]]&lt;&gt;0,20,0))*0.285 + 87.5 + 0/4.25,0)</f>
        <v>88</v>
      </c>
      <c r="AX29" s="156"/>
      <c r="AY29" s="190" cm="1">
        <f t="array" aca="1" ref="AY29" ca="1">IF(TblConstr[[#This Row],[Hour]:[Hour]]&gt;12,OFFSET(TblConstr[[#This Row],[Hom]],-12,0),0)+OFFSET(TblConstr[[#This Row],[Tot Hom]],-1,0)-TblConstr[[#This Row],[Dest Hom]]</f>
        <v>10</v>
      </c>
      <c r="AZ29" s="191" cm="1">
        <f t="array" aca="1" ref="AZ29" ca="1">IF(TblConstr[[#This Row],[Hour]:[Hour]]&gt;12,OFFSET(TblConstr[[#This Row],[Alc]],-12,0),0)+OFFSET(TblConstr[[#This Row],[Tot Alc]],-1,0)-TblConstr[[#This Row],[Dest Alc]]</f>
        <v>30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86" cm="1">
        <f t="array" aca="1" ref="BF29" ca="1">IF(TblConstr[[#This Row],[Hour]:[Hour]]&gt;12,OFFSET(TblConstr[[#This Row],[OM]],-12,0),0)+OFFSET(TblConstr[[#This Row],[Tot OM]],-1,0)-TblConstr[[#This Row],[Dest OM]]</f>
        <v>0</v>
      </c>
      <c r="BG29" s="386" cm="1">
        <f t="array" aca="1" ref="BG29" ca="1">IF(TblConstr[[#This Row],[Hour]:[Hour]]&gt;12,OFFSET(TblConstr[[#This Row],[GN]],-12,0),0)+OFFSET(TblConstr[[#This Row],[Tot GN]],-1,0)-TblConstr[[#This Row],[Dest GN]]</f>
        <v>0</v>
      </c>
      <c r="BH29" s="390" cm="1">
        <f t="array" aca="1" ref="BH29" ca="1">IF(TblConstr[[#This Row],[Hour]:[Hour]]&gt;12,OFFSET(TblConstr[[#This Row],[Fac]],-12,0),0)+OFFSET(TblConstr[[#This Row],[Tot Fac]],-1,0)-TblConstr[[#This Row],[Dest Fac]]</f>
        <v>0</v>
      </c>
      <c r="BI29" s="390" cm="1">
        <f t="array" aca="1" ref="BI29" ca="1">IF(TblConstr[[#This Row],[Hour]:[Hour]]&gt;12,OFFSET(TblConstr[[#This Row],[GT]],-12,0),0)+OFFSET(TblConstr[[#This Row],[Tot GT]],-1,0)-TblConstr[[#This Row],[Dest GT]]</f>
        <v>0</v>
      </c>
      <c r="BJ29" s="390" cm="1">
        <f t="array" aca="1" ref="BJ29" ca="1">IF(TblConstr[[#This Row],[Hour]:[Hour]]&gt;12,OFFSET(TblConstr[[#This Row],[Bar]],-12,0),0)+OFFSET(TblConstr[[#This Row],[Tot Bar]],-1,0)-TblConstr[[#This Row],[Dest Bar]]</f>
        <v>0</v>
      </c>
      <c r="BK29" s="390" cm="1">
        <f t="array" aca="1" ref="BK29" ca="1">IF(TblConstr[[#This Row],[Hour]:[Hour]]&gt;12,OFFSET(TblConstr[[#This Row],[Shr]],-12,0),0)+OFFSET(TblConstr[[#This Row],[Tot Shr]],-1,0)-TblConstr[[#This Row],[Dest Shr]]</f>
        <v>0</v>
      </c>
      <c r="BL29" s="394" cm="1">
        <f t="array" aca="1" ref="BL29" ca="1">IF(TblConstr[[#This Row],[Hour]:[Hour]]&gt;12,OFFSET(TblConstr[[#This Row],[Tow]],-12,0),0)+OFFSET(TblConstr[[#This Row],[Tot Tow]],-1,0)-TblConstr[[#This Row],[Dest Tow]]</f>
        <v>0</v>
      </c>
      <c r="BM29" s="394" cm="1">
        <f t="array" aca="1" ref="BM29" ca="1">IF(TblConstr[[#This Row],[Hour]:[Hour]]&gt;12,OFFSET(TblConstr[[#This Row],[Tem]],-12,0),0)+OFFSET(TblConstr[[#This Row],[Tot Tem]],-1,0)-TblConstr[[#This Row],[Dest Tem]]</f>
        <v>0</v>
      </c>
      <c r="BN29" s="394"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250</v>
      </c>
      <c r="BU29" s="161">
        <f ca="1">TblImps[[#This Row],[Time]]</f>
        <v>45733.041666666606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84">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100</v>
      </c>
      <c r="DA29" s="96">
        <f t="shared" ca="1" si="4"/>
        <v>40</v>
      </c>
      <c r="DB29" s="45">
        <f t="shared" ca="1" si="5"/>
        <v>20</v>
      </c>
      <c r="DC29" s="96">
        <f t="shared" ca="1" si="6"/>
        <v>20</v>
      </c>
      <c r="DD29" s="96">
        <f t="shared" ca="1" si="7"/>
        <v>20</v>
      </c>
      <c r="DE29" s="45">
        <f t="shared" ca="1" si="8"/>
        <v>20</v>
      </c>
      <c r="DF29" s="96">
        <f t="shared" ca="1" si="9"/>
        <v>20</v>
      </c>
      <c r="DG29" s="96"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7">
        <f>TblRezone[[#This Row],[Hour]]</f>
        <v>27</v>
      </c>
      <c r="B30" s="178">
        <f ca="1">SUM(TblConstr[[#This Row],[Plain]:[Water]])</f>
        <v>160</v>
      </c>
      <c r="C30" s="179">
        <f ca="1">SUM(TblConstr[[#This Row],[Tot Hom]:[Tot Doc]])</f>
        <v>90</v>
      </c>
      <c r="D30" s="179">
        <f t="shared" si="2"/>
        <v>0</v>
      </c>
      <c r="E30" s="180"/>
      <c r="F30" s="61">
        <f ca="1">TblConstr[[#This Row],[Barren]]+TblConstr[[#This Row],[Buildings]]+TblConstr[[#This Row],[Incoming]]</f>
        <v>250</v>
      </c>
      <c r="G30" s="189">
        <f ca="1">OFFSET(TblConstr[[#This Row],[Plain]],-1,0)+TblConstr[[#This Row],[Ch_Plain]]</f>
        <v>40</v>
      </c>
      <c r="H30" s="184">
        <f ca="1">OFFSET(TblConstr[[#This Row],[Forest]],-1,0)+TblConstr[[#This Row],[Ch_Forest]]</f>
        <v>20</v>
      </c>
      <c r="I30" s="384">
        <f ca="1">OFFSET(TblConstr[[#This Row],[Mountain]],-1,0)+TblConstr[[#This Row],[Ch_Mountain]]</f>
        <v>20</v>
      </c>
      <c r="J30" s="388">
        <f ca="1">OFFSET(TblConstr[[#This Row],[Hill]],-1,0)+TblConstr[[#This Row],[Ch_Hill]]</f>
        <v>20</v>
      </c>
      <c r="K30" s="392">
        <f ca="1">OFFSET(TblConstr[[#This Row],[Swamp]],-1,0)+TblConstr[[#This Row],[Ch_Swamp]]</f>
        <v>20</v>
      </c>
      <c r="L30" s="187">
        <f ca="1">OFFSET(TblConstr[[#This Row],[Cavern]],-1,0)+TblConstr[[#This Row],[Ch_Cavern]]</f>
        <v>20</v>
      </c>
      <c r="M30" s="188">
        <f ca="1">OFFSET(TblConstr[[#This Row],[Water]],-1,0)+TblConstr[[#This Row],[Ch_Water]]</f>
        <v>20</v>
      </c>
      <c r="N30" s="382">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45733.08333333327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262541</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6">
        <f ca="1">ROUNDDOWN( MAX(1 - MIN(facs_constr_factor*TblConstr[[#This Row],[Facs -DB]],facs_constr_max) + tech_1_11*TblTech[[#This Row],[11-1]] + tech_6_3_2*TblTech[[#This Row],[6-3]] + tech_5_2_3*TblTech[[#This Row],[5-2]], 1-global_constr_cap) * TblConstr[[#This Row],[RCPA Lumber]],0)</f>
        <v>88</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6">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ROUND((TblConstr[[#This Row],[Land]]-250 - IF(TblExplore[[#This Row],[Land Bonus]]&lt;&gt;0,20,0))*1.25 + 850 + 0,0)</f>
        <v>850</v>
      </c>
      <c r="AW30" s="96">
        <f ca="1">ROUND((TblConstr[[#This Row],[Land]]-250 - IF(TblExplore[[#This Row],[Land Bonus]]&lt;&gt;0,20,0))*0.285 + 87.5 + 0/4.25,0)</f>
        <v>88</v>
      </c>
      <c r="AX30" s="156"/>
      <c r="AY30" s="190" cm="1">
        <f t="array" aca="1" ref="AY30" ca="1">IF(TblConstr[[#This Row],[Hour]:[Hour]]&gt;12,OFFSET(TblConstr[[#This Row],[Hom]],-12,0),0)+OFFSET(TblConstr[[#This Row],[Tot Hom]],-1,0)-TblConstr[[#This Row],[Dest Hom]]</f>
        <v>10</v>
      </c>
      <c r="AZ30" s="191" cm="1">
        <f t="array" aca="1" ref="AZ30" ca="1">IF(TblConstr[[#This Row],[Hour]:[Hour]]&gt;12,OFFSET(TblConstr[[#This Row],[Alc]],-12,0),0)+OFFSET(TblConstr[[#This Row],[Tot Alc]],-1,0)-TblConstr[[#This Row],[Dest Alc]]</f>
        <v>30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86" cm="1">
        <f t="array" aca="1" ref="BF30" ca="1">IF(TblConstr[[#This Row],[Hour]:[Hour]]&gt;12,OFFSET(TblConstr[[#This Row],[OM]],-12,0),0)+OFFSET(TblConstr[[#This Row],[Tot OM]],-1,0)-TblConstr[[#This Row],[Dest OM]]</f>
        <v>0</v>
      </c>
      <c r="BG30" s="386" cm="1">
        <f t="array" aca="1" ref="BG30" ca="1">IF(TblConstr[[#This Row],[Hour]:[Hour]]&gt;12,OFFSET(TblConstr[[#This Row],[GN]],-12,0),0)+OFFSET(TblConstr[[#This Row],[Tot GN]],-1,0)-TblConstr[[#This Row],[Dest GN]]</f>
        <v>0</v>
      </c>
      <c r="BH30" s="390" cm="1">
        <f t="array" aca="1" ref="BH30" ca="1">IF(TblConstr[[#This Row],[Hour]:[Hour]]&gt;12,OFFSET(TblConstr[[#This Row],[Fac]],-12,0),0)+OFFSET(TblConstr[[#This Row],[Tot Fac]],-1,0)-TblConstr[[#This Row],[Dest Fac]]</f>
        <v>0</v>
      </c>
      <c r="BI30" s="390" cm="1">
        <f t="array" aca="1" ref="BI30" ca="1">IF(TblConstr[[#This Row],[Hour]:[Hour]]&gt;12,OFFSET(TblConstr[[#This Row],[GT]],-12,0),0)+OFFSET(TblConstr[[#This Row],[Tot GT]],-1,0)-TblConstr[[#This Row],[Dest GT]]</f>
        <v>0</v>
      </c>
      <c r="BJ30" s="390" cm="1">
        <f t="array" aca="1" ref="BJ30" ca="1">IF(TblConstr[[#This Row],[Hour]:[Hour]]&gt;12,OFFSET(TblConstr[[#This Row],[Bar]],-12,0),0)+OFFSET(TblConstr[[#This Row],[Tot Bar]],-1,0)-TblConstr[[#This Row],[Dest Bar]]</f>
        <v>0</v>
      </c>
      <c r="BK30" s="390" cm="1">
        <f t="array" aca="1" ref="BK30" ca="1">IF(TblConstr[[#This Row],[Hour]:[Hour]]&gt;12,OFFSET(TblConstr[[#This Row],[Shr]],-12,0),0)+OFFSET(TblConstr[[#This Row],[Tot Shr]],-1,0)-TblConstr[[#This Row],[Dest Shr]]</f>
        <v>0</v>
      </c>
      <c r="BL30" s="394" cm="1">
        <f t="array" aca="1" ref="BL30" ca="1">IF(TblConstr[[#This Row],[Hour]:[Hour]]&gt;12,OFFSET(TblConstr[[#This Row],[Tow]],-12,0),0)+OFFSET(TblConstr[[#This Row],[Tot Tow]],-1,0)-TblConstr[[#This Row],[Dest Tow]]</f>
        <v>0</v>
      </c>
      <c r="BM30" s="394" cm="1">
        <f t="array" aca="1" ref="BM30" ca="1">IF(TblConstr[[#This Row],[Hour]:[Hour]]&gt;12,OFFSET(TblConstr[[#This Row],[Tem]],-12,0),0)+OFFSET(TblConstr[[#This Row],[Tot Tem]],-1,0)-TblConstr[[#This Row],[Dest Tem]]</f>
        <v>0</v>
      </c>
      <c r="BN30" s="394"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250</v>
      </c>
      <c r="BU30" s="161">
        <f ca="1">TblImps[[#This Row],[Time]]</f>
        <v>45733.08333333327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84">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100</v>
      </c>
      <c r="DA30" s="96">
        <f t="shared" ca="1" si="4"/>
        <v>40</v>
      </c>
      <c r="DB30" s="45">
        <f t="shared" ca="1" si="5"/>
        <v>20</v>
      </c>
      <c r="DC30" s="96">
        <f t="shared" ca="1" si="6"/>
        <v>20</v>
      </c>
      <c r="DD30" s="96">
        <f t="shared" ca="1" si="7"/>
        <v>20</v>
      </c>
      <c r="DE30" s="45">
        <f t="shared" ca="1" si="8"/>
        <v>20</v>
      </c>
      <c r="DF30" s="96">
        <f t="shared" ca="1" si="9"/>
        <v>20</v>
      </c>
      <c r="DG30" s="96"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7">
        <f>TblRezone[[#This Row],[Hour]]</f>
        <v>28</v>
      </c>
      <c r="B31" s="178">
        <f ca="1">SUM(TblConstr[[#This Row],[Plain]:[Water]])</f>
        <v>160</v>
      </c>
      <c r="C31" s="179">
        <f ca="1">SUM(TblConstr[[#This Row],[Tot Hom]:[Tot Doc]])</f>
        <v>90</v>
      </c>
      <c r="D31" s="179">
        <f t="shared" si="2"/>
        <v>0</v>
      </c>
      <c r="E31" s="180"/>
      <c r="F31" s="61">
        <f ca="1">TblConstr[[#This Row],[Barren]]+TblConstr[[#This Row],[Buildings]]+TblConstr[[#This Row],[Incoming]]</f>
        <v>250</v>
      </c>
      <c r="G31" s="189">
        <f ca="1">OFFSET(TblConstr[[#This Row],[Plain]],-1,0)+TblConstr[[#This Row],[Ch_Plain]]</f>
        <v>40</v>
      </c>
      <c r="H31" s="184">
        <f ca="1">OFFSET(TblConstr[[#This Row],[Forest]],-1,0)+TblConstr[[#This Row],[Ch_Forest]]</f>
        <v>20</v>
      </c>
      <c r="I31" s="384">
        <f ca="1">OFFSET(TblConstr[[#This Row],[Mountain]],-1,0)+TblConstr[[#This Row],[Ch_Mountain]]</f>
        <v>20</v>
      </c>
      <c r="J31" s="388">
        <f ca="1">OFFSET(TblConstr[[#This Row],[Hill]],-1,0)+TblConstr[[#This Row],[Ch_Hill]]</f>
        <v>20</v>
      </c>
      <c r="K31" s="392">
        <f ca="1">OFFSET(TblConstr[[#This Row],[Swamp]],-1,0)+TblConstr[[#This Row],[Ch_Swamp]]</f>
        <v>20</v>
      </c>
      <c r="L31" s="187">
        <f ca="1">OFFSET(TblConstr[[#This Row],[Cavern]],-1,0)+TblConstr[[#This Row],[Ch_Cavern]]</f>
        <v>20</v>
      </c>
      <c r="M31" s="188">
        <f ca="1">OFFSET(TblConstr[[#This Row],[Water]],-1,0)+TblConstr[[#This Row],[Ch_Water]]</f>
        <v>20</v>
      </c>
      <c r="N31" s="382">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45733.124999999935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268211</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6">
        <f ca="1">ROUNDDOWN( MAX(1 - MIN(facs_constr_factor*TblConstr[[#This Row],[Facs -DB]],facs_constr_max) + tech_1_11*TblTech[[#This Row],[11-1]] + tech_6_3_2*TblTech[[#This Row],[6-3]] + tech_5_2_3*TblTech[[#This Row],[5-2]], 1-global_constr_cap) * TblConstr[[#This Row],[RCPA Lumber]],0)</f>
        <v>88</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6">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ROUND((TblConstr[[#This Row],[Land]]-250 - IF(TblExplore[[#This Row],[Land Bonus]]&lt;&gt;0,20,0))*1.25 + 850 + 0,0)</f>
        <v>850</v>
      </c>
      <c r="AW31" s="96">
        <f ca="1">ROUND((TblConstr[[#This Row],[Land]]-250 - IF(TblExplore[[#This Row],[Land Bonus]]&lt;&gt;0,20,0))*0.285 + 87.5 + 0/4.25,0)</f>
        <v>88</v>
      </c>
      <c r="AX31" s="156"/>
      <c r="AY31" s="190" cm="1">
        <f t="array" aca="1" ref="AY31" ca="1">IF(TblConstr[[#This Row],[Hour]:[Hour]]&gt;12,OFFSET(TblConstr[[#This Row],[Hom]],-12,0),0)+OFFSET(TblConstr[[#This Row],[Tot Hom]],-1,0)-TblConstr[[#This Row],[Dest Hom]]</f>
        <v>10</v>
      </c>
      <c r="AZ31" s="191" cm="1">
        <f t="array" aca="1" ref="AZ31" ca="1">IF(TblConstr[[#This Row],[Hour]:[Hour]]&gt;12,OFFSET(TblConstr[[#This Row],[Alc]],-12,0),0)+OFFSET(TblConstr[[#This Row],[Tot Alc]],-1,0)-TblConstr[[#This Row],[Dest Alc]]</f>
        <v>30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86" cm="1">
        <f t="array" aca="1" ref="BF31" ca="1">IF(TblConstr[[#This Row],[Hour]:[Hour]]&gt;12,OFFSET(TblConstr[[#This Row],[OM]],-12,0),0)+OFFSET(TblConstr[[#This Row],[Tot OM]],-1,0)-TblConstr[[#This Row],[Dest OM]]</f>
        <v>0</v>
      </c>
      <c r="BG31" s="386" cm="1">
        <f t="array" aca="1" ref="BG31" ca="1">IF(TblConstr[[#This Row],[Hour]:[Hour]]&gt;12,OFFSET(TblConstr[[#This Row],[GN]],-12,0),0)+OFFSET(TblConstr[[#This Row],[Tot GN]],-1,0)-TblConstr[[#This Row],[Dest GN]]</f>
        <v>0</v>
      </c>
      <c r="BH31" s="390" cm="1">
        <f t="array" aca="1" ref="BH31" ca="1">IF(TblConstr[[#This Row],[Hour]:[Hour]]&gt;12,OFFSET(TblConstr[[#This Row],[Fac]],-12,0),0)+OFFSET(TblConstr[[#This Row],[Tot Fac]],-1,0)-TblConstr[[#This Row],[Dest Fac]]</f>
        <v>0</v>
      </c>
      <c r="BI31" s="390" cm="1">
        <f t="array" aca="1" ref="BI31" ca="1">IF(TblConstr[[#This Row],[Hour]:[Hour]]&gt;12,OFFSET(TblConstr[[#This Row],[GT]],-12,0),0)+OFFSET(TblConstr[[#This Row],[Tot GT]],-1,0)-TblConstr[[#This Row],[Dest GT]]</f>
        <v>0</v>
      </c>
      <c r="BJ31" s="390" cm="1">
        <f t="array" aca="1" ref="BJ31" ca="1">IF(TblConstr[[#This Row],[Hour]:[Hour]]&gt;12,OFFSET(TblConstr[[#This Row],[Bar]],-12,0),0)+OFFSET(TblConstr[[#This Row],[Tot Bar]],-1,0)-TblConstr[[#This Row],[Dest Bar]]</f>
        <v>0</v>
      </c>
      <c r="BK31" s="390" cm="1">
        <f t="array" aca="1" ref="BK31" ca="1">IF(TblConstr[[#This Row],[Hour]:[Hour]]&gt;12,OFFSET(TblConstr[[#This Row],[Shr]],-12,0),0)+OFFSET(TblConstr[[#This Row],[Tot Shr]],-1,0)-TblConstr[[#This Row],[Dest Shr]]</f>
        <v>0</v>
      </c>
      <c r="BL31" s="394" cm="1">
        <f t="array" aca="1" ref="BL31" ca="1">IF(TblConstr[[#This Row],[Hour]:[Hour]]&gt;12,OFFSET(TblConstr[[#This Row],[Tow]],-12,0),0)+OFFSET(TblConstr[[#This Row],[Tot Tow]],-1,0)-TblConstr[[#This Row],[Dest Tow]]</f>
        <v>0</v>
      </c>
      <c r="BM31" s="394" cm="1">
        <f t="array" aca="1" ref="BM31" ca="1">IF(TblConstr[[#This Row],[Hour]:[Hour]]&gt;12,OFFSET(TblConstr[[#This Row],[Tem]],-12,0),0)+OFFSET(TblConstr[[#This Row],[Tot Tem]],-1,0)-TblConstr[[#This Row],[Dest Tem]]</f>
        <v>0</v>
      </c>
      <c r="BN31" s="394"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250</v>
      </c>
      <c r="BU31" s="161">
        <f ca="1">TblImps[[#This Row],[Time]]</f>
        <v>45733.124999999935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84">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100</v>
      </c>
      <c r="DA31" s="96">
        <f t="shared" ca="1" si="4"/>
        <v>40</v>
      </c>
      <c r="DB31" s="45">
        <f t="shared" ca="1" si="5"/>
        <v>20</v>
      </c>
      <c r="DC31" s="96">
        <f t="shared" ca="1" si="6"/>
        <v>20</v>
      </c>
      <c r="DD31" s="96">
        <f t="shared" ca="1" si="7"/>
        <v>20</v>
      </c>
      <c r="DE31" s="45">
        <f t="shared" ca="1" si="8"/>
        <v>20</v>
      </c>
      <c r="DF31" s="96">
        <f t="shared" ca="1" si="9"/>
        <v>20</v>
      </c>
      <c r="DG31" s="96"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7">
        <f>TblRezone[[#This Row],[Hour]]</f>
        <v>29</v>
      </c>
      <c r="B32" s="178">
        <f ca="1">SUM(TblConstr[[#This Row],[Plain]:[Water]])</f>
        <v>160</v>
      </c>
      <c r="C32" s="179">
        <f ca="1">SUM(TblConstr[[#This Row],[Tot Hom]:[Tot Doc]])</f>
        <v>90</v>
      </c>
      <c r="D32" s="179">
        <f t="shared" si="2"/>
        <v>0</v>
      </c>
      <c r="E32" s="180"/>
      <c r="F32" s="61">
        <f ca="1">TblConstr[[#This Row],[Barren]]+TblConstr[[#This Row],[Buildings]]+TblConstr[[#This Row],[Incoming]]</f>
        <v>250</v>
      </c>
      <c r="G32" s="189">
        <f ca="1">OFFSET(TblConstr[[#This Row],[Plain]],-1,0)+TblConstr[[#This Row],[Ch_Plain]]</f>
        <v>40</v>
      </c>
      <c r="H32" s="184">
        <f ca="1">OFFSET(TblConstr[[#This Row],[Forest]],-1,0)+TblConstr[[#This Row],[Ch_Forest]]</f>
        <v>20</v>
      </c>
      <c r="I32" s="384">
        <f ca="1">OFFSET(TblConstr[[#This Row],[Mountain]],-1,0)+TblConstr[[#This Row],[Ch_Mountain]]</f>
        <v>20</v>
      </c>
      <c r="J32" s="388">
        <f ca="1">OFFSET(TblConstr[[#This Row],[Hill]],-1,0)+TblConstr[[#This Row],[Ch_Hill]]</f>
        <v>20</v>
      </c>
      <c r="K32" s="392">
        <f ca="1">OFFSET(TblConstr[[#This Row],[Swamp]],-1,0)+TblConstr[[#This Row],[Ch_Swamp]]</f>
        <v>20</v>
      </c>
      <c r="L32" s="187">
        <f ca="1">OFFSET(TblConstr[[#This Row],[Cavern]],-1,0)+TblConstr[[#This Row],[Ch_Cavern]]</f>
        <v>20</v>
      </c>
      <c r="M32" s="188">
        <f ca="1">OFFSET(TblConstr[[#This Row],[Water]],-1,0)+TblConstr[[#This Row],[Ch_Water]]</f>
        <v>20</v>
      </c>
      <c r="N32" s="382">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45733.166666666599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273881</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6">
        <f ca="1">ROUNDDOWN( MAX(1 - MIN(facs_constr_factor*TblConstr[[#This Row],[Facs -DB]],facs_constr_max) + tech_1_11*TblTech[[#This Row],[11-1]] + tech_6_3_2*TblTech[[#This Row],[6-3]] + tech_5_2_3*TblTech[[#This Row],[5-2]], 1-global_constr_cap) * TblConstr[[#This Row],[RCPA Lumber]],0)</f>
        <v>88</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6">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ROUND((TblConstr[[#This Row],[Land]]-250 - IF(TblExplore[[#This Row],[Land Bonus]]&lt;&gt;0,20,0))*1.25 + 850 + 0,0)</f>
        <v>850</v>
      </c>
      <c r="AW32" s="96">
        <f ca="1">ROUND((TblConstr[[#This Row],[Land]]-250 - IF(TblExplore[[#This Row],[Land Bonus]]&lt;&gt;0,20,0))*0.285 + 87.5 + 0/4.25,0)</f>
        <v>88</v>
      </c>
      <c r="AX32" s="156"/>
      <c r="AY32" s="190" cm="1">
        <f t="array" aca="1" ref="AY32" ca="1">IF(TblConstr[[#This Row],[Hour]:[Hour]]&gt;12,OFFSET(TblConstr[[#This Row],[Hom]],-12,0),0)+OFFSET(TblConstr[[#This Row],[Tot Hom]],-1,0)-TblConstr[[#This Row],[Dest Hom]]</f>
        <v>10</v>
      </c>
      <c r="AZ32" s="191" cm="1">
        <f t="array" aca="1" ref="AZ32" ca="1">IF(TblConstr[[#This Row],[Hour]:[Hour]]&gt;12,OFFSET(TblConstr[[#This Row],[Alc]],-12,0),0)+OFFSET(TblConstr[[#This Row],[Tot Alc]],-1,0)-TblConstr[[#This Row],[Dest Alc]]</f>
        <v>30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86" cm="1">
        <f t="array" aca="1" ref="BF32" ca="1">IF(TblConstr[[#This Row],[Hour]:[Hour]]&gt;12,OFFSET(TblConstr[[#This Row],[OM]],-12,0),0)+OFFSET(TblConstr[[#This Row],[Tot OM]],-1,0)-TblConstr[[#This Row],[Dest OM]]</f>
        <v>0</v>
      </c>
      <c r="BG32" s="386" cm="1">
        <f t="array" aca="1" ref="BG32" ca="1">IF(TblConstr[[#This Row],[Hour]:[Hour]]&gt;12,OFFSET(TblConstr[[#This Row],[GN]],-12,0),0)+OFFSET(TblConstr[[#This Row],[Tot GN]],-1,0)-TblConstr[[#This Row],[Dest GN]]</f>
        <v>0</v>
      </c>
      <c r="BH32" s="390" cm="1">
        <f t="array" aca="1" ref="BH32" ca="1">IF(TblConstr[[#This Row],[Hour]:[Hour]]&gt;12,OFFSET(TblConstr[[#This Row],[Fac]],-12,0),0)+OFFSET(TblConstr[[#This Row],[Tot Fac]],-1,0)-TblConstr[[#This Row],[Dest Fac]]</f>
        <v>0</v>
      </c>
      <c r="BI32" s="390" cm="1">
        <f t="array" aca="1" ref="BI32" ca="1">IF(TblConstr[[#This Row],[Hour]:[Hour]]&gt;12,OFFSET(TblConstr[[#This Row],[GT]],-12,0),0)+OFFSET(TblConstr[[#This Row],[Tot GT]],-1,0)-TblConstr[[#This Row],[Dest GT]]</f>
        <v>0</v>
      </c>
      <c r="BJ32" s="390" cm="1">
        <f t="array" aca="1" ref="BJ32" ca="1">IF(TblConstr[[#This Row],[Hour]:[Hour]]&gt;12,OFFSET(TblConstr[[#This Row],[Bar]],-12,0),0)+OFFSET(TblConstr[[#This Row],[Tot Bar]],-1,0)-TblConstr[[#This Row],[Dest Bar]]</f>
        <v>0</v>
      </c>
      <c r="BK32" s="390" cm="1">
        <f t="array" aca="1" ref="BK32" ca="1">IF(TblConstr[[#This Row],[Hour]:[Hour]]&gt;12,OFFSET(TblConstr[[#This Row],[Shr]],-12,0),0)+OFFSET(TblConstr[[#This Row],[Tot Shr]],-1,0)-TblConstr[[#This Row],[Dest Shr]]</f>
        <v>0</v>
      </c>
      <c r="BL32" s="394" cm="1">
        <f t="array" aca="1" ref="BL32" ca="1">IF(TblConstr[[#This Row],[Hour]:[Hour]]&gt;12,OFFSET(TblConstr[[#This Row],[Tow]],-12,0),0)+OFFSET(TblConstr[[#This Row],[Tot Tow]],-1,0)-TblConstr[[#This Row],[Dest Tow]]</f>
        <v>0</v>
      </c>
      <c r="BM32" s="394" cm="1">
        <f t="array" aca="1" ref="BM32" ca="1">IF(TblConstr[[#This Row],[Hour]:[Hour]]&gt;12,OFFSET(TblConstr[[#This Row],[Tem]],-12,0),0)+OFFSET(TblConstr[[#This Row],[Tot Tem]],-1,0)-TblConstr[[#This Row],[Dest Tem]]</f>
        <v>0</v>
      </c>
      <c r="BN32" s="394"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250</v>
      </c>
      <c r="BU32" s="161">
        <f ca="1">TblImps[[#This Row],[Time]]</f>
        <v>45733.166666666599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84">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100</v>
      </c>
      <c r="DA32" s="96">
        <f t="shared" ca="1" si="4"/>
        <v>40</v>
      </c>
      <c r="DB32" s="45">
        <f t="shared" ca="1" si="5"/>
        <v>20</v>
      </c>
      <c r="DC32" s="96">
        <f t="shared" ca="1" si="6"/>
        <v>20</v>
      </c>
      <c r="DD32" s="96">
        <f t="shared" ca="1" si="7"/>
        <v>20</v>
      </c>
      <c r="DE32" s="45">
        <f t="shared" ca="1" si="8"/>
        <v>20</v>
      </c>
      <c r="DF32" s="96">
        <f t="shared" ca="1" si="9"/>
        <v>20</v>
      </c>
      <c r="DG32" s="96"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7">
        <f>TblRezone[[#This Row],[Hour]]</f>
        <v>30</v>
      </c>
      <c r="B33" s="178">
        <f ca="1">SUM(TblConstr[[#This Row],[Plain]:[Water]])</f>
        <v>160</v>
      </c>
      <c r="C33" s="179">
        <f ca="1">SUM(TblConstr[[#This Row],[Tot Hom]:[Tot Doc]])</f>
        <v>90</v>
      </c>
      <c r="D33" s="179">
        <f t="shared" si="2"/>
        <v>0</v>
      </c>
      <c r="E33" s="180"/>
      <c r="F33" s="61">
        <f ca="1">TblConstr[[#This Row],[Barren]]+TblConstr[[#This Row],[Buildings]]+TblConstr[[#This Row],[Incoming]]</f>
        <v>250</v>
      </c>
      <c r="G33" s="189">
        <f ca="1">OFFSET(TblConstr[[#This Row],[Plain]],-1,0)+TblConstr[[#This Row],[Ch_Plain]]</f>
        <v>40</v>
      </c>
      <c r="H33" s="184">
        <f ca="1">OFFSET(TblConstr[[#This Row],[Forest]],-1,0)+TblConstr[[#This Row],[Ch_Forest]]</f>
        <v>20</v>
      </c>
      <c r="I33" s="384">
        <f ca="1">OFFSET(TblConstr[[#This Row],[Mountain]],-1,0)+TblConstr[[#This Row],[Ch_Mountain]]</f>
        <v>20</v>
      </c>
      <c r="J33" s="388">
        <f ca="1">OFFSET(TblConstr[[#This Row],[Hill]],-1,0)+TblConstr[[#This Row],[Ch_Hill]]</f>
        <v>20</v>
      </c>
      <c r="K33" s="392">
        <f ca="1">OFFSET(TblConstr[[#This Row],[Swamp]],-1,0)+TblConstr[[#This Row],[Ch_Swamp]]</f>
        <v>20</v>
      </c>
      <c r="L33" s="187">
        <f ca="1">OFFSET(TblConstr[[#This Row],[Cavern]],-1,0)+TblConstr[[#This Row],[Ch_Cavern]]</f>
        <v>20</v>
      </c>
      <c r="M33" s="188">
        <f ca="1">OFFSET(TblConstr[[#This Row],[Water]],-1,0)+TblConstr[[#This Row],[Ch_Water]]</f>
        <v>20</v>
      </c>
      <c r="N33" s="382">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45733.208333333263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279551</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6">
        <f ca="1">ROUNDDOWN( MAX(1 - MIN(facs_constr_factor*TblConstr[[#This Row],[Facs -DB]],facs_constr_max) + tech_1_11*TblTech[[#This Row],[11-1]] + tech_6_3_2*TblTech[[#This Row],[6-3]] + tech_5_2_3*TblTech[[#This Row],[5-2]], 1-global_constr_cap) * TblConstr[[#This Row],[RCPA Lumber]],0)</f>
        <v>88</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6">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ROUND((TblConstr[[#This Row],[Land]]-250 - IF(TblExplore[[#This Row],[Land Bonus]]&lt;&gt;0,20,0))*1.25 + 850 + 0,0)</f>
        <v>850</v>
      </c>
      <c r="AW33" s="96">
        <f ca="1">ROUND((TblConstr[[#This Row],[Land]]-250 - IF(TblExplore[[#This Row],[Land Bonus]]&lt;&gt;0,20,0))*0.285 + 87.5 + 0/4.25,0)</f>
        <v>88</v>
      </c>
      <c r="AX33" s="156"/>
      <c r="AY33" s="190" cm="1">
        <f t="array" aca="1" ref="AY33" ca="1">IF(TblConstr[[#This Row],[Hour]:[Hour]]&gt;12,OFFSET(TblConstr[[#This Row],[Hom]],-12,0),0)+OFFSET(TblConstr[[#This Row],[Tot Hom]],-1,0)-TblConstr[[#This Row],[Dest Hom]]</f>
        <v>10</v>
      </c>
      <c r="AZ33" s="191" cm="1">
        <f t="array" aca="1" ref="AZ33" ca="1">IF(TblConstr[[#This Row],[Hour]:[Hour]]&gt;12,OFFSET(TblConstr[[#This Row],[Alc]],-12,0),0)+OFFSET(TblConstr[[#This Row],[Tot Alc]],-1,0)-TblConstr[[#This Row],[Dest Alc]]</f>
        <v>30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86" cm="1">
        <f t="array" aca="1" ref="BF33" ca="1">IF(TblConstr[[#This Row],[Hour]:[Hour]]&gt;12,OFFSET(TblConstr[[#This Row],[OM]],-12,0),0)+OFFSET(TblConstr[[#This Row],[Tot OM]],-1,0)-TblConstr[[#This Row],[Dest OM]]</f>
        <v>0</v>
      </c>
      <c r="BG33" s="386" cm="1">
        <f t="array" aca="1" ref="BG33" ca="1">IF(TblConstr[[#This Row],[Hour]:[Hour]]&gt;12,OFFSET(TblConstr[[#This Row],[GN]],-12,0),0)+OFFSET(TblConstr[[#This Row],[Tot GN]],-1,0)-TblConstr[[#This Row],[Dest GN]]</f>
        <v>0</v>
      </c>
      <c r="BH33" s="390" cm="1">
        <f t="array" aca="1" ref="BH33" ca="1">IF(TblConstr[[#This Row],[Hour]:[Hour]]&gt;12,OFFSET(TblConstr[[#This Row],[Fac]],-12,0),0)+OFFSET(TblConstr[[#This Row],[Tot Fac]],-1,0)-TblConstr[[#This Row],[Dest Fac]]</f>
        <v>0</v>
      </c>
      <c r="BI33" s="390" cm="1">
        <f t="array" aca="1" ref="BI33" ca="1">IF(TblConstr[[#This Row],[Hour]:[Hour]]&gt;12,OFFSET(TblConstr[[#This Row],[GT]],-12,0),0)+OFFSET(TblConstr[[#This Row],[Tot GT]],-1,0)-TblConstr[[#This Row],[Dest GT]]</f>
        <v>0</v>
      </c>
      <c r="BJ33" s="390" cm="1">
        <f t="array" aca="1" ref="BJ33" ca="1">IF(TblConstr[[#This Row],[Hour]:[Hour]]&gt;12,OFFSET(TblConstr[[#This Row],[Bar]],-12,0),0)+OFFSET(TblConstr[[#This Row],[Tot Bar]],-1,0)-TblConstr[[#This Row],[Dest Bar]]</f>
        <v>0</v>
      </c>
      <c r="BK33" s="390" cm="1">
        <f t="array" aca="1" ref="BK33" ca="1">IF(TblConstr[[#This Row],[Hour]:[Hour]]&gt;12,OFFSET(TblConstr[[#This Row],[Shr]],-12,0),0)+OFFSET(TblConstr[[#This Row],[Tot Shr]],-1,0)-TblConstr[[#This Row],[Dest Shr]]</f>
        <v>0</v>
      </c>
      <c r="BL33" s="394" cm="1">
        <f t="array" aca="1" ref="BL33" ca="1">IF(TblConstr[[#This Row],[Hour]:[Hour]]&gt;12,OFFSET(TblConstr[[#This Row],[Tow]],-12,0),0)+OFFSET(TblConstr[[#This Row],[Tot Tow]],-1,0)-TblConstr[[#This Row],[Dest Tow]]</f>
        <v>0</v>
      </c>
      <c r="BM33" s="394" cm="1">
        <f t="array" aca="1" ref="BM33" ca="1">IF(TblConstr[[#This Row],[Hour]:[Hour]]&gt;12,OFFSET(TblConstr[[#This Row],[Tem]],-12,0),0)+OFFSET(TblConstr[[#This Row],[Tot Tem]],-1,0)-TblConstr[[#This Row],[Dest Tem]]</f>
        <v>0</v>
      </c>
      <c r="BN33" s="394"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250</v>
      </c>
      <c r="BU33" s="161">
        <f ca="1">TblImps[[#This Row],[Time]]</f>
        <v>45733.208333333263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84">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100</v>
      </c>
      <c r="DA33" s="96">
        <f t="shared" ca="1" si="4"/>
        <v>40</v>
      </c>
      <c r="DB33" s="45">
        <f t="shared" ca="1" si="5"/>
        <v>20</v>
      </c>
      <c r="DC33" s="96">
        <f t="shared" ca="1" si="6"/>
        <v>20</v>
      </c>
      <c r="DD33" s="96">
        <f t="shared" ca="1" si="7"/>
        <v>20</v>
      </c>
      <c r="DE33" s="45">
        <f t="shared" ca="1" si="8"/>
        <v>20</v>
      </c>
      <c r="DF33" s="96">
        <f t="shared" ca="1" si="9"/>
        <v>20</v>
      </c>
      <c r="DG33" s="96"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7">
        <f>TblRezone[[#This Row],[Hour]]</f>
        <v>31</v>
      </c>
      <c r="B34" s="178">
        <f ca="1">SUM(TblConstr[[#This Row],[Plain]:[Water]])</f>
        <v>160</v>
      </c>
      <c r="C34" s="179">
        <f ca="1">SUM(TblConstr[[#This Row],[Tot Hom]:[Tot Doc]])</f>
        <v>90</v>
      </c>
      <c r="D34" s="179">
        <f t="shared" si="2"/>
        <v>0</v>
      </c>
      <c r="E34" s="180"/>
      <c r="F34" s="61">
        <f ca="1">TblConstr[[#This Row],[Barren]]+TblConstr[[#This Row],[Buildings]]+TblConstr[[#This Row],[Incoming]]</f>
        <v>250</v>
      </c>
      <c r="G34" s="189">
        <f ca="1">OFFSET(TblConstr[[#This Row],[Plain]],-1,0)+TblConstr[[#This Row],[Ch_Plain]]</f>
        <v>40</v>
      </c>
      <c r="H34" s="184">
        <f ca="1">OFFSET(TblConstr[[#This Row],[Forest]],-1,0)+TblConstr[[#This Row],[Ch_Forest]]</f>
        <v>20</v>
      </c>
      <c r="I34" s="384">
        <f ca="1">OFFSET(TblConstr[[#This Row],[Mountain]],-1,0)+TblConstr[[#This Row],[Ch_Mountain]]</f>
        <v>20</v>
      </c>
      <c r="J34" s="388">
        <f ca="1">OFFSET(TblConstr[[#This Row],[Hill]],-1,0)+TblConstr[[#This Row],[Ch_Hill]]</f>
        <v>20</v>
      </c>
      <c r="K34" s="392">
        <f ca="1">OFFSET(TblConstr[[#This Row],[Swamp]],-1,0)+TblConstr[[#This Row],[Ch_Swamp]]</f>
        <v>20</v>
      </c>
      <c r="L34" s="187">
        <f ca="1">OFFSET(TblConstr[[#This Row],[Cavern]],-1,0)+TblConstr[[#This Row],[Ch_Cavern]]</f>
        <v>20</v>
      </c>
      <c r="M34" s="188">
        <f ca="1">OFFSET(TblConstr[[#This Row],[Water]],-1,0)+TblConstr[[#This Row],[Ch_Water]]</f>
        <v>20</v>
      </c>
      <c r="N34" s="382">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45733.249999999927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285207</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6">
        <f ca="1">ROUNDDOWN( MAX(1 - MIN(facs_constr_factor*TblConstr[[#This Row],[Facs -DB]],facs_constr_max) + tech_1_11*TblTech[[#This Row],[11-1]] + tech_6_3_2*TblTech[[#This Row],[6-3]] + tech_5_2_3*TblTech[[#This Row],[5-2]], 1-global_constr_cap) * TblConstr[[#This Row],[RCPA Lumber]],0)</f>
        <v>88</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6">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ROUND((TblConstr[[#This Row],[Land]]-250 - IF(TblExplore[[#This Row],[Land Bonus]]&lt;&gt;0,20,0))*1.25 + 850 + 0,0)</f>
        <v>850</v>
      </c>
      <c r="AW34" s="96">
        <f ca="1">ROUND((TblConstr[[#This Row],[Land]]-250 - IF(TblExplore[[#This Row],[Land Bonus]]&lt;&gt;0,20,0))*0.285 + 87.5 + 0/4.25,0)</f>
        <v>88</v>
      </c>
      <c r="AX34" s="156"/>
      <c r="AY34" s="190" cm="1">
        <f t="array" aca="1" ref="AY34" ca="1">IF(TblConstr[[#This Row],[Hour]:[Hour]]&gt;12,OFFSET(TblConstr[[#This Row],[Hom]],-12,0),0)+OFFSET(TblConstr[[#This Row],[Tot Hom]],-1,0)-TblConstr[[#This Row],[Dest Hom]]</f>
        <v>10</v>
      </c>
      <c r="AZ34" s="191" cm="1">
        <f t="array" aca="1" ref="AZ34" ca="1">IF(TblConstr[[#This Row],[Hour]:[Hour]]&gt;12,OFFSET(TblConstr[[#This Row],[Alc]],-12,0),0)+OFFSET(TblConstr[[#This Row],[Tot Alc]],-1,0)-TblConstr[[#This Row],[Dest Alc]]</f>
        <v>30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86" cm="1">
        <f t="array" aca="1" ref="BF34" ca="1">IF(TblConstr[[#This Row],[Hour]:[Hour]]&gt;12,OFFSET(TblConstr[[#This Row],[OM]],-12,0),0)+OFFSET(TblConstr[[#This Row],[Tot OM]],-1,0)-TblConstr[[#This Row],[Dest OM]]</f>
        <v>0</v>
      </c>
      <c r="BG34" s="386" cm="1">
        <f t="array" aca="1" ref="BG34" ca="1">IF(TblConstr[[#This Row],[Hour]:[Hour]]&gt;12,OFFSET(TblConstr[[#This Row],[GN]],-12,0),0)+OFFSET(TblConstr[[#This Row],[Tot GN]],-1,0)-TblConstr[[#This Row],[Dest GN]]</f>
        <v>0</v>
      </c>
      <c r="BH34" s="390" cm="1">
        <f t="array" aca="1" ref="BH34" ca="1">IF(TblConstr[[#This Row],[Hour]:[Hour]]&gt;12,OFFSET(TblConstr[[#This Row],[Fac]],-12,0),0)+OFFSET(TblConstr[[#This Row],[Tot Fac]],-1,0)-TblConstr[[#This Row],[Dest Fac]]</f>
        <v>0</v>
      </c>
      <c r="BI34" s="390" cm="1">
        <f t="array" aca="1" ref="BI34" ca="1">IF(TblConstr[[#This Row],[Hour]:[Hour]]&gt;12,OFFSET(TblConstr[[#This Row],[GT]],-12,0),0)+OFFSET(TblConstr[[#This Row],[Tot GT]],-1,0)-TblConstr[[#This Row],[Dest GT]]</f>
        <v>0</v>
      </c>
      <c r="BJ34" s="390" cm="1">
        <f t="array" aca="1" ref="BJ34" ca="1">IF(TblConstr[[#This Row],[Hour]:[Hour]]&gt;12,OFFSET(TblConstr[[#This Row],[Bar]],-12,0),0)+OFFSET(TblConstr[[#This Row],[Tot Bar]],-1,0)-TblConstr[[#This Row],[Dest Bar]]</f>
        <v>0</v>
      </c>
      <c r="BK34" s="390" cm="1">
        <f t="array" aca="1" ref="BK34" ca="1">IF(TblConstr[[#This Row],[Hour]:[Hour]]&gt;12,OFFSET(TblConstr[[#This Row],[Shr]],-12,0),0)+OFFSET(TblConstr[[#This Row],[Tot Shr]],-1,0)-TblConstr[[#This Row],[Dest Shr]]</f>
        <v>0</v>
      </c>
      <c r="BL34" s="394" cm="1">
        <f t="array" aca="1" ref="BL34" ca="1">IF(TblConstr[[#This Row],[Hour]:[Hour]]&gt;12,OFFSET(TblConstr[[#This Row],[Tow]],-12,0),0)+OFFSET(TblConstr[[#This Row],[Tot Tow]],-1,0)-TblConstr[[#This Row],[Dest Tow]]</f>
        <v>0</v>
      </c>
      <c r="BM34" s="394" cm="1">
        <f t="array" aca="1" ref="BM34" ca="1">IF(TblConstr[[#This Row],[Hour]:[Hour]]&gt;12,OFFSET(TblConstr[[#This Row],[Tem]],-12,0),0)+OFFSET(TblConstr[[#This Row],[Tot Tem]],-1,0)-TblConstr[[#This Row],[Dest Tem]]</f>
        <v>0</v>
      </c>
      <c r="BN34" s="394"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250</v>
      </c>
      <c r="BU34" s="161">
        <f ca="1">TblImps[[#This Row],[Time]]</f>
        <v>45733.249999999927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84">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100</v>
      </c>
      <c r="DA34" s="96">
        <f t="shared" ca="1" si="4"/>
        <v>40</v>
      </c>
      <c r="DB34" s="45">
        <f t="shared" ca="1" si="5"/>
        <v>20</v>
      </c>
      <c r="DC34" s="96">
        <f t="shared" ca="1" si="6"/>
        <v>20</v>
      </c>
      <c r="DD34" s="96">
        <f t="shared" ca="1" si="7"/>
        <v>20</v>
      </c>
      <c r="DE34" s="45">
        <f t="shared" ca="1" si="8"/>
        <v>20</v>
      </c>
      <c r="DF34" s="96">
        <f t="shared" ca="1" si="9"/>
        <v>20</v>
      </c>
      <c r="DG34" s="96"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7">
        <f>TblRezone[[#This Row],[Hour]]</f>
        <v>32</v>
      </c>
      <c r="B35" s="178">
        <f ca="1">SUM(TblConstr[[#This Row],[Plain]:[Water]])</f>
        <v>160</v>
      </c>
      <c r="C35" s="179">
        <f ca="1">SUM(TblConstr[[#This Row],[Tot Hom]:[Tot Doc]])</f>
        <v>90</v>
      </c>
      <c r="D35" s="179">
        <f t="shared" si="2"/>
        <v>0</v>
      </c>
      <c r="E35" s="180"/>
      <c r="F35" s="61">
        <f ca="1">TblConstr[[#This Row],[Barren]]+TblConstr[[#This Row],[Buildings]]+TblConstr[[#This Row],[Incoming]]</f>
        <v>250</v>
      </c>
      <c r="G35" s="189">
        <f ca="1">OFFSET(TblConstr[[#This Row],[Plain]],-1,0)+TblConstr[[#This Row],[Ch_Plain]]</f>
        <v>40</v>
      </c>
      <c r="H35" s="184">
        <f ca="1">OFFSET(TblConstr[[#This Row],[Forest]],-1,0)+TblConstr[[#This Row],[Ch_Forest]]</f>
        <v>20</v>
      </c>
      <c r="I35" s="384">
        <f ca="1">OFFSET(TblConstr[[#This Row],[Mountain]],-1,0)+TblConstr[[#This Row],[Ch_Mountain]]</f>
        <v>20</v>
      </c>
      <c r="J35" s="388">
        <f ca="1">OFFSET(TblConstr[[#This Row],[Hill]],-1,0)+TblConstr[[#This Row],[Ch_Hill]]</f>
        <v>20</v>
      </c>
      <c r="K35" s="392">
        <f ca="1">OFFSET(TblConstr[[#This Row],[Swamp]],-1,0)+TblConstr[[#This Row],[Ch_Swamp]]</f>
        <v>20</v>
      </c>
      <c r="L35" s="187">
        <f ca="1">OFFSET(TblConstr[[#This Row],[Cavern]],-1,0)+TblConstr[[#This Row],[Ch_Cavern]]</f>
        <v>20</v>
      </c>
      <c r="M35" s="188">
        <f ca="1">OFFSET(TblConstr[[#This Row],[Water]],-1,0)+TblConstr[[#This Row],[Ch_Water]]</f>
        <v>20</v>
      </c>
      <c r="N35" s="382">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45733.291666666591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290820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6">
        <f ca="1">ROUNDDOWN( MAX(1 - MIN(facs_constr_factor*TblConstr[[#This Row],[Facs -DB]],facs_constr_max) + tech_1_11*TblTech[[#This Row],[11-1]] + tech_6_3_2*TblTech[[#This Row],[6-3]] + tech_5_2_3*TblTech[[#This Row],[5-2]], 1-global_constr_cap) * TblConstr[[#This Row],[RCPA Lumber]],0)</f>
        <v>88</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6">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ROUND((TblConstr[[#This Row],[Land]]-250 - IF(TblExplore[[#This Row],[Land Bonus]]&lt;&gt;0,20,0))*1.25 + 850 + 0,0)</f>
        <v>850</v>
      </c>
      <c r="AW35" s="96">
        <f ca="1">ROUND((TblConstr[[#This Row],[Land]]-250 - IF(TblExplore[[#This Row],[Land Bonus]]&lt;&gt;0,20,0))*0.285 + 87.5 + 0/4.25,0)</f>
        <v>88</v>
      </c>
      <c r="AX35" s="156"/>
      <c r="AY35" s="190" cm="1">
        <f t="array" aca="1" ref="AY35" ca="1">IF(TblConstr[[#This Row],[Hour]:[Hour]]&gt;12,OFFSET(TblConstr[[#This Row],[Hom]],-12,0),0)+OFFSET(TblConstr[[#This Row],[Tot Hom]],-1,0)-TblConstr[[#This Row],[Dest Hom]]</f>
        <v>10</v>
      </c>
      <c r="AZ35" s="191" cm="1">
        <f t="array" aca="1" ref="AZ35" ca="1">IF(TblConstr[[#This Row],[Hour]:[Hour]]&gt;12,OFFSET(TblConstr[[#This Row],[Alc]],-12,0),0)+OFFSET(TblConstr[[#This Row],[Tot Alc]],-1,0)-TblConstr[[#This Row],[Dest Alc]]</f>
        <v>30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86" cm="1">
        <f t="array" aca="1" ref="BF35" ca="1">IF(TblConstr[[#This Row],[Hour]:[Hour]]&gt;12,OFFSET(TblConstr[[#This Row],[OM]],-12,0),0)+OFFSET(TblConstr[[#This Row],[Tot OM]],-1,0)-TblConstr[[#This Row],[Dest OM]]</f>
        <v>0</v>
      </c>
      <c r="BG35" s="386" cm="1">
        <f t="array" aca="1" ref="BG35" ca="1">IF(TblConstr[[#This Row],[Hour]:[Hour]]&gt;12,OFFSET(TblConstr[[#This Row],[GN]],-12,0),0)+OFFSET(TblConstr[[#This Row],[Tot GN]],-1,0)-TblConstr[[#This Row],[Dest GN]]</f>
        <v>0</v>
      </c>
      <c r="BH35" s="390" cm="1">
        <f t="array" aca="1" ref="BH35" ca="1">IF(TblConstr[[#This Row],[Hour]:[Hour]]&gt;12,OFFSET(TblConstr[[#This Row],[Fac]],-12,0),0)+OFFSET(TblConstr[[#This Row],[Tot Fac]],-1,0)-TblConstr[[#This Row],[Dest Fac]]</f>
        <v>0</v>
      </c>
      <c r="BI35" s="390" cm="1">
        <f t="array" aca="1" ref="BI35" ca="1">IF(TblConstr[[#This Row],[Hour]:[Hour]]&gt;12,OFFSET(TblConstr[[#This Row],[GT]],-12,0),0)+OFFSET(TblConstr[[#This Row],[Tot GT]],-1,0)-TblConstr[[#This Row],[Dest GT]]</f>
        <v>0</v>
      </c>
      <c r="BJ35" s="390" cm="1">
        <f t="array" aca="1" ref="BJ35" ca="1">IF(TblConstr[[#This Row],[Hour]:[Hour]]&gt;12,OFFSET(TblConstr[[#This Row],[Bar]],-12,0),0)+OFFSET(TblConstr[[#This Row],[Tot Bar]],-1,0)-TblConstr[[#This Row],[Dest Bar]]</f>
        <v>0</v>
      </c>
      <c r="BK35" s="390" cm="1">
        <f t="array" aca="1" ref="BK35" ca="1">IF(TblConstr[[#This Row],[Hour]:[Hour]]&gt;12,OFFSET(TblConstr[[#This Row],[Shr]],-12,0),0)+OFFSET(TblConstr[[#This Row],[Tot Shr]],-1,0)-TblConstr[[#This Row],[Dest Shr]]</f>
        <v>0</v>
      </c>
      <c r="BL35" s="394" cm="1">
        <f t="array" aca="1" ref="BL35" ca="1">IF(TblConstr[[#This Row],[Hour]:[Hour]]&gt;12,OFFSET(TblConstr[[#This Row],[Tow]],-12,0),0)+OFFSET(TblConstr[[#This Row],[Tot Tow]],-1,0)-TblConstr[[#This Row],[Dest Tow]]</f>
        <v>0</v>
      </c>
      <c r="BM35" s="394" cm="1">
        <f t="array" aca="1" ref="BM35" ca="1">IF(TblConstr[[#This Row],[Hour]:[Hour]]&gt;12,OFFSET(TblConstr[[#This Row],[Tem]],-12,0),0)+OFFSET(TblConstr[[#This Row],[Tot Tem]],-1,0)-TblConstr[[#This Row],[Dest Tem]]</f>
        <v>0</v>
      </c>
      <c r="BN35" s="394"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250</v>
      </c>
      <c r="BU35" s="161">
        <f ca="1">TblImps[[#This Row],[Time]]</f>
        <v>45733.291666666591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84">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100</v>
      </c>
      <c r="DA35" s="96">
        <f t="shared" ca="1" si="4"/>
        <v>40</v>
      </c>
      <c r="DB35" s="45">
        <f t="shared" ca="1" si="5"/>
        <v>20</v>
      </c>
      <c r="DC35" s="96">
        <f t="shared" ca="1" si="6"/>
        <v>20</v>
      </c>
      <c r="DD35" s="96">
        <f t="shared" ca="1" si="7"/>
        <v>20</v>
      </c>
      <c r="DE35" s="45">
        <f t="shared" ca="1" si="8"/>
        <v>20</v>
      </c>
      <c r="DF35" s="96">
        <f t="shared" ca="1" si="9"/>
        <v>20</v>
      </c>
      <c r="DG35" s="96"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7">
        <f>TblRezone[[#This Row],[Hour]]</f>
        <v>33</v>
      </c>
      <c r="B36" s="178">
        <f ca="1">SUM(TblConstr[[#This Row],[Plain]:[Water]])</f>
        <v>160</v>
      </c>
      <c r="C36" s="179">
        <f ca="1">SUM(TblConstr[[#This Row],[Tot Hom]:[Tot Doc]])</f>
        <v>90</v>
      </c>
      <c r="D36" s="179">
        <f t="shared" si="2"/>
        <v>0</v>
      </c>
      <c r="E36" s="180"/>
      <c r="F36" s="61">
        <f ca="1">TblConstr[[#This Row],[Barren]]+TblConstr[[#This Row],[Buildings]]+TblConstr[[#This Row],[Incoming]]</f>
        <v>250</v>
      </c>
      <c r="G36" s="189">
        <f ca="1">OFFSET(TblConstr[[#This Row],[Plain]],-1,0)+TblConstr[[#This Row],[Ch_Plain]]</f>
        <v>40</v>
      </c>
      <c r="H36" s="184">
        <f ca="1">OFFSET(TblConstr[[#This Row],[Forest]],-1,0)+TblConstr[[#This Row],[Ch_Forest]]</f>
        <v>20</v>
      </c>
      <c r="I36" s="384">
        <f ca="1">OFFSET(TblConstr[[#This Row],[Mountain]],-1,0)+TblConstr[[#This Row],[Ch_Mountain]]</f>
        <v>20</v>
      </c>
      <c r="J36" s="388">
        <f ca="1">OFFSET(TblConstr[[#This Row],[Hill]],-1,0)+TblConstr[[#This Row],[Ch_Hill]]</f>
        <v>20</v>
      </c>
      <c r="K36" s="392">
        <f ca="1">OFFSET(TblConstr[[#This Row],[Swamp]],-1,0)+TblConstr[[#This Row],[Ch_Swamp]]</f>
        <v>20</v>
      </c>
      <c r="L36" s="187">
        <f ca="1">OFFSET(TblConstr[[#This Row],[Cavern]],-1,0)+TblConstr[[#This Row],[Ch_Cavern]]</f>
        <v>20</v>
      </c>
      <c r="M36" s="188">
        <f ca="1">OFFSET(TblConstr[[#This Row],[Water]],-1,0)+TblConstr[[#This Row],[Ch_Water]]</f>
        <v>20</v>
      </c>
      <c r="N36" s="382">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45733.333333333256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296390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6">
        <f ca="1">ROUNDDOWN( MAX(1 - MIN(facs_constr_factor*TblConstr[[#This Row],[Facs -DB]],facs_constr_max) + tech_1_11*TblTech[[#This Row],[11-1]] + tech_6_3_2*TblTech[[#This Row],[6-3]] + tech_5_2_3*TblTech[[#This Row],[5-2]], 1-global_constr_cap) * TblConstr[[#This Row],[RCPA Lumber]],0)</f>
        <v>88</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6">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ROUND((TblConstr[[#This Row],[Land]]-250 - IF(TblExplore[[#This Row],[Land Bonus]]&lt;&gt;0,20,0))*1.25 + 850 + 0,0)</f>
        <v>850</v>
      </c>
      <c r="AW36" s="96">
        <f ca="1">ROUND((TblConstr[[#This Row],[Land]]-250 - IF(TblExplore[[#This Row],[Land Bonus]]&lt;&gt;0,20,0))*0.285 + 87.5 + 0/4.25,0)</f>
        <v>88</v>
      </c>
      <c r="AX36" s="156"/>
      <c r="AY36" s="190" cm="1">
        <f t="array" aca="1" ref="AY36" ca="1">IF(TblConstr[[#This Row],[Hour]:[Hour]]&gt;12,OFFSET(TblConstr[[#This Row],[Hom]],-12,0),0)+OFFSET(TblConstr[[#This Row],[Tot Hom]],-1,0)-TblConstr[[#This Row],[Dest Hom]]</f>
        <v>10</v>
      </c>
      <c r="AZ36" s="191" cm="1">
        <f t="array" aca="1" ref="AZ36" ca="1">IF(TblConstr[[#This Row],[Hour]:[Hour]]&gt;12,OFFSET(TblConstr[[#This Row],[Alc]],-12,0),0)+OFFSET(TblConstr[[#This Row],[Tot Alc]],-1,0)-TblConstr[[#This Row],[Dest Alc]]</f>
        <v>30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86" cm="1">
        <f t="array" aca="1" ref="BF36" ca="1">IF(TblConstr[[#This Row],[Hour]:[Hour]]&gt;12,OFFSET(TblConstr[[#This Row],[OM]],-12,0),0)+OFFSET(TblConstr[[#This Row],[Tot OM]],-1,0)-TblConstr[[#This Row],[Dest OM]]</f>
        <v>0</v>
      </c>
      <c r="BG36" s="386" cm="1">
        <f t="array" aca="1" ref="BG36" ca="1">IF(TblConstr[[#This Row],[Hour]:[Hour]]&gt;12,OFFSET(TblConstr[[#This Row],[GN]],-12,0),0)+OFFSET(TblConstr[[#This Row],[Tot GN]],-1,0)-TblConstr[[#This Row],[Dest GN]]</f>
        <v>0</v>
      </c>
      <c r="BH36" s="390" cm="1">
        <f t="array" aca="1" ref="BH36" ca="1">IF(TblConstr[[#This Row],[Hour]:[Hour]]&gt;12,OFFSET(TblConstr[[#This Row],[Fac]],-12,0),0)+OFFSET(TblConstr[[#This Row],[Tot Fac]],-1,0)-TblConstr[[#This Row],[Dest Fac]]</f>
        <v>0</v>
      </c>
      <c r="BI36" s="390" cm="1">
        <f t="array" aca="1" ref="BI36" ca="1">IF(TblConstr[[#This Row],[Hour]:[Hour]]&gt;12,OFFSET(TblConstr[[#This Row],[GT]],-12,0),0)+OFFSET(TblConstr[[#This Row],[Tot GT]],-1,0)-TblConstr[[#This Row],[Dest GT]]</f>
        <v>0</v>
      </c>
      <c r="BJ36" s="390" cm="1">
        <f t="array" aca="1" ref="BJ36" ca="1">IF(TblConstr[[#This Row],[Hour]:[Hour]]&gt;12,OFFSET(TblConstr[[#This Row],[Bar]],-12,0),0)+OFFSET(TblConstr[[#This Row],[Tot Bar]],-1,0)-TblConstr[[#This Row],[Dest Bar]]</f>
        <v>0</v>
      </c>
      <c r="BK36" s="390" cm="1">
        <f t="array" aca="1" ref="BK36" ca="1">IF(TblConstr[[#This Row],[Hour]:[Hour]]&gt;12,OFFSET(TblConstr[[#This Row],[Shr]],-12,0),0)+OFFSET(TblConstr[[#This Row],[Tot Shr]],-1,0)-TblConstr[[#This Row],[Dest Shr]]</f>
        <v>0</v>
      </c>
      <c r="BL36" s="394" cm="1">
        <f t="array" aca="1" ref="BL36" ca="1">IF(TblConstr[[#This Row],[Hour]:[Hour]]&gt;12,OFFSET(TblConstr[[#This Row],[Tow]],-12,0),0)+OFFSET(TblConstr[[#This Row],[Tot Tow]],-1,0)-TblConstr[[#This Row],[Dest Tow]]</f>
        <v>0</v>
      </c>
      <c r="BM36" s="394" cm="1">
        <f t="array" aca="1" ref="BM36" ca="1">IF(TblConstr[[#This Row],[Hour]:[Hour]]&gt;12,OFFSET(TblConstr[[#This Row],[Tem]],-12,0),0)+OFFSET(TblConstr[[#This Row],[Tot Tem]],-1,0)-TblConstr[[#This Row],[Dest Tem]]</f>
        <v>0</v>
      </c>
      <c r="BN36" s="394"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250</v>
      </c>
      <c r="BU36" s="161">
        <f ca="1">TblImps[[#This Row],[Time]]</f>
        <v>45733.333333333256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84">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100</v>
      </c>
      <c r="DA36" s="96">
        <f t="shared" ca="1" si="4"/>
        <v>40</v>
      </c>
      <c r="DB36" s="45">
        <f t="shared" ca="1" si="5"/>
        <v>20</v>
      </c>
      <c r="DC36" s="96">
        <f t="shared" ca="1" si="6"/>
        <v>20</v>
      </c>
      <c r="DD36" s="96">
        <f t="shared" ca="1" si="7"/>
        <v>20</v>
      </c>
      <c r="DE36" s="45">
        <f t="shared" ca="1" si="8"/>
        <v>20</v>
      </c>
      <c r="DF36" s="96">
        <f t="shared" ca="1" si="9"/>
        <v>20</v>
      </c>
      <c r="DG36" s="96"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7">
        <f>TblRezone[[#This Row],[Hour]]</f>
        <v>34</v>
      </c>
      <c r="B37" s="178">
        <f ca="1">SUM(TblConstr[[#This Row],[Plain]:[Water]])</f>
        <v>160</v>
      </c>
      <c r="C37" s="179">
        <f ca="1">SUM(TblConstr[[#This Row],[Tot Hom]:[Tot Doc]])</f>
        <v>90</v>
      </c>
      <c r="D37" s="179">
        <f t="shared" si="2"/>
        <v>0</v>
      </c>
      <c r="E37" s="180"/>
      <c r="F37" s="61">
        <f ca="1">TblConstr[[#This Row],[Barren]]+TblConstr[[#This Row],[Buildings]]+TblConstr[[#This Row],[Incoming]]</f>
        <v>250</v>
      </c>
      <c r="G37" s="189">
        <f ca="1">OFFSET(TblConstr[[#This Row],[Plain]],-1,0)+TblConstr[[#This Row],[Ch_Plain]]</f>
        <v>40</v>
      </c>
      <c r="H37" s="184">
        <f ca="1">OFFSET(TblConstr[[#This Row],[Forest]],-1,0)+TblConstr[[#This Row],[Ch_Forest]]</f>
        <v>20</v>
      </c>
      <c r="I37" s="384">
        <f ca="1">OFFSET(TblConstr[[#This Row],[Mountain]],-1,0)+TblConstr[[#This Row],[Ch_Mountain]]</f>
        <v>20</v>
      </c>
      <c r="J37" s="388">
        <f ca="1">OFFSET(TblConstr[[#This Row],[Hill]],-1,0)+TblConstr[[#This Row],[Ch_Hill]]</f>
        <v>20</v>
      </c>
      <c r="K37" s="392">
        <f ca="1">OFFSET(TblConstr[[#This Row],[Swamp]],-1,0)+TblConstr[[#This Row],[Ch_Swamp]]</f>
        <v>20</v>
      </c>
      <c r="L37" s="187">
        <f ca="1">OFFSET(TblConstr[[#This Row],[Cavern]],-1,0)+TblConstr[[#This Row],[Ch_Cavern]]</f>
        <v>20</v>
      </c>
      <c r="M37" s="188">
        <f ca="1">OFFSET(TblConstr[[#This Row],[Water]],-1,0)+TblConstr[[#This Row],[Ch_Water]]</f>
        <v>20</v>
      </c>
      <c r="N37" s="382">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45733.37499999992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301916</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6">
        <f ca="1">ROUNDDOWN( MAX(1 - MIN(facs_constr_factor*TblConstr[[#This Row],[Facs -DB]],facs_constr_max) + tech_1_11*TblTech[[#This Row],[11-1]] + tech_6_3_2*TblTech[[#This Row],[6-3]] + tech_5_2_3*TblTech[[#This Row],[5-2]], 1-global_constr_cap) * TblConstr[[#This Row],[RCPA Lumber]],0)</f>
        <v>88</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6">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ROUND((TblConstr[[#This Row],[Land]]-250 - IF(TblExplore[[#This Row],[Land Bonus]]&lt;&gt;0,20,0))*1.25 + 850 + 0,0)</f>
        <v>850</v>
      </c>
      <c r="AW37" s="96">
        <f ca="1">ROUND((TblConstr[[#This Row],[Land]]-250 - IF(TblExplore[[#This Row],[Land Bonus]]&lt;&gt;0,20,0))*0.285 + 87.5 + 0/4.25,0)</f>
        <v>88</v>
      </c>
      <c r="AX37" s="156"/>
      <c r="AY37" s="190" cm="1">
        <f t="array" aca="1" ref="AY37" ca="1">IF(TblConstr[[#This Row],[Hour]:[Hour]]&gt;12,OFFSET(TblConstr[[#This Row],[Hom]],-12,0),0)+OFFSET(TblConstr[[#This Row],[Tot Hom]],-1,0)-TblConstr[[#This Row],[Dest Hom]]</f>
        <v>10</v>
      </c>
      <c r="AZ37" s="191" cm="1">
        <f t="array" aca="1" ref="AZ37" ca="1">IF(TblConstr[[#This Row],[Hour]:[Hour]]&gt;12,OFFSET(TblConstr[[#This Row],[Alc]],-12,0),0)+OFFSET(TblConstr[[#This Row],[Tot Alc]],-1,0)-TblConstr[[#This Row],[Dest Alc]]</f>
        <v>30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86" cm="1">
        <f t="array" aca="1" ref="BF37" ca="1">IF(TblConstr[[#This Row],[Hour]:[Hour]]&gt;12,OFFSET(TblConstr[[#This Row],[OM]],-12,0),0)+OFFSET(TblConstr[[#This Row],[Tot OM]],-1,0)-TblConstr[[#This Row],[Dest OM]]</f>
        <v>0</v>
      </c>
      <c r="BG37" s="386" cm="1">
        <f t="array" aca="1" ref="BG37" ca="1">IF(TblConstr[[#This Row],[Hour]:[Hour]]&gt;12,OFFSET(TblConstr[[#This Row],[GN]],-12,0),0)+OFFSET(TblConstr[[#This Row],[Tot GN]],-1,0)-TblConstr[[#This Row],[Dest GN]]</f>
        <v>0</v>
      </c>
      <c r="BH37" s="390" cm="1">
        <f t="array" aca="1" ref="BH37" ca="1">IF(TblConstr[[#This Row],[Hour]:[Hour]]&gt;12,OFFSET(TblConstr[[#This Row],[Fac]],-12,0),0)+OFFSET(TblConstr[[#This Row],[Tot Fac]],-1,0)-TblConstr[[#This Row],[Dest Fac]]</f>
        <v>0</v>
      </c>
      <c r="BI37" s="390" cm="1">
        <f t="array" aca="1" ref="BI37" ca="1">IF(TblConstr[[#This Row],[Hour]:[Hour]]&gt;12,OFFSET(TblConstr[[#This Row],[GT]],-12,0),0)+OFFSET(TblConstr[[#This Row],[Tot GT]],-1,0)-TblConstr[[#This Row],[Dest GT]]</f>
        <v>0</v>
      </c>
      <c r="BJ37" s="390" cm="1">
        <f t="array" aca="1" ref="BJ37" ca="1">IF(TblConstr[[#This Row],[Hour]:[Hour]]&gt;12,OFFSET(TblConstr[[#This Row],[Bar]],-12,0),0)+OFFSET(TblConstr[[#This Row],[Tot Bar]],-1,0)-TblConstr[[#This Row],[Dest Bar]]</f>
        <v>0</v>
      </c>
      <c r="BK37" s="390" cm="1">
        <f t="array" aca="1" ref="BK37" ca="1">IF(TblConstr[[#This Row],[Hour]:[Hour]]&gt;12,OFFSET(TblConstr[[#This Row],[Shr]],-12,0),0)+OFFSET(TblConstr[[#This Row],[Tot Shr]],-1,0)-TblConstr[[#This Row],[Dest Shr]]</f>
        <v>0</v>
      </c>
      <c r="BL37" s="394" cm="1">
        <f t="array" aca="1" ref="BL37" ca="1">IF(TblConstr[[#This Row],[Hour]:[Hour]]&gt;12,OFFSET(TblConstr[[#This Row],[Tow]],-12,0),0)+OFFSET(TblConstr[[#This Row],[Tot Tow]],-1,0)-TblConstr[[#This Row],[Dest Tow]]</f>
        <v>0</v>
      </c>
      <c r="BM37" s="394" cm="1">
        <f t="array" aca="1" ref="BM37" ca="1">IF(TblConstr[[#This Row],[Hour]:[Hour]]&gt;12,OFFSET(TblConstr[[#This Row],[Tem]],-12,0),0)+OFFSET(TblConstr[[#This Row],[Tot Tem]],-1,0)-TblConstr[[#This Row],[Dest Tem]]</f>
        <v>0</v>
      </c>
      <c r="BN37" s="394"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250</v>
      </c>
      <c r="BU37" s="161">
        <f ca="1">TblImps[[#This Row],[Time]]</f>
        <v>45733.37499999992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84">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100</v>
      </c>
      <c r="DA37" s="96">
        <f t="shared" ca="1" si="4"/>
        <v>40</v>
      </c>
      <c r="DB37" s="45">
        <f t="shared" ca="1" si="5"/>
        <v>20</v>
      </c>
      <c r="DC37" s="96">
        <f t="shared" ca="1" si="6"/>
        <v>20</v>
      </c>
      <c r="DD37" s="96">
        <f t="shared" ca="1" si="7"/>
        <v>20</v>
      </c>
      <c r="DE37" s="45">
        <f t="shared" ca="1" si="8"/>
        <v>20</v>
      </c>
      <c r="DF37" s="96">
        <f t="shared" ca="1" si="9"/>
        <v>20</v>
      </c>
      <c r="DG37" s="96"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7">
        <f>TblRezone[[#This Row],[Hour]]</f>
        <v>35</v>
      </c>
      <c r="B38" s="178">
        <f ca="1">SUM(TblConstr[[#This Row],[Plain]:[Water]])</f>
        <v>160</v>
      </c>
      <c r="C38" s="179">
        <f ca="1">SUM(TblConstr[[#This Row],[Tot Hom]:[Tot Doc]])</f>
        <v>90</v>
      </c>
      <c r="D38" s="179">
        <f t="shared" si="2"/>
        <v>0</v>
      </c>
      <c r="E38" s="180"/>
      <c r="F38" s="61">
        <f ca="1">TblConstr[[#This Row],[Barren]]+TblConstr[[#This Row],[Buildings]]+TblConstr[[#This Row],[Incoming]]</f>
        <v>250</v>
      </c>
      <c r="G38" s="189">
        <f ca="1">OFFSET(TblConstr[[#This Row],[Plain]],-1,0)+TblConstr[[#This Row],[Ch_Plain]]</f>
        <v>40</v>
      </c>
      <c r="H38" s="184">
        <f ca="1">OFFSET(TblConstr[[#This Row],[Forest]],-1,0)+TblConstr[[#This Row],[Ch_Forest]]</f>
        <v>20</v>
      </c>
      <c r="I38" s="384">
        <f ca="1">OFFSET(TblConstr[[#This Row],[Mountain]],-1,0)+TblConstr[[#This Row],[Ch_Mountain]]</f>
        <v>20</v>
      </c>
      <c r="J38" s="388">
        <f ca="1">OFFSET(TblConstr[[#This Row],[Hill]],-1,0)+TblConstr[[#This Row],[Ch_Hill]]</f>
        <v>20</v>
      </c>
      <c r="K38" s="392">
        <f ca="1">OFFSET(TblConstr[[#This Row],[Swamp]],-1,0)+TblConstr[[#This Row],[Ch_Swamp]]</f>
        <v>20</v>
      </c>
      <c r="L38" s="187">
        <f ca="1">OFFSET(TblConstr[[#This Row],[Cavern]],-1,0)+TblConstr[[#This Row],[Ch_Cavern]]</f>
        <v>20</v>
      </c>
      <c r="M38" s="188">
        <f ca="1">OFFSET(TblConstr[[#This Row],[Water]],-1,0)+TblConstr[[#This Row],[Ch_Water]]</f>
        <v>20</v>
      </c>
      <c r="N38" s="382">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45733.416666666584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307402</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6">
        <f ca="1">ROUNDDOWN( MAX(1 - MIN(facs_constr_factor*TblConstr[[#This Row],[Facs -DB]],facs_constr_max) + tech_1_11*TblTech[[#This Row],[11-1]] + tech_6_3_2*TblTech[[#This Row],[6-3]] + tech_5_2_3*TblTech[[#This Row],[5-2]], 1-global_constr_cap) * TblConstr[[#This Row],[RCPA Lumber]],0)</f>
        <v>88</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6">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ROUND((TblConstr[[#This Row],[Land]]-250 - IF(TblExplore[[#This Row],[Land Bonus]]&lt;&gt;0,20,0))*1.25 + 850 + 0,0)</f>
        <v>850</v>
      </c>
      <c r="AW38" s="96">
        <f ca="1">ROUND((TblConstr[[#This Row],[Land]]-250 - IF(TblExplore[[#This Row],[Land Bonus]]&lt;&gt;0,20,0))*0.285 + 87.5 + 0/4.25,0)</f>
        <v>88</v>
      </c>
      <c r="AX38" s="156"/>
      <c r="AY38" s="190" cm="1">
        <f t="array" aca="1" ref="AY38" ca="1">IF(TblConstr[[#This Row],[Hour]:[Hour]]&gt;12,OFFSET(TblConstr[[#This Row],[Hom]],-12,0),0)+OFFSET(TblConstr[[#This Row],[Tot Hom]],-1,0)-TblConstr[[#This Row],[Dest Hom]]</f>
        <v>10</v>
      </c>
      <c r="AZ38" s="191" cm="1">
        <f t="array" aca="1" ref="AZ38" ca="1">IF(TblConstr[[#This Row],[Hour]:[Hour]]&gt;12,OFFSET(TblConstr[[#This Row],[Alc]],-12,0),0)+OFFSET(TblConstr[[#This Row],[Tot Alc]],-1,0)-TblConstr[[#This Row],[Dest Alc]]</f>
        <v>30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86" cm="1">
        <f t="array" aca="1" ref="BF38" ca="1">IF(TblConstr[[#This Row],[Hour]:[Hour]]&gt;12,OFFSET(TblConstr[[#This Row],[OM]],-12,0),0)+OFFSET(TblConstr[[#This Row],[Tot OM]],-1,0)-TblConstr[[#This Row],[Dest OM]]</f>
        <v>0</v>
      </c>
      <c r="BG38" s="386" cm="1">
        <f t="array" aca="1" ref="BG38" ca="1">IF(TblConstr[[#This Row],[Hour]:[Hour]]&gt;12,OFFSET(TblConstr[[#This Row],[GN]],-12,0),0)+OFFSET(TblConstr[[#This Row],[Tot GN]],-1,0)-TblConstr[[#This Row],[Dest GN]]</f>
        <v>0</v>
      </c>
      <c r="BH38" s="390" cm="1">
        <f t="array" aca="1" ref="BH38" ca="1">IF(TblConstr[[#This Row],[Hour]:[Hour]]&gt;12,OFFSET(TblConstr[[#This Row],[Fac]],-12,0),0)+OFFSET(TblConstr[[#This Row],[Tot Fac]],-1,0)-TblConstr[[#This Row],[Dest Fac]]</f>
        <v>0</v>
      </c>
      <c r="BI38" s="390" cm="1">
        <f t="array" aca="1" ref="BI38" ca="1">IF(TblConstr[[#This Row],[Hour]:[Hour]]&gt;12,OFFSET(TblConstr[[#This Row],[GT]],-12,0),0)+OFFSET(TblConstr[[#This Row],[Tot GT]],-1,0)-TblConstr[[#This Row],[Dest GT]]</f>
        <v>0</v>
      </c>
      <c r="BJ38" s="390" cm="1">
        <f t="array" aca="1" ref="BJ38" ca="1">IF(TblConstr[[#This Row],[Hour]:[Hour]]&gt;12,OFFSET(TblConstr[[#This Row],[Bar]],-12,0),0)+OFFSET(TblConstr[[#This Row],[Tot Bar]],-1,0)-TblConstr[[#This Row],[Dest Bar]]</f>
        <v>0</v>
      </c>
      <c r="BK38" s="390" cm="1">
        <f t="array" aca="1" ref="BK38" ca="1">IF(TblConstr[[#This Row],[Hour]:[Hour]]&gt;12,OFFSET(TblConstr[[#This Row],[Shr]],-12,0),0)+OFFSET(TblConstr[[#This Row],[Tot Shr]],-1,0)-TblConstr[[#This Row],[Dest Shr]]</f>
        <v>0</v>
      </c>
      <c r="BL38" s="394" cm="1">
        <f t="array" aca="1" ref="BL38" ca="1">IF(TblConstr[[#This Row],[Hour]:[Hour]]&gt;12,OFFSET(TblConstr[[#This Row],[Tow]],-12,0),0)+OFFSET(TblConstr[[#This Row],[Tot Tow]],-1,0)-TblConstr[[#This Row],[Dest Tow]]</f>
        <v>0</v>
      </c>
      <c r="BM38" s="394" cm="1">
        <f t="array" aca="1" ref="BM38" ca="1">IF(TblConstr[[#This Row],[Hour]:[Hour]]&gt;12,OFFSET(TblConstr[[#This Row],[Tem]],-12,0),0)+OFFSET(TblConstr[[#This Row],[Tot Tem]],-1,0)-TblConstr[[#This Row],[Dest Tem]]</f>
        <v>0</v>
      </c>
      <c r="BN38" s="394"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250</v>
      </c>
      <c r="BU38" s="161">
        <f ca="1">TblImps[[#This Row],[Time]]</f>
        <v>45733.416666666584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84">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100</v>
      </c>
      <c r="DA38" s="96">
        <f t="shared" ca="1" si="4"/>
        <v>40</v>
      </c>
      <c r="DB38" s="45">
        <f t="shared" ca="1" si="5"/>
        <v>20</v>
      </c>
      <c r="DC38" s="96">
        <f t="shared" ca="1" si="6"/>
        <v>20</v>
      </c>
      <c r="DD38" s="96">
        <f t="shared" ca="1" si="7"/>
        <v>20</v>
      </c>
      <c r="DE38" s="45">
        <f t="shared" ca="1" si="8"/>
        <v>20</v>
      </c>
      <c r="DF38" s="96">
        <f t="shared" ca="1" si="9"/>
        <v>20</v>
      </c>
      <c r="DG38" s="96"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7">
        <f>TblRezone[[#This Row],[Hour]]</f>
        <v>36</v>
      </c>
      <c r="B39" s="178">
        <f ca="1">SUM(TblConstr[[#This Row],[Plain]:[Water]])</f>
        <v>160</v>
      </c>
      <c r="C39" s="179">
        <f ca="1">SUM(TblConstr[[#This Row],[Tot Hom]:[Tot Doc]])</f>
        <v>90</v>
      </c>
      <c r="D39" s="179">
        <f t="shared" si="2"/>
        <v>0</v>
      </c>
      <c r="E39" s="180"/>
      <c r="F39" s="61">
        <f ca="1">TblConstr[[#This Row],[Barren]]+TblConstr[[#This Row],[Buildings]]+TblConstr[[#This Row],[Incoming]]</f>
        <v>250</v>
      </c>
      <c r="G39" s="189">
        <f ca="1">OFFSET(TblConstr[[#This Row],[Plain]],-1,0)+TblConstr[[#This Row],[Ch_Plain]]</f>
        <v>40</v>
      </c>
      <c r="H39" s="184">
        <f ca="1">OFFSET(TblConstr[[#This Row],[Forest]],-1,0)+TblConstr[[#This Row],[Ch_Forest]]</f>
        <v>20</v>
      </c>
      <c r="I39" s="384">
        <f ca="1">OFFSET(TblConstr[[#This Row],[Mountain]],-1,0)+TblConstr[[#This Row],[Ch_Mountain]]</f>
        <v>20</v>
      </c>
      <c r="J39" s="388">
        <f ca="1">OFFSET(TblConstr[[#This Row],[Hill]],-1,0)+TblConstr[[#This Row],[Ch_Hill]]</f>
        <v>20</v>
      </c>
      <c r="K39" s="392">
        <f ca="1">OFFSET(TblConstr[[#This Row],[Swamp]],-1,0)+TblConstr[[#This Row],[Ch_Swamp]]</f>
        <v>20</v>
      </c>
      <c r="L39" s="187">
        <f ca="1">OFFSET(TblConstr[[#This Row],[Cavern]],-1,0)+TblConstr[[#This Row],[Ch_Cavern]]</f>
        <v>20</v>
      </c>
      <c r="M39" s="188">
        <f ca="1">OFFSET(TblConstr[[#This Row],[Water]],-1,0)+TblConstr[[#This Row],[Ch_Water]]</f>
        <v>20</v>
      </c>
      <c r="N39" s="382">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45733.458333333248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312888</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6">
        <f ca="1">ROUNDDOWN( MAX(1 - MIN(facs_constr_factor*TblConstr[[#This Row],[Facs -DB]],facs_constr_max) + tech_1_11*TblTech[[#This Row],[11-1]] + tech_6_3_2*TblTech[[#This Row],[6-3]] + tech_5_2_3*TblTech[[#This Row],[5-2]], 1-global_constr_cap) * TblConstr[[#This Row],[RCPA Lumber]],0)</f>
        <v>88</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6">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ROUND((TblConstr[[#This Row],[Land]]-250 - IF(TblExplore[[#This Row],[Land Bonus]]&lt;&gt;0,20,0))*1.25 + 850 + 0,0)</f>
        <v>850</v>
      </c>
      <c r="AW39" s="96">
        <f ca="1">ROUND((TblConstr[[#This Row],[Land]]-250 - IF(TblExplore[[#This Row],[Land Bonus]]&lt;&gt;0,20,0))*0.285 + 87.5 + 0/4.25,0)</f>
        <v>88</v>
      </c>
      <c r="AX39" s="156"/>
      <c r="AY39" s="190" cm="1">
        <f t="array" aca="1" ref="AY39" ca="1">IF(TblConstr[[#This Row],[Hour]:[Hour]]&gt;12,OFFSET(TblConstr[[#This Row],[Hom]],-12,0),0)+OFFSET(TblConstr[[#This Row],[Tot Hom]],-1,0)-TblConstr[[#This Row],[Dest Hom]]</f>
        <v>10</v>
      </c>
      <c r="AZ39" s="191" cm="1">
        <f t="array" aca="1" ref="AZ39" ca="1">IF(TblConstr[[#This Row],[Hour]:[Hour]]&gt;12,OFFSET(TblConstr[[#This Row],[Alc]],-12,0),0)+OFFSET(TblConstr[[#This Row],[Tot Alc]],-1,0)-TblConstr[[#This Row],[Dest Alc]]</f>
        <v>30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86" cm="1">
        <f t="array" aca="1" ref="BF39" ca="1">IF(TblConstr[[#This Row],[Hour]:[Hour]]&gt;12,OFFSET(TblConstr[[#This Row],[OM]],-12,0),0)+OFFSET(TblConstr[[#This Row],[Tot OM]],-1,0)-TblConstr[[#This Row],[Dest OM]]</f>
        <v>0</v>
      </c>
      <c r="BG39" s="386" cm="1">
        <f t="array" aca="1" ref="BG39" ca="1">IF(TblConstr[[#This Row],[Hour]:[Hour]]&gt;12,OFFSET(TblConstr[[#This Row],[GN]],-12,0),0)+OFFSET(TblConstr[[#This Row],[Tot GN]],-1,0)-TblConstr[[#This Row],[Dest GN]]</f>
        <v>0</v>
      </c>
      <c r="BH39" s="390" cm="1">
        <f t="array" aca="1" ref="BH39" ca="1">IF(TblConstr[[#This Row],[Hour]:[Hour]]&gt;12,OFFSET(TblConstr[[#This Row],[Fac]],-12,0),0)+OFFSET(TblConstr[[#This Row],[Tot Fac]],-1,0)-TblConstr[[#This Row],[Dest Fac]]</f>
        <v>0</v>
      </c>
      <c r="BI39" s="390" cm="1">
        <f t="array" aca="1" ref="BI39" ca="1">IF(TblConstr[[#This Row],[Hour]:[Hour]]&gt;12,OFFSET(TblConstr[[#This Row],[GT]],-12,0),0)+OFFSET(TblConstr[[#This Row],[Tot GT]],-1,0)-TblConstr[[#This Row],[Dest GT]]</f>
        <v>0</v>
      </c>
      <c r="BJ39" s="390" cm="1">
        <f t="array" aca="1" ref="BJ39" ca="1">IF(TblConstr[[#This Row],[Hour]:[Hour]]&gt;12,OFFSET(TblConstr[[#This Row],[Bar]],-12,0),0)+OFFSET(TblConstr[[#This Row],[Tot Bar]],-1,0)-TblConstr[[#This Row],[Dest Bar]]</f>
        <v>0</v>
      </c>
      <c r="BK39" s="390" cm="1">
        <f t="array" aca="1" ref="BK39" ca="1">IF(TblConstr[[#This Row],[Hour]:[Hour]]&gt;12,OFFSET(TblConstr[[#This Row],[Shr]],-12,0),0)+OFFSET(TblConstr[[#This Row],[Tot Shr]],-1,0)-TblConstr[[#This Row],[Dest Shr]]</f>
        <v>0</v>
      </c>
      <c r="BL39" s="394" cm="1">
        <f t="array" aca="1" ref="BL39" ca="1">IF(TblConstr[[#This Row],[Hour]:[Hour]]&gt;12,OFFSET(TblConstr[[#This Row],[Tow]],-12,0),0)+OFFSET(TblConstr[[#This Row],[Tot Tow]],-1,0)-TblConstr[[#This Row],[Dest Tow]]</f>
        <v>0</v>
      </c>
      <c r="BM39" s="394" cm="1">
        <f t="array" aca="1" ref="BM39" ca="1">IF(TblConstr[[#This Row],[Hour]:[Hour]]&gt;12,OFFSET(TblConstr[[#This Row],[Tem]],-12,0),0)+OFFSET(TblConstr[[#This Row],[Tot Tem]],-1,0)-TblConstr[[#This Row],[Dest Tem]]</f>
        <v>0</v>
      </c>
      <c r="BN39" s="394"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250</v>
      </c>
      <c r="BU39" s="161">
        <f ca="1">TblImps[[#This Row],[Time]]</f>
        <v>45733.458333333248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84">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100</v>
      </c>
      <c r="DA39" s="96">
        <f t="shared" ca="1" si="4"/>
        <v>40</v>
      </c>
      <c r="DB39" s="45">
        <f t="shared" ca="1" si="5"/>
        <v>20</v>
      </c>
      <c r="DC39" s="96">
        <f t="shared" ca="1" si="6"/>
        <v>20</v>
      </c>
      <c r="DD39" s="96">
        <f t="shared" ca="1" si="7"/>
        <v>20</v>
      </c>
      <c r="DE39" s="45">
        <f t="shared" ca="1" si="8"/>
        <v>20</v>
      </c>
      <c r="DF39" s="96">
        <f t="shared" ca="1" si="9"/>
        <v>20</v>
      </c>
      <c r="DG39" s="96"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7">
        <f>TblRezone[[#This Row],[Hour]]</f>
        <v>37</v>
      </c>
      <c r="B40" s="178">
        <f ca="1">SUM(TblConstr[[#This Row],[Plain]:[Water]])</f>
        <v>160</v>
      </c>
      <c r="C40" s="179">
        <f ca="1">SUM(TblConstr[[#This Row],[Tot Hom]:[Tot Doc]])</f>
        <v>90</v>
      </c>
      <c r="D40" s="179">
        <f t="shared" si="2"/>
        <v>0</v>
      </c>
      <c r="E40" s="180"/>
      <c r="F40" s="61">
        <f ca="1">TblConstr[[#This Row],[Barren]]+TblConstr[[#This Row],[Buildings]]+TblConstr[[#This Row],[Incoming]]</f>
        <v>250</v>
      </c>
      <c r="G40" s="189">
        <f ca="1">OFFSET(TblConstr[[#This Row],[Plain]],-1,0)+TblConstr[[#This Row],[Ch_Plain]]</f>
        <v>40</v>
      </c>
      <c r="H40" s="184">
        <f ca="1">OFFSET(TblConstr[[#This Row],[Forest]],-1,0)+TblConstr[[#This Row],[Ch_Forest]]</f>
        <v>20</v>
      </c>
      <c r="I40" s="384">
        <f ca="1">OFFSET(TblConstr[[#This Row],[Mountain]],-1,0)+TblConstr[[#This Row],[Ch_Mountain]]</f>
        <v>20</v>
      </c>
      <c r="J40" s="388">
        <f ca="1">OFFSET(TblConstr[[#This Row],[Hill]],-1,0)+TblConstr[[#This Row],[Ch_Hill]]</f>
        <v>20</v>
      </c>
      <c r="K40" s="392">
        <f ca="1">OFFSET(TblConstr[[#This Row],[Swamp]],-1,0)+TblConstr[[#This Row],[Ch_Swamp]]</f>
        <v>20</v>
      </c>
      <c r="L40" s="187">
        <f ca="1">OFFSET(TblConstr[[#This Row],[Cavern]],-1,0)+TblConstr[[#This Row],[Ch_Cavern]]</f>
        <v>20</v>
      </c>
      <c r="M40" s="188">
        <f ca="1">OFFSET(TblConstr[[#This Row],[Water]],-1,0)+TblConstr[[#This Row],[Ch_Water]]</f>
        <v>20</v>
      </c>
      <c r="N40" s="382">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45733.499999999913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318374</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6">
        <f ca="1">ROUNDDOWN( MAX(1 - MIN(facs_constr_factor*TblConstr[[#This Row],[Facs -DB]],facs_constr_max) + tech_1_11*TblTech[[#This Row],[11-1]] + tech_6_3_2*TblTech[[#This Row],[6-3]] + tech_5_2_3*TblTech[[#This Row],[5-2]], 1-global_constr_cap) * TblConstr[[#This Row],[RCPA Lumber]],0)</f>
        <v>88</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6">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ROUND((TblConstr[[#This Row],[Land]]-250 - IF(TblExplore[[#This Row],[Land Bonus]]&lt;&gt;0,20,0))*1.25 + 850 + 0,0)</f>
        <v>850</v>
      </c>
      <c r="AW40" s="96">
        <f ca="1">ROUND((TblConstr[[#This Row],[Land]]-250 - IF(TblExplore[[#This Row],[Land Bonus]]&lt;&gt;0,20,0))*0.285 + 87.5 + 0/4.25,0)</f>
        <v>88</v>
      </c>
      <c r="AX40" s="156"/>
      <c r="AY40" s="190" cm="1">
        <f t="array" aca="1" ref="AY40" ca="1">IF(TblConstr[[#This Row],[Hour]:[Hour]]&gt;12,OFFSET(TblConstr[[#This Row],[Hom]],-12,0),0)+OFFSET(TblConstr[[#This Row],[Tot Hom]],-1,0)-TblConstr[[#This Row],[Dest Hom]]</f>
        <v>10</v>
      </c>
      <c r="AZ40" s="191" cm="1">
        <f t="array" aca="1" ref="AZ40" ca="1">IF(TblConstr[[#This Row],[Hour]:[Hour]]&gt;12,OFFSET(TblConstr[[#This Row],[Alc]],-12,0),0)+OFFSET(TblConstr[[#This Row],[Tot Alc]],-1,0)-TblConstr[[#This Row],[Dest Alc]]</f>
        <v>30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86" cm="1">
        <f t="array" aca="1" ref="BF40" ca="1">IF(TblConstr[[#This Row],[Hour]:[Hour]]&gt;12,OFFSET(TblConstr[[#This Row],[OM]],-12,0),0)+OFFSET(TblConstr[[#This Row],[Tot OM]],-1,0)-TblConstr[[#This Row],[Dest OM]]</f>
        <v>0</v>
      </c>
      <c r="BG40" s="386" cm="1">
        <f t="array" aca="1" ref="BG40" ca="1">IF(TblConstr[[#This Row],[Hour]:[Hour]]&gt;12,OFFSET(TblConstr[[#This Row],[GN]],-12,0),0)+OFFSET(TblConstr[[#This Row],[Tot GN]],-1,0)-TblConstr[[#This Row],[Dest GN]]</f>
        <v>0</v>
      </c>
      <c r="BH40" s="390" cm="1">
        <f t="array" aca="1" ref="BH40" ca="1">IF(TblConstr[[#This Row],[Hour]:[Hour]]&gt;12,OFFSET(TblConstr[[#This Row],[Fac]],-12,0),0)+OFFSET(TblConstr[[#This Row],[Tot Fac]],-1,0)-TblConstr[[#This Row],[Dest Fac]]</f>
        <v>0</v>
      </c>
      <c r="BI40" s="390" cm="1">
        <f t="array" aca="1" ref="BI40" ca="1">IF(TblConstr[[#This Row],[Hour]:[Hour]]&gt;12,OFFSET(TblConstr[[#This Row],[GT]],-12,0),0)+OFFSET(TblConstr[[#This Row],[Tot GT]],-1,0)-TblConstr[[#This Row],[Dest GT]]</f>
        <v>0</v>
      </c>
      <c r="BJ40" s="390" cm="1">
        <f t="array" aca="1" ref="BJ40" ca="1">IF(TblConstr[[#This Row],[Hour]:[Hour]]&gt;12,OFFSET(TblConstr[[#This Row],[Bar]],-12,0),0)+OFFSET(TblConstr[[#This Row],[Tot Bar]],-1,0)-TblConstr[[#This Row],[Dest Bar]]</f>
        <v>0</v>
      </c>
      <c r="BK40" s="390" cm="1">
        <f t="array" aca="1" ref="BK40" ca="1">IF(TblConstr[[#This Row],[Hour]:[Hour]]&gt;12,OFFSET(TblConstr[[#This Row],[Shr]],-12,0),0)+OFFSET(TblConstr[[#This Row],[Tot Shr]],-1,0)-TblConstr[[#This Row],[Dest Shr]]</f>
        <v>0</v>
      </c>
      <c r="BL40" s="394" cm="1">
        <f t="array" aca="1" ref="BL40" ca="1">IF(TblConstr[[#This Row],[Hour]:[Hour]]&gt;12,OFFSET(TblConstr[[#This Row],[Tow]],-12,0),0)+OFFSET(TblConstr[[#This Row],[Tot Tow]],-1,0)-TblConstr[[#This Row],[Dest Tow]]</f>
        <v>0</v>
      </c>
      <c r="BM40" s="394" cm="1">
        <f t="array" aca="1" ref="BM40" ca="1">IF(TblConstr[[#This Row],[Hour]:[Hour]]&gt;12,OFFSET(TblConstr[[#This Row],[Tem]],-12,0),0)+OFFSET(TblConstr[[#This Row],[Tot Tem]],-1,0)-TblConstr[[#This Row],[Dest Tem]]</f>
        <v>0</v>
      </c>
      <c r="BN40" s="394"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250</v>
      </c>
      <c r="BU40" s="161">
        <f ca="1">TblImps[[#This Row],[Time]]</f>
        <v>45733.499999999913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84">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100</v>
      </c>
      <c r="DA40" s="96">
        <f t="shared" ca="1" si="4"/>
        <v>40</v>
      </c>
      <c r="DB40" s="45">
        <f t="shared" ca="1" si="5"/>
        <v>20</v>
      </c>
      <c r="DC40" s="96">
        <f t="shared" ca="1" si="6"/>
        <v>20</v>
      </c>
      <c r="DD40" s="96">
        <f t="shared" ca="1" si="7"/>
        <v>20</v>
      </c>
      <c r="DE40" s="45">
        <f t="shared" ca="1" si="8"/>
        <v>20</v>
      </c>
      <c r="DF40" s="96">
        <f t="shared" ca="1" si="9"/>
        <v>20</v>
      </c>
      <c r="DG40" s="96"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7">
        <f>TblRezone[[#This Row],[Hour]]</f>
        <v>38</v>
      </c>
      <c r="B41" s="178">
        <f ca="1">SUM(TblConstr[[#This Row],[Plain]:[Water]])</f>
        <v>160</v>
      </c>
      <c r="C41" s="179">
        <f ca="1">SUM(TblConstr[[#This Row],[Tot Hom]:[Tot Doc]])</f>
        <v>90</v>
      </c>
      <c r="D41" s="179">
        <f t="shared" si="2"/>
        <v>0</v>
      </c>
      <c r="E41" s="180"/>
      <c r="F41" s="61">
        <f ca="1">TblConstr[[#This Row],[Barren]]+TblConstr[[#This Row],[Buildings]]+TblConstr[[#This Row],[Incoming]]</f>
        <v>250</v>
      </c>
      <c r="G41" s="189">
        <f ca="1">OFFSET(TblConstr[[#This Row],[Plain]],-1,0)+TblConstr[[#This Row],[Ch_Plain]]</f>
        <v>40</v>
      </c>
      <c r="H41" s="184">
        <f ca="1">OFFSET(TblConstr[[#This Row],[Forest]],-1,0)+TblConstr[[#This Row],[Ch_Forest]]</f>
        <v>20</v>
      </c>
      <c r="I41" s="384">
        <f ca="1">OFFSET(TblConstr[[#This Row],[Mountain]],-1,0)+TblConstr[[#This Row],[Ch_Mountain]]</f>
        <v>20</v>
      </c>
      <c r="J41" s="388">
        <f ca="1">OFFSET(TblConstr[[#This Row],[Hill]],-1,0)+TblConstr[[#This Row],[Ch_Hill]]</f>
        <v>20</v>
      </c>
      <c r="K41" s="392">
        <f ca="1">OFFSET(TblConstr[[#This Row],[Swamp]],-1,0)+TblConstr[[#This Row],[Ch_Swamp]]</f>
        <v>20</v>
      </c>
      <c r="L41" s="187">
        <f ca="1">OFFSET(TblConstr[[#This Row],[Cavern]],-1,0)+TblConstr[[#This Row],[Ch_Cavern]]</f>
        <v>20</v>
      </c>
      <c r="M41" s="188">
        <f ca="1">OFFSET(TblConstr[[#This Row],[Water]],-1,0)+TblConstr[[#This Row],[Ch_Water]]</f>
        <v>20</v>
      </c>
      <c r="N41" s="382">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45733.541666666577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323860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6">
        <f ca="1">ROUNDDOWN( MAX(1 - MIN(facs_constr_factor*TblConstr[[#This Row],[Facs -DB]],facs_constr_max) + tech_1_11*TblTech[[#This Row],[11-1]] + tech_6_3_2*TblTech[[#This Row],[6-3]] + tech_5_2_3*TblTech[[#This Row],[5-2]], 1-global_constr_cap) * TblConstr[[#This Row],[RCPA Lumber]],0)</f>
        <v>88</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6">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ROUND((TblConstr[[#This Row],[Land]]-250 - IF(TblExplore[[#This Row],[Land Bonus]]&lt;&gt;0,20,0))*1.25 + 850 + 0,0)</f>
        <v>850</v>
      </c>
      <c r="AW41" s="96">
        <f ca="1">ROUND((TblConstr[[#This Row],[Land]]-250 - IF(TblExplore[[#This Row],[Land Bonus]]&lt;&gt;0,20,0))*0.285 + 87.5 + 0/4.25,0)</f>
        <v>88</v>
      </c>
      <c r="AX41" s="156"/>
      <c r="AY41" s="190" cm="1">
        <f t="array" aca="1" ref="AY41" ca="1">IF(TblConstr[[#This Row],[Hour]:[Hour]]&gt;12,OFFSET(TblConstr[[#This Row],[Hom]],-12,0),0)+OFFSET(TblConstr[[#This Row],[Tot Hom]],-1,0)-TblConstr[[#This Row],[Dest Hom]]</f>
        <v>10</v>
      </c>
      <c r="AZ41" s="191" cm="1">
        <f t="array" aca="1" ref="AZ41" ca="1">IF(TblConstr[[#This Row],[Hour]:[Hour]]&gt;12,OFFSET(TblConstr[[#This Row],[Alc]],-12,0),0)+OFFSET(TblConstr[[#This Row],[Tot Alc]],-1,0)-TblConstr[[#This Row],[Dest Alc]]</f>
        <v>30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86" cm="1">
        <f t="array" aca="1" ref="BF41" ca="1">IF(TblConstr[[#This Row],[Hour]:[Hour]]&gt;12,OFFSET(TblConstr[[#This Row],[OM]],-12,0),0)+OFFSET(TblConstr[[#This Row],[Tot OM]],-1,0)-TblConstr[[#This Row],[Dest OM]]</f>
        <v>0</v>
      </c>
      <c r="BG41" s="386" cm="1">
        <f t="array" aca="1" ref="BG41" ca="1">IF(TblConstr[[#This Row],[Hour]:[Hour]]&gt;12,OFFSET(TblConstr[[#This Row],[GN]],-12,0),0)+OFFSET(TblConstr[[#This Row],[Tot GN]],-1,0)-TblConstr[[#This Row],[Dest GN]]</f>
        <v>0</v>
      </c>
      <c r="BH41" s="390" cm="1">
        <f t="array" aca="1" ref="BH41" ca="1">IF(TblConstr[[#This Row],[Hour]:[Hour]]&gt;12,OFFSET(TblConstr[[#This Row],[Fac]],-12,0),0)+OFFSET(TblConstr[[#This Row],[Tot Fac]],-1,0)-TblConstr[[#This Row],[Dest Fac]]</f>
        <v>0</v>
      </c>
      <c r="BI41" s="390" cm="1">
        <f t="array" aca="1" ref="BI41" ca="1">IF(TblConstr[[#This Row],[Hour]:[Hour]]&gt;12,OFFSET(TblConstr[[#This Row],[GT]],-12,0),0)+OFFSET(TblConstr[[#This Row],[Tot GT]],-1,0)-TblConstr[[#This Row],[Dest GT]]</f>
        <v>0</v>
      </c>
      <c r="BJ41" s="390" cm="1">
        <f t="array" aca="1" ref="BJ41" ca="1">IF(TblConstr[[#This Row],[Hour]:[Hour]]&gt;12,OFFSET(TblConstr[[#This Row],[Bar]],-12,0),0)+OFFSET(TblConstr[[#This Row],[Tot Bar]],-1,0)-TblConstr[[#This Row],[Dest Bar]]</f>
        <v>0</v>
      </c>
      <c r="BK41" s="390" cm="1">
        <f t="array" aca="1" ref="BK41" ca="1">IF(TblConstr[[#This Row],[Hour]:[Hour]]&gt;12,OFFSET(TblConstr[[#This Row],[Shr]],-12,0),0)+OFFSET(TblConstr[[#This Row],[Tot Shr]],-1,0)-TblConstr[[#This Row],[Dest Shr]]</f>
        <v>0</v>
      </c>
      <c r="BL41" s="394" cm="1">
        <f t="array" aca="1" ref="BL41" ca="1">IF(TblConstr[[#This Row],[Hour]:[Hour]]&gt;12,OFFSET(TblConstr[[#This Row],[Tow]],-12,0),0)+OFFSET(TblConstr[[#This Row],[Tot Tow]],-1,0)-TblConstr[[#This Row],[Dest Tow]]</f>
        <v>0</v>
      </c>
      <c r="BM41" s="394" cm="1">
        <f t="array" aca="1" ref="BM41" ca="1">IF(TblConstr[[#This Row],[Hour]:[Hour]]&gt;12,OFFSET(TblConstr[[#This Row],[Tem]],-12,0),0)+OFFSET(TblConstr[[#This Row],[Tot Tem]],-1,0)-TblConstr[[#This Row],[Dest Tem]]</f>
        <v>0</v>
      </c>
      <c r="BN41" s="394"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250</v>
      </c>
      <c r="BU41" s="161">
        <f ca="1">TblImps[[#This Row],[Time]]</f>
        <v>45733.541666666577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84">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100</v>
      </c>
      <c r="DA41" s="96">
        <f t="shared" ca="1" si="4"/>
        <v>40</v>
      </c>
      <c r="DB41" s="45">
        <f t="shared" ca="1" si="5"/>
        <v>20</v>
      </c>
      <c r="DC41" s="96">
        <f t="shared" ca="1" si="6"/>
        <v>20</v>
      </c>
      <c r="DD41" s="96">
        <f t="shared" ca="1" si="7"/>
        <v>20</v>
      </c>
      <c r="DE41" s="45">
        <f t="shared" ca="1" si="8"/>
        <v>20</v>
      </c>
      <c r="DF41" s="96">
        <f t="shared" ca="1" si="9"/>
        <v>20</v>
      </c>
      <c r="DG41" s="96"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7">
        <f>TblRezone[[#This Row],[Hour]]</f>
        <v>39</v>
      </c>
      <c r="B42" s="178">
        <f ca="1">SUM(TblConstr[[#This Row],[Plain]:[Water]])</f>
        <v>160</v>
      </c>
      <c r="C42" s="179">
        <f ca="1">SUM(TblConstr[[#This Row],[Tot Hom]:[Tot Doc]])</f>
        <v>90</v>
      </c>
      <c r="D42" s="179">
        <f t="shared" si="2"/>
        <v>0</v>
      </c>
      <c r="E42" s="180"/>
      <c r="F42" s="61">
        <f ca="1">TblConstr[[#This Row],[Barren]]+TblConstr[[#This Row],[Buildings]]+TblConstr[[#This Row],[Incoming]]</f>
        <v>250</v>
      </c>
      <c r="G42" s="189">
        <f ca="1">OFFSET(TblConstr[[#This Row],[Plain]],-1,0)+TblConstr[[#This Row],[Ch_Plain]]</f>
        <v>40</v>
      </c>
      <c r="H42" s="184">
        <f ca="1">OFFSET(TblConstr[[#This Row],[Forest]],-1,0)+TblConstr[[#This Row],[Ch_Forest]]</f>
        <v>20</v>
      </c>
      <c r="I42" s="384">
        <f ca="1">OFFSET(TblConstr[[#This Row],[Mountain]],-1,0)+TblConstr[[#This Row],[Ch_Mountain]]</f>
        <v>20</v>
      </c>
      <c r="J42" s="388">
        <f ca="1">OFFSET(TblConstr[[#This Row],[Hill]],-1,0)+TblConstr[[#This Row],[Ch_Hill]]</f>
        <v>20</v>
      </c>
      <c r="K42" s="392">
        <f ca="1">OFFSET(TblConstr[[#This Row],[Swamp]],-1,0)+TblConstr[[#This Row],[Ch_Swamp]]</f>
        <v>20</v>
      </c>
      <c r="L42" s="187">
        <f ca="1">OFFSET(TblConstr[[#This Row],[Cavern]],-1,0)+TblConstr[[#This Row],[Ch_Cavern]]</f>
        <v>20</v>
      </c>
      <c r="M42" s="188">
        <f ca="1">OFFSET(TblConstr[[#This Row],[Water]],-1,0)+TblConstr[[#This Row],[Ch_Water]]</f>
        <v>20</v>
      </c>
      <c r="N42" s="382">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45733.583333333241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329346</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6">
        <f ca="1">ROUNDDOWN( MAX(1 - MIN(facs_constr_factor*TblConstr[[#This Row],[Facs -DB]],facs_constr_max) + tech_1_11*TblTech[[#This Row],[11-1]] + tech_6_3_2*TblTech[[#This Row],[6-3]] + tech_5_2_3*TblTech[[#This Row],[5-2]], 1-global_constr_cap) * TblConstr[[#This Row],[RCPA Lumber]],0)</f>
        <v>88</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6">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ROUND((TblConstr[[#This Row],[Land]]-250 - IF(TblExplore[[#This Row],[Land Bonus]]&lt;&gt;0,20,0))*1.25 + 850 + 0,0)</f>
        <v>850</v>
      </c>
      <c r="AW42" s="96">
        <f ca="1">ROUND((TblConstr[[#This Row],[Land]]-250 - IF(TblExplore[[#This Row],[Land Bonus]]&lt;&gt;0,20,0))*0.285 + 87.5 + 0/4.25,0)</f>
        <v>88</v>
      </c>
      <c r="AX42" s="156"/>
      <c r="AY42" s="190" cm="1">
        <f t="array" aca="1" ref="AY42" ca="1">IF(TblConstr[[#This Row],[Hour]:[Hour]]&gt;12,OFFSET(TblConstr[[#This Row],[Hom]],-12,0),0)+OFFSET(TblConstr[[#This Row],[Tot Hom]],-1,0)-TblConstr[[#This Row],[Dest Hom]]</f>
        <v>10</v>
      </c>
      <c r="AZ42" s="191" cm="1">
        <f t="array" aca="1" ref="AZ42" ca="1">IF(TblConstr[[#This Row],[Hour]:[Hour]]&gt;12,OFFSET(TblConstr[[#This Row],[Alc]],-12,0),0)+OFFSET(TblConstr[[#This Row],[Tot Alc]],-1,0)-TblConstr[[#This Row],[Dest Alc]]</f>
        <v>30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86" cm="1">
        <f t="array" aca="1" ref="BF42" ca="1">IF(TblConstr[[#This Row],[Hour]:[Hour]]&gt;12,OFFSET(TblConstr[[#This Row],[OM]],-12,0),0)+OFFSET(TblConstr[[#This Row],[Tot OM]],-1,0)-TblConstr[[#This Row],[Dest OM]]</f>
        <v>0</v>
      </c>
      <c r="BG42" s="386" cm="1">
        <f t="array" aca="1" ref="BG42" ca="1">IF(TblConstr[[#This Row],[Hour]:[Hour]]&gt;12,OFFSET(TblConstr[[#This Row],[GN]],-12,0),0)+OFFSET(TblConstr[[#This Row],[Tot GN]],-1,0)-TblConstr[[#This Row],[Dest GN]]</f>
        <v>0</v>
      </c>
      <c r="BH42" s="390" cm="1">
        <f t="array" aca="1" ref="BH42" ca="1">IF(TblConstr[[#This Row],[Hour]:[Hour]]&gt;12,OFFSET(TblConstr[[#This Row],[Fac]],-12,0),0)+OFFSET(TblConstr[[#This Row],[Tot Fac]],-1,0)-TblConstr[[#This Row],[Dest Fac]]</f>
        <v>0</v>
      </c>
      <c r="BI42" s="390" cm="1">
        <f t="array" aca="1" ref="BI42" ca="1">IF(TblConstr[[#This Row],[Hour]:[Hour]]&gt;12,OFFSET(TblConstr[[#This Row],[GT]],-12,0),0)+OFFSET(TblConstr[[#This Row],[Tot GT]],-1,0)-TblConstr[[#This Row],[Dest GT]]</f>
        <v>0</v>
      </c>
      <c r="BJ42" s="390" cm="1">
        <f t="array" aca="1" ref="BJ42" ca="1">IF(TblConstr[[#This Row],[Hour]:[Hour]]&gt;12,OFFSET(TblConstr[[#This Row],[Bar]],-12,0),0)+OFFSET(TblConstr[[#This Row],[Tot Bar]],-1,0)-TblConstr[[#This Row],[Dest Bar]]</f>
        <v>0</v>
      </c>
      <c r="BK42" s="390" cm="1">
        <f t="array" aca="1" ref="BK42" ca="1">IF(TblConstr[[#This Row],[Hour]:[Hour]]&gt;12,OFFSET(TblConstr[[#This Row],[Shr]],-12,0),0)+OFFSET(TblConstr[[#This Row],[Tot Shr]],-1,0)-TblConstr[[#This Row],[Dest Shr]]</f>
        <v>0</v>
      </c>
      <c r="BL42" s="394" cm="1">
        <f t="array" aca="1" ref="BL42" ca="1">IF(TblConstr[[#This Row],[Hour]:[Hour]]&gt;12,OFFSET(TblConstr[[#This Row],[Tow]],-12,0),0)+OFFSET(TblConstr[[#This Row],[Tot Tow]],-1,0)-TblConstr[[#This Row],[Dest Tow]]</f>
        <v>0</v>
      </c>
      <c r="BM42" s="394" cm="1">
        <f t="array" aca="1" ref="BM42" ca="1">IF(TblConstr[[#This Row],[Hour]:[Hour]]&gt;12,OFFSET(TblConstr[[#This Row],[Tem]],-12,0),0)+OFFSET(TblConstr[[#This Row],[Tot Tem]],-1,0)-TblConstr[[#This Row],[Dest Tem]]</f>
        <v>0</v>
      </c>
      <c r="BN42" s="394"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250</v>
      </c>
      <c r="BU42" s="161">
        <f ca="1">TblImps[[#This Row],[Time]]</f>
        <v>45733.583333333241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84">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100</v>
      </c>
      <c r="DA42" s="96">
        <f t="shared" ca="1" si="4"/>
        <v>40</v>
      </c>
      <c r="DB42" s="45">
        <f t="shared" ca="1" si="5"/>
        <v>20</v>
      </c>
      <c r="DC42" s="96">
        <f t="shared" ca="1" si="6"/>
        <v>20</v>
      </c>
      <c r="DD42" s="96">
        <f t="shared" ca="1" si="7"/>
        <v>20</v>
      </c>
      <c r="DE42" s="45">
        <f t="shared" ca="1" si="8"/>
        <v>20</v>
      </c>
      <c r="DF42" s="96">
        <f t="shared" ca="1" si="9"/>
        <v>20</v>
      </c>
      <c r="DG42" s="96"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7">
        <f>TblRezone[[#This Row],[Hour]]</f>
        <v>40</v>
      </c>
      <c r="B43" s="178">
        <f ca="1">SUM(TblConstr[[#This Row],[Plain]:[Water]])</f>
        <v>160</v>
      </c>
      <c r="C43" s="179">
        <f ca="1">SUM(TblConstr[[#This Row],[Tot Hom]:[Tot Doc]])</f>
        <v>90</v>
      </c>
      <c r="D43" s="179">
        <f t="shared" si="2"/>
        <v>0</v>
      </c>
      <c r="E43" s="180"/>
      <c r="F43" s="61">
        <f ca="1">TblConstr[[#This Row],[Barren]]+TblConstr[[#This Row],[Buildings]]+TblConstr[[#This Row],[Incoming]]</f>
        <v>250</v>
      </c>
      <c r="G43" s="189">
        <f ca="1">OFFSET(TblConstr[[#This Row],[Plain]],-1,0)+TblConstr[[#This Row],[Ch_Plain]]</f>
        <v>40</v>
      </c>
      <c r="H43" s="184">
        <f ca="1">OFFSET(TblConstr[[#This Row],[Forest]],-1,0)+TblConstr[[#This Row],[Ch_Forest]]</f>
        <v>20</v>
      </c>
      <c r="I43" s="384">
        <f ca="1">OFFSET(TblConstr[[#This Row],[Mountain]],-1,0)+TblConstr[[#This Row],[Ch_Mountain]]</f>
        <v>20</v>
      </c>
      <c r="J43" s="388">
        <f ca="1">OFFSET(TblConstr[[#This Row],[Hill]],-1,0)+TblConstr[[#This Row],[Ch_Hill]]</f>
        <v>20</v>
      </c>
      <c r="K43" s="392">
        <f ca="1">OFFSET(TblConstr[[#This Row],[Swamp]],-1,0)+TblConstr[[#This Row],[Ch_Swamp]]</f>
        <v>20</v>
      </c>
      <c r="L43" s="187">
        <f ca="1">OFFSET(TblConstr[[#This Row],[Cavern]],-1,0)+TblConstr[[#This Row],[Ch_Cavern]]</f>
        <v>20</v>
      </c>
      <c r="M43" s="188">
        <f ca="1">OFFSET(TblConstr[[#This Row],[Water]],-1,0)+TblConstr[[#This Row],[Ch_Water]]</f>
        <v>20</v>
      </c>
      <c r="N43" s="382">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45733.624999999905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334832</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6">
        <f ca="1">ROUNDDOWN( MAX(1 - MIN(facs_constr_factor*TblConstr[[#This Row],[Facs -DB]],facs_constr_max) + tech_1_11*TblTech[[#This Row],[11-1]] + tech_6_3_2*TblTech[[#This Row],[6-3]] + tech_5_2_3*TblTech[[#This Row],[5-2]], 1-global_constr_cap) * TblConstr[[#This Row],[RCPA Lumber]],0)</f>
        <v>88</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6">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ROUND((TblConstr[[#This Row],[Land]]-250 - IF(TblExplore[[#This Row],[Land Bonus]]&lt;&gt;0,20,0))*1.25 + 850 + 0,0)</f>
        <v>850</v>
      </c>
      <c r="AW43" s="96">
        <f ca="1">ROUND((TblConstr[[#This Row],[Land]]-250 - IF(TblExplore[[#This Row],[Land Bonus]]&lt;&gt;0,20,0))*0.285 + 87.5 + 0/4.25,0)</f>
        <v>88</v>
      </c>
      <c r="AX43" s="156"/>
      <c r="AY43" s="190" cm="1">
        <f t="array" aca="1" ref="AY43" ca="1">IF(TblConstr[[#This Row],[Hour]:[Hour]]&gt;12,OFFSET(TblConstr[[#This Row],[Hom]],-12,0),0)+OFFSET(TblConstr[[#This Row],[Tot Hom]],-1,0)-TblConstr[[#This Row],[Dest Hom]]</f>
        <v>10</v>
      </c>
      <c r="AZ43" s="191" cm="1">
        <f t="array" aca="1" ref="AZ43" ca="1">IF(TblConstr[[#This Row],[Hour]:[Hour]]&gt;12,OFFSET(TblConstr[[#This Row],[Alc]],-12,0),0)+OFFSET(TblConstr[[#This Row],[Tot Alc]],-1,0)-TblConstr[[#This Row],[Dest Alc]]</f>
        <v>30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86" cm="1">
        <f t="array" aca="1" ref="BF43" ca="1">IF(TblConstr[[#This Row],[Hour]:[Hour]]&gt;12,OFFSET(TblConstr[[#This Row],[OM]],-12,0),0)+OFFSET(TblConstr[[#This Row],[Tot OM]],-1,0)-TblConstr[[#This Row],[Dest OM]]</f>
        <v>0</v>
      </c>
      <c r="BG43" s="386" cm="1">
        <f t="array" aca="1" ref="BG43" ca="1">IF(TblConstr[[#This Row],[Hour]:[Hour]]&gt;12,OFFSET(TblConstr[[#This Row],[GN]],-12,0),0)+OFFSET(TblConstr[[#This Row],[Tot GN]],-1,0)-TblConstr[[#This Row],[Dest GN]]</f>
        <v>0</v>
      </c>
      <c r="BH43" s="390" cm="1">
        <f t="array" aca="1" ref="BH43" ca="1">IF(TblConstr[[#This Row],[Hour]:[Hour]]&gt;12,OFFSET(TblConstr[[#This Row],[Fac]],-12,0),0)+OFFSET(TblConstr[[#This Row],[Tot Fac]],-1,0)-TblConstr[[#This Row],[Dest Fac]]</f>
        <v>0</v>
      </c>
      <c r="BI43" s="390" cm="1">
        <f t="array" aca="1" ref="BI43" ca="1">IF(TblConstr[[#This Row],[Hour]:[Hour]]&gt;12,OFFSET(TblConstr[[#This Row],[GT]],-12,0),0)+OFFSET(TblConstr[[#This Row],[Tot GT]],-1,0)-TblConstr[[#This Row],[Dest GT]]</f>
        <v>0</v>
      </c>
      <c r="BJ43" s="390" cm="1">
        <f t="array" aca="1" ref="BJ43" ca="1">IF(TblConstr[[#This Row],[Hour]:[Hour]]&gt;12,OFFSET(TblConstr[[#This Row],[Bar]],-12,0),0)+OFFSET(TblConstr[[#This Row],[Tot Bar]],-1,0)-TblConstr[[#This Row],[Dest Bar]]</f>
        <v>0</v>
      </c>
      <c r="BK43" s="390" cm="1">
        <f t="array" aca="1" ref="BK43" ca="1">IF(TblConstr[[#This Row],[Hour]:[Hour]]&gt;12,OFFSET(TblConstr[[#This Row],[Shr]],-12,0),0)+OFFSET(TblConstr[[#This Row],[Tot Shr]],-1,0)-TblConstr[[#This Row],[Dest Shr]]</f>
        <v>0</v>
      </c>
      <c r="BL43" s="394" cm="1">
        <f t="array" aca="1" ref="BL43" ca="1">IF(TblConstr[[#This Row],[Hour]:[Hour]]&gt;12,OFFSET(TblConstr[[#This Row],[Tow]],-12,0),0)+OFFSET(TblConstr[[#This Row],[Tot Tow]],-1,0)-TblConstr[[#This Row],[Dest Tow]]</f>
        <v>0</v>
      </c>
      <c r="BM43" s="394" cm="1">
        <f t="array" aca="1" ref="BM43" ca="1">IF(TblConstr[[#This Row],[Hour]:[Hour]]&gt;12,OFFSET(TblConstr[[#This Row],[Tem]],-12,0),0)+OFFSET(TblConstr[[#This Row],[Tot Tem]],-1,0)-TblConstr[[#This Row],[Dest Tem]]</f>
        <v>0</v>
      </c>
      <c r="BN43" s="394"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250</v>
      </c>
      <c r="BU43" s="161">
        <f ca="1">TblImps[[#This Row],[Time]]</f>
        <v>45733.624999999905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84">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100</v>
      </c>
      <c r="DA43" s="96">
        <f t="shared" ca="1" si="4"/>
        <v>40</v>
      </c>
      <c r="DB43" s="45">
        <f t="shared" ca="1" si="5"/>
        <v>20</v>
      </c>
      <c r="DC43" s="96">
        <f t="shared" ca="1" si="6"/>
        <v>20</v>
      </c>
      <c r="DD43" s="96">
        <f t="shared" ca="1" si="7"/>
        <v>20</v>
      </c>
      <c r="DE43" s="45">
        <f t="shared" ca="1" si="8"/>
        <v>20</v>
      </c>
      <c r="DF43" s="96">
        <f t="shared" ca="1" si="9"/>
        <v>20</v>
      </c>
      <c r="DG43" s="96"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7">
        <f>TblRezone[[#This Row],[Hour]]</f>
        <v>41</v>
      </c>
      <c r="B44" s="178">
        <f ca="1">SUM(TblConstr[[#This Row],[Plain]:[Water]])</f>
        <v>160</v>
      </c>
      <c r="C44" s="179">
        <f ca="1">SUM(TblConstr[[#This Row],[Tot Hom]:[Tot Doc]])</f>
        <v>90</v>
      </c>
      <c r="D44" s="179">
        <f t="shared" si="2"/>
        <v>0</v>
      </c>
      <c r="E44" s="180"/>
      <c r="F44" s="61">
        <f ca="1">TblConstr[[#This Row],[Barren]]+TblConstr[[#This Row],[Buildings]]+TblConstr[[#This Row],[Incoming]]</f>
        <v>250</v>
      </c>
      <c r="G44" s="189">
        <f ca="1">OFFSET(TblConstr[[#This Row],[Plain]],-1,0)+TblConstr[[#This Row],[Ch_Plain]]</f>
        <v>40</v>
      </c>
      <c r="H44" s="184">
        <f ca="1">OFFSET(TblConstr[[#This Row],[Forest]],-1,0)+TblConstr[[#This Row],[Ch_Forest]]</f>
        <v>20</v>
      </c>
      <c r="I44" s="384">
        <f ca="1">OFFSET(TblConstr[[#This Row],[Mountain]],-1,0)+TblConstr[[#This Row],[Ch_Mountain]]</f>
        <v>20</v>
      </c>
      <c r="J44" s="388">
        <f ca="1">OFFSET(TblConstr[[#This Row],[Hill]],-1,0)+TblConstr[[#This Row],[Ch_Hill]]</f>
        <v>20</v>
      </c>
      <c r="K44" s="392">
        <f ca="1">OFFSET(TblConstr[[#This Row],[Swamp]],-1,0)+TblConstr[[#This Row],[Ch_Swamp]]</f>
        <v>20</v>
      </c>
      <c r="L44" s="187">
        <f ca="1">OFFSET(TblConstr[[#This Row],[Cavern]],-1,0)+TblConstr[[#This Row],[Ch_Cavern]]</f>
        <v>20</v>
      </c>
      <c r="M44" s="188">
        <f ca="1">OFFSET(TblConstr[[#This Row],[Water]],-1,0)+TblConstr[[#This Row],[Ch_Water]]</f>
        <v>20</v>
      </c>
      <c r="N44" s="382">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45733.66666666657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340318</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6">
        <f ca="1">ROUNDDOWN( MAX(1 - MIN(facs_constr_factor*TblConstr[[#This Row],[Facs -DB]],facs_constr_max) + tech_1_11*TblTech[[#This Row],[11-1]] + tech_6_3_2*TblTech[[#This Row],[6-3]] + tech_5_2_3*TblTech[[#This Row],[5-2]], 1-global_constr_cap) * TblConstr[[#This Row],[RCPA Lumber]],0)</f>
        <v>88</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6">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ROUND((TblConstr[[#This Row],[Land]]-250 - IF(TblExplore[[#This Row],[Land Bonus]]&lt;&gt;0,20,0))*1.25 + 850 + 0,0)</f>
        <v>850</v>
      </c>
      <c r="AW44" s="96">
        <f ca="1">ROUND((TblConstr[[#This Row],[Land]]-250 - IF(TblExplore[[#This Row],[Land Bonus]]&lt;&gt;0,20,0))*0.285 + 87.5 + 0/4.25,0)</f>
        <v>88</v>
      </c>
      <c r="AX44" s="156"/>
      <c r="AY44" s="190" cm="1">
        <f t="array" aca="1" ref="AY44" ca="1">IF(TblConstr[[#This Row],[Hour]:[Hour]]&gt;12,OFFSET(TblConstr[[#This Row],[Hom]],-12,0),0)+OFFSET(TblConstr[[#This Row],[Tot Hom]],-1,0)-TblConstr[[#This Row],[Dest Hom]]</f>
        <v>10</v>
      </c>
      <c r="AZ44" s="191" cm="1">
        <f t="array" aca="1" ref="AZ44" ca="1">IF(TblConstr[[#This Row],[Hour]:[Hour]]&gt;12,OFFSET(TblConstr[[#This Row],[Alc]],-12,0),0)+OFFSET(TblConstr[[#This Row],[Tot Alc]],-1,0)-TblConstr[[#This Row],[Dest Alc]]</f>
        <v>30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86" cm="1">
        <f t="array" aca="1" ref="BF44" ca="1">IF(TblConstr[[#This Row],[Hour]:[Hour]]&gt;12,OFFSET(TblConstr[[#This Row],[OM]],-12,0),0)+OFFSET(TblConstr[[#This Row],[Tot OM]],-1,0)-TblConstr[[#This Row],[Dest OM]]</f>
        <v>0</v>
      </c>
      <c r="BG44" s="386" cm="1">
        <f t="array" aca="1" ref="BG44" ca="1">IF(TblConstr[[#This Row],[Hour]:[Hour]]&gt;12,OFFSET(TblConstr[[#This Row],[GN]],-12,0),0)+OFFSET(TblConstr[[#This Row],[Tot GN]],-1,0)-TblConstr[[#This Row],[Dest GN]]</f>
        <v>0</v>
      </c>
      <c r="BH44" s="390" cm="1">
        <f t="array" aca="1" ref="BH44" ca="1">IF(TblConstr[[#This Row],[Hour]:[Hour]]&gt;12,OFFSET(TblConstr[[#This Row],[Fac]],-12,0),0)+OFFSET(TblConstr[[#This Row],[Tot Fac]],-1,0)-TblConstr[[#This Row],[Dest Fac]]</f>
        <v>0</v>
      </c>
      <c r="BI44" s="390" cm="1">
        <f t="array" aca="1" ref="BI44" ca="1">IF(TblConstr[[#This Row],[Hour]:[Hour]]&gt;12,OFFSET(TblConstr[[#This Row],[GT]],-12,0),0)+OFFSET(TblConstr[[#This Row],[Tot GT]],-1,0)-TblConstr[[#This Row],[Dest GT]]</f>
        <v>0</v>
      </c>
      <c r="BJ44" s="390" cm="1">
        <f t="array" aca="1" ref="BJ44" ca="1">IF(TblConstr[[#This Row],[Hour]:[Hour]]&gt;12,OFFSET(TblConstr[[#This Row],[Bar]],-12,0),0)+OFFSET(TblConstr[[#This Row],[Tot Bar]],-1,0)-TblConstr[[#This Row],[Dest Bar]]</f>
        <v>0</v>
      </c>
      <c r="BK44" s="390" cm="1">
        <f t="array" aca="1" ref="BK44" ca="1">IF(TblConstr[[#This Row],[Hour]:[Hour]]&gt;12,OFFSET(TblConstr[[#This Row],[Shr]],-12,0),0)+OFFSET(TblConstr[[#This Row],[Tot Shr]],-1,0)-TblConstr[[#This Row],[Dest Shr]]</f>
        <v>0</v>
      </c>
      <c r="BL44" s="394" cm="1">
        <f t="array" aca="1" ref="BL44" ca="1">IF(TblConstr[[#This Row],[Hour]:[Hour]]&gt;12,OFFSET(TblConstr[[#This Row],[Tow]],-12,0),0)+OFFSET(TblConstr[[#This Row],[Tot Tow]],-1,0)-TblConstr[[#This Row],[Dest Tow]]</f>
        <v>0</v>
      </c>
      <c r="BM44" s="394" cm="1">
        <f t="array" aca="1" ref="BM44" ca="1">IF(TblConstr[[#This Row],[Hour]:[Hour]]&gt;12,OFFSET(TblConstr[[#This Row],[Tem]],-12,0),0)+OFFSET(TblConstr[[#This Row],[Tot Tem]],-1,0)-TblConstr[[#This Row],[Dest Tem]]</f>
        <v>0</v>
      </c>
      <c r="BN44" s="394"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250</v>
      </c>
      <c r="BU44" s="161">
        <f ca="1">TblImps[[#This Row],[Time]]</f>
        <v>45733.66666666657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84">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100</v>
      </c>
      <c r="DA44" s="96">
        <f t="shared" ca="1" si="4"/>
        <v>40</v>
      </c>
      <c r="DB44" s="45">
        <f t="shared" ca="1" si="5"/>
        <v>20</v>
      </c>
      <c r="DC44" s="96">
        <f t="shared" ca="1" si="6"/>
        <v>20</v>
      </c>
      <c r="DD44" s="96">
        <f t="shared" ca="1" si="7"/>
        <v>20</v>
      </c>
      <c r="DE44" s="45">
        <f t="shared" ca="1" si="8"/>
        <v>20</v>
      </c>
      <c r="DF44" s="96">
        <f t="shared" ca="1" si="9"/>
        <v>20</v>
      </c>
      <c r="DG44" s="96"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7">
        <f>TblRezone[[#This Row],[Hour]]</f>
        <v>42</v>
      </c>
      <c r="B45" s="178">
        <f ca="1">SUM(TblConstr[[#This Row],[Plain]:[Water]])</f>
        <v>160</v>
      </c>
      <c r="C45" s="179">
        <f ca="1">SUM(TblConstr[[#This Row],[Tot Hom]:[Tot Doc]])</f>
        <v>90</v>
      </c>
      <c r="D45" s="179">
        <f t="shared" si="2"/>
        <v>0</v>
      </c>
      <c r="E45" s="180"/>
      <c r="F45" s="61">
        <f ca="1">TblConstr[[#This Row],[Barren]]+TblConstr[[#This Row],[Buildings]]+TblConstr[[#This Row],[Incoming]]</f>
        <v>250</v>
      </c>
      <c r="G45" s="189">
        <f ca="1">OFFSET(TblConstr[[#This Row],[Plain]],-1,0)+TblConstr[[#This Row],[Ch_Plain]]</f>
        <v>40</v>
      </c>
      <c r="H45" s="184">
        <f ca="1">OFFSET(TblConstr[[#This Row],[Forest]],-1,0)+TblConstr[[#This Row],[Ch_Forest]]</f>
        <v>20</v>
      </c>
      <c r="I45" s="384">
        <f ca="1">OFFSET(TblConstr[[#This Row],[Mountain]],-1,0)+TblConstr[[#This Row],[Ch_Mountain]]</f>
        <v>20</v>
      </c>
      <c r="J45" s="388">
        <f ca="1">OFFSET(TblConstr[[#This Row],[Hill]],-1,0)+TblConstr[[#This Row],[Ch_Hill]]</f>
        <v>20</v>
      </c>
      <c r="K45" s="392">
        <f ca="1">OFFSET(TblConstr[[#This Row],[Swamp]],-1,0)+TblConstr[[#This Row],[Ch_Swamp]]</f>
        <v>20</v>
      </c>
      <c r="L45" s="187">
        <f ca="1">OFFSET(TblConstr[[#This Row],[Cavern]],-1,0)+TblConstr[[#This Row],[Ch_Cavern]]</f>
        <v>20</v>
      </c>
      <c r="M45" s="188">
        <f ca="1">OFFSET(TblConstr[[#This Row],[Water]],-1,0)+TblConstr[[#This Row],[Ch_Water]]</f>
        <v>20</v>
      </c>
      <c r="N45" s="382">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45733.708333333234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345804</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6">
        <f ca="1">ROUNDDOWN( MAX(1 - MIN(facs_constr_factor*TblConstr[[#This Row],[Facs -DB]],facs_constr_max) + tech_1_11*TblTech[[#This Row],[11-1]] + tech_6_3_2*TblTech[[#This Row],[6-3]] + tech_5_2_3*TblTech[[#This Row],[5-2]], 1-global_constr_cap) * TblConstr[[#This Row],[RCPA Lumber]],0)</f>
        <v>88</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6">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ROUND((TblConstr[[#This Row],[Land]]-250 - IF(TblExplore[[#This Row],[Land Bonus]]&lt;&gt;0,20,0))*1.25 + 850 + 0,0)</f>
        <v>850</v>
      </c>
      <c r="AW45" s="96">
        <f ca="1">ROUND((TblConstr[[#This Row],[Land]]-250 - IF(TblExplore[[#This Row],[Land Bonus]]&lt;&gt;0,20,0))*0.285 + 87.5 + 0/4.25,0)</f>
        <v>88</v>
      </c>
      <c r="AX45" s="156"/>
      <c r="AY45" s="190" cm="1">
        <f t="array" aca="1" ref="AY45" ca="1">IF(TblConstr[[#This Row],[Hour]:[Hour]]&gt;12,OFFSET(TblConstr[[#This Row],[Hom]],-12,0),0)+OFFSET(TblConstr[[#This Row],[Tot Hom]],-1,0)-TblConstr[[#This Row],[Dest Hom]]</f>
        <v>10</v>
      </c>
      <c r="AZ45" s="191" cm="1">
        <f t="array" aca="1" ref="AZ45" ca="1">IF(TblConstr[[#This Row],[Hour]:[Hour]]&gt;12,OFFSET(TblConstr[[#This Row],[Alc]],-12,0),0)+OFFSET(TblConstr[[#This Row],[Tot Alc]],-1,0)-TblConstr[[#This Row],[Dest Alc]]</f>
        <v>30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86" cm="1">
        <f t="array" aca="1" ref="BF45" ca="1">IF(TblConstr[[#This Row],[Hour]:[Hour]]&gt;12,OFFSET(TblConstr[[#This Row],[OM]],-12,0),0)+OFFSET(TblConstr[[#This Row],[Tot OM]],-1,0)-TblConstr[[#This Row],[Dest OM]]</f>
        <v>0</v>
      </c>
      <c r="BG45" s="386" cm="1">
        <f t="array" aca="1" ref="BG45" ca="1">IF(TblConstr[[#This Row],[Hour]:[Hour]]&gt;12,OFFSET(TblConstr[[#This Row],[GN]],-12,0),0)+OFFSET(TblConstr[[#This Row],[Tot GN]],-1,0)-TblConstr[[#This Row],[Dest GN]]</f>
        <v>0</v>
      </c>
      <c r="BH45" s="390" cm="1">
        <f t="array" aca="1" ref="BH45" ca="1">IF(TblConstr[[#This Row],[Hour]:[Hour]]&gt;12,OFFSET(TblConstr[[#This Row],[Fac]],-12,0),0)+OFFSET(TblConstr[[#This Row],[Tot Fac]],-1,0)-TblConstr[[#This Row],[Dest Fac]]</f>
        <v>0</v>
      </c>
      <c r="BI45" s="390" cm="1">
        <f t="array" aca="1" ref="BI45" ca="1">IF(TblConstr[[#This Row],[Hour]:[Hour]]&gt;12,OFFSET(TblConstr[[#This Row],[GT]],-12,0),0)+OFFSET(TblConstr[[#This Row],[Tot GT]],-1,0)-TblConstr[[#This Row],[Dest GT]]</f>
        <v>0</v>
      </c>
      <c r="BJ45" s="390" cm="1">
        <f t="array" aca="1" ref="BJ45" ca="1">IF(TblConstr[[#This Row],[Hour]:[Hour]]&gt;12,OFFSET(TblConstr[[#This Row],[Bar]],-12,0),0)+OFFSET(TblConstr[[#This Row],[Tot Bar]],-1,0)-TblConstr[[#This Row],[Dest Bar]]</f>
        <v>0</v>
      </c>
      <c r="BK45" s="390" cm="1">
        <f t="array" aca="1" ref="BK45" ca="1">IF(TblConstr[[#This Row],[Hour]:[Hour]]&gt;12,OFFSET(TblConstr[[#This Row],[Shr]],-12,0),0)+OFFSET(TblConstr[[#This Row],[Tot Shr]],-1,0)-TblConstr[[#This Row],[Dest Shr]]</f>
        <v>0</v>
      </c>
      <c r="BL45" s="394" cm="1">
        <f t="array" aca="1" ref="BL45" ca="1">IF(TblConstr[[#This Row],[Hour]:[Hour]]&gt;12,OFFSET(TblConstr[[#This Row],[Tow]],-12,0),0)+OFFSET(TblConstr[[#This Row],[Tot Tow]],-1,0)-TblConstr[[#This Row],[Dest Tow]]</f>
        <v>0</v>
      </c>
      <c r="BM45" s="394" cm="1">
        <f t="array" aca="1" ref="BM45" ca="1">IF(TblConstr[[#This Row],[Hour]:[Hour]]&gt;12,OFFSET(TblConstr[[#This Row],[Tem]],-12,0),0)+OFFSET(TblConstr[[#This Row],[Tot Tem]],-1,0)-TblConstr[[#This Row],[Dest Tem]]</f>
        <v>0</v>
      </c>
      <c r="BN45" s="394"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250</v>
      </c>
      <c r="BU45" s="161">
        <f ca="1">TblImps[[#This Row],[Time]]</f>
        <v>45733.708333333234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84">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100</v>
      </c>
      <c r="DA45" s="96">
        <f t="shared" ca="1" si="4"/>
        <v>40</v>
      </c>
      <c r="DB45" s="45">
        <f t="shared" ca="1" si="5"/>
        <v>20</v>
      </c>
      <c r="DC45" s="96">
        <f t="shared" ca="1" si="6"/>
        <v>20</v>
      </c>
      <c r="DD45" s="96">
        <f t="shared" ca="1" si="7"/>
        <v>20</v>
      </c>
      <c r="DE45" s="45">
        <f t="shared" ca="1" si="8"/>
        <v>20</v>
      </c>
      <c r="DF45" s="96">
        <f t="shared" ca="1" si="9"/>
        <v>20</v>
      </c>
      <c r="DG45" s="96"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7">
        <f>TblRezone[[#This Row],[Hour]]</f>
        <v>43</v>
      </c>
      <c r="B46" s="178">
        <f ca="1">SUM(TblConstr[[#This Row],[Plain]:[Water]])</f>
        <v>160</v>
      </c>
      <c r="C46" s="179">
        <f ca="1">SUM(TblConstr[[#This Row],[Tot Hom]:[Tot Doc]])</f>
        <v>90</v>
      </c>
      <c r="D46" s="179">
        <f t="shared" si="2"/>
        <v>0</v>
      </c>
      <c r="E46" s="180"/>
      <c r="F46" s="61">
        <f ca="1">TblConstr[[#This Row],[Barren]]+TblConstr[[#This Row],[Buildings]]+TblConstr[[#This Row],[Incoming]]</f>
        <v>250</v>
      </c>
      <c r="G46" s="189">
        <f ca="1">OFFSET(TblConstr[[#This Row],[Plain]],-1,0)+TblConstr[[#This Row],[Ch_Plain]]</f>
        <v>40</v>
      </c>
      <c r="H46" s="184">
        <f ca="1">OFFSET(TblConstr[[#This Row],[Forest]],-1,0)+TblConstr[[#This Row],[Ch_Forest]]</f>
        <v>20</v>
      </c>
      <c r="I46" s="384">
        <f ca="1">OFFSET(TblConstr[[#This Row],[Mountain]],-1,0)+TblConstr[[#This Row],[Ch_Mountain]]</f>
        <v>20</v>
      </c>
      <c r="J46" s="388">
        <f ca="1">OFFSET(TblConstr[[#This Row],[Hill]],-1,0)+TblConstr[[#This Row],[Ch_Hill]]</f>
        <v>20</v>
      </c>
      <c r="K46" s="392">
        <f ca="1">OFFSET(TblConstr[[#This Row],[Swamp]],-1,0)+TblConstr[[#This Row],[Ch_Swamp]]</f>
        <v>20</v>
      </c>
      <c r="L46" s="187">
        <f ca="1">OFFSET(TblConstr[[#This Row],[Cavern]],-1,0)+TblConstr[[#This Row],[Ch_Cavern]]</f>
        <v>20</v>
      </c>
      <c r="M46" s="188">
        <f ca="1">OFFSET(TblConstr[[#This Row],[Water]],-1,0)+TblConstr[[#This Row],[Ch_Water]]</f>
        <v>20</v>
      </c>
      <c r="N46" s="382">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45733.749999999898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351290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6">
        <f ca="1">ROUNDDOWN( MAX(1 - MIN(facs_constr_factor*TblConstr[[#This Row],[Facs -DB]],facs_constr_max) + tech_1_11*TblTech[[#This Row],[11-1]] + tech_6_3_2*TblTech[[#This Row],[6-3]] + tech_5_2_3*TblTech[[#This Row],[5-2]], 1-global_constr_cap) * TblConstr[[#This Row],[RCPA Lumber]],0)</f>
        <v>88</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6">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ROUND((TblConstr[[#This Row],[Land]]-250 - IF(TblExplore[[#This Row],[Land Bonus]]&lt;&gt;0,20,0))*1.25 + 850 + 0,0)</f>
        <v>850</v>
      </c>
      <c r="AW46" s="96">
        <f ca="1">ROUND((TblConstr[[#This Row],[Land]]-250 - IF(TblExplore[[#This Row],[Land Bonus]]&lt;&gt;0,20,0))*0.285 + 87.5 + 0/4.25,0)</f>
        <v>88</v>
      </c>
      <c r="AX46" s="156"/>
      <c r="AY46" s="190" cm="1">
        <f t="array" aca="1" ref="AY46" ca="1">IF(TblConstr[[#This Row],[Hour]:[Hour]]&gt;12,OFFSET(TblConstr[[#This Row],[Hom]],-12,0),0)+OFFSET(TblConstr[[#This Row],[Tot Hom]],-1,0)-TblConstr[[#This Row],[Dest Hom]]</f>
        <v>10</v>
      </c>
      <c r="AZ46" s="191" cm="1">
        <f t="array" aca="1" ref="AZ46" ca="1">IF(TblConstr[[#This Row],[Hour]:[Hour]]&gt;12,OFFSET(TblConstr[[#This Row],[Alc]],-12,0),0)+OFFSET(TblConstr[[#This Row],[Tot Alc]],-1,0)-TblConstr[[#This Row],[Dest Alc]]</f>
        <v>30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86" cm="1">
        <f t="array" aca="1" ref="BF46" ca="1">IF(TblConstr[[#This Row],[Hour]:[Hour]]&gt;12,OFFSET(TblConstr[[#This Row],[OM]],-12,0),0)+OFFSET(TblConstr[[#This Row],[Tot OM]],-1,0)-TblConstr[[#This Row],[Dest OM]]</f>
        <v>0</v>
      </c>
      <c r="BG46" s="386" cm="1">
        <f t="array" aca="1" ref="BG46" ca="1">IF(TblConstr[[#This Row],[Hour]:[Hour]]&gt;12,OFFSET(TblConstr[[#This Row],[GN]],-12,0),0)+OFFSET(TblConstr[[#This Row],[Tot GN]],-1,0)-TblConstr[[#This Row],[Dest GN]]</f>
        <v>0</v>
      </c>
      <c r="BH46" s="390" cm="1">
        <f t="array" aca="1" ref="BH46" ca="1">IF(TblConstr[[#This Row],[Hour]:[Hour]]&gt;12,OFFSET(TblConstr[[#This Row],[Fac]],-12,0),0)+OFFSET(TblConstr[[#This Row],[Tot Fac]],-1,0)-TblConstr[[#This Row],[Dest Fac]]</f>
        <v>0</v>
      </c>
      <c r="BI46" s="390" cm="1">
        <f t="array" aca="1" ref="BI46" ca="1">IF(TblConstr[[#This Row],[Hour]:[Hour]]&gt;12,OFFSET(TblConstr[[#This Row],[GT]],-12,0),0)+OFFSET(TblConstr[[#This Row],[Tot GT]],-1,0)-TblConstr[[#This Row],[Dest GT]]</f>
        <v>0</v>
      </c>
      <c r="BJ46" s="390" cm="1">
        <f t="array" aca="1" ref="BJ46" ca="1">IF(TblConstr[[#This Row],[Hour]:[Hour]]&gt;12,OFFSET(TblConstr[[#This Row],[Bar]],-12,0),0)+OFFSET(TblConstr[[#This Row],[Tot Bar]],-1,0)-TblConstr[[#This Row],[Dest Bar]]</f>
        <v>0</v>
      </c>
      <c r="BK46" s="390" cm="1">
        <f t="array" aca="1" ref="BK46" ca="1">IF(TblConstr[[#This Row],[Hour]:[Hour]]&gt;12,OFFSET(TblConstr[[#This Row],[Shr]],-12,0),0)+OFFSET(TblConstr[[#This Row],[Tot Shr]],-1,0)-TblConstr[[#This Row],[Dest Shr]]</f>
        <v>0</v>
      </c>
      <c r="BL46" s="394" cm="1">
        <f t="array" aca="1" ref="BL46" ca="1">IF(TblConstr[[#This Row],[Hour]:[Hour]]&gt;12,OFFSET(TblConstr[[#This Row],[Tow]],-12,0),0)+OFFSET(TblConstr[[#This Row],[Tot Tow]],-1,0)-TblConstr[[#This Row],[Dest Tow]]</f>
        <v>0</v>
      </c>
      <c r="BM46" s="394" cm="1">
        <f t="array" aca="1" ref="BM46" ca="1">IF(TblConstr[[#This Row],[Hour]:[Hour]]&gt;12,OFFSET(TblConstr[[#This Row],[Tem]],-12,0),0)+OFFSET(TblConstr[[#This Row],[Tot Tem]],-1,0)-TblConstr[[#This Row],[Dest Tem]]</f>
        <v>0</v>
      </c>
      <c r="BN46" s="394"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250</v>
      </c>
      <c r="BU46" s="161">
        <f ca="1">TblImps[[#This Row],[Time]]</f>
        <v>45733.749999999898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84">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100</v>
      </c>
      <c r="DA46" s="96">
        <f t="shared" ca="1" si="4"/>
        <v>40</v>
      </c>
      <c r="DB46" s="45">
        <f t="shared" ca="1" si="5"/>
        <v>20</v>
      </c>
      <c r="DC46" s="96">
        <f t="shared" ca="1" si="6"/>
        <v>20</v>
      </c>
      <c r="DD46" s="96">
        <f t="shared" ca="1" si="7"/>
        <v>20</v>
      </c>
      <c r="DE46" s="45">
        <f t="shared" ca="1" si="8"/>
        <v>20</v>
      </c>
      <c r="DF46" s="96">
        <f t="shared" ca="1" si="9"/>
        <v>20</v>
      </c>
      <c r="DG46" s="96"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7">
        <f>TblRezone[[#This Row],[Hour]]</f>
        <v>44</v>
      </c>
      <c r="B47" s="178">
        <f ca="1">SUM(TblConstr[[#This Row],[Plain]:[Water]])</f>
        <v>160</v>
      </c>
      <c r="C47" s="179">
        <f ca="1">SUM(TblConstr[[#This Row],[Tot Hom]:[Tot Doc]])</f>
        <v>90</v>
      </c>
      <c r="D47" s="179">
        <f t="shared" ref="D47:D75" si="11">SUM(O36:AG47)</f>
        <v>0</v>
      </c>
      <c r="E47" s="180"/>
      <c r="F47" s="61">
        <f ca="1">TblConstr[[#This Row],[Barren]]+TblConstr[[#This Row],[Buildings]]+TblConstr[[#This Row],[Incoming]]</f>
        <v>250</v>
      </c>
      <c r="G47" s="189">
        <f ca="1">OFFSET(TblConstr[[#This Row],[Plain]],-1,0)+TblConstr[[#This Row],[Ch_Plain]]</f>
        <v>40</v>
      </c>
      <c r="H47" s="184">
        <f ca="1">OFFSET(TblConstr[[#This Row],[Forest]],-1,0)+TblConstr[[#This Row],[Ch_Forest]]</f>
        <v>20</v>
      </c>
      <c r="I47" s="384">
        <f ca="1">OFFSET(TblConstr[[#This Row],[Mountain]],-1,0)+TblConstr[[#This Row],[Ch_Mountain]]</f>
        <v>20</v>
      </c>
      <c r="J47" s="388">
        <f ca="1">OFFSET(TblConstr[[#This Row],[Hill]],-1,0)+TblConstr[[#This Row],[Ch_Hill]]</f>
        <v>20</v>
      </c>
      <c r="K47" s="392">
        <f ca="1">OFFSET(TblConstr[[#This Row],[Swamp]],-1,0)+TblConstr[[#This Row],[Ch_Swamp]]</f>
        <v>20</v>
      </c>
      <c r="L47" s="187">
        <f ca="1">OFFSET(TblConstr[[#This Row],[Cavern]],-1,0)+TblConstr[[#This Row],[Ch_Cavern]]</f>
        <v>20</v>
      </c>
      <c r="M47" s="188">
        <f ca="1">OFFSET(TblConstr[[#This Row],[Water]],-1,0)+TblConstr[[#This Row],[Ch_Water]]</f>
        <v>20</v>
      </c>
      <c r="N47" s="382">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45733.791666666562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356776</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6">
        <f ca="1">ROUNDDOWN( MAX(1 - MIN(facs_constr_factor*TblConstr[[#This Row],[Facs -DB]],facs_constr_max) + tech_1_11*TblTech[[#This Row],[11-1]] + tech_6_3_2*TblTech[[#This Row],[6-3]] + tech_5_2_3*TblTech[[#This Row],[5-2]], 1-global_constr_cap) * TblConstr[[#This Row],[RCPA Lumber]],0)</f>
        <v>88</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6">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ROUND((TblConstr[[#This Row],[Land]]-250 - IF(TblExplore[[#This Row],[Land Bonus]]&lt;&gt;0,20,0))*1.25 + 850 + 0,0)</f>
        <v>850</v>
      </c>
      <c r="AW47" s="96">
        <f ca="1">ROUND((TblConstr[[#This Row],[Land]]-250 - IF(TblExplore[[#This Row],[Land Bonus]]&lt;&gt;0,20,0))*0.285 + 87.5 + 0/4.25,0)</f>
        <v>88</v>
      </c>
      <c r="AX47" s="156"/>
      <c r="AY47" s="190" cm="1">
        <f t="array" aca="1" ref="AY47" ca="1">IF(TblConstr[[#This Row],[Hour]:[Hour]]&gt;12,OFFSET(TblConstr[[#This Row],[Hom]],-12,0),0)+OFFSET(TblConstr[[#This Row],[Tot Hom]],-1,0)-TblConstr[[#This Row],[Dest Hom]]</f>
        <v>10</v>
      </c>
      <c r="AZ47" s="191" cm="1">
        <f t="array" aca="1" ref="AZ47" ca="1">IF(TblConstr[[#This Row],[Hour]:[Hour]]&gt;12,OFFSET(TblConstr[[#This Row],[Alc]],-12,0),0)+OFFSET(TblConstr[[#This Row],[Tot Alc]],-1,0)-TblConstr[[#This Row],[Dest Alc]]</f>
        <v>30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86" cm="1">
        <f t="array" aca="1" ref="BF47" ca="1">IF(TblConstr[[#This Row],[Hour]:[Hour]]&gt;12,OFFSET(TblConstr[[#This Row],[OM]],-12,0),0)+OFFSET(TblConstr[[#This Row],[Tot OM]],-1,0)-TblConstr[[#This Row],[Dest OM]]</f>
        <v>0</v>
      </c>
      <c r="BG47" s="386" cm="1">
        <f t="array" aca="1" ref="BG47" ca="1">IF(TblConstr[[#This Row],[Hour]:[Hour]]&gt;12,OFFSET(TblConstr[[#This Row],[GN]],-12,0),0)+OFFSET(TblConstr[[#This Row],[Tot GN]],-1,0)-TblConstr[[#This Row],[Dest GN]]</f>
        <v>0</v>
      </c>
      <c r="BH47" s="390" cm="1">
        <f t="array" aca="1" ref="BH47" ca="1">IF(TblConstr[[#This Row],[Hour]:[Hour]]&gt;12,OFFSET(TblConstr[[#This Row],[Fac]],-12,0),0)+OFFSET(TblConstr[[#This Row],[Tot Fac]],-1,0)-TblConstr[[#This Row],[Dest Fac]]</f>
        <v>0</v>
      </c>
      <c r="BI47" s="390" cm="1">
        <f t="array" aca="1" ref="BI47" ca="1">IF(TblConstr[[#This Row],[Hour]:[Hour]]&gt;12,OFFSET(TblConstr[[#This Row],[GT]],-12,0),0)+OFFSET(TblConstr[[#This Row],[Tot GT]],-1,0)-TblConstr[[#This Row],[Dest GT]]</f>
        <v>0</v>
      </c>
      <c r="BJ47" s="390" cm="1">
        <f t="array" aca="1" ref="BJ47" ca="1">IF(TblConstr[[#This Row],[Hour]:[Hour]]&gt;12,OFFSET(TblConstr[[#This Row],[Bar]],-12,0),0)+OFFSET(TblConstr[[#This Row],[Tot Bar]],-1,0)-TblConstr[[#This Row],[Dest Bar]]</f>
        <v>0</v>
      </c>
      <c r="BK47" s="390" cm="1">
        <f t="array" aca="1" ref="BK47" ca="1">IF(TblConstr[[#This Row],[Hour]:[Hour]]&gt;12,OFFSET(TblConstr[[#This Row],[Shr]],-12,0),0)+OFFSET(TblConstr[[#This Row],[Tot Shr]],-1,0)-TblConstr[[#This Row],[Dest Shr]]</f>
        <v>0</v>
      </c>
      <c r="BL47" s="394" cm="1">
        <f t="array" aca="1" ref="BL47" ca="1">IF(TblConstr[[#This Row],[Hour]:[Hour]]&gt;12,OFFSET(TblConstr[[#This Row],[Tow]],-12,0),0)+OFFSET(TblConstr[[#This Row],[Tot Tow]],-1,0)-TblConstr[[#This Row],[Dest Tow]]</f>
        <v>0</v>
      </c>
      <c r="BM47" s="394" cm="1">
        <f t="array" aca="1" ref="BM47" ca="1">IF(TblConstr[[#This Row],[Hour]:[Hour]]&gt;12,OFFSET(TblConstr[[#This Row],[Tem]],-12,0),0)+OFFSET(TblConstr[[#This Row],[Tot Tem]],-1,0)-TblConstr[[#This Row],[Dest Tem]]</f>
        <v>0</v>
      </c>
      <c r="BN47" s="394"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250</v>
      </c>
      <c r="BU47" s="161">
        <f ca="1">TblImps[[#This Row],[Time]]</f>
        <v>45733.791666666562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84">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100</v>
      </c>
      <c r="DA47" s="96">
        <f t="shared" ca="1" si="4"/>
        <v>40</v>
      </c>
      <c r="DB47" s="45">
        <f t="shared" ca="1" si="5"/>
        <v>20</v>
      </c>
      <c r="DC47" s="96">
        <f t="shared" ca="1" si="6"/>
        <v>20</v>
      </c>
      <c r="DD47" s="96">
        <f t="shared" ca="1" si="7"/>
        <v>20</v>
      </c>
      <c r="DE47" s="45">
        <f t="shared" ca="1" si="8"/>
        <v>20</v>
      </c>
      <c r="DF47" s="96">
        <f t="shared" ca="1" si="9"/>
        <v>20</v>
      </c>
      <c r="DG47" s="96"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7">
        <f>TblRezone[[#This Row],[Hour]]</f>
        <v>45</v>
      </c>
      <c r="B48" s="178">
        <f ca="1">SUM(TblConstr[[#This Row],[Plain]:[Water]])</f>
        <v>160</v>
      </c>
      <c r="C48" s="179">
        <f ca="1">SUM(TblConstr[[#This Row],[Tot Hom]:[Tot Doc]])</f>
        <v>90</v>
      </c>
      <c r="D48" s="179">
        <f t="shared" si="11"/>
        <v>0</v>
      </c>
      <c r="E48" s="180"/>
      <c r="F48" s="61">
        <f ca="1">TblConstr[[#This Row],[Barren]]+TblConstr[[#This Row],[Buildings]]+TblConstr[[#This Row],[Incoming]]</f>
        <v>250</v>
      </c>
      <c r="G48" s="189">
        <f ca="1">OFFSET(TblConstr[[#This Row],[Plain]],-1,0)+TblConstr[[#This Row],[Ch_Plain]]</f>
        <v>40</v>
      </c>
      <c r="H48" s="184">
        <f ca="1">OFFSET(TblConstr[[#This Row],[Forest]],-1,0)+TblConstr[[#This Row],[Ch_Forest]]</f>
        <v>20</v>
      </c>
      <c r="I48" s="384">
        <f ca="1">OFFSET(TblConstr[[#This Row],[Mountain]],-1,0)+TblConstr[[#This Row],[Ch_Mountain]]</f>
        <v>20</v>
      </c>
      <c r="J48" s="388">
        <f ca="1">OFFSET(TblConstr[[#This Row],[Hill]],-1,0)+TblConstr[[#This Row],[Ch_Hill]]</f>
        <v>20</v>
      </c>
      <c r="K48" s="392">
        <f ca="1">OFFSET(TblConstr[[#This Row],[Swamp]],-1,0)+TblConstr[[#This Row],[Ch_Swamp]]</f>
        <v>20</v>
      </c>
      <c r="L48" s="187">
        <f ca="1">OFFSET(TblConstr[[#This Row],[Cavern]],-1,0)+TblConstr[[#This Row],[Ch_Cavern]]</f>
        <v>20</v>
      </c>
      <c r="M48" s="188">
        <f ca="1">OFFSET(TblConstr[[#This Row],[Water]],-1,0)+TblConstr[[#This Row],[Ch_Water]]</f>
        <v>20</v>
      </c>
      <c r="N48" s="382">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45733.833333333227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362262</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6">
        <f ca="1">ROUNDDOWN( MAX(1 - MIN(facs_constr_factor*TblConstr[[#This Row],[Facs -DB]],facs_constr_max) + tech_1_11*TblTech[[#This Row],[11-1]] + tech_6_3_2*TblTech[[#This Row],[6-3]] + tech_5_2_3*TblTech[[#This Row],[5-2]], 1-global_constr_cap) * TblConstr[[#This Row],[RCPA Lumber]],0)</f>
        <v>88</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6">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ROUND((TblConstr[[#This Row],[Land]]-250 - IF(TblExplore[[#This Row],[Land Bonus]]&lt;&gt;0,20,0))*1.25 + 850 + 0,0)</f>
        <v>850</v>
      </c>
      <c r="AW48" s="96">
        <f ca="1">ROUND((TblConstr[[#This Row],[Land]]-250 - IF(TblExplore[[#This Row],[Land Bonus]]&lt;&gt;0,20,0))*0.285 + 87.5 + 0/4.25,0)</f>
        <v>88</v>
      </c>
      <c r="AX48" s="156"/>
      <c r="AY48" s="190" cm="1">
        <f t="array" aca="1" ref="AY48" ca="1">IF(TblConstr[[#This Row],[Hour]:[Hour]]&gt;12,OFFSET(TblConstr[[#This Row],[Hom]],-12,0),0)+OFFSET(TblConstr[[#This Row],[Tot Hom]],-1,0)-TblConstr[[#This Row],[Dest Hom]]</f>
        <v>10</v>
      </c>
      <c r="AZ48" s="191" cm="1">
        <f t="array" aca="1" ref="AZ48" ca="1">IF(TblConstr[[#This Row],[Hour]:[Hour]]&gt;12,OFFSET(TblConstr[[#This Row],[Alc]],-12,0),0)+OFFSET(TblConstr[[#This Row],[Tot Alc]],-1,0)-TblConstr[[#This Row],[Dest Alc]]</f>
        <v>30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86" cm="1">
        <f t="array" aca="1" ref="BF48" ca="1">IF(TblConstr[[#This Row],[Hour]:[Hour]]&gt;12,OFFSET(TblConstr[[#This Row],[OM]],-12,0),0)+OFFSET(TblConstr[[#This Row],[Tot OM]],-1,0)-TblConstr[[#This Row],[Dest OM]]</f>
        <v>0</v>
      </c>
      <c r="BG48" s="386" cm="1">
        <f t="array" aca="1" ref="BG48" ca="1">IF(TblConstr[[#This Row],[Hour]:[Hour]]&gt;12,OFFSET(TblConstr[[#This Row],[GN]],-12,0),0)+OFFSET(TblConstr[[#This Row],[Tot GN]],-1,0)-TblConstr[[#This Row],[Dest GN]]</f>
        <v>0</v>
      </c>
      <c r="BH48" s="390" cm="1">
        <f t="array" aca="1" ref="BH48" ca="1">IF(TblConstr[[#This Row],[Hour]:[Hour]]&gt;12,OFFSET(TblConstr[[#This Row],[Fac]],-12,0),0)+OFFSET(TblConstr[[#This Row],[Tot Fac]],-1,0)-TblConstr[[#This Row],[Dest Fac]]</f>
        <v>0</v>
      </c>
      <c r="BI48" s="390" cm="1">
        <f t="array" aca="1" ref="BI48" ca="1">IF(TblConstr[[#This Row],[Hour]:[Hour]]&gt;12,OFFSET(TblConstr[[#This Row],[GT]],-12,0),0)+OFFSET(TblConstr[[#This Row],[Tot GT]],-1,0)-TblConstr[[#This Row],[Dest GT]]</f>
        <v>0</v>
      </c>
      <c r="BJ48" s="390" cm="1">
        <f t="array" aca="1" ref="BJ48" ca="1">IF(TblConstr[[#This Row],[Hour]:[Hour]]&gt;12,OFFSET(TblConstr[[#This Row],[Bar]],-12,0),0)+OFFSET(TblConstr[[#This Row],[Tot Bar]],-1,0)-TblConstr[[#This Row],[Dest Bar]]</f>
        <v>0</v>
      </c>
      <c r="BK48" s="390" cm="1">
        <f t="array" aca="1" ref="BK48" ca="1">IF(TblConstr[[#This Row],[Hour]:[Hour]]&gt;12,OFFSET(TblConstr[[#This Row],[Shr]],-12,0),0)+OFFSET(TblConstr[[#This Row],[Tot Shr]],-1,0)-TblConstr[[#This Row],[Dest Shr]]</f>
        <v>0</v>
      </c>
      <c r="BL48" s="394" cm="1">
        <f t="array" aca="1" ref="BL48" ca="1">IF(TblConstr[[#This Row],[Hour]:[Hour]]&gt;12,OFFSET(TblConstr[[#This Row],[Tow]],-12,0),0)+OFFSET(TblConstr[[#This Row],[Tot Tow]],-1,0)-TblConstr[[#This Row],[Dest Tow]]</f>
        <v>0</v>
      </c>
      <c r="BM48" s="394" cm="1">
        <f t="array" aca="1" ref="BM48" ca="1">IF(TblConstr[[#This Row],[Hour]:[Hour]]&gt;12,OFFSET(TblConstr[[#This Row],[Tem]],-12,0),0)+OFFSET(TblConstr[[#This Row],[Tot Tem]],-1,0)-TblConstr[[#This Row],[Dest Tem]]</f>
        <v>0</v>
      </c>
      <c r="BN48" s="394"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250</v>
      </c>
      <c r="BU48" s="161">
        <f ca="1">TblImps[[#This Row],[Time]]</f>
        <v>45733.833333333227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84">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100</v>
      </c>
      <c r="DA48" s="96">
        <f t="shared" ref="DA48:DA79" ca="1" si="13">H48+SUM(T37:U48)+SUM(BD48:BE48)</f>
        <v>40</v>
      </c>
      <c r="DB48" s="45">
        <f t="shared" ref="DB48:DB79" ca="1" si="14">I48+SUM(V37:W48)+SUM(BF48:BG48)</f>
        <v>20</v>
      </c>
      <c r="DC48" s="96">
        <f t="shared" ref="DC48:DC79" ca="1" si="15">J48+SUM(X37:Y48)+SUM(BH48:BI48)</f>
        <v>20</v>
      </c>
      <c r="DD48" s="96">
        <f t="shared" ref="DD48:DD79" ca="1" si="16">K48+SUM(AB37:AD48)+SUM(BL48:BN48)</f>
        <v>20</v>
      </c>
      <c r="DE48" s="45">
        <f t="shared" ref="DE48:DE79" ca="1" si="17">L48+SUM(AE37:AE48)+BO48</f>
        <v>20</v>
      </c>
      <c r="DF48" s="96">
        <f t="shared" ref="DF48:DF79" ca="1" si="18">M48+SUM(AG37:AG48)+BQ48</f>
        <v>20</v>
      </c>
      <c r="DG48" s="96"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7">
        <f>TblRezone[[#This Row],[Hour]]</f>
        <v>46</v>
      </c>
      <c r="B49" s="178">
        <f ca="1">SUM(TblConstr[[#This Row],[Plain]:[Water]])</f>
        <v>160</v>
      </c>
      <c r="C49" s="179">
        <f ca="1">SUM(TblConstr[[#This Row],[Tot Hom]:[Tot Doc]])</f>
        <v>90</v>
      </c>
      <c r="D49" s="179">
        <f t="shared" si="11"/>
        <v>0</v>
      </c>
      <c r="E49" s="180"/>
      <c r="F49" s="61">
        <f ca="1">TblConstr[[#This Row],[Barren]]+TblConstr[[#This Row],[Buildings]]+TblConstr[[#This Row],[Incoming]]</f>
        <v>250</v>
      </c>
      <c r="G49" s="189">
        <f ca="1">OFFSET(TblConstr[[#This Row],[Plain]],-1,0)+TblConstr[[#This Row],[Ch_Plain]]</f>
        <v>40</v>
      </c>
      <c r="H49" s="184">
        <f ca="1">OFFSET(TblConstr[[#This Row],[Forest]],-1,0)+TblConstr[[#This Row],[Ch_Forest]]</f>
        <v>20</v>
      </c>
      <c r="I49" s="384">
        <f ca="1">OFFSET(TblConstr[[#This Row],[Mountain]],-1,0)+TblConstr[[#This Row],[Ch_Mountain]]</f>
        <v>20</v>
      </c>
      <c r="J49" s="388">
        <f ca="1">OFFSET(TblConstr[[#This Row],[Hill]],-1,0)+TblConstr[[#This Row],[Ch_Hill]]</f>
        <v>20</v>
      </c>
      <c r="K49" s="392">
        <f ca="1">OFFSET(TblConstr[[#This Row],[Swamp]],-1,0)+TblConstr[[#This Row],[Ch_Swamp]]</f>
        <v>20</v>
      </c>
      <c r="L49" s="187">
        <f ca="1">OFFSET(TblConstr[[#This Row],[Cavern]],-1,0)+TblConstr[[#This Row],[Ch_Cavern]]</f>
        <v>20</v>
      </c>
      <c r="M49" s="188">
        <f ca="1">OFFSET(TblConstr[[#This Row],[Water]],-1,0)+TblConstr[[#This Row],[Ch_Water]]</f>
        <v>20</v>
      </c>
      <c r="N49" s="382">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45733.874999999891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367748</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6">
        <f ca="1">ROUNDDOWN( MAX(1 - MIN(facs_constr_factor*TblConstr[[#This Row],[Facs -DB]],facs_constr_max) + tech_1_11*TblTech[[#This Row],[11-1]] + tech_6_3_2*TblTech[[#This Row],[6-3]] + tech_5_2_3*TblTech[[#This Row],[5-2]], 1-global_constr_cap) * TblConstr[[#This Row],[RCPA Lumber]],0)</f>
        <v>88</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6">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ROUND((TblConstr[[#This Row],[Land]]-250 - IF(TblExplore[[#This Row],[Land Bonus]]&lt;&gt;0,20,0))*1.25 + 850 + 0,0)</f>
        <v>850</v>
      </c>
      <c r="AW49" s="96">
        <f ca="1">ROUND((TblConstr[[#This Row],[Land]]-250 - IF(TblExplore[[#This Row],[Land Bonus]]&lt;&gt;0,20,0))*0.285 + 87.5 + 0/4.25,0)</f>
        <v>88</v>
      </c>
      <c r="AX49" s="156"/>
      <c r="AY49" s="190" cm="1">
        <f t="array" aca="1" ref="AY49" ca="1">IF(TblConstr[[#This Row],[Hour]:[Hour]]&gt;12,OFFSET(TblConstr[[#This Row],[Hom]],-12,0),0)+OFFSET(TblConstr[[#This Row],[Tot Hom]],-1,0)-TblConstr[[#This Row],[Dest Hom]]</f>
        <v>10</v>
      </c>
      <c r="AZ49" s="191" cm="1">
        <f t="array" aca="1" ref="AZ49" ca="1">IF(TblConstr[[#This Row],[Hour]:[Hour]]&gt;12,OFFSET(TblConstr[[#This Row],[Alc]],-12,0),0)+OFFSET(TblConstr[[#This Row],[Tot Alc]],-1,0)-TblConstr[[#This Row],[Dest Alc]]</f>
        <v>30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86" cm="1">
        <f t="array" aca="1" ref="BF49" ca="1">IF(TblConstr[[#This Row],[Hour]:[Hour]]&gt;12,OFFSET(TblConstr[[#This Row],[OM]],-12,0),0)+OFFSET(TblConstr[[#This Row],[Tot OM]],-1,0)-TblConstr[[#This Row],[Dest OM]]</f>
        <v>0</v>
      </c>
      <c r="BG49" s="386" cm="1">
        <f t="array" aca="1" ref="BG49" ca="1">IF(TblConstr[[#This Row],[Hour]:[Hour]]&gt;12,OFFSET(TblConstr[[#This Row],[GN]],-12,0),0)+OFFSET(TblConstr[[#This Row],[Tot GN]],-1,0)-TblConstr[[#This Row],[Dest GN]]</f>
        <v>0</v>
      </c>
      <c r="BH49" s="390" cm="1">
        <f t="array" aca="1" ref="BH49" ca="1">IF(TblConstr[[#This Row],[Hour]:[Hour]]&gt;12,OFFSET(TblConstr[[#This Row],[Fac]],-12,0),0)+OFFSET(TblConstr[[#This Row],[Tot Fac]],-1,0)-TblConstr[[#This Row],[Dest Fac]]</f>
        <v>0</v>
      </c>
      <c r="BI49" s="390" cm="1">
        <f t="array" aca="1" ref="BI49" ca="1">IF(TblConstr[[#This Row],[Hour]:[Hour]]&gt;12,OFFSET(TblConstr[[#This Row],[GT]],-12,0),0)+OFFSET(TblConstr[[#This Row],[Tot GT]],-1,0)-TblConstr[[#This Row],[Dest GT]]</f>
        <v>0</v>
      </c>
      <c r="BJ49" s="390" cm="1">
        <f t="array" aca="1" ref="BJ49" ca="1">IF(TblConstr[[#This Row],[Hour]:[Hour]]&gt;12,OFFSET(TblConstr[[#This Row],[Bar]],-12,0),0)+OFFSET(TblConstr[[#This Row],[Tot Bar]],-1,0)-TblConstr[[#This Row],[Dest Bar]]</f>
        <v>0</v>
      </c>
      <c r="BK49" s="390" cm="1">
        <f t="array" aca="1" ref="BK49" ca="1">IF(TblConstr[[#This Row],[Hour]:[Hour]]&gt;12,OFFSET(TblConstr[[#This Row],[Shr]],-12,0),0)+OFFSET(TblConstr[[#This Row],[Tot Shr]],-1,0)-TblConstr[[#This Row],[Dest Shr]]</f>
        <v>0</v>
      </c>
      <c r="BL49" s="394" cm="1">
        <f t="array" aca="1" ref="BL49" ca="1">IF(TblConstr[[#This Row],[Hour]:[Hour]]&gt;12,OFFSET(TblConstr[[#This Row],[Tow]],-12,0),0)+OFFSET(TblConstr[[#This Row],[Tot Tow]],-1,0)-TblConstr[[#This Row],[Dest Tow]]</f>
        <v>0</v>
      </c>
      <c r="BM49" s="394" cm="1">
        <f t="array" aca="1" ref="BM49" ca="1">IF(TblConstr[[#This Row],[Hour]:[Hour]]&gt;12,OFFSET(TblConstr[[#This Row],[Tem]],-12,0),0)+OFFSET(TblConstr[[#This Row],[Tot Tem]],-1,0)-TblConstr[[#This Row],[Dest Tem]]</f>
        <v>0</v>
      </c>
      <c r="BN49" s="394"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250</v>
      </c>
      <c r="BU49" s="161">
        <f ca="1">TblImps[[#This Row],[Time]]</f>
        <v>45733.874999999891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84">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100</v>
      </c>
      <c r="DA49" s="96">
        <f t="shared" ca="1" si="13"/>
        <v>40</v>
      </c>
      <c r="DB49" s="45">
        <f t="shared" ca="1" si="14"/>
        <v>20</v>
      </c>
      <c r="DC49" s="96">
        <f t="shared" ca="1" si="15"/>
        <v>20</v>
      </c>
      <c r="DD49" s="96">
        <f t="shared" ca="1" si="16"/>
        <v>20</v>
      </c>
      <c r="DE49" s="45">
        <f t="shared" ca="1" si="17"/>
        <v>20</v>
      </c>
      <c r="DF49" s="96">
        <f t="shared" ca="1" si="18"/>
        <v>20</v>
      </c>
      <c r="DG49" s="96"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7">
        <f>TblRezone[[#This Row],[Hour]]</f>
        <v>47</v>
      </c>
      <c r="B50" s="178">
        <f ca="1">SUM(TblConstr[[#This Row],[Plain]:[Water]])</f>
        <v>160</v>
      </c>
      <c r="C50" s="179">
        <f ca="1">SUM(TblConstr[[#This Row],[Tot Hom]:[Tot Doc]])</f>
        <v>90</v>
      </c>
      <c r="D50" s="179">
        <f t="shared" si="11"/>
        <v>0</v>
      </c>
      <c r="E50" s="180"/>
      <c r="F50" s="61">
        <f ca="1">TblConstr[[#This Row],[Barren]]+TblConstr[[#This Row],[Buildings]]+TblConstr[[#This Row],[Incoming]]</f>
        <v>250</v>
      </c>
      <c r="G50" s="189">
        <f ca="1">OFFSET(TblConstr[[#This Row],[Plain]],-1,0)+TblConstr[[#This Row],[Ch_Plain]]</f>
        <v>40</v>
      </c>
      <c r="H50" s="184">
        <f ca="1">OFFSET(TblConstr[[#This Row],[Forest]],-1,0)+TblConstr[[#This Row],[Ch_Forest]]</f>
        <v>20</v>
      </c>
      <c r="I50" s="384">
        <f ca="1">OFFSET(TblConstr[[#This Row],[Mountain]],-1,0)+TblConstr[[#This Row],[Ch_Mountain]]</f>
        <v>20</v>
      </c>
      <c r="J50" s="388">
        <f ca="1">OFFSET(TblConstr[[#This Row],[Hill]],-1,0)+TblConstr[[#This Row],[Ch_Hill]]</f>
        <v>20</v>
      </c>
      <c r="K50" s="392">
        <f ca="1">OFFSET(TblConstr[[#This Row],[Swamp]],-1,0)+TblConstr[[#This Row],[Ch_Swamp]]</f>
        <v>20</v>
      </c>
      <c r="L50" s="187">
        <f ca="1">OFFSET(TblConstr[[#This Row],[Cavern]],-1,0)+TblConstr[[#This Row],[Ch_Cavern]]</f>
        <v>20</v>
      </c>
      <c r="M50" s="188">
        <f ca="1">OFFSET(TblConstr[[#This Row],[Water]],-1,0)+TblConstr[[#This Row],[Ch_Water]]</f>
        <v>20</v>
      </c>
      <c r="N50" s="382">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45733.916666666555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373234</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6">
        <f ca="1">ROUNDDOWN( MAX(1 - MIN(facs_constr_factor*TblConstr[[#This Row],[Facs -DB]],facs_constr_max) + tech_1_11*TblTech[[#This Row],[11-1]] + tech_6_3_2*TblTech[[#This Row],[6-3]] + tech_5_2_3*TblTech[[#This Row],[5-2]], 1-global_constr_cap) * TblConstr[[#This Row],[RCPA Lumber]],0)</f>
        <v>88</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6">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ROUND((TblConstr[[#This Row],[Land]]-250 - IF(TblExplore[[#This Row],[Land Bonus]]&lt;&gt;0,20,0))*1.25 + 850 + 0,0)</f>
        <v>850</v>
      </c>
      <c r="AW50" s="96">
        <f ca="1">ROUND((TblConstr[[#This Row],[Land]]-250 - IF(TblExplore[[#This Row],[Land Bonus]]&lt;&gt;0,20,0))*0.285 + 87.5 + 0/4.25,0)</f>
        <v>88</v>
      </c>
      <c r="AX50" s="156"/>
      <c r="AY50" s="190" cm="1">
        <f t="array" aca="1" ref="AY50" ca="1">IF(TblConstr[[#This Row],[Hour]:[Hour]]&gt;12,OFFSET(TblConstr[[#This Row],[Hom]],-12,0),0)+OFFSET(TblConstr[[#This Row],[Tot Hom]],-1,0)-TblConstr[[#This Row],[Dest Hom]]</f>
        <v>10</v>
      </c>
      <c r="AZ50" s="191" cm="1">
        <f t="array" aca="1" ref="AZ50" ca="1">IF(TblConstr[[#This Row],[Hour]:[Hour]]&gt;12,OFFSET(TblConstr[[#This Row],[Alc]],-12,0),0)+OFFSET(TblConstr[[#This Row],[Tot Alc]],-1,0)-TblConstr[[#This Row],[Dest Alc]]</f>
        <v>30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86" cm="1">
        <f t="array" aca="1" ref="BF50" ca="1">IF(TblConstr[[#This Row],[Hour]:[Hour]]&gt;12,OFFSET(TblConstr[[#This Row],[OM]],-12,0),0)+OFFSET(TblConstr[[#This Row],[Tot OM]],-1,0)-TblConstr[[#This Row],[Dest OM]]</f>
        <v>0</v>
      </c>
      <c r="BG50" s="386" cm="1">
        <f t="array" aca="1" ref="BG50" ca="1">IF(TblConstr[[#This Row],[Hour]:[Hour]]&gt;12,OFFSET(TblConstr[[#This Row],[GN]],-12,0),0)+OFFSET(TblConstr[[#This Row],[Tot GN]],-1,0)-TblConstr[[#This Row],[Dest GN]]</f>
        <v>0</v>
      </c>
      <c r="BH50" s="390" cm="1">
        <f t="array" aca="1" ref="BH50" ca="1">IF(TblConstr[[#This Row],[Hour]:[Hour]]&gt;12,OFFSET(TblConstr[[#This Row],[Fac]],-12,0),0)+OFFSET(TblConstr[[#This Row],[Tot Fac]],-1,0)-TblConstr[[#This Row],[Dest Fac]]</f>
        <v>0</v>
      </c>
      <c r="BI50" s="390" cm="1">
        <f t="array" aca="1" ref="BI50" ca="1">IF(TblConstr[[#This Row],[Hour]:[Hour]]&gt;12,OFFSET(TblConstr[[#This Row],[GT]],-12,0),0)+OFFSET(TblConstr[[#This Row],[Tot GT]],-1,0)-TblConstr[[#This Row],[Dest GT]]</f>
        <v>0</v>
      </c>
      <c r="BJ50" s="390" cm="1">
        <f t="array" aca="1" ref="BJ50" ca="1">IF(TblConstr[[#This Row],[Hour]:[Hour]]&gt;12,OFFSET(TblConstr[[#This Row],[Bar]],-12,0),0)+OFFSET(TblConstr[[#This Row],[Tot Bar]],-1,0)-TblConstr[[#This Row],[Dest Bar]]</f>
        <v>0</v>
      </c>
      <c r="BK50" s="390" cm="1">
        <f t="array" aca="1" ref="BK50" ca="1">IF(TblConstr[[#This Row],[Hour]:[Hour]]&gt;12,OFFSET(TblConstr[[#This Row],[Shr]],-12,0),0)+OFFSET(TblConstr[[#This Row],[Tot Shr]],-1,0)-TblConstr[[#This Row],[Dest Shr]]</f>
        <v>0</v>
      </c>
      <c r="BL50" s="394" cm="1">
        <f t="array" aca="1" ref="BL50" ca="1">IF(TblConstr[[#This Row],[Hour]:[Hour]]&gt;12,OFFSET(TblConstr[[#This Row],[Tow]],-12,0),0)+OFFSET(TblConstr[[#This Row],[Tot Tow]],-1,0)-TblConstr[[#This Row],[Dest Tow]]</f>
        <v>0</v>
      </c>
      <c r="BM50" s="394" cm="1">
        <f t="array" aca="1" ref="BM50" ca="1">IF(TblConstr[[#This Row],[Hour]:[Hour]]&gt;12,OFFSET(TblConstr[[#This Row],[Tem]],-12,0),0)+OFFSET(TblConstr[[#This Row],[Tot Tem]],-1,0)-TblConstr[[#This Row],[Dest Tem]]</f>
        <v>0</v>
      </c>
      <c r="BN50" s="394"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250</v>
      </c>
      <c r="BU50" s="161">
        <f ca="1">TblImps[[#This Row],[Time]]</f>
        <v>45733.916666666555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84">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100</v>
      </c>
      <c r="DA50" s="96">
        <f t="shared" ca="1" si="13"/>
        <v>40</v>
      </c>
      <c r="DB50" s="45">
        <f t="shared" ca="1" si="14"/>
        <v>20</v>
      </c>
      <c r="DC50" s="96">
        <f t="shared" ca="1" si="15"/>
        <v>20</v>
      </c>
      <c r="DD50" s="96">
        <f t="shared" ca="1" si="16"/>
        <v>20</v>
      </c>
      <c r="DE50" s="45">
        <f t="shared" ca="1" si="17"/>
        <v>20</v>
      </c>
      <c r="DF50" s="96">
        <f t="shared" ca="1" si="18"/>
        <v>20</v>
      </c>
      <c r="DG50" s="96"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7">
        <f>TblRezone[[#This Row],[Hour]]</f>
        <v>48</v>
      </c>
      <c r="B51" s="178">
        <f ca="1">SUM(TblConstr[[#This Row],[Plain]:[Water]])</f>
        <v>160</v>
      </c>
      <c r="C51" s="179">
        <f ca="1">SUM(TblConstr[[#This Row],[Tot Hom]:[Tot Doc]])</f>
        <v>90</v>
      </c>
      <c r="D51" s="179">
        <f t="shared" si="11"/>
        <v>0</v>
      </c>
      <c r="E51" s="180"/>
      <c r="F51" s="61">
        <f ca="1">TblConstr[[#This Row],[Barren]]+TblConstr[[#This Row],[Buildings]]+TblConstr[[#This Row],[Incoming]]</f>
        <v>250</v>
      </c>
      <c r="G51" s="189">
        <f ca="1">OFFSET(TblConstr[[#This Row],[Plain]],-1,0)+TblConstr[[#This Row],[Ch_Plain]]</f>
        <v>40</v>
      </c>
      <c r="H51" s="184">
        <f ca="1">OFFSET(TblConstr[[#This Row],[Forest]],-1,0)+TblConstr[[#This Row],[Ch_Forest]]</f>
        <v>20</v>
      </c>
      <c r="I51" s="384">
        <f ca="1">OFFSET(TblConstr[[#This Row],[Mountain]],-1,0)+TblConstr[[#This Row],[Ch_Mountain]]</f>
        <v>20</v>
      </c>
      <c r="J51" s="388">
        <f ca="1">OFFSET(TblConstr[[#This Row],[Hill]],-1,0)+TblConstr[[#This Row],[Ch_Hill]]</f>
        <v>20</v>
      </c>
      <c r="K51" s="392">
        <f ca="1">OFFSET(TblConstr[[#This Row],[Swamp]],-1,0)+TblConstr[[#This Row],[Ch_Swamp]]</f>
        <v>20</v>
      </c>
      <c r="L51" s="187">
        <f ca="1">OFFSET(TblConstr[[#This Row],[Cavern]],-1,0)+TblConstr[[#This Row],[Ch_Cavern]]</f>
        <v>20</v>
      </c>
      <c r="M51" s="188">
        <f ca="1">OFFSET(TblConstr[[#This Row],[Water]],-1,0)+TblConstr[[#This Row],[Ch_Water]]</f>
        <v>20</v>
      </c>
      <c r="N51" s="382">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45733.958333333219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378720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6">
        <f ca="1">ROUNDDOWN( MAX(1 - MIN(facs_constr_factor*TblConstr[[#This Row],[Facs -DB]],facs_constr_max) + tech_1_11*TblTech[[#This Row],[11-1]] + tech_6_3_2*TblTech[[#This Row],[6-3]] + tech_5_2_3*TblTech[[#This Row],[5-2]], 1-global_constr_cap) * TblConstr[[#This Row],[RCPA Lumber]],0)</f>
        <v>88</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6">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ROUND((TblConstr[[#This Row],[Land]]-250 - IF(TblExplore[[#This Row],[Land Bonus]]&lt;&gt;0,20,0))*1.25 + 850 + 0,0)</f>
        <v>850</v>
      </c>
      <c r="AW51" s="96">
        <f ca="1">ROUND((TblConstr[[#This Row],[Land]]-250 - IF(TblExplore[[#This Row],[Land Bonus]]&lt;&gt;0,20,0))*0.285 + 87.5 + 0/4.25,0)</f>
        <v>88</v>
      </c>
      <c r="AX51" s="156"/>
      <c r="AY51" s="190" cm="1">
        <f t="array" aca="1" ref="AY51" ca="1">IF(TblConstr[[#This Row],[Hour]:[Hour]]&gt;12,OFFSET(TblConstr[[#This Row],[Hom]],-12,0),0)+OFFSET(TblConstr[[#This Row],[Tot Hom]],-1,0)-TblConstr[[#This Row],[Dest Hom]]</f>
        <v>10</v>
      </c>
      <c r="AZ51" s="191" cm="1">
        <f t="array" aca="1" ref="AZ51" ca="1">IF(TblConstr[[#This Row],[Hour]:[Hour]]&gt;12,OFFSET(TblConstr[[#This Row],[Alc]],-12,0),0)+OFFSET(TblConstr[[#This Row],[Tot Alc]],-1,0)-TblConstr[[#This Row],[Dest Alc]]</f>
        <v>30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86" cm="1">
        <f t="array" aca="1" ref="BF51" ca="1">IF(TblConstr[[#This Row],[Hour]:[Hour]]&gt;12,OFFSET(TblConstr[[#This Row],[OM]],-12,0),0)+OFFSET(TblConstr[[#This Row],[Tot OM]],-1,0)-TblConstr[[#This Row],[Dest OM]]</f>
        <v>0</v>
      </c>
      <c r="BG51" s="386" cm="1">
        <f t="array" aca="1" ref="BG51" ca="1">IF(TblConstr[[#This Row],[Hour]:[Hour]]&gt;12,OFFSET(TblConstr[[#This Row],[GN]],-12,0),0)+OFFSET(TblConstr[[#This Row],[Tot GN]],-1,0)-TblConstr[[#This Row],[Dest GN]]</f>
        <v>0</v>
      </c>
      <c r="BH51" s="390" cm="1">
        <f t="array" aca="1" ref="BH51" ca="1">IF(TblConstr[[#This Row],[Hour]:[Hour]]&gt;12,OFFSET(TblConstr[[#This Row],[Fac]],-12,0),0)+OFFSET(TblConstr[[#This Row],[Tot Fac]],-1,0)-TblConstr[[#This Row],[Dest Fac]]</f>
        <v>0</v>
      </c>
      <c r="BI51" s="390" cm="1">
        <f t="array" aca="1" ref="BI51" ca="1">IF(TblConstr[[#This Row],[Hour]:[Hour]]&gt;12,OFFSET(TblConstr[[#This Row],[GT]],-12,0),0)+OFFSET(TblConstr[[#This Row],[Tot GT]],-1,0)-TblConstr[[#This Row],[Dest GT]]</f>
        <v>0</v>
      </c>
      <c r="BJ51" s="390" cm="1">
        <f t="array" aca="1" ref="BJ51" ca="1">IF(TblConstr[[#This Row],[Hour]:[Hour]]&gt;12,OFFSET(TblConstr[[#This Row],[Bar]],-12,0),0)+OFFSET(TblConstr[[#This Row],[Tot Bar]],-1,0)-TblConstr[[#This Row],[Dest Bar]]</f>
        <v>0</v>
      </c>
      <c r="BK51" s="390" cm="1">
        <f t="array" aca="1" ref="BK51" ca="1">IF(TblConstr[[#This Row],[Hour]:[Hour]]&gt;12,OFFSET(TblConstr[[#This Row],[Shr]],-12,0),0)+OFFSET(TblConstr[[#This Row],[Tot Shr]],-1,0)-TblConstr[[#This Row],[Dest Shr]]</f>
        <v>0</v>
      </c>
      <c r="BL51" s="394" cm="1">
        <f t="array" aca="1" ref="BL51" ca="1">IF(TblConstr[[#This Row],[Hour]:[Hour]]&gt;12,OFFSET(TblConstr[[#This Row],[Tow]],-12,0),0)+OFFSET(TblConstr[[#This Row],[Tot Tow]],-1,0)-TblConstr[[#This Row],[Dest Tow]]</f>
        <v>0</v>
      </c>
      <c r="BM51" s="394" cm="1">
        <f t="array" aca="1" ref="BM51" ca="1">IF(TblConstr[[#This Row],[Hour]:[Hour]]&gt;12,OFFSET(TblConstr[[#This Row],[Tem]],-12,0),0)+OFFSET(TblConstr[[#This Row],[Tot Tem]],-1,0)-TblConstr[[#This Row],[Dest Tem]]</f>
        <v>0</v>
      </c>
      <c r="BN51" s="394"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250</v>
      </c>
      <c r="BU51" s="161">
        <f ca="1">TblImps[[#This Row],[Time]]</f>
        <v>45733.958333333219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84">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100</v>
      </c>
      <c r="DA51" s="96">
        <f t="shared" ca="1" si="13"/>
        <v>40</v>
      </c>
      <c r="DB51" s="45">
        <f t="shared" ca="1" si="14"/>
        <v>20</v>
      </c>
      <c r="DC51" s="96">
        <f t="shared" ca="1" si="15"/>
        <v>20</v>
      </c>
      <c r="DD51" s="96">
        <f t="shared" ca="1" si="16"/>
        <v>20</v>
      </c>
      <c r="DE51" s="45">
        <f t="shared" ca="1" si="17"/>
        <v>20</v>
      </c>
      <c r="DF51" s="96">
        <f t="shared" ca="1" si="18"/>
        <v>20</v>
      </c>
      <c r="DG51" s="96"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7">
        <f>TblRezone[[#This Row],[Hour]]</f>
        <v>49</v>
      </c>
      <c r="B52" s="178">
        <f ca="1">SUM(TblConstr[[#This Row],[Plain]:[Water]])</f>
        <v>160</v>
      </c>
      <c r="C52" s="179">
        <f ca="1">SUM(TblConstr[[#This Row],[Tot Hom]:[Tot Doc]])</f>
        <v>90</v>
      </c>
      <c r="D52" s="179">
        <f t="shared" si="11"/>
        <v>0</v>
      </c>
      <c r="E52" s="180"/>
      <c r="F52" s="61">
        <f ca="1">TblConstr[[#This Row],[Barren]]+TblConstr[[#This Row],[Buildings]]+TblConstr[[#This Row],[Incoming]]</f>
        <v>250</v>
      </c>
      <c r="G52" s="189">
        <f ca="1">OFFSET(TblConstr[[#This Row],[Plain]],-1,0)+TblConstr[[#This Row],[Ch_Plain]]</f>
        <v>40</v>
      </c>
      <c r="H52" s="184">
        <f ca="1">OFFSET(TblConstr[[#This Row],[Forest]],-1,0)+TblConstr[[#This Row],[Ch_Forest]]</f>
        <v>20</v>
      </c>
      <c r="I52" s="384">
        <f ca="1">OFFSET(TblConstr[[#This Row],[Mountain]],-1,0)+TblConstr[[#This Row],[Ch_Mountain]]</f>
        <v>20</v>
      </c>
      <c r="J52" s="388">
        <f ca="1">OFFSET(TblConstr[[#This Row],[Hill]],-1,0)+TblConstr[[#This Row],[Ch_Hill]]</f>
        <v>20</v>
      </c>
      <c r="K52" s="392">
        <f ca="1">OFFSET(TblConstr[[#This Row],[Swamp]],-1,0)+TblConstr[[#This Row],[Ch_Swamp]]</f>
        <v>20</v>
      </c>
      <c r="L52" s="187">
        <f ca="1">OFFSET(TblConstr[[#This Row],[Cavern]],-1,0)+TblConstr[[#This Row],[Ch_Cavern]]</f>
        <v>20</v>
      </c>
      <c r="M52" s="188">
        <f ca="1">OFFSET(TblConstr[[#This Row],[Water]],-1,0)+TblConstr[[#This Row],[Ch_Water]]</f>
        <v>20</v>
      </c>
      <c r="N52" s="382">
        <f>TblRezone[[#This Row],[Hour]]</f>
        <v>49</v>
      </c>
      <c r="O52" s="181"/>
      <c r="P52" s="181"/>
      <c r="Q52" s="181"/>
      <c r="R52" s="181"/>
      <c r="S52" s="181"/>
      <c r="T52" s="181"/>
      <c r="U52" s="181"/>
      <c r="V52" s="181"/>
      <c r="W52" s="181"/>
      <c r="X52" s="181"/>
      <c r="Y52" s="181"/>
      <c r="Z52" s="181"/>
      <c r="AA52" s="181"/>
      <c r="AB52" s="181"/>
      <c r="AC52" s="181"/>
      <c r="AD52" s="181"/>
      <c r="AE52" s="181"/>
      <c r="AF52" s="181"/>
      <c r="AG52" s="181"/>
      <c r="AH52" s="53">
        <f ca="1">TblImps[[#This Row],[Time]]</f>
        <v>45733.999999999884</v>
      </c>
      <c r="AI52" s="182">
        <f ca="1">MIN(25%,(TblConstr[[#This Row],[Tot Fac]]+TblConstr[[#This Row],[Dest Fac]])/(TblConstr[[#This Row],[Land]]-TblExplore[[#This Row],[Land Bonus]]*20))</f>
        <v>0</v>
      </c>
      <c r="AJ52" s="182">
        <f ca="1">MIN(25%,(TblConstr[[#This Row],[Tot Fac]]+TblConstr[[#This Row],[Dest Fac]])/TblConstr[[#This Row],[Land]])</f>
        <v>0</v>
      </c>
      <c r="AK52" s="96">
        <f ca="1">TblProd[[#This Row],[Platinum]]</f>
        <v>384206</v>
      </c>
      <c r="AL52" s="96">
        <f ca="1">TblProd[[#This Row],[Lumber]]</f>
        <v>47529</v>
      </c>
      <c r="AM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6">
        <f ca="1">ROUNDDOWN( MAX(1 - MIN(facs_constr_factor*TblConstr[[#This Row],[Facs -DB]],facs_constr_max) + tech_1_11*TblTech[[#This Row],[11-1]] + tech_6_3_2*TblTech[[#This Row],[6-3]] + tech_5_2_3*TblTech[[#This Row],[5-2]], 1-global_constr_cap) * TblConstr[[#This Row],[RCPA Lumber]],0)</f>
        <v>88</v>
      </c>
      <c r="AO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6">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6">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4"/>
      <c r="AV52" s="96">
        <f ca="1">ROUND((TblConstr[[#This Row],[Land]]-250 - IF(TblExplore[[#This Row],[Land Bonus]]&lt;&gt;0,20,0))*1.25 + 850 + 0,0)</f>
        <v>850</v>
      </c>
      <c r="AW52" s="96">
        <f ca="1">ROUND((TblConstr[[#This Row],[Land]]-250 - IF(TblExplore[[#This Row],[Land Bonus]]&lt;&gt;0,20,0))*0.285 + 87.5 + 0/4.25,0)</f>
        <v>88</v>
      </c>
      <c r="AX52" s="156"/>
      <c r="AY52" s="190" cm="1">
        <f t="array" aca="1" ref="AY52" ca="1">IF(TblConstr[[#This Row],[Hour]:[Hour]]&gt;12,OFFSET(TblConstr[[#This Row],[Hom]],-12,0),0)+OFFSET(TblConstr[[#This Row],[Tot Hom]],-1,0)-TblConstr[[#This Row],[Dest Hom]]</f>
        <v>10</v>
      </c>
      <c r="AZ52" s="191" cm="1">
        <f t="array" aca="1" ref="AZ52" ca="1">IF(TblConstr[[#This Row],[Hour]:[Hour]]&gt;12,OFFSET(TblConstr[[#This Row],[Alc]],-12,0),0)+OFFSET(TblConstr[[#This Row],[Tot Alc]],-1,0)-TblConstr[[#This Row],[Dest Alc]]</f>
        <v>30</v>
      </c>
      <c r="BA52" s="191" cm="1">
        <f t="array" aca="1" ref="BA52" ca="1">IF(TblConstr[[#This Row],[Hour]:[Hour]]&gt;12,OFFSET(TblConstr[[#This Row],[Far]],-12,0),0)+OFFSET(TblConstr[[#This Row],[Tot Farm]],-1,0)-TblConstr[[#This Row],[Dest Farm]]</f>
        <v>30</v>
      </c>
      <c r="BB52" s="191" cm="1">
        <f t="array" aca="1" ref="BB52" ca="1">IF(TblConstr[[#This Row],[Hour]:[Hour]]&gt;12,OFFSET(TblConstr[[#This Row],[Smi]],-12,0),0)+OFFSET(TblConstr[[#This Row],[Tot Smi]],-1,0)-TblConstr[[#This Row],[Dest Smi]]</f>
        <v>0</v>
      </c>
      <c r="BC52" s="191" cm="1">
        <f t="array" aca="1" ref="BC52" ca="1">IF(TblConstr[[#This Row],[Hour]:[Hour]]&gt;12,OFFSET(TblConstr[[#This Row],[Mas]],-12,0),0)+OFFSET(TblConstr[[#This Row],[Tot Mas]],-1,0)-TblConstr[[#This Row],[Dest Mas]]</f>
        <v>0</v>
      </c>
      <c r="BD52" s="192" cm="1">
        <f t="array" aca="1" ref="BD52" ca="1">IF(TblConstr[[#This Row],[Hour]:[Hour]]&gt;12,OFFSET(TblConstr[[#This Row],[Ly]],-12,0),0)+OFFSET(TblConstr[[#This Row],[Tot Ly]],-1,0)-TblConstr[[#This Row],[Dest Ly]]</f>
        <v>20</v>
      </c>
      <c r="BE52" s="192" cm="1">
        <f t="array" aca="1" ref="BE52" ca="1">IF(TblConstr[[#This Row],[Hour]:[Hour]]&gt;12,OFFSET(TblConstr[[#This Row],[Hav]],-12,0),0)+OFFSET(TblConstr[[#This Row],[Tot Hav]],-1,0)-TblConstr[[#This Row],[Dest Hav]]</f>
        <v>0</v>
      </c>
      <c r="BF52" s="386" cm="1">
        <f t="array" aca="1" ref="BF52" ca="1">IF(TblConstr[[#This Row],[Hour]:[Hour]]&gt;12,OFFSET(TblConstr[[#This Row],[OM]],-12,0),0)+OFFSET(TblConstr[[#This Row],[Tot OM]],-1,0)-TblConstr[[#This Row],[Dest OM]]</f>
        <v>0</v>
      </c>
      <c r="BG52" s="386" cm="1">
        <f t="array" aca="1" ref="BG52" ca="1">IF(TblConstr[[#This Row],[Hour]:[Hour]]&gt;12,OFFSET(TblConstr[[#This Row],[GN]],-12,0),0)+OFFSET(TblConstr[[#This Row],[Tot GN]],-1,0)-TblConstr[[#This Row],[Dest GN]]</f>
        <v>0</v>
      </c>
      <c r="BH52" s="390" cm="1">
        <f t="array" aca="1" ref="BH52" ca="1">IF(TblConstr[[#This Row],[Hour]:[Hour]]&gt;12,OFFSET(TblConstr[[#This Row],[Fac]],-12,0),0)+OFFSET(TblConstr[[#This Row],[Tot Fac]],-1,0)-TblConstr[[#This Row],[Dest Fac]]</f>
        <v>0</v>
      </c>
      <c r="BI52" s="390" cm="1">
        <f t="array" aca="1" ref="BI52" ca="1">IF(TblConstr[[#This Row],[Hour]:[Hour]]&gt;12,OFFSET(TblConstr[[#This Row],[GT]],-12,0),0)+OFFSET(TblConstr[[#This Row],[Tot GT]],-1,0)-TblConstr[[#This Row],[Dest GT]]</f>
        <v>0</v>
      </c>
      <c r="BJ52" s="390" cm="1">
        <f t="array" aca="1" ref="BJ52" ca="1">IF(TblConstr[[#This Row],[Hour]:[Hour]]&gt;12,OFFSET(TblConstr[[#This Row],[Bar]],-12,0),0)+OFFSET(TblConstr[[#This Row],[Tot Bar]],-1,0)-TblConstr[[#This Row],[Dest Bar]]</f>
        <v>0</v>
      </c>
      <c r="BK52" s="390" cm="1">
        <f t="array" aca="1" ref="BK52" ca="1">IF(TblConstr[[#This Row],[Hour]:[Hour]]&gt;12,OFFSET(TblConstr[[#This Row],[Shr]],-12,0),0)+OFFSET(TblConstr[[#This Row],[Tot Shr]],-1,0)-TblConstr[[#This Row],[Dest Shr]]</f>
        <v>0</v>
      </c>
      <c r="BL52" s="394" cm="1">
        <f t="array" aca="1" ref="BL52" ca="1">IF(TblConstr[[#This Row],[Hour]:[Hour]]&gt;12,OFFSET(TblConstr[[#This Row],[Tow]],-12,0),0)+OFFSET(TblConstr[[#This Row],[Tot Tow]],-1,0)-TblConstr[[#This Row],[Dest Tow]]</f>
        <v>0</v>
      </c>
      <c r="BM52" s="394" cm="1">
        <f t="array" aca="1" ref="BM52" ca="1">IF(TblConstr[[#This Row],[Hour]:[Hour]]&gt;12,OFFSET(TblConstr[[#This Row],[Tem]],-12,0),0)+OFFSET(TblConstr[[#This Row],[Tot Tem]],-1,0)-TblConstr[[#This Row],[Dest Tem]]</f>
        <v>0</v>
      </c>
      <c r="BN52" s="394" cm="1">
        <f t="array" aca="1" ref="BN52" ca="1">IF(TblConstr[[#This Row],[Hour]:[Hour]]&gt;12,OFFSET(TblConstr[[#This Row],[WG]],-12,0),0)+OFFSET(TblConstr[[#This Row],[Tot WG]],-1,0)-TblConstr[[#This Row],[Dest WG]]</f>
        <v>0</v>
      </c>
      <c r="BO52" s="193" cm="1">
        <f t="array" aca="1" ref="BO52" ca="1">IF(TblConstr[[#This Row],[Hour]:[Hour]]&gt;12,OFFSET(TblConstr[[#This Row],[DM]],-12,0),0)+OFFSET(TblConstr[[#This Row],[Tot DM]],-1,0)-TblConstr[[#This Row],[Dest DM]]</f>
        <v>0</v>
      </c>
      <c r="BP52" s="193" cm="1">
        <f t="array" aca="1" ref="BP52" ca="1">IF(TblConstr[[#This Row],[Hour]:[Hour]]&gt;12,OFFSET(TblConstr[[#This Row],[Sch]],-12,0),0)+OFFSET(TblConstr[[#This Row],[Tot Sch]],-1,0)-TblConstr[[#This Row],[Dest Sch]]</f>
        <v>0</v>
      </c>
      <c r="BQ52" s="194" cm="1">
        <f t="array" aca="1" ref="BQ52" ca="1">IF(TblConstr[[#This Row],[Hour]:[Hour]]&gt;12,OFFSET(TblConstr[[#This Row],[Doc]],-12,0),0)+OFFSET(TblConstr[[#This Row],[Tot Doc]],-1,0)-TblConstr[[#This Row],[Dest Doc]]</f>
        <v>0</v>
      </c>
      <c r="BR52" s="144"/>
      <c r="BS52" s="156"/>
      <c r="BT52" s="96">
        <f ca="1">TblConstr[[#This Row],[Land]]</f>
        <v>250</v>
      </c>
      <c r="BU52" s="161">
        <f ca="1">TblImps[[#This Row],[Time]]</f>
        <v>45733.999999999884</v>
      </c>
      <c r="BV52" s="144"/>
      <c r="BW52" s="181"/>
      <c r="BX52" s="181"/>
      <c r="BY52" s="181"/>
      <c r="BZ52" s="181"/>
      <c r="CA52" s="181"/>
      <c r="CB52" s="181"/>
      <c r="CC52" s="181"/>
      <c r="CD52" s="181"/>
      <c r="CE52" s="181"/>
      <c r="CF52" s="181"/>
      <c r="CG52" s="181"/>
      <c r="CH52" s="181"/>
      <c r="CI52" s="181"/>
      <c r="CJ52" s="181"/>
      <c r="CK52" s="181"/>
      <c r="CL52" s="181"/>
      <c r="CM52" s="181"/>
      <c r="CN52" s="181"/>
      <c r="CO52" s="181"/>
      <c r="CP52" s="144"/>
      <c r="CQ52" s="183">
        <f ca="1">-SUM(TblConstr[[#This Row],[Alc]:[Mas]])+SUM(TblConstr[[#This Row],[Dest Alc]:[Dest Mas]])+Rezone!L52+IF("Ch_"&amp; home_land=TblConstr[[#Headers],[Ch_Plain]],TblConstr[[#This Row],[Home Land]])+IF(TblConstr[[#This Row],[Hour]:[Hour]]&gt;12,OFFSET(TblExplore[[#This Row],[Plains Explore]],-12,0),0)</f>
        <v>0</v>
      </c>
      <c r="CR52" s="184">
        <f ca="1">-SUM(TblConstr[[#This Row],[Ly]:[Hav]])+SUM(TblConstr[[#This Row],[Dest Ly]:[Dest Hav]]) +Rezone!M52 + IF("Ch_"&amp; home_land=TblConstr[[#Headers],[Ch_Forest]],TblConstr[[#This Row],[Home Land]])+IF(TblConstr[[#This Row],[Hour]:[Hour]]&gt;12,OFFSET(TblExplore[[#This Row],[Forest Explore]],-12,0),0)</f>
        <v>0</v>
      </c>
      <c r="CS52" s="384">
        <f ca="1">-SUM(TblConstr[[#This Row],[OM]:[GN]])+SUM(TblConstr[[#This Row],[Dest OM]:[Dest GN]]) +Rezone!N52 + IF("Ch_"&amp; home_land=TblConstr[[#Headers],[Ch_Mountain]],TblConstr[[#This Row],[Home Land]])+IF(TblConstr[[#This Row],[Hour]:[Hour]]&gt;12,OFFSET(TblExplore[[#This Row],[Mountain Explore]],-12,0),0)</f>
        <v>0</v>
      </c>
      <c r="CT52" s="185">
        <f ca="1">-SUM(TblConstr[[#This Row],[Fac]:[Shr]])+SUM(TblConstr[[#This Row],[Dest Fac]:[Dest Shr]]) +Rezone!O52 + IF("Ch_" &amp; home_land=TblConstr[[#Headers],[Ch_Hill]],TblConstr[[#This Row],[Home Land]])+IF(TblConstr[[#This Row],[Hour]:[Hour]]&gt;12,OFFSET(TblExplore[[#This Row],[Hill Explore]],-12,0),0)</f>
        <v>0</v>
      </c>
      <c r="CU52" s="186">
        <f ca="1">-SUM(TblConstr[[#This Row],[Tow]:[WG]])+SUM(TblConstr[[#This Row],[Dest Tow]:[Dest WG]]) +Rezone!P52 + IF("Ch_" &amp; home_land=TblConstr[[#Headers],[Ch_Swamp]],TblConstr[[#This Row],[Home Land]])+IF(TblConstr[[#This Row],[Hour]:[Hour]]&gt;12,OFFSET(TblExplore[[#This Row],[Swamp Explore]],-12,0),0)</f>
        <v>0</v>
      </c>
      <c r="CV52" s="187">
        <f ca="1" xml:space="preserve"> - SUM(TblConstr[[#This Row],[DM]:[Sch]])+SUM(TblConstr[[#This Row],[Dest DM]:[Dest Sch]]) +Rezone!Q52 + IF("Ch_" &amp; home_land=TblConstr[[#Headers],[Ch_Cavern]],TblConstr[[#This Row],[Home Land]])+IF(TblConstr[[#This Row],[Hour]:[Hour]]&gt;12,OFFSET(TblExplore[[#This Row],[Cavern Explore]],-12,0),0)</f>
        <v>0</v>
      </c>
      <c r="CW52" s="188">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4"/>
      <c r="CZ52" s="96">
        <f t="shared" ca="1" si="12"/>
        <v>100</v>
      </c>
      <c r="DA52" s="96">
        <f t="shared" ca="1" si="13"/>
        <v>40</v>
      </c>
      <c r="DB52" s="45">
        <f t="shared" ca="1" si="14"/>
        <v>20</v>
      </c>
      <c r="DC52" s="96">
        <f t="shared" ca="1" si="15"/>
        <v>20</v>
      </c>
      <c r="DD52" s="96">
        <f t="shared" ca="1" si="16"/>
        <v>20</v>
      </c>
      <c r="DE52" s="45">
        <f t="shared" ca="1" si="17"/>
        <v>20</v>
      </c>
      <c r="DF52" s="96">
        <f t="shared" ca="1" si="18"/>
        <v>20</v>
      </c>
      <c r="DG52" s="96"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7">
        <f>TblRezone[[#This Row],[Hour]]</f>
        <v>50</v>
      </c>
      <c r="B53" s="178">
        <f ca="1">SUM(TblConstr[[#This Row],[Plain]:[Water]])</f>
        <v>160</v>
      </c>
      <c r="C53" s="179">
        <f ca="1">SUM(TblConstr[[#This Row],[Tot Hom]:[Tot Doc]])</f>
        <v>90</v>
      </c>
      <c r="D53" s="179">
        <f t="shared" si="11"/>
        <v>0</v>
      </c>
      <c r="E53" s="180"/>
      <c r="F53" s="61">
        <f ca="1">TblConstr[[#This Row],[Barren]]+TblConstr[[#This Row],[Buildings]]+TblConstr[[#This Row],[Incoming]]</f>
        <v>250</v>
      </c>
      <c r="G53" s="189">
        <f ca="1">OFFSET(TblConstr[[#This Row],[Plain]],-1,0)+TblConstr[[#This Row],[Ch_Plain]]</f>
        <v>40</v>
      </c>
      <c r="H53" s="184">
        <f ca="1">OFFSET(TblConstr[[#This Row],[Forest]],-1,0)+TblConstr[[#This Row],[Ch_Forest]]</f>
        <v>20</v>
      </c>
      <c r="I53" s="384">
        <f ca="1">OFFSET(TblConstr[[#This Row],[Mountain]],-1,0)+TblConstr[[#This Row],[Ch_Mountain]]</f>
        <v>20</v>
      </c>
      <c r="J53" s="388">
        <f ca="1">OFFSET(TblConstr[[#This Row],[Hill]],-1,0)+TblConstr[[#This Row],[Ch_Hill]]</f>
        <v>20</v>
      </c>
      <c r="K53" s="392">
        <f ca="1">OFFSET(TblConstr[[#This Row],[Swamp]],-1,0)+TblConstr[[#This Row],[Ch_Swamp]]</f>
        <v>20</v>
      </c>
      <c r="L53" s="187">
        <f ca="1">OFFSET(TblConstr[[#This Row],[Cavern]],-1,0)+TblConstr[[#This Row],[Ch_Cavern]]</f>
        <v>20</v>
      </c>
      <c r="M53" s="188">
        <f ca="1">OFFSET(TblConstr[[#This Row],[Water]],-1,0)+TblConstr[[#This Row],[Ch_Water]]</f>
        <v>20</v>
      </c>
      <c r="N53" s="382">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45734.041666666548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389692</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6">
        <f ca="1">ROUNDDOWN( MAX(1 - MIN(facs_constr_factor*TblConstr[[#This Row],[Facs -DB]],facs_constr_max) + tech_1_11*TblTech[[#This Row],[11-1]] + tech_6_3_2*TblTech[[#This Row],[6-3]] + tech_5_2_3*TblTech[[#This Row],[5-2]], 1-global_constr_cap) * TblConstr[[#This Row],[RCPA Lumber]],0)</f>
        <v>88</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6">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ROUND((TblConstr[[#This Row],[Land]]-250 - IF(TblExplore[[#This Row],[Land Bonus]]&lt;&gt;0,20,0))*1.25 + 850 + 0,0)</f>
        <v>850</v>
      </c>
      <c r="AW53" s="96">
        <f ca="1">ROUND((TblConstr[[#This Row],[Land]]-250 - IF(TblExplore[[#This Row],[Land Bonus]]&lt;&gt;0,20,0))*0.285 + 87.5 + 0/4.25,0)</f>
        <v>88</v>
      </c>
      <c r="AX53" s="156"/>
      <c r="AY53" s="190" cm="1">
        <f t="array" aca="1" ref="AY53" ca="1">IF(TblConstr[[#This Row],[Hour]:[Hour]]&gt;12,OFFSET(TblConstr[[#This Row],[Hom]],-12,0),0)+OFFSET(TblConstr[[#This Row],[Tot Hom]],-1,0)-TblConstr[[#This Row],[Dest Hom]]</f>
        <v>10</v>
      </c>
      <c r="AZ53" s="191" cm="1">
        <f t="array" aca="1" ref="AZ53" ca="1">IF(TblConstr[[#This Row],[Hour]:[Hour]]&gt;12,OFFSET(TblConstr[[#This Row],[Alc]],-12,0),0)+OFFSET(TblConstr[[#This Row],[Tot Alc]],-1,0)-TblConstr[[#This Row],[Dest Alc]]</f>
        <v>30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86" cm="1">
        <f t="array" aca="1" ref="BF53" ca="1">IF(TblConstr[[#This Row],[Hour]:[Hour]]&gt;12,OFFSET(TblConstr[[#This Row],[OM]],-12,0),0)+OFFSET(TblConstr[[#This Row],[Tot OM]],-1,0)-TblConstr[[#This Row],[Dest OM]]</f>
        <v>0</v>
      </c>
      <c r="BG53" s="386" cm="1">
        <f t="array" aca="1" ref="BG53" ca="1">IF(TblConstr[[#This Row],[Hour]:[Hour]]&gt;12,OFFSET(TblConstr[[#This Row],[GN]],-12,0),0)+OFFSET(TblConstr[[#This Row],[Tot GN]],-1,0)-TblConstr[[#This Row],[Dest GN]]</f>
        <v>0</v>
      </c>
      <c r="BH53" s="390" cm="1">
        <f t="array" aca="1" ref="BH53" ca="1">IF(TblConstr[[#This Row],[Hour]:[Hour]]&gt;12,OFFSET(TblConstr[[#This Row],[Fac]],-12,0),0)+OFFSET(TblConstr[[#This Row],[Tot Fac]],-1,0)-TblConstr[[#This Row],[Dest Fac]]</f>
        <v>0</v>
      </c>
      <c r="BI53" s="390" cm="1">
        <f t="array" aca="1" ref="BI53" ca="1">IF(TblConstr[[#This Row],[Hour]:[Hour]]&gt;12,OFFSET(TblConstr[[#This Row],[GT]],-12,0),0)+OFFSET(TblConstr[[#This Row],[Tot GT]],-1,0)-TblConstr[[#This Row],[Dest GT]]</f>
        <v>0</v>
      </c>
      <c r="BJ53" s="390" cm="1">
        <f t="array" aca="1" ref="BJ53" ca="1">IF(TblConstr[[#This Row],[Hour]:[Hour]]&gt;12,OFFSET(TblConstr[[#This Row],[Bar]],-12,0),0)+OFFSET(TblConstr[[#This Row],[Tot Bar]],-1,0)-TblConstr[[#This Row],[Dest Bar]]</f>
        <v>0</v>
      </c>
      <c r="BK53" s="390" cm="1">
        <f t="array" aca="1" ref="BK53" ca="1">IF(TblConstr[[#This Row],[Hour]:[Hour]]&gt;12,OFFSET(TblConstr[[#This Row],[Shr]],-12,0),0)+OFFSET(TblConstr[[#This Row],[Tot Shr]],-1,0)-TblConstr[[#This Row],[Dest Shr]]</f>
        <v>0</v>
      </c>
      <c r="BL53" s="394" cm="1">
        <f t="array" aca="1" ref="BL53" ca="1">IF(TblConstr[[#This Row],[Hour]:[Hour]]&gt;12,OFFSET(TblConstr[[#This Row],[Tow]],-12,0),0)+OFFSET(TblConstr[[#This Row],[Tot Tow]],-1,0)-TblConstr[[#This Row],[Dest Tow]]</f>
        <v>0</v>
      </c>
      <c r="BM53" s="394" cm="1">
        <f t="array" aca="1" ref="BM53" ca="1">IF(TblConstr[[#This Row],[Hour]:[Hour]]&gt;12,OFFSET(TblConstr[[#This Row],[Tem]],-12,0),0)+OFFSET(TblConstr[[#This Row],[Tot Tem]],-1,0)-TblConstr[[#This Row],[Dest Tem]]</f>
        <v>0</v>
      </c>
      <c r="BN53" s="394"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250</v>
      </c>
      <c r="BU53" s="161">
        <f ca="1">TblImps[[#This Row],[Time]]</f>
        <v>45734.041666666548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84">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100</v>
      </c>
      <c r="DA53" s="96">
        <f t="shared" ca="1" si="13"/>
        <v>40</v>
      </c>
      <c r="DB53" s="45">
        <f t="shared" ca="1" si="14"/>
        <v>20</v>
      </c>
      <c r="DC53" s="96">
        <f t="shared" ca="1" si="15"/>
        <v>20</v>
      </c>
      <c r="DD53" s="96">
        <f t="shared" ca="1" si="16"/>
        <v>20</v>
      </c>
      <c r="DE53" s="45">
        <f t="shared" ca="1" si="17"/>
        <v>20</v>
      </c>
      <c r="DF53" s="96">
        <f t="shared" ca="1" si="18"/>
        <v>20</v>
      </c>
      <c r="DG53" s="96"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7">
        <f>TblRezone[[#This Row],[Hour]]</f>
        <v>51</v>
      </c>
      <c r="B54" s="178">
        <f ca="1">SUM(TblConstr[[#This Row],[Plain]:[Water]])</f>
        <v>160</v>
      </c>
      <c r="C54" s="179">
        <f ca="1">SUM(TblConstr[[#This Row],[Tot Hom]:[Tot Doc]])</f>
        <v>90</v>
      </c>
      <c r="D54" s="179">
        <f t="shared" si="11"/>
        <v>0</v>
      </c>
      <c r="E54" s="180"/>
      <c r="F54" s="61">
        <f ca="1">TblConstr[[#This Row],[Barren]]+TblConstr[[#This Row],[Buildings]]+TblConstr[[#This Row],[Incoming]]</f>
        <v>250</v>
      </c>
      <c r="G54" s="189">
        <f ca="1">OFFSET(TblConstr[[#This Row],[Plain]],-1,0)+TblConstr[[#This Row],[Ch_Plain]]</f>
        <v>40</v>
      </c>
      <c r="H54" s="184">
        <f ca="1">OFFSET(TblConstr[[#This Row],[Forest]],-1,0)+TblConstr[[#This Row],[Ch_Forest]]</f>
        <v>20</v>
      </c>
      <c r="I54" s="384">
        <f ca="1">OFFSET(TblConstr[[#This Row],[Mountain]],-1,0)+TblConstr[[#This Row],[Ch_Mountain]]</f>
        <v>20</v>
      </c>
      <c r="J54" s="388">
        <f ca="1">OFFSET(TblConstr[[#This Row],[Hill]],-1,0)+TblConstr[[#This Row],[Ch_Hill]]</f>
        <v>20</v>
      </c>
      <c r="K54" s="392">
        <f ca="1">OFFSET(TblConstr[[#This Row],[Swamp]],-1,0)+TblConstr[[#This Row],[Ch_Swamp]]</f>
        <v>20</v>
      </c>
      <c r="L54" s="187">
        <f ca="1">OFFSET(TblConstr[[#This Row],[Cavern]],-1,0)+TblConstr[[#This Row],[Ch_Cavern]]</f>
        <v>20</v>
      </c>
      <c r="M54" s="188">
        <f ca="1">OFFSET(TblConstr[[#This Row],[Water]],-1,0)+TblConstr[[#This Row],[Ch_Water]]</f>
        <v>20</v>
      </c>
      <c r="N54" s="382">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45734.083333333212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395178</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6">
        <f ca="1">ROUNDDOWN( MAX(1 - MIN(facs_constr_factor*TblConstr[[#This Row],[Facs -DB]],facs_constr_max) + tech_1_11*TblTech[[#This Row],[11-1]] + tech_6_3_2*TblTech[[#This Row],[6-3]] + tech_5_2_3*TblTech[[#This Row],[5-2]], 1-global_constr_cap) * TblConstr[[#This Row],[RCPA Lumber]],0)</f>
        <v>88</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6">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ROUND((TblConstr[[#This Row],[Land]]-250 - IF(TblExplore[[#This Row],[Land Bonus]]&lt;&gt;0,20,0))*1.25 + 850 + 0,0)</f>
        <v>850</v>
      </c>
      <c r="AW54" s="96">
        <f ca="1">ROUND((TblConstr[[#This Row],[Land]]-250 - IF(TblExplore[[#This Row],[Land Bonus]]&lt;&gt;0,20,0))*0.285 + 87.5 + 0/4.25,0)</f>
        <v>88</v>
      </c>
      <c r="AX54" s="156"/>
      <c r="AY54" s="190" cm="1">
        <f t="array" aca="1" ref="AY54" ca="1">IF(TblConstr[[#This Row],[Hour]:[Hour]]&gt;12,OFFSET(TblConstr[[#This Row],[Hom]],-12,0),0)+OFFSET(TblConstr[[#This Row],[Tot Hom]],-1,0)-TblConstr[[#This Row],[Dest Hom]]</f>
        <v>10</v>
      </c>
      <c r="AZ54" s="191" cm="1">
        <f t="array" aca="1" ref="AZ54" ca="1">IF(TblConstr[[#This Row],[Hour]:[Hour]]&gt;12,OFFSET(TblConstr[[#This Row],[Alc]],-12,0),0)+OFFSET(TblConstr[[#This Row],[Tot Alc]],-1,0)-TblConstr[[#This Row],[Dest Alc]]</f>
        <v>30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86" cm="1">
        <f t="array" aca="1" ref="BF54" ca="1">IF(TblConstr[[#This Row],[Hour]:[Hour]]&gt;12,OFFSET(TblConstr[[#This Row],[OM]],-12,0),0)+OFFSET(TblConstr[[#This Row],[Tot OM]],-1,0)-TblConstr[[#This Row],[Dest OM]]</f>
        <v>0</v>
      </c>
      <c r="BG54" s="386" cm="1">
        <f t="array" aca="1" ref="BG54" ca="1">IF(TblConstr[[#This Row],[Hour]:[Hour]]&gt;12,OFFSET(TblConstr[[#This Row],[GN]],-12,0),0)+OFFSET(TblConstr[[#This Row],[Tot GN]],-1,0)-TblConstr[[#This Row],[Dest GN]]</f>
        <v>0</v>
      </c>
      <c r="BH54" s="390" cm="1">
        <f t="array" aca="1" ref="BH54" ca="1">IF(TblConstr[[#This Row],[Hour]:[Hour]]&gt;12,OFFSET(TblConstr[[#This Row],[Fac]],-12,0),0)+OFFSET(TblConstr[[#This Row],[Tot Fac]],-1,0)-TblConstr[[#This Row],[Dest Fac]]</f>
        <v>0</v>
      </c>
      <c r="BI54" s="390" cm="1">
        <f t="array" aca="1" ref="BI54" ca="1">IF(TblConstr[[#This Row],[Hour]:[Hour]]&gt;12,OFFSET(TblConstr[[#This Row],[GT]],-12,0),0)+OFFSET(TblConstr[[#This Row],[Tot GT]],-1,0)-TblConstr[[#This Row],[Dest GT]]</f>
        <v>0</v>
      </c>
      <c r="BJ54" s="390" cm="1">
        <f t="array" aca="1" ref="BJ54" ca="1">IF(TblConstr[[#This Row],[Hour]:[Hour]]&gt;12,OFFSET(TblConstr[[#This Row],[Bar]],-12,0),0)+OFFSET(TblConstr[[#This Row],[Tot Bar]],-1,0)-TblConstr[[#This Row],[Dest Bar]]</f>
        <v>0</v>
      </c>
      <c r="BK54" s="390" cm="1">
        <f t="array" aca="1" ref="BK54" ca="1">IF(TblConstr[[#This Row],[Hour]:[Hour]]&gt;12,OFFSET(TblConstr[[#This Row],[Shr]],-12,0),0)+OFFSET(TblConstr[[#This Row],[Tot Shr]],-1,0)-TblConstr[[#This Row],[Dest Shr]]</f>
        <v>0</v>
      </c>
      <c r="BL54" s="394" cm="1">
        <f t="array" aca="1" ref="BL54" ca="1">IF(TblConstr[[#This Row],[Hour]:[Hour]]&gt;12,OFFSET(TblConstr[[#This Row],[Tow]],-12,0),0)+OFFSET(TblConstr[[#This Row],[Tot Tow]],-1,0)-TblConstr[[#This Row],[Dest Tow]]</f>
        <v>0</v>
      </c>
      <c r="BM54" s="394" cm="1">
        <f t="array" aca="1" ref="BM54" ca="1">IF(TblConstr[[#This Row],[Hour]:[Hour]]&gt;12,OFFSET(TblConstr[[#This Row],[Tem]],-12,0),0)+OFFSET(TblConstr[[#This Row],[Tot Tem]],-1,0)-TblConstr[[#This Row],[Dest Tem]]</f>
        <v>0</v>
      </c>
      <c r="BN54" s="394"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250</v>
      </c>
      <c r="BU54" s="161">
        <f ca="1">TblImps[[#This Row],[Time]]</f>
        <v>45734.083333333212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84">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100</v>
      </c>
      <c r="DA54" s="96">
        <f t="shared" ca="1" si="13"/>
        <v>40</v>
      </c>
      <c r="DB54" s="45">
        <f t="shared" ca="1" si="14"/>
        <v>20</v>
      </c>
      <c r="DC54" s="96">
        <f t="shared" ca="1" si="15"/>
        <v>20</v>
      </c>
      <c r="DD54" s="96">
        <f t="shared" ca="1" si="16"/>
        <v>20</v>
      </c>
      <c r="DE54" s="45">
        <f t="shared" ca="1" si="17"/>
        <v>20</v>
      </c>
      <c r="DF54" s="96">
        <f t="shared" ca="1" si="18"/>
        <v>20</v>
      </c>
      <c r="DG54" s="96"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7">
        <f>TblRezone[[#This Row],[Hour]]</f>
        <v>52</v>
      </c>
      <c r="B55" s="178">
        <f ca="1">SUM(TblConstr[[#This Row],[Plain]:[Water]])</f>
        <v>160</v>
      </c>
      <c r="C55" s="179">
        <f ca="1">SUM(TblConstr[[#This Row],[Tot Hom]:[Tot Doc]])</f>
        <v>90</v>
      </c>
      <c r="D55" s="179">
        <f t="shared" si="11"/>
        <v>0</v>
      </c>
      <c r="E55" s="180"/>
      <c r="F55" s="61">
        <f ca="1">TblConstr[[#This Row],[Barren]]+TblConstr[[#This Row],[Buildings]]+TblConstr[[#This Row],[Incoming]]</f>
        <v>250</v>
      </c>
      <c r="G55" s="189">
        <f ca="1">OFFSET(TblConstr[[#This Row],[Plain]],-1,0)+TblConstr[[#This Row],[Ch_Plain]]</f>
        <v>40</v>
      </c>
      <c r="H55" s="184">
        <f ca="1">OFFSET(TblConstr[[#This Row],[Forest]],-1,0)+TblConstr[[#This Row],[Ch_Forest]]</f>
        <v>20</v>
      </c>
      <c r="I55" s="384">
        <f ca="1">OFFSET(TblConstr[[#This Row],[Mountain]],-1,0)+TblConstr[[#This Row],[Ch_Mountain]]</f>
        <v>20</v>
      </c>
      <c r="J55" s="388">
        <f ca="1">OFFSET(TblConstr[[#This Row],[Hill]],-1,0)+TblConstr[[#This Row],[Ch_Hill]]</f>
        <v>20</v>
      </c>
      <c r="K55" s="392">
        <f ca="1">OFFSET(TblConstr[[#This Row],[Swamp]],-1,0)+TblConstr[[#This Row],[Ch_Swamp]]</f>
        <v>20</v>
      </c>
      <c r="L55" s="187">
        <f ca="1">OFFSET(TblConstr[[#This Row],[Cavern]],-1,0)+TblConstr[[#This Row],[Ch_Cavern]]</f>
        <v>20</v>
      </c>
      <c r="M55" s="188">
        <f ca="1">OFFSET(TblConstr[[#This Row],[Water]],-1,0)+TblConstr[[#This Row],[Ch_Water]]</f>
        <v>20</v>
      </c>
      <c r="N55" s="382">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45734.124999999876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400664</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6">
        <f ca="1">ROUNDDOWN( MAX(1 - MIN(facs_constr_factor*TblConstr[[#This Row],[Facs -DB]],facs_constr_max) + tech_1_11*TblTech[[#This Row],[11-1]] + tech_6_3_2*TblTech[[#This Row],[6-3]] + tech_5_2_3*TblTech[[#This Row],[5-2]], 1-global_constr_cap) * TblConstr[[#This Row],[RCPA Lumber]],0)</f>
        <v>88</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6">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ROUND((TblConstr[[#This Row],[Land]]-250 - IF(TblExplore[[#This Row],[Land Bonus]]&lt;&gt;0,20,0))*1.25 + 850 + 0,0)</f>
        <v>850</v>
      </c>
      <c r="AW55" s="96">
        <f ca="1">ROUND((TblConstr[[#This Row],[Land]]-250 - IF(TblExplore[[#This Row],[Land Bonus]]&lt;&gt;0,20,0))*0.285 + 87.5 + 0/4.25,0)</f>
        <v>88</v>
      </c>
      <c r="AX55" s="156"/>
      <c r="AY55" s="190" cm="1">
        <f t="array" aca="1" ref="AY55" ca="1">IF(TblConstr[[#This Row],[Hour]:[Hour]]&gt;12,OFFSET(TblConstr[[#This Row],[Hom]],-12,0),0)+OFFSET(TblConstr[[#This Row],[Tot Hom]],-1,0)-TblConstr[[#This Row],[Dest Hom]]</f>
        <v>10</v>
      </c>
      <c r="AZ55" s="191" cm="1">
        <f t="array" aca="1" ref="AZ55" ca="1">IF(TblConstr[[#This Row],[Hour]:[Hour]]&gt;12,OFFSET(TblConstr[[#This Row],[Alc]],-12,0),0)+OFFSET(TblConstr[[#This Row],[Tot Alc]],-1,0)-TblConstr[[#This Row],[Dest Alc]]</f>
        <v>30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86" cm="1">
        <f t="array" aca="1" ref="BF55" ca="1">IF(TblConstr[[#This Row],[Hour]:[Hour]]&gt;12,OFFSET(TblConstr[[#This Row],[OM]],-12,0),0)+OFFSET(TblConstr[[#This Row],[Tot OM]],-1,0)-TblConstr[[#This Row],[Dest OM]]</f>
        <v>0</v>
      </c>
      <c r="BG55" s="386" cm="1">
        <f t="array" aca="1" ref="BG55" ca="1">IF(TblConstr[[#This Row],[Hour]:[Hour]]&gt;12,OFFSET(TblConstr[[#This Row],[GN]],-12,0),0)+OFFSET(TblConstr[[#This Row],[Tot GN]],-1,0)-TblConstr[[#This Row],[Dest GN]]</f>
        <v>0</v>
      </c>
      <c r="BH55" s="390" cm="1">
        <f t="array" aca="1" ref="BH55" ca="1">IF(TblConstr[[#This Row],[Hour]:[Hour]]&gt;12,OFFSET(TblConstr[[#This Row],[Fac]],-12,0),0)+OFFSET(TblConstr[[#This Row],[Tot Fac]],-1,0)-TblConstr[[#This Row],[Dest Fac]]</f>
        <v>0</v>
      </c>
      <c r="BI55" s="390" cm="1">
        <f t="array" aca="1" ref="BI55" ca="1">IF(TblConstr[[#This Row],[Hour]:[Hour]]&gt;12,OFFSET(TblConstr[[#This Row],[GT]],-12,0),0)+OFFSET(TblConstr[[#This Row],[Tot GT]],-1,0)-TblConstr[[#This Row],[Dest GT]]</f>
        <v>0</v>
      </c>
      <c r="BJ55" s="390" cm="1">
        <f t="array" aca="1" ref="BJ55" ca="1">IF(TblConstr[[#This Row],[Hour]:[Hour]]&gt;12,OFFSET(TblConstr[[#This Row],[Bar]],-12,0),0)+OFFSET(TblConstr[[#This Row],[Tot Bar]],-1,0)-TblConstr[[#This Row],[Dest Bar]]</f>
        <v>0</v>
      </c>
      <c r="BK55" s="390" cm="1">
        <f t="array" aca="1" ref="BK55" ca="1">IF(TblConstr[[#This Row],[Hour]:[Hour]]&gt;12,OFFSET(TblConstr[[#This Row],[Shr]],-12,0),0)+OFFSET(TblConstr[[#This Row],[Tot Shr]],-1,0)-TblConstr[[#This Row],[Dest Shr]]</f>
        <v>0</v>
      </c>
      <c r="BL55" s="394" cm="1">
        <f t="array" aca="1" ref="BL55" ca="1">IF(TblConstr[[#This Row],[Hour]:[Hour]]&gt;12,OFFSET(TblConstr[[#This Row],[Tow]],-12,0),0)+OFFSET(TblConstr[[#This Row],[Tot Tow]],-1,0)-TblConstr[[#This Row],[Dest Tow]]</f>
        <v>0</v>
      </c>
      <c r="BM55" s="394" cm="1">
        <f t="array" aca="1" ref="BM55" ca="1">IF(TblConstr[[#This Row],[Hour]:[Hour]]&gt;12,OFFSET(TblConstr[[#This Row],[Tem]],-12,0),0)+OFFSET(TblConstr[[#This Row],[Tot Tem]],-1,0)-TblConstr[[#This Row],[Dest Tem]]</f>
        <v>0</v>
      </c>
      <c r="BN55" s="394"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250</v>
      </c>
      <c r="BU55" s="161">
        <f ca="1">TblImps[[#This Row],[Time]]</f>
        <v>45734.124999999876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84">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100</v>
      </c>
      <c r="DA55" s="96">
        <f t="shared" ca="1" si="13"/>
        <v>40</v>
      </c>
      <c r="DB55" s="45">
        <f t="shared" ca="1" si="14"/>
        <v>20</v>
      </c>
      <c r="DC55" s="96">
        <f t="shared" ca="1" si="15"/>
        <v>20</v>
      </c>
      <c r="DD55" s="96">
        <f t="shared" ca="1" si="16"/>
        <v>20</v>
      </c>
      <c r="DE55" s="45">
        <f t="shared" ca="1" si="17"/>
        <v>20</v>
      </c>
      <c r="DF55" s="96">
        <f t="shared" ca="1" si="18"/>
        <v>20</v>
      </c>
      <c r="DG55" s="96"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7">
        <f>TblRezone[[#This Row],[Hour]]</f>
        <v>53</v>
      </c>
      <c r="B56" s="178">
        <f ca="1">SUM(TblConstr[[#This Row],[Plain]:[Water]])</f>
        <v>160</v>
      </c>
      <c r="C56" s="179">
        <f ca="1">SUM(TblConstr[[#This Row],[Tot Hom]:[Tot Doc]])</f>
        <v>90</v>
      </c>
      <c r="D56" s="179">
        <f t="shared" si="11"/>
        <v>0</v>
      </c>
      <c r="E56" s="180"/>
      <c r="F56" s="61">
        <f ca="1">TblConstr[[#This Row],[Barren]]+TblConstr[[#This Row],[Buildings]]+TblConstr[[#This Row],[Incoming]]</f>
        <v>250</v>
      </c>
      <c r="G56" s="189">
        <f ca="1">OFFSET(TblConstr[[#This Row],[Plain]],-1,0)+TblConstr[[#This Row],[Ch_Plain]]</f>
        <v>40</v>
      </c>
      <c r="H56" s="184">
        <f ca="1">OFFSET(TblConstr[[#This Row],[Forest]],-1,0)+TblConstr[[#This Row],[Ch_Forest]]</f>
        <v>20</v>
      </c>
      <c r="I56" s="384">
        <f ca="1">OFFSET(TblConstr[[#This Row],[Mountain]],-1,0)+TblConstr[[#This Row],[Ch_Mountain]]</f>
        <v>20</v>
      </c>
      <c r="J56" s="388">
        <f ca="1">OFFSET(TblConstr[[#This Row],[Hill]],-1,0)+TblConstr[[#This Row],[Ch_Hill]]</f>
        <v>20</v>
      </c>
      <c r="K56" s="392">
        <f ca="1">OFFSET(TblConstr[[#This Row],[Swamp]],-1,0)+TblConstr[[#This Row],[Ch_Swamp]]</f>
        <v>20</v>
      </c>
      <c r="L56" s="187">
        <f ca="1">OFFSET(TblConstr[[#This Row],[Cavern]],-1,0)+TblConstr[[#This Row],[Ch_Cavern]]</f>
        <v>20</v>
      </c>
      <c r="M56" s="188">
        <f ca="1">OFFSET(TblConstr[[#This Row],[Water]],-1,0)+TblConstr[[#This Row],[Ch_Water]]</f>
        <v>20</v>
      </c>
      <c r="N56" s="382">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45734.166666666541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406150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6">
        <f ca="1">ROUNDDOWN( MAX(1 - MIN(facs_constr_factor*TblConstr[[#This Row],[Facs -DB]],facs_constr_max) + tech_1_11*TblTech[[#This Row],[11-1]] + tech_6_3_2*TblTech[[#This Row],[6-3]] + tech_5_2_3*TblTech[[#This Row],[5-2]], 1-global_constr_cap) * TblConstr[[#This Row],[RCPA Lumber]],0)</f>
        <v>88</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6">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ROUND((TblConstr[[#This Row],[Land]]-250 - IF(TblExplore[[#This Row],[Land Bonus]]&lt;&gt;0,20,0))*1.25 + 850 + 0,0)</f>
        <v>850</v>
      </c>
      <c r="AW56" s="96">
        <f ca="1">ROUND((TblConstr[[#This Row],[Land]]-250 - IF(TblExplore[[#This Row],[Land Bonus]]&lt;&gt;0,20,0))*0.285 + 87.5 + 0/4.25,0)</f>
        <v>88</v>
      </c>
      <c r="AX56" s="156"/>
      <c r="AY56" s="190" cm="1">
        <f t="array" aca="1" ref="AY56" ca="1">IF(TblConstr[[#This Row],[Hour]:[Hour]]&gt;12,OFFSET(TblConstr[[#This Row],[Hom]],-12,0),0)+OFFSET(TblConstr[[#This Row],[Tot Hom]],-1,0)-TblConstr[[#This Row],[Dest Hom]]</f>
        <v>10</v>
      </c>
      <c r="AZ56" s="191" cm="1">
        <f t="array" aca="1" ref="AZ56" ca="1">IF(TblConstr[[#This Row],[Hour]:[Hour]]&gt;12,OFFSET(TblConstr[[#This Row],[Alc]],-12,0),0)+OFFSET(TblConstr[[#This Row],[Tot Alc]],-1,0)-TblConstr[[#This Row],[Dest Alc]]</f>
        <v>30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86" cm="1">
        <f t="array" aca="1" ref="BF56" ca="1">IF(TblConstr[[#This Row],[Hour]:[Hour]]&gt;12,OFFSET(TblConstr[[#This Row],[OM]],-12,0),0)+OFFSET(TblConstr[[#This Row],[Tot OM]],-1,0)-TblConstr[[#This Row],[Dest OM]]</f>
        <v>0</v>
      </c>
      <c r="BG56" s="386" cm="1">
        <f t="array" aca="1" ref="BG56" ca="1">IF(TblConstr[[#This Row],[Hour]:[Hour]]&gt;12,OFFSET(TblConstr[[#This Row],[GN]],-12,0),0)+OFFSET(TblConstr[[#This Row],[Tot GN]],-1,0)-TblConstr[[#This Row],[Dest GN]]</f>
        <v>0</v>
      </c>
      <c r="BH56" s="390" cm="1">
        <f t="array" aca="1" ref="BH56" ca="1">IF(TblConstr[[#This Row],[Hour]:[Hour]]&gt;12,OFFSET(TblConstr[[#This Row],[Fac]],-12,0),0)+OFFSET(TblConstr[[#This Row],[Tot Fac]],-1,0)-TblConstr[[#This Row],[Dest Fac]]</f>
        <v>0</v>
      </c>
      <c r="BI56" s="390" cm="1">
        <f t="array" aca="1" ref="BI56" ca="1">IF(TblConstr[[#This Row],[Hour]:[Hour]]&gt;12,OFFSET(TblConstr[[#This Row],[GT]],-12,0),0)+OFFSET(TblConstr[[#This Row],[Tot GT]],-1,0)-TblConstr[[#This Row],[Dest GT]]</f>
        <v>0</v>
      </c>
      <c r="BJ56" s="390" cm="1">
        <f t="array" aca="1" ref="BJ56" ca="1">IF(TblConstr[[#This Row],[Hour]:[Hour]]&gt;12,OFFSET(TblConstr[[#This Row],[Bar]],-12,0),0)+OFFSET(TblConstr[[#This Row],[Tot Bar]],-1,0)-TblConstr[[#This Row],[Dest Bar]]</f>
        <v>0</v>
      </c>
      <c r="BK56" s="390" cm="1">
        <f t="array" aca="1" ref="BK56" ca="1">IF(TblConstr[[#This Row],[Hour]:[Hour]]&gt;12,OFFSET(TblConstr[[#This Row],[Shr]],-12,0),0)+OFFSET(TblConstr[[#This Row],[Tot Shr]],-1,0)-TblConstr[[#This Row],[Dest Shr]]</f>
        <v>0</v>
      </c>
      <c r="BL56" s="394" cm="1">
        <f t="array" aca="1" ref="BL56" ca="1">IF(TblConstr[[#This Row],[Hour]:[Hour]]&gt;12,OFFSET(TblConstr[[#This Row],[Tow]],-12,0),0)+OFFSET(TblConstr[[#This Row],[Tot Tow]],-1,0)-TblConstr[[#This Row],[Dest Tow]]</f>
        <v>0</v>
      </c>
      <c r="BM56" s="394" cm="1">
        <f t="array" aca="1" ref="BM56" ca="1">IF(TblConstr[[#This Row],[Hour]:[Hour]]&gt;12,OFFSET(TblConstr[[#This Row],[Tem]],-12,0),0)+OFFSET(TblConstr[[#This Row],[Tot Tem]],-1,0)-TblConstr[[#This Row],[Dest Tem]]</f>
        <v>0</v>
      </c>
      <c r="BN56" s="394"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250</v>
      </c>
      <c r="BU56" s="161">
        <f ca="1">TblImps[[#This Row],[Time]]</f>
        <v>45734.166666666541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84">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100</v>
      </c>
      <c r="DA56" s="96">
        <f t="shared" ca="1" si="13"/>
        <v>40</v>
      </c>
      <c r="DB56" s="45">
        <f t="shared" ca="1" si="14"/>
        <v>20</v>
      </c>
      <c r="DC56" s="96">
        <f t="shared" ca="1" si="15"/>
        <v>20</v>
      </c>
      <c r="DD56" s="96">
        <f t="shared" ca="1" si="16"/>
        <v>20</v>
      </c>
      <c r="DE56" s="45">
        <f t="shared" ca="1" si="17"/>
        <v>20</v>
      </c>
      <c r="DF56" s="96">
        <f t="shared" ca="1" si="18"/>
        <v>20</v>
      </c>
      <c r="DG56" s="96"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7">
        <f>TblRezone[[#This Row],[Hour]]</f>
        <v>54</v>
      </c>
      <c r="B57" s="178">
        <f ca="1">SUM(TblConstr[[#This Row],[Plain]:[Water]])</f>
        <v>160</v>
      </c>
      <c r="C57" s="179">
        <f ca="1">SUM(TblConstr[[#This Row],[Tot Hom]:[Tot Doc]])</f>
        <v>90</v>
      </c>
      <c r="D57" s="179">
        <f t="shared" si="11"/>
        <v>0</v>
      </c>
      <c r="E57" s="180"/>
      <c r="F57" s="61">
        <f ca="1">TblConstr[[#This Row],[Barren]]+TblConstr[[#This Row],[Buildings]]+TblConstr[[#This Row],[Incoming]]</f>
        <v>250</v>
      </c>
      <c r="G57" s="189">
        <f ca="1">OFFSET(TblConstr[[#This Row],[Plain]],-1,0)+TblConstr[[#This Row],[Ch_Plain]]</f>
        <v>40</v>
      </c>
      <c r="H57" s="184">
        <f ca="1">OFFSET(TblConstr[[#This Row],[Forest]],-1,0)+TblConstr[[#This Row],[Ch_Forest]]</f>
        <v>20</v>
      </c>
      <c r="I57" s="384">
        <f ca="1">OFFSET(TblConstr[[#This Row],[Mountain]],-1,0)+TblConstr[[#This Row],[Ch_Mountain]]</f>
        <v>20</v>
      </c>
      <c r="J57" s="388">
        <f ca="1">OFFSET(TblConstr[[#This Row],[Hill]],-1,0)+TblConstr[[#This Row],[Ch_Hill]]</f>
        <v>20</v>
      </c>
      <c r="K57" s="392">
        <f ca="1">OFFSET(TblConstr[[#This Row],[Swamp]],-1,0)+TblConstr[[#This Row],[Ch_Swamp]]</f>
        <v>20</v>
      </c>
      <c r="L57" s="187">
        <f ca="1">OFFSET(TblConstr[[#This Row],[Cavern]],-1,0)+TblConstr[[#This Row],[Ch_Cavern]]</f>
        <v>20</v>
      </c>
      <c r="M57" s="188">
        <f ca="1">OFFSET(TblConstr[[#This Row],[Water]],-1,0)+TblConstr[[#This Row],[Ch_Water]]</f>
        <v>20</v>
      </c>
      <c r="N57" s="382">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45734.208333333205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411636</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6">
        <f ca="1">ROUNDDOWN( MAX(1 - MIN(facs_constr_factor*TblConstr[[#This Row],[Facs -DB]],facs_constr_max) + tech_1_11*TblTech[[#This Row],[11-1]] + tech_6_3_2*TblTech[[#This Row],[6-3]] + tech_5_2_3*TblTech[[#This Row],[5-2]], 1-global_constr_cap) * TblConstr[[#This Row],[RCPA Lumber]],0)</f>
        <v>88</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6">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ROUND((TblConstr[[#This Row],[Land]]-250 - IF(TblExplore[[#This Row],[Land Bonus]]&lt;&gt;0,20,0))*1.25 + 850 + 0,0)</f>
        <v>850</v>
      </c>
      <c r="AW57" s="96">
        <f ca="1">ROUND((TblConstr[[#This Row],[Land]]-250 - IF(TblExplore[[#This Row],[Land Bonus]]&lt;&gt;0,20,0))*0.285 + 87.5 + 0/4.25,0)</f>
        <v>88</v>
      </c>
      <c r="AX57" s="156"/>
      <c r="AY57" s="190" cm="1">
        <f t="array" aca="1" ref="AY57" ca="1">IF(TblConstr[[#This Row],[Hour]:[Hour]]&gt;12,OFFSET(TblConstr[[#This Row],[Hom]],-12,0),0)+OFFSET(TblConstr[[#This Row],[Tot Hom]],-1,0)-TblConstr[[#This Row],[Dest Hom]]</f>
        <v>10</v>
      </c>
      <c r="AZ57" s="191" cm="1">
        <f t="array" aca="1" ref="AZ57" ca="1">IF(TblConstr[[#This Row],[Hour]:[Hour]]&gt;12,OFFSET(TblConstr[[#This Row],[Alc]],-12,0),0)+OFFSET(TblConstr[[#This Row],[Tot Alc]],-1,0)-TblConstr[[#This Row],[Dest Alc]]</f>
        <v>30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86" cm="1">
        <f t="array" aca="1" ref="BF57" ca="1">IF(TblConstr[[#This Row],[Hour]:[Hour]]&gt;12,OFFSET(TblConstr[[#This Row],[OM]],-12,0),0)+OFFSET(TblConstr[[#This Row],[Tot OM]],-1,0)-TblConstr[[#This Row],[Dest OM]]</f>
        <v>0</v>
      </c>
      <c r="BG57" s="386" cm="1">
        <f t="array" aca="1" ref="BG57" ca="1">IF(TblConstr[[#This Row],[Hour]:[Hour]]&gt;12,OFFSET(TblConstr[[#This Row],[GN]],-12,0),0)+OFFSET(TblConstr[[#This Row],[Tot GN]],-1,0)-TblConstr[[#This Row],[Dest GN]]</f>
        <v>0</v>
      </c>
      <c r="BH57" s="390" cm="1">
        <f t="array" aca="1" ref="BH57" ca="1">IF(TblConstr[[#This Row],[Hour]:[Hour]]&gt;12,OFFSET(TblConstr[[#This Row],[Fac]],-12,0),0)+OFFSET(TblConstr[[#This Row],[Tot Fac]],-1,0)-TblConstr[[#This Row],[Dest Fac]]</f>
        <v>0</v>
      </c>
      <c r="BI57" s="390" cm="1">
        <f t="array" aca="1" ref="BI57" ca="1">IF(TblConstr[[#This Row],[Hour]:[Hour]]&gt;12,OFFSET(TblConstr[[#This Row],[GT]],-12,0),0)+OFFSET(TblConstr[[#This Row],[Tot GT]],-1,0)-TblConstr[[#This Row],[Dest GT]]</f>
        <v>0</v>
      </c>
      <c r="BJ57" s="390" cm="1">
        <f t="array" aca="1" ref="BJ57" ca="1">IF(TblConstr[[#This Row],[Hour]:[Hour]]&gt;12,OFFSET(TblConstr[[#This Row],[Bar]],-12,0),0)+OFFSET(TblConstr[[#This Row],[Tot Bar]],-1,0)-TblConstr[[#This Row],[Dest Bar]]</f>
        <v>0</v>
      </c>
      <c r="BK57" s="390" cm="1">
        <f t="array" aca="1" ref="BK57" ca="1">IF(TblConstr[[#This Row],[Hour]:[Hour]]&gt;12,OFFSET(TblConstr[[#This Row],[Shr]],-12,0),0)+OFFSET(TblConstr[[#This Row],[Tot Shr]],-1,0)-TblConstr[[#This Row],[Dest Shr]]</f>
        <v>0</v>
      </c>
      <c r="BL57" s="394" cm="1">
        <f t="array" aca="1" ref="BL57" ca="1">IF(TblConstr[[#This Row],[Hour]:[Hour]]&gt;12,OFFSET(TblConstr[[#This Row],[Tow]],-12,0),0)+OFFSET(TblConstr[[#This Row],[Tot Tow]],-1,0)-TblConstr[[#This Row],[Dest Tow]]</f>
        <v>0</v>
      </c>
      <c r="BM57" s="394" cm="1">
        <f t="array" aca="1" ref="BM57" ca="1">IF(TblConstr[[#This Row],[Hour]:[Hour]]&gt;12,OFFSET(TblConstr[[#This Row],[Tem]],-12,0),0)+OFFSET(TblConstr[[#This Row],[Tot Tem]],-1,0)-TblConstr[[#This Row],[Dest Tem]]</f>
        <v>0</v>
      </c>
      <c r="BN57" s="394"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250</v>
      </c>
      <c r="BU57" s="161">
        <f ca="1">TblImps[[#This Row],[Time]]</f>
        <v>45734.208333333205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84">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100</v>
      </c>
      <c r="DA57" s="96">
        <f t="shared" ca="1" si="13"/>
        <v>40</v>
      </c>
      <c r="DB57" s="45">
        <f t="shared" ca="1" si="14"/>
        <v>20</v>
      </c>
      <c r="DC57" s="96">
        <f t="shared" ca="1" si="15"/>
        <v>20</v>
      </c>
      <c r="DD57" s="96">
        <f t="shared" ca="1" si="16"/>
        <v>20</v>
      </c>
      <c r="DE57" s="45">
        <f t="shared" ca="1" si="17"/>
        <v>20</v>
      </c>
      <c r="DF57" s="96">
        <f t="shared" ca="1" si="18"/>
        <v>20</v>
      </c>
      <c r="DG57" s="96"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7">
        <f>TblRezone[[#This Row],[Hour]]</f>
        <v>55</v>
      </c>
      <c r="B58" s="178">
        <f ca="1">SUM(TblConstr[[#This Row],[Plain]:[Water]])</f>
        <v>160</v>
      </c>
      <c r="C58" s="179">
        <f ca="1">SUM(TblConstr[[#This Row],[Tot Hom]:[Tot Doc]])</f>
        <v>90</v>
      </c>
      <c r="D58" s="179">
        <f t="shared" si="11"/>
        <v>0</v>
      </c>
      <c r="E58" s="180"/>
      <c r="F58" s="61">
        <f ca="1">TblConstr[[#This Row],[Barren]]+TblConstr[[#This Row],[Buildings]]+TblConstr[[#This Row],[Incoming]]</f>
        <v>250</v>
      </c>
      <c r="G58" s="189">
        <f ca="1">OFFSET(TblConstr[[#This Row],[Plain]],-1,0)+TblConstr[[#This Row],[Ch_Plain]]</f>
        <v>40</v>
      </c>
      <c r="H58" s="184">
        <f ca="1">OFFSET(TblConstr[[#This Row],[Forest]],-1,0)+TblConstr[[#This Row],[Ch_Forest]]</f>
        <v>20</v>
      </c>
      <c r="I58" s="384">
        <f ca="1">OFFSET(TblConstr[[#This Row],[Mountain]],-1,0)+TblConstr[[#This Row],[Ch_Mountain]]</f>
        <v>20</v>
      </c>
      <c r="J58" s="388">
        <f ca="1">OFFSET(TblConstr[[#This Row],[Hill]],-1,0)+TblConstr[[#This Row],[Ch_Hill]]</f>
        <v>20</v>
      </c>
      <c r="K58" s="392">
        <f ca="1">OFFSET(TblConstr[[#This Row],[Swamp]],-1,0)+TblConstr[[#This Row],[Ch_Swamp]]</f>
        <v>20</v>
      </c>
      <c r="L58" s="187">
        <f ca="1">OFFSET(TblConstr[[#This Row],[Cavern]],-1,0)+TblConstr[[#This Row],[Ch_Cavern]]</f>
        <v>20</v>
      </c>
      <c r="M58" s="188">
        <f ca="1">OFFSET(TblConstr[[#This Row],[Water]],-1,0)+TblConstr[[#This Row],[Ch_Water]]</f>
        <v>20</v>
      </c>
      <c r="N58" s="382">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45734.249999999869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417122</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6">
        <f ca="1">ROUNDDOWN( MAX(1 - MIN(facs_constr_factor*TblConstr[[#This Row],[Facs -DB]],facs_constr_max) + tech_1_11*TblTech[[#This Row],[11-1]] + tech_6_3_2*TblTech[[#This Row],[6-3]] + tech_5_2_3*TblTech[[#This Row],[5-2]], 1-global_constr_cap) * TblConstr[[#This Row],[RCPA Lumber]],0)</f>
        <v>88</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6">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ROUND((TblConstr[[#This Row],[Land]]-250 - IF(TblExplore[[#This Row],[Land Bonus]]&lt;&gt;0,20,0))*1.25 + 850 + 0,0)</f>
        <v>850</v>
      </c>
      <c r="AW58" s="96">
        <f ca="1">ROUND((TblConstr[[#This Row],[Land]]-250 - IF(TblExplore[[#This Row],[Land Bonus]]&lt;&gt;0,20,0))*0.285 + 87.5 + 0/4.25,0)</f>
        <v>88</v>
      </c>
      <c r="AX58" s="156"/>
      <c r="AY58" s="190" cm="1">
        <f t="array" aca="1" ref="AY58" ca="1">IF(TblConstr[[#This Row],[Hour]:[Hour]]&gt;12,OFFSET(TblConstr[[#This Row],[Hom]],-12,0),0)+OFFSET(TblConstr[[#This Row],[Tot Hom]],-1,0)-TblConstr[[#This Row],[Dest Hom]]</f>
        <v>10</v>
      </c>
      <c r="AZ58" s="191" cm="1">
        <f t="array" aca="1" ref="AZ58" ca="1">IF(TblConstr[[#This Row],[Hour]:[Hour]]&gt;12,OFFSET(TblConstr[[#This Row],[Alc]],-12,0),0)+OFFSET(TblConstr[[#This Row],[Tot Alc]],-1,0)-TblConstr[[#This Row],[Dest Alc]]</f>
        <v>30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86" cm="1">
        <f t="array" aca="1" ref="BF58" ca="1">IF(TblConstr[[#This Row],[Hour]:[Hour]]&gt;12,OFFSET(TblConstr[[#This Row],[OM]],-12,0),0)+OFFSET(TblConstr[[#This Row],[Tot OM]],-1,0)-TblConstr[[#This Row],[Dest OM]]</f>
        <v>0</v>
      </c>
      <c r="BG58" s="386" cm="1">
        <f t="array" aca="1" ref="BG58" ca="1">IF(TblConstr[[#This Row],[Hour]:[Hour]]&gt;12,OFFSET(TblConstr[[#This Row],[GN]],-12,0),0)+OFFSET(TblConstr[[#This Row],[Tot GN]],-1,0)-TblConstr[[#This Row],[Dest GN]]</f>
        <v>0</v>
      </c>
      <c r="BH58" s="390" cm="1">
        <f t="array" aca="1" ref="BH58" ca="1">IF(TblConstr[[#This Row],[Hour]:[Hour]]&gt;12,OFFSET(TblConstr[[#This Row],[Fac]],-12,0),0)+OFFSET(TblConstr[[#This Row],[Tot Fac]],-1,0)-TblConstr[[#This Row],[Dest Fac]]</f>
        <v>0</v>
      </c>
      <c r="BI58" s="390" cm="1">
        <f t="array" aca="1" ref="BI58" ca="1">IF(TblConstr[[#This Row],[Hour]:[Hour]]&gt;12,OFFSET(TblConstr[[#This Row],[GT]],-12,0),0)+OFFSET(TblConstr[[#This Row],[Tot GT]],-1,0)-TblConstr[[#This Row],[Dest GT]]</f>
        <v>0</v>
      </c>
      <c r="BJ58" s="390" cm="1">
        <f t="array" aca="1" ref="BJ58" ca="1">IF(TblConstr[[#This Row],[Hour]:[Hour]]&gt;12,OFFSET(TblConstr[[#This Row],[Bar]],-12,0),0)+OFFSET(TblConstr[[#This Row],[Tot Bar]],-1,0)-TblConstr[[#This Row],[Dest Bar]]</f>
        <v>0</v>
      </c>
      <c r="BK58" s="390" cm="1">
        <f t="array" aca="1" ref="BK58" ca="1">IF(TblConstr[[#This Row],[Hour]:[Hour]]&gt;12,OFFSET(TblConstr[[#This Row],[Shr]],-12,0),0)+OFFSET(TblConstr[[#This Row],[Tot Shr]],-1,0)-TblConstr[[#This Row],[Dest Shr]]</f>
        <v>0</v>
      </c>
      <c r="BL58" s="394" cm="1">
        <f t="array" aca="1" ref="BL58" ca="1">IF(TblConstr[[#This Row],[Hour]:[Hour]]&gt;12,OFFSET(TblConstr[[#This Row],[Tow]],-12,0),0)+OFFSET(TblConstr[[#This Row],[Tot Tow]],-1,0)-TblConstr[[#This Row],[Dest Tow]]</f>
        <v>0</v>
      </c>
      <c r="BM58" s="394" cm="1">
        <f t="array" aca="1" ref="BM58" ca="1">IF(TblConstr[[#This Row],[Hour]:[Hour]]&gt;12,OFFSET(TblConstr[[#This Row],[Tem]],-12,0),0)+OFFSET(TblConstr[[#This Row],[Tot Tem]],-1,0)-TblConstr[[#This Row],[Dest Tem]]</f>
        <v>0</v>
      </c>
      <c r="BN58" s="394"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250</v>
      </c>
      <c r="BU58" s="161">
        <f ca="1">TblImps[[#This Row],[Time]]</f>
        <v>45734.249999999869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84">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100</v>
      </c>
      <c r="DA58" s="96">
        <f t="shared" ca="1" si="13"/>
        <v>40</v>
      </c>
      <c r="DB58" s="45">
        <f t="shared" ca="1" si="14"/>
        <v>20</v>
      </c>
      <c r="DC58" s="96">
        <f t="shared" ca="1" si="15"/>
        <v>20</v>
      </c>
      <c r="DD58" s="96">
        <f t="shared" ca="1" si="16"/>
        <v>20</v>
      </c>
      <c r="DE58" s="45">
        <f t="shared" ca="1" si="17"/>
        <v>20</v>
      </c>
      <c r="DF58" s="96">
        <f t="shared" ca="1" si="18"/>
        <v>20</v>
      </c>
      <c r="DG58" s="96"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7">
        <f>TblRezone[[#This Row],[Hour]]</f>
        <v>56</v>
      </c>
      <c r="B59" s="178">
        <f ca="1">SUM(TblConstr[[#This Row],[Plain]:[Water]])</f>
        <v>160</v>
      </c>
      <c r="C59" s="179">
        <f ca="1">SUM(TblConstr[[#This Row],[Tot Hom]:[Tot Doc]])</f>
        <v>90</v>
      </c>
      <c r="D59" s="179">
        <f t="shared" si="11"/>
        <v>0</v>
      </c>
      <c r="E59" s="180"/>
      <c r="F59" s="61">
        <f ca="1">TblConstr[[#This Row],[Barren]]+TblConstr[[#This Row],[Buildings]]+TblConstr[[#This Row],[Incoming]]</f>
        <v>250</v>
      </c>
      <c r="G59" s="189">
        <f ca="1">OFFSET(TblConstr[[#This Row],[Plain]],-1,0)+TblConstr[[#This Row],[Ch_Plain]]</f>
        <v>40</v>
      </c>
      <c r="H59" s="184">
        <f ca="1">OFFSET(TblConstr[[#This Row],[Forest]],-1,0)+TblConstr[[#This Row],[Ch_Forest]]</f>
        <v>20</v>
      </c>
      <c r="I59" s="384">
        <f ca="1">OFFSET(TblConstr[[#This Row],[Mountain]],-1,0)+TblConstr[[#This Row],[Ch_Mountain]]</f>
        <v>20</v>
      </c>
      <c r="J59" s="388">
        <f ca="1">OFFSET(TblConstr[[#This Row],[Hill]],-1,0)+TblConstr[[#This Row],[Ch_Hill]]</f>
        <v>20</v>
      </c>
      <c r="K59" s="392">
        <f ca="1">OFFSET(TblConstr[[#This Row],[Swamp]],-1,0)+TblConstr[[#This Row],[Ch_Swamp]]</f>
        <v>20</v>
      </c>
      <c r="L59" s="187">
        <f ca="1">OFFSET(TblConstr[[#This Row],[Cavern]],-1,0)+TblConstr[[#This Row],[Ch_Cavern]]</f>
        <v>20</v>
      </c>
      <c r="M59" s="188">
        <f ca="1">OFFSET(TblConstr[[#This Row],[Water]],-1,0)+TblConstr[[#This Row],[Ch_Water]]</f>
        <v>20</v>
      </c>
      <c r="N59" s="382">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45734.291666666533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422608</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6">
        <f ca="1">ROUNDDOWN( MAX(1 - MIN(facs_constr_factor*TblConstr[[#This Row],[Facs -DB]],facs_constr_max) + tech_1_11*TblTech[[#This Row],[11-1]] + tech_6_3_2*TblTech[[#This Row],[6-3]] + tech_5_2_3*TblTech[[#This Row],[5-2]], 1-global_constr_cap) * TblConstr[[#This Row],[RCPA Lumber]],0)</f>
        <v>88</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6">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ROUND((TblConstr[[#This Row],[Land]]-250 - IF(TblExplore[[#This Row],[Land Bonus]]&lt;&gt;0,20,0))*1.25 + 850 + 0,0)</f>
        <v>850</v>
      </c>
      <c r="AW59" s="96">
        <f ca="1">ROUND((TblConstr[[#This Row],[Land]]-250 - IF(TblExplore[[#This Row],[Land Bonus]]&lt;&gt;0,20,0))*0.285 + 87.5 + 0/4.25,0)</f>
        <v>88</v>
      </c>
      <c r="AX59" s="156"/>
      <c r="AY59" s="190" cm="1">
        <f t="array" aca="1" ref="AY59" ca="1">IF(TblConstr[[#This Row],[Hour]:[Hour]]&gt;12,OFFSET(TblConstr[[#This Row],[Hom]],-12,0),0)+OFFSET(TblConstr[[#This Row],[Tot Hom]],-1,0)-TblConstr[[#This Row],[Dest Hom]]</f>
        <v>10</v>
      </c>
      <c r="AZ59" s="191" cm="1">
        <f t="array" aca="1" ref="AZ59" ca="1">IF(TblConstr[[#This Row],[Hour]:[Hour]]&gt;12,OFFSET(TblConstr[[#This Row],[Alc]],-12,0),0)+OFFSET(TblConstr[[#This Row],[Tot Alc]],-1,0)-TblConstr[[#This Row],[Dest Alc]]</f>
        <v>30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86" cm="1">
        <f t="array" aca="1" ref="BF59" ca="1">IF(TblConstr[[#This Row],[Hour]:[Hour]]&gt;12,OFFSET(TblConstr[[#This Row],[OM]],-12,0),0)+OFFSET(TblConstr[[#This Row],[Tot OM]],-1,0)-TblConstr[[#This Row],[Dest OM]]</f>
        <v>0</v>
      </c>
      <c r="BG59" s="386" cm="1">
        <f t="array" aca="1" ref="BG59" ca="1">IF(TblConstr[[#This Row],[Hour]:[Hour]]&gt;12,OFFSET(TblConstr[[#This Row],[GN]],-12,0),0)+OFFSET(TblConstr[[#This Row],[Tot GN]],-1,0)-TblConstr[[#This Row],[Dest GN]]</f>
        <v>0</v>
      </c>
      <c r="BH59" s="390" cm="1">
        <f t="array" aca="1" ref="BH59" ca="1">IF(TblConstr[[#This Row],[Hour]:[Hour]]&gt;12,OFFSET(TblConstr[[#This Row],[Fac]],-12,0),0)+OFFSET(TblConstr[[#This Row],[Tot Fac]],-1,0)-TblConstr[[#This Row],[Dest Fac]]</f>
        <v>0</v>
      </c>
      <c r="BI59" s="390" cm="1">
        <f t="array" aca="1" ref="BI59" ca="1">IF(TblConstr[[#This Row],[Hour]:[Hour]]&gt;12,OFFSET(TblConstr[[#This Row],[GT]],-12,0),0)+OFFSET(TblConstr[[#This Row],[Tot GT]],-1,0)-TblConstr[[#This Row],[Dest GT]]</f>
        <v>0</v>
      </c>
      <c r="BJ59" s="390" cm="1">
        <f t="array" aca="1" ref="BJ59" ca="1">IF(TblConstr[[#This Row],[Hour]:[Hour]]&gt;12,OFFSET(TblConstr[[#This Row],[Bar]],-12,0),0)+OFFSET(TblConstr[[#This Row],[Tot Bar]],-1,0)-TblConstr[[#This Row],[Dest Bar]]</f>
        <v>0</v>
      </c>
      <c r="BK59" s="390" cm="1">
        <f t="array" aca="1" ref="BK59" ca="1">IF(TblConstr[[#This Row],[Hour]:[Hour]]&gt;12,OFFSET(TblConstr[[#This Row],[Shr]],-12,0),0)+OFFSET(TblConstr[[#This Row],[Tot Shr]],-1,0)-TblConstr[[#This Row],[Dest Shr]]</f>
        <v>0</v>
      </c>
      <c r="BL59" s="394" cm="1">
        <f t="array" aca="1" ref="BL59" ca="1">IF(TblConstr[[#This Row],[Hour]:[Hour]]&gt;12,OFFSET(TblConstr[[#This Row],[Tow]],-12,0),0)+OFFSET(TblConstr[[#This Row],[Tot Tow]],-1,0)-TblConstr[[#This Row],[Dest Tow]]</f>
        <v>0</v>
      </c>
      <c r="BM59" s="394" cm="1">
        <f t="array" aca="1" ref="BM59" ca="1">IF(TblConstr[[#This Row],[Hour]:[Hour]]&gt;12,OFFSET(TblConstr[[#This Row],[Tem]],-12,0),0)+OFFSET(TblConstr[[#This Row],[Tot Tem]],-1,0)-TblConstr[[#This Row],[Dest Tem]]</f>
        <v>0</v>
      </c>
      <c r="BN59" s="394"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250</v>
      </c>
      <c r="BU59" s="161">
        <f ca="1">TblImps[[#This Row],[Time]]</f>
        <v>45734.291666666533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84">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100</v>
      </c>
      <c r="DA59" s="96">
        <f t="shared" ca="1" si="13"/>
        <v>40</v>
      </c>
      <c r="DB59" s="45">
        <f t="shared" ca="1" si="14"/>
        <v>20</v>
      </c>
      <c r="DC59" s="96">
        <f t="shared" ca="1" si="15"/>
        <v>20</v>
      </c>
      <c r="DD59" s="96">
        <f t="shared" ca="1" si="16"/>
        <v>20</v>
      </c>
      <c r="DE59" s="45">
        <f t="shared" ca="1" si="17"/>
        <v>20</v>
      </c>
      <c r="DF59" s="96">
        <f t="shared" ca="1" si="18"/>
        <v>20</v>
      </c>
      <c r="DG59" s="96"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7">
        <f>TblRezone[[#This Row],[Hour]]</f>
        <v>57</v>
      </c>
      <c r="B60" s="178">
        <f ca="1">SUM(TblConstr[[#This Row],[Plain]:[Water]])</f>
        <v>160</v>
      </c>
      <c r="C60" s="179">
        <f ca="1">SUM(TblConstr[[#This Row],[Tot Hom]:[Tot Doc]])</f>
        <v>90</v>
      </c>
      <c r="D60" s="179">
        <f t="shared" si="11"/>
        <v>0</v>
      </c>
      <c r="E60" s="180"/>
      <c r="F60" s="61">
        <f ca="1">TblConstr[[#This Row],[Barren]]+TblConstr[[#This Row],[Buildings]]+TblConstr[[#This Row],[Incoming]]</f>
        <v>250</v>
      </c>
      <c r="G60" s="189">
        <f ca="1">OFFSET(TblConstr[[#This Row],[Plain]],-1,0)+TblConstr[[#This Row],[Ch_Plain]]</f>
        <v>40</v>
      </c>
      <c r="H60" s="184">
        <f ca="1">OFFSET(TblConstr[[#This Row],[Forest]],-1,0)+TblConstr[[#This Row],[Ch_Forest]]</f>
        <v>20</v>
      </c>
      <c r="I60" s="384">
        <f ca="1">OFFSET(TblConstr[[#This Row],[Mountain]],-1,0)+TblConstr[[#This Row],[Ch_Mountain]]</f>
        <v>20</v>
      </c>
      <c r="J60" s="388">
        <f ca="1">OFFSET(TblConstr[[#This Row],[Hill]],-1,0)+TblConstr[[#This Row],[Ch_Hill]]</f>
        <v>20</v>
      </c>
      <c r="K60" s="392">
        <f ca="1">OFFSET(TblConstr[[#This Row],[Swamp]],-1,0)+TblConstr[[#This Row],[Ch_Swamp]]</f>
        <v>20</v>
      </c>
      <c r="L60" s="187">
        <f ca="1">OFFSET(TblConstr[[#This Row],[Cavern]],-1,0)+TblConstr[[#This Row],[Ch_Cavern]]</f>
        <v>20</v>
      </c>
      <c r="M60" s="188">
        <f ca="1">OFFSET(TblConstr[[#This Row],[Water]],-1,0)+TblConstr[[#This Row],[Ch_Water]]</f>
        <v>20</v>
      </c>
      <c r="N60" s="382">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45734.333333333198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428094</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6">
        <f ca="1">ROUNDDOWN( MAX(1 - MIN(facs_constr_factor*TblConstr[[#This Row],[Facs -DB]],facs_constr_max) + tech_1_11*TblTech[[#This Row],[11-1]] + tech_6_3_2*TblTech[[#This Row],[6-3]] + tech_5_2_3*TblTech[[#This Row],[5-2]], 1-global_constr_cap) * TblConstr[[#This Row],[RCPA Lumber]],0)</f>
        <v>88</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6">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ROUND((TblConstr[[#This Row],[Land]]-250 - IF(TblExplore[[#This Row],[Land Bonus]]&lt;&gt;0,20,0))*1.25 + 850 + 0,0)</f>
        <v>850</v>
      </c>
      <c r="AW60" s="96">
        <f ca="1">ROUND((TblConstr[[#This Row],[Land]]-250 - IF(TblExplore[[#This Row],[Land Bonus]]&lt;&gt;0,20,0))*0.285 + 87.5 + 0/4.25,0)</f>
        <v>88</v>
      </c>
      <c r="AX60" s="156"/>
      <c r="AY60" s="190" cm="1">
        <f t="array" aca="1" ref="AY60" ca="1">IF(TblConstr[[#This Row],[Hour]:[Hour]]&gt;12,OFFSET(TblConstr[[#This Row],[Hom]],-12,0),0)+OFFSET(TblConstr[[#This Row],[Tot Hom]],-1,0)-TblConstr[[#This Row],[Dest Hom]]</f>
        <v>10</v>
      </c>
      <c r="AZ60" s="191" cm="1">
        <f t="array" aca="1" ref="AZ60" ca="1">IF(TblConstr[[#This Row],[Hour]:[Hour]]&gt;12,OFFSET(TblConstr[[#This Row],[Alc]],-12,0),0)+OFFSET(TblConstr[[#This Row],[Tot Alc]],-1,0)-TblConstr[[#This Row],[Dest Alc]]</f>
        <v>30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86" cm="1">
        <f t="array" aca="1" ref="BF60" ca="1">IF(TblConstr[[#This Row],[Hour]:[Hour]]&gt;12,OFFSET(TblConstr[[#This Row],[OM]],-12,0),0)+OFFSET(TblConstr[[#This Row],[Tot OM]],-1,0)-TblConstr[[#This Row],[Dest OM]]</f>
        <v>0</v>
      </c>
      <c r="BG60" s="386" cm="1">
        <f t="array" aca="1" ref="BG60" ca="1">IF(TblConstr[[#This Row],[Hour]:[Hour]]&gt;12,OFFSET(TblConstr[[#This Row],[GN]],-12,0),0)+OFFSET(TblConstr[[#This Row],[Tot GN]],-1,0)-TblConstr[[#This Row],[Dest GN]]</f>
        <v>0</v>
      </c>
      <c r="BH60" s="390" cm="1">
        <f t="array" aca="1" ref="BH60" ca="1">IF(TblConstr[[#This Row],[Hour]:[Hour]]&gt;12,OFFSET(TblConstr[[#This Row],[Fac]],-12,0),0)+OFFSET(TblConstr[[#This Row],[Tot Fac]],-1,0)-TblConstr[[#This Row],[Dest Fac]]</f>
        <v>0</v>
      </c>
      <c r="BI60" s="390" cm="1">
        <f t="array" aca="1" ref="BI60" ca="1">IF(TblConstr[[#This Row],[Hour]:[Hour]]&gt;12,OFFSET(TblConstr[[#This Row],[GT]],-12,0),0)+OFFSET(TblConstr[[#This Row],[Tot GT]],-1,0)-TblConstr[[#This Row],[Dest GT]]</f>
        <v>0</v>
      </c>
      <c r="BJ60" s="390" cm="1">
        <f t="array" aca="1" ref="BJ60" ca="1">IF(TblConstr[[#This Row],[Hour]:[Hour]]&gt;12,OFFSET(TblConstr[[#This Row],[Bar]],-12,0),0)+OFFSET(TblConstr[[#This Row],[Tot Bar]],-1,0)-TblConstr[[#This Row],[Dest Bar]]</f>
        <v>0</v>
      </c>
      <c r="BK60" s="390" cm="1">
        <f t="array" aca="1" ref="BK60" ca="1">IF(TblConstr[[#This Row],[Hour]:[Hour]]&gt;12,OFFSET(TblConstr[[#This Row],[Shr]],-12,0),0)+OFFSET(TblConstr[[#This Row],[Tot Shr]],-1,0)-TblConstr[[#This Row],[Dest Shr]]</f>
        <v>0</v>
      </c>
      <c r="BL60" s="394" cm="1">
        <f t="array" aca="1" ref="BL60" ca="1">IF(TblConstr[[#This Row],[Hour]:[Hour]]&gt;12,OFFSET(TblConstr[[#This Row],[Tow]],-12,0),0)+OFFSET(TblConstr[[#This Row],[Tot Tow]],-1,0)-TblConstr[[#This Row],[Dest Tow]]</f>
        <v>0</v>
      </c>
      <c r="BM60" s="394" cm="1">
        <f t="array" aca="1" ref="BM60" ca="1">IF(TblConstr[[#This Row],[Hour]:[Hour]]&gt;12,OFFSET(TblConstr[[#This Row],[Tem]],-12,0),0)+OFFSET(TblConstr[[#This Row],[Tot Tem]],-1,0)-TblConstr[[#This Row],[Dest Tem]]</f>
        <v>0</v>
      </c>
      <c r="BN60" s="394"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250</v>
      </c>
      <c r="BU60" s="161">
        <f ca="1">TblImps[[#This Row],[Time]]</f>
        <v>45734.333333333198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84">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100</v>
      </c>
      <c r="DA60" s="96">
        <f t="shared" ca="1" si="13"/>
        <v>40</v>
      </c>
      <c r="DB60" s="45">
        <f t="shared" ca="1" si="14"/>
        <v>20</v>
      </c>
      <c r="DC60" s="96">
        <f t="shared" ca="1" si="15"/>
        <v>20</v>
      </c>
      <c r="DD60" s="96">
        <f t="shared" ca="1" si="16"/>
        <v>20</v>
      </c>
      <c r="DE60" s="45">
        <f t="shared" ca="1" si="17"/>
        <v>20</v>
      </c>
      <c r="DF60" s="96">
        <f t="shared" ca="1" si="18"/>
        <v>20</v>
      </c>
      <c r="DG60" s="96"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7">
        <f>TblRezone[[#This Row],[Hour]]</f>
        <v>58</v>
      </c>
      <c r="B61" s="178">
        <f ca="1">SUM(TblConstr[[#This Row],[Plain]:[Water]])</f>
        <v>160</v>
      </c>
      <c r="C61" s="179">
        <f ca="1">SUM(TblConstr[[#This Row],[Tot Hom]:[Tot Doc]])</f>
        <v>90</v>
      </c>
      <c r="D61" s="179">
        <f t="shared" si="11"/>
        <v>0</v>
      </c>
      <c r="E61" s="180"/>
      <c r="F61" s="61">
        <f ca="1">TblConstr[[#This Row],[Barren]]+TblConstr[[#This Row],[Buildings]]+TblConstr[[#This Row],[Incoming]]</f>
        <v>250</v>
      </c>
      <c r="G61" s="189">
        <f ca="1">OFFSET(TblConstr[[#This Row],[Plain]],-1,0)+TblConstr[[#This Row],[Ch_Plain]]</f>
        <v>40</v>
      </c>
      <c r="H61" s="184">
        <f ca="1">OFFSET(TblConstr[[#This Row],[Forest]],-1,0)+TblConstr[[#This Row],[Ch_Forest]]</f>
        <v>20</v>
      </c>
      <c r="I61" s="384">
        <f ca="1">OFFSET(TblConstr[[#This Row],[Mountain]],-1,0)+TblConstr[[#This Row],[Ch_Mountain]]</f>
        <v>20</v>
      </c>
      <c r="J61" s="388">
        <f ca="1">OFFSET(TblConstr[[#This Row],[Hill]],-1,0)+TblConstr[[#This Row],[Ch_Hill]]</f>
        <v>20</v>
      </c>
      <c r="K61" s="392">
        <f ca="1">OFFSET(TblConstr[[#This Row],[Swamp]],-1,0)+TblConstr[[#This Row],[Ch_Swamp]]</f>
        <v>20</v>
      </c>
      <c r="L61" s="187">
        <f ca="1">OFFSET(TblConstr[[#This Row],[Cavern]],-1,0)+TblConstr[[#This Row],[Ch_Cavern]]</f>
        <v>20</v>
      </c>
      <c r="M61" s="188">
        <f ca="1">OFFSET(TblConstr[[#This Row],[Water]],-1,0)+TblConstr[[#This Row],[Ch_Water]]</f>
        <v>20</v>
      </c>
      <c r="N61" s="382">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45734.374999999862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433580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6">
        <f ca="1">ROUNDDOWN( MAX(1 - MIN(facs_constr_factor*TblConstr[[#This Row],[Facs -DB]],facs_constr_max) + tech_1_11*TblTech[[#This Row],[11-1]] + tech_6_3_2*TblTech[[#This Row],[6-3]] + tech_5_2_3*TblTech[[#This Row],[5-2]], 1-global_constr_cap) * TblConstr[[#This Row],[RCPA Lumber]],0)</f>
        <v>88</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6">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ROUND((TblConstr[[#This Row],[Land]]-250 - IF(TblExplore[[#This Row],[Land Bonus]]&lt;&gt;0,20,0))*1.25 + 850 + 0,0)</f>
        <v>850</v>
      </c>
      <c r="AW61" s="96">
        <f ca="1">ROUND((TblConstr[[#This Row],[Land]]-250 - IF(TblExplore[[#This Row],[Land Bonus]]&lt;&gt;0,20,0))*0.285 + 87.5 + 0/4.25,0)</f>
        <v>88</v>
      </c>
      <c r="AX61" s="156"/>
      <c r="AY61" s="190" cm="1">
        <f t="array" aca="1" ref="AY61" ca="1">IF(TblConstr[[#This Row],[Hour]:[Hour]]&gt;12,OFFSET(TblConstr[[#This Row],[Hom]],-12,0),0)+OFFSET(TblConstr[[#This Row],[Tot Hom]],-1,0)-TblConstr[[#This Row],[Dest Hom]]</f>
        <v>10</v>
      </c>
      <c r="AZ61" s="191" cm="1">
        <f t="array" aca="1" ref="AZ61" ca="1">IF(TblConstr[[#This Row],[Hour]:[Hour]]&gt;12,OFFSET(TblConstr[[#This Row],[Alc]],-12,0),0)+OFFSET(TblConstr[[#This Row],[Tot Alc]],-1,0)-TblConstr[[#This Row],[Dest Alc]]</f>
        <v>30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86" cm="1">
        <f t="array" aca="1" ref="BF61" ca="1">IF(TblConstr[[#This Row],[Hour]:[Hour]]&gt;12,OFFSET(TblConstr[[#This Row],[OM]],-12,0),0)+OFFSET(TblConstr[[#This Row],[Tot OM]],-1,0)-TblConstr[[#This Row],[Dest OM]]</f>
        <v>0</v>
      </c>
      <c r="BG61" s="386" cm="1">
        <f t="array" aca="1" ref="BG61" ca="1">IF(TblConstr[[#This Row],[Hour]:[Hour]]&gt;12,OFFSET(TblConstr[[#This Row],[GN]],-12,0),0)+OFFSET(TblConstr[[#This Row],[Tot GN]],-1,0)-TblConstr[[#This Row],[Dest GN]]</f>
        <v>0</v>
      </c>
      <c r="BH61" s="390" cm="1">
        <f t="array" aca="1" ref="BH61" ca="1">IF(TblConstr[[#This Row],[Hour]:[Hour]]&gt;12,OFFSET(TblConstr[[#This Row],[Fac]],-12,0),0)+OFFSET(TblConstr[[#This Row],[Tot Fac]],-1,0)-TblConstr[[#This Row],[Dest Fac]]</f>
        <v>0</v>
      </c>
      <c r="BI61" s="390" cm="1">
        <f t="array" aca="1" ref="BI61" ca="1">IF(TblConstr[[#This Row],[Hour]:[Hour]]&gt;12,OFFSET(TblConstr[[#This Row],[GT]],-12,0),0)+OFFSET(TblConstr[[#This Row],[Tot GT]],-1,0)-TblConstr[[#This Row],[Dest GT]]</f>
        <v>0</v>
      </c>
      <c r="BJ61" s="390" cm="1">
        <f t="array" aca="1" ref="BJ61" ca="1">IF(TblConstr[[#This Row],[Hour]:[Hour]]&gt;12,OFFSET(TblConstr[[#This Row],[Bar]],-12,0),0)+OFFSET(TblConstr[[#This Row],[Tot Bar]],-1,0)-TblConstr[[#This Row],[Dest Bar]]</f>
        <v>0</v>
      </c>
      <c r="BK61" s="390" cm="1">
        <f t="array" aca="1" ref="BK61" ca="1">IF(TblConstr[[#This Row],[Hour]:[Hour]]&gt;12,OFFSET(TblConstr[[#This Row],[Shr]],-12,0),0)+OFFSET(TblConstr[[#This Row],[Tot Shr]],-1,0)-TblConstr[[#This Row],[Dest Shr]]</f>
        <v>0</v>
      </c>
      <c r="BL61" s="394" cm="1">
        <f t="array" aca="1" ref="BL61" ca="1">IF(TblConstr[[#This Row],[Hour]:[Hour]]&gt;12,OFFSET(TblConstr[[#This Row],[Tow]],-12,0),0)+OFFSET(TblConstr[[#This Row],[Tot Tow]],-1,0)-TblConstr[[#This Row],[Dest Tow]]</f>
        <v>0</v>
      </c>
      <c r="BM61" s="394" cm="1">
        <f t="array" aca="1" ref="BM61" ca="1">IF(TblConstr[[#This Row],[Hour]:[Hour]]&gt;12,OFFSET(TblConstr[[#This Row],[Tem]],-12,0),0)+OFFSET(TblConstr[[#This Row],[Tot Tem]],-1,0)-TblConstr[[#This Row],[Dest Tem]]</f>
        <v>0</v>
      </c>
      <c r="BN61" s="394"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250</v>
      </c>
      <c r="BU61" s="161">
        <f ca="1">TblImps[[#This Row],[Time]]</f>
        <v>45734.374999999862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84">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100</v>
      </c>
      <c r="DA61" s="96">
        <f t="shared" ca="1" si="13"/>
        <v>40</v>
      </c>
      <c r="DB61" s="45">
        <f t="shared" ca="1" si="14"/>
        <v>20</v>
      </c>
      <c r="DC61" s="96">
        <f t="shared" ca="1" si="15"/>
        <v>20</v>
      </c>
      <c r="DD61" s="96">
        <f t="shared" ca="1" si="16"/>
        <v>20</v>
      </c>
      <c r="DE61" s="45">
        <f t="shared" ca="1" si="17"/>
        <v>20</v>
      </c>
      <c r="DF61" s="96">
        <f t="shared" ca="1" si="18"/>
        <v>20</v>
      </c>
      <c r="DG61" s="96"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7">
        <f>TblRezone[[#This Row],[Hour]]</f>
        <v>59</v>
      </c>
      <c r="B62" s="178">
        <f ca="1">SUM(TblConstr[[#This Row],[Plain]:[Water]])</f>
        <v>160</v>
      </c>
      <c r="C62" s="179">
        <f ca="1">SUM(TblConstr[[#This Row],[Tot Hom]:[Tot Doc]])</f>
        <v>90</v>
      </c>
      <c r="D62" s="179">
        <f t="shared" si="11"/>
        <v>0</v>
      </c>
      <c r="E62" s="180"/>
      <c r="F62" s="61">
        <f ca="1">TblConstr[[#This Row],[Barren]]+TblConstr[[#This Row],[Buildings]]+TblConstr[[#This Row],[Incoming]]</f>
        <v>250</v>
      </c>
      <c r="G62" s="189">
        <f ca="1">OFFSET(TblConstr[[#This Row],[Plain]],-1,0)+TblConstr[[#This Row],[Ch_Plain]]</f>
        <v>40</v>
      </c>
      <c r="H62" s="184">
        <f ca="1">OFFSET(TblConstr[[#This Row],[Forest]],-1,0)+TblConstr[[#This Row],[Ch_Forest]]</f>
        <v>20</v>
      </c>
      <c r="I62" s="384">
        <f ca="1">OFFSET(TblConstr[[#This Row],[Mountain]],-1,0)+TblConstr[[#This Row],[Ch_Mountain]]</f>
        <v>20</v>
      </c>
      <c r="J62" s="388">
        <f ca="1">OFFSET(TblConstr[[#This Row],[Hill]],-1,0)+TblConstr[[#This Row],[Ch_Hill]]</f>
        <v>20</v>
      </c>
      <c r="K62" s="392">
        <f ca="1">OFFSET(TblConstr[[#This Row],[Swamp]],-1,0)+TblConstr[[#This Row],[Ch_Swamp]]</f>
        <v>20</v>
      </c>
      <c r="L62" s="187">
        <f ca="1">OFFSET(TblConstr[[#This Row],[Cavern]],-1,0)+TblConstr[[#This Row],[Ch_Cavern]]</f>
        <v>20</v>
      </c>
      <c r="M62" s="188">
        <f ca="1">OFFSET(TblConstr[[#This Row],[Water]],-1,0)+TblConstr[[#This Row],[Ch_Water]]</f>
        <v>20</v>
      </c>
      <c r="N62" s="382">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45734.416666666526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439066</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6">
        <f ca="1">ROUNDDOWN( MAX(1 - MIN(facs_constr_factor*TblConstr[[#This Row],[Facs -DB]],facs_constr_max) + tech_1_11*TblTech[[#This Row],[11-1]] + tech_6_3_2*TblTech[[#This Row],[6-3]] + tech_5_2_3*TblTech[[#This Row],[5-2]], 1-global_constr_cap) * TblConstr[[#This Row],[RCPA Lumber]],0)</f>
        <v>88</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6">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ROUND((TblConstr[[#This Row],[Land]]-250 - IF(TblExplore[[#This Row],[Land Bonus]]&lt;&gt;0,20,0))*1.25 + 850 + 0,0)</f>
        <v>850</v>
      </c>
      <c r="AW62" s="96">
        <f ca="1">ROUND((TblConstr[[#This Row],[Land]]-250 - IF(TblExplore[[#This Row],[Land Bonus]]&lt;&gt;0,20,0))*0.285 + 87.5 + 0/4.25,0)</f>
        <v>88</v>
      </c>
      <c r="AX62" s="156"/>
      <c r="AY62" s="190" cm="1">
        <f t="array" aca="1" ref="AY62" ca="1">IF(TblConstr[[#This Row],[Hour]:[Hour]]&gt;12,OFFSET(TblConstr[[#This Row],[Hom]],-12,0),0)+OFFSET(TblConstr[[#This Row],[Tot Hom]],-1,0)-TblConstr[[#This Row],[Dest Hom]]</f>
        <v>10</v>
      </c>
      <c r="AZ62" s="191" cm="1">
        <f t="array" aca="1" ref="AZ62" ca="1">IF(TblConstr[[#This Row],[Hour]:[Hour]]&gt;12,OFFSET(TblConstr[[#This Row],[Alc]],-12,0),0)+OFFSET(TblConstr[[#This Row],[Tot Alc]],-1,0)-TblConstr[[#This Row],[Dest Alc]]</f>
        <v>30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86" cm="1">
        <f t="array" aca="1" ref="BF62" ca="1">IF(TblConstr[[#This Row],[Hour]:[Hour]]&gt;12,OFFSET(TblConstr[[#This Row],[OM]],-12,0),0)+OFFSET(TblConstr[[#This Row],[Tot OM]],-1,0)-TblConstr[[#This Row],[Dest OM]]</f>
        <v>0</v>
      </c>
      <c r="BG62" s="386" cm="1">
        <f t="array" aca="1" ref="BG62" ca="1">IF(TblConstr[[#This Row],[Hour]:[Hour]]&gt;12,OFFSET(TblConstr[[#This Row],[GN]],-12,0),0)+OFFSET(TblConstr[[#This Row],[Tot GN]],-1,0)-TblConstr[[#This Row],[Dest GN]]</f>
        <v>0</v>
      </c>
      <c r="BH62" s="390" cm="1">
        <f t="array" aca="1" ref="BH62" ca="1">IF(TblConstr[[#This Row],[Hour]:[Hour]]&gt;12,OFFSET(TblConstr[[#This Row],[Fac]],-12,0),0)+OFFSET(TblConstr[[#This Row],[Tot Fac]],-1,0)-TblConstr[[#This Row],[Dest Fac]]</f>
        <v>0</v>
      </c>
      <c r="BI62" s="390" cm="1">
        <f t="array" aca="1" ref="BI62" ca="1">IF(TblConstr[[#This Row],[Hour]:[Hour]]&gt;12,OFFSET(TblConstr[[#This Row],[GT]],-12,0),0)+OFFSET(TblConstr[[#This Row],[Tot GT]],-1,0)-TblConstr[[#This Row],[Dest GT]]</f>
        <v>0</v>
      </c>
      <c r="BJ62" s="390" cm="1">
        <f t="array" aca="1" ref="BJ62" ca="1">IF(TblConstr[[#This Row],[Hour]:[Hour]]&gt;12,OFFSET(TblConstr[[#This Row],[Bar]],-12,0),0)+OFFSET(TblConstr[[#This Row],[Tot Bar]],-1,0)-TblConstr[[#This Row],[Dest Bar]]</f>
        <v>0</v>
      </c>
      <c r="BK62" s="390" cm="1">
        <f t="array" aca="1" ref="BK62" ca="1">IF(TblConstr[[#This Row],[Hour]:[Hour]]&gt;12,OFFSET(TblConstr[[#This Row],[Shr]],-12,0),0)+OFFSET(TblConstr[[#This Row],[Tot Shr]],-1,0)-TblConstr[[#This Row],[Dest Shr]]</f>
        <v>0</v>
      </c>
      <c r="BL62" s="394" cm="1">
        <f t="array" aca="1" ref="BL62" ca="1">IF(TblConstr[[#This Row],[Hour]:[Hour]]&gt;12,OFFSET(TblConstr[[#This Row],[Tow]],-12,0),0)+OFFSET(TblConstr[[#This Row],[Tot Tow]],-1,0)-TblConstr[[#This Row],[Dest Tow]]</f>
        <v>0</v>
      </c>
      <c r="BM62" s="394" cm="1">
        <f t="array" aca="1" ref="BM62" ca="1">IF(TblConstr[[#This Row],[Hour]:[Hour]]&gt;12,OFFSET(TblConstr[[#This Row],[Tem]],-12,0),0)+OFFSET(TblConstr[[#This Row],[Tot Tem]],-1,0)-TblConstr[[#This Row],[Dest Tem]]</f>
        <v>0</v>
      </c>
      <c r="BN62" s="394"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250</v>
      </c>
      <c r="BU62" s="161">
        <f ca="1">TblImps[[#This Row],[Time]]</f>
        <v>45734.416666666526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84">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100</v>
      </c>
      <c r="DA62" s="96">
        <f t="shared" ca="1" si="13"/>
        <v>40</v>
      </c>
      <c r="DB62" s="45">
        <f t="shared" ca="1" si="14"/>
        <v>20</v>
      </c>
      <c r="DC62" s="96">
        <f t="shared" ca="1" si="15"/>
        <v>20</v>
      </c>
      <c r="DD62" s="96">
        <f t="shared" ca="1" si="16"/>
        <v>20</v>
      </c>
      <c r="DE62" s="45">
        <f t="shared" ca="1" si="17"/>
        <v>20</v>
      </c>
      <c r="DF62" s="96">
        <f t="shared" ca="1" si="18"/>
        <v>20</v>
      </c>
      <c r="DG62" s="96"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7">
        <f>TblRezone[[#This Row],[Hour]]</f>
        <v>60</v>
      </c>
      <c r="B63" s="178">
        <f ca="1">SUM(TblConstr[[#This Row],[Plain]:[Water]])</f>
        <v>160</v>
      </c>
      <c r="C63" s="179">
        <f ca="1">SUM(TblConstr[[#This Row],[Tot Hom]:[Tot Doc]])</f>
        <v>90</v>
      </c>
      <c r="D63" s="179">
        <f t="shared" si="11"/>
        <v>0</v>
      </c>
      <c r="E63" s="180"/>
      <c r="F63" s="61">
        <f ca="1">TblConstr[[#This Row],[Barren]]+TblConstr[[#This Row],[Buildings]]+TblConstr[[#This Row],[Incoming]]</f>
        <v>250</v>
      </c>
      <c r="G63" s="189">
        <f ca="1">OFFSET(TblConstr[[#This Row],[Plain]],-1,0)+TblConstr[[#This Row],[Ch_Plain]]</f>
        <v>40</v>
      </c>
      <c r="H63" s="184">
        <f ca="1">OFFSET(TblConstr[[#This Row],[Forest]],-1,0)+TblConstr[[#This Row],[Ch_Forest]]</f>
        <v>20</v>
      </c>
      <c r="I63" s="384">
        <f ca="1">OFFSET(TblConstr[[#This Row],[Mountain]],-1,0)+TblConstr[[#This Row],[Ch_Mountain]]</f>
        <v>20</v>
      </c>
      <c r="J63" s="388">
        <f ca="1">OFFSET(TblConstr[[#This Row],[Hill]],-1,0)+TblConstr[[#This Row],[Ch_Hill]]</f>
        <v>20</v>
      </c>
      <c r="K63" s="392">
        <f ca="1">OFFSET(TblConstr[[#This Row],[Swamp]],-1,0)+TblConstr[[#This Row],[Ch_Swamp]]</f>
        <v>20</v>
      </c>
      <c r="L63" s="187">
        <f ca="1">OFFSET(TblConstr[[#This Row],[Cavern]],-1,0)+TblConstr[[#This Row],[Ch_Cavern]]</f>
        <v>20</v>
      </c>
      <c r="M63" s="188">
        <f ca="1">OFFSET(TblConstr[[#This Row],[Water]],-1,0)+TblConstr[[#This Row],[Ch_Water]]</f>
        <v>20</v>
      </c>
      <c r="N63" s="382">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45734.45833333319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444552</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6">
        <f ca="1">ROUNDDOWN( MAX(1 - MIN(facs_constr_factor*TblConstr[[#This Row],[Facs -DB]],facs_constr_max) + tech_1_11*TblTech[[#This Row],[11-1]] + tech_6_3_2*TblTech[[#This Row],[6-3]] + tech_5_2_3*TblTech[[#This Row],[5-2]], 1-global_constr_cap) * TblConstr[[#This Row],[RCPA Lumber]],0)</f>
        <v>88</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6">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ROUND((TblConstr[[#This Row],[Land]]-250 - IF(TblExplore[[#This Row],[Land Bonus]]&lt;&gt;0,20,0))*1.25 + 850 + 0,0)</f>
        <v>850</v>
      </c>
      <c r="AW63" s="96">
        <f ca="1">ROUND((TblConstr[[#This Row],[Land]]-250 - IF(TblExplore[[#This Row],[Land Bonus]]&lt;&gt;0,20,0))*0.285 + 87.5 + 0/4.25,0)</f>
        <v>88</v>
      </c>
      <c r="AX63" s="156"/>
      <c r="AY63" s="190" cm="1">
        <f t="array" aca="1" ref="AY63" ca="1">IF(TblConstr[[#This Row],[Hour]:[Hour]]&gt;12,OFFSET(TblConstr[[#This Row],[Hom]],-12,0),0)+OFFSET(TblConstr[[#This Row],[Tot Hom]],-1,0)-TblConstr[[#This Row],[Dest Hom]]</f>
        <v>10</v>
      </c>
      <c r="AZ63" s="191" cm="1">
        <f t="array" aca="1" ref="AZ63" ca="1">IF(TblConstr[[#This Row],[Hour]:[Hour]]&gt;12,OFFSET(TblConstr[[#This Row],[Alc]],-12,0),0)+OFFSET(TblConstr[[#This Row],[Tot Alc]],-1,0)-TblConstr[[#This Row],[Dest Alc]]</f>
        <v>30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86" cm="1">
        <f t="array" aca="1" ref="BF63" ca="1">IF(TblConstr[[#This Row],[Hour]:[Hour]]&gt;12,OFFSET(TblConstr[[#This Row],[OM]],-12,0),0)+OFFSET(TblConstr[[#This Row],[Tot OM]],-1,0)-TblConstr[[#This Row],[Dest OM]]</f>
        <v>0</v>
      </c>
      <c r="BG63" s="386" cm="1">
        <f t="array" aca="1" ref="BG63" ca="1">IF(TblConstr[[#This Row],[Hour]:[Hour]]&gt;12,OFFSET(TblConstr[[#This Row],[GN]],-12,0),0)+OFFSET(TblConstr[[#This Row],[Tot GN]],-1,0)-TblConstr[[#This Row],[Dest GN]]</f>
        <v>0</v>
      </c>
      <c r="BH63" s="390" cm="1">
        <f t="array" aca="1" ref="BH63" ca="1">IF(TblConstr[[#This Row],[Hour]:[Hour]]&gt;12,OFFSET(TblConstr[[#This Row],[Fac]],-12,0),0)+OFFSET(TblConstr[[#This Row],[Tot Fac]],-1,0)-TblConstr[[#This Row],[Dest Fac]]</f>
        <v>0</v>
      </c>
      <c r="BI63" s="390" cm="1">
        <f t="array" aca="1" ref="BI63" ca="1">IF(TblConstr[[#This Row],[Hour]:[Hour]]&gt;12,OFFSET(TblConstr[[#This Row],[GT]],-12,0),0)+OFFSET(TblConstr[[#This Row],[Tot GT]],-1,0)-TblConstr[[#This Row],[Dest GT]]</f>
        <v>0</v>
      </c>
      <c r="BJ63" s="390" cm="1">
        <f t="array" aca="1" ref="BJ63" ca="1">IF(TblConstr[[#This Row],[Hour]:[Hour]]&gt;12,OFFSET(TblConstr[[#This Row],[Bar]],-12,0),0)+OFFSET(TblConstr[[#This Row],[Tot Bar]],-1,0)-TblConstr[[#This Row],[Dest Bar]]</f>
        <v>0</v>
      </c>
      <c r="BK63" s="390" cm="1">
        <f t="array" aca="1" ref="BK63" ca="1">IF(TblConstr[[#This Row],[Hour]:[Hour]]&gt;12,OFFSET(TblConstr[[#This Row],[Shr]],-12,0),0)+OFFSET(TblConstr[[#This Row],[Tot Shr]],-1,0)-TblConstr[[#This Row],[Dest Shr]]</f>
        <v>0</v>
      </c>
      <c r="BL63" s="394" cm="1">
        <f t="array" aca="1" ref="BL63" ca="1">IF(TblConstr[[#This Row],[Hour]:[Hour]]&gt;12,OFFSET(TblConstr[[#This Row],[Tow]],-12,0),0)+OFFSET(TblConstr[[#This Row],[Tot Tow]],-1,0)-TblConstr[[#This Row],[Dest Tow]]</f>
        <v>0</v>
      </c>
      <c r="BM63" s="394" cm="1">
        <f t="array" aca="1" ref="BM63" ca="1">IF(TblConstr[[#This Row],[Hour]:[Hour]]&gt;12,OFFSET(TblConstr[[#This Row],[Tem]],-12,0),0)+OFFSET(TblConstr[[#This Row],[Tot Tem]],-1,0)-TblConstr[[#This Row],[Dest Tem]]</f>
        <v>0</v>
      </c>
      <c r="BN63" s="394"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250</v>
      </c>
      <c r="BU63" s="161">
        <f ca="1">TblImps[[#This Row],[Time]]</f>
        <v>45734.45833333319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84">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100</v>
      </c>
      <c r="DA63" s="96">
        <f t="shared" ca="1" si="13"/>
        <v>40</v>
      </c>
      <c r="DB63" s="45">
        <f t="shared" ca="1" si="14"/>
        <v>20</v>
      </c>
      <c r="DC63" s="96">
        <f t="shared" ca="1" si="15"/>
        <v>20</v>
      </c>
      <c r="DD63" s="96">
        <f t="shared" ca="1" si="16"/>
        <v>20</v>
      </c>
      <c r="DE63" s="45">
        <f t="shared" ca="1" si="17"/>
        <v>20</v>
      </c>
      <c r="DF63" s="96">
        <f t="shared" ca="1" si="18"/>
        <v>20</v>
      </c>
      <c r="DG63" s="96"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7">
        <f>TblRezone[[#This Row],[Hour]]</f>
        <v>61</v>
      </c>
      <c r="B64" s="178">
        <f ca="1">SUM(TblConstr[[#This Row],[Plain]:[Water]])</f>
        <v>160</v>
      </c>
      <c r="C64" s="179">
        <f ca="1">SUM(TblConstr[[#This Row],[Tot Hom]:[Tot Doc]])</f>
        <v>90</v>
      </c>
      <c r="D64" s="179">
        <f t="shared" si="11"/>
        <v>0</v>
      </c>
      <c r="E64" s="180"/>
      <c r="F64" s="61">
        <f ca="1">TblConstr[[#This Row],[Barren]]+TblConstr[[#This Row],[Buildings]]+TblConstr[[#This Row],[Incoming]]</f>
        <v>250</v>
      </c>
      <c r="G64" s="189">
        <f ca="1">OFFSET(TblConstr[[#This Row],[Plain]],-1,0)+TblConstr[[#This Row],[Ch_Plain]]</f>
        <v>40</v>
      </c>
      <c r="H64" s="184">
        <f ca="1">OFFSET(TblConstr[[#This Row],[Forest]],-1,0)+TblConstr[[#This Row],[Ch_Forest]]</f>
        <v>20</v>
      </c>
      <c r="I64" s="384">
        <f ca="1">OFFSET(TblConstr[[#This Row],[Mountain]],-1,0)+TblConstr[[#This Row],[Ch_Mountain]]</f>
        <v>20</v>
      </c>
      <c r="J64" s="388">
        <f ca="1">OFFSET(TblConstr[[#This Row],[Hill]],-1,0)+TblConstr[[#This Row],[Ch_Hill]]</f>
        <v>20</v>
      </c>
      <c r="K64" s="392">
        <f ca="1">OFFSET(TblConstr[[#This Row],[Swamp]],-1,0)+TblConstr[[#This Row],[Ch_Swamp]]</f>
        <v>20</v>
      </c>
      <c r="L64" s="187">
        <f ca="1">OFFSET(TblConstr[[#This Row],[Cavern]],-1,0)+TblConstr[[#This Row],[Ch_Cavern]]</f>
        <v>20</v>
      </c>
      <c r="M64" s="188">
        <f ca="1">OFFSET(TblConstr[[#This Row],[Water]],-1,0)+TblConstr[[#This Row],[Ch_Water]]</f>
        <v>20</v>
      </c>
      <c r="N64" s="382">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45734.499999999854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450038</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6">
        <f ca="1">ROUNDDOWN( MAX(1 - MIN(facs_constr_factor*TblConstr[[#This Row],[Facs -DB]],facs_constr_max) + tech_1_11*TblTech[[#This Row],[11-1]] + tech_6_3_2*TblTech[[#This Row],[6-3]] + tech_5_2_3*TblTech[[#This Row],[5-2]], 1-global_constr_cap) * TblConstr[[#This Row],[RCPA Lumber]],0)</f>
        <v>88</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6">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ROUND((TblConstr[[#This Row],[Land]]-250 - IF(TblExplore[[#This Row],[Land Bonus]]&lt;&gt;0,20,0))*1.25 + 850 + 0,0)</f>
        <v>850</v>
      </c>
      <c r="AW64" s="96">
        <f ca="1">ROUND((TblConstr[[#This Row],[Land]]-250 - IF(TblExplore[[#This Row],[Land Bonus]]&lt;&gt;0,20,0))*0.285 + 87.5 + 0/4.25,0)</f>
        <v>88</v>
      </c>
      <c r="AX64" s="156"/>
      <c r="AY64" s="190" cm="1">
        <f t="array" aca="1" ref="AY64" ca="1">IF(TblConstr[[#This Row],[Hour]:[Hour]]&gt;12,OFFSET(TblConstr[[#This Row],[Hom]],-12,0),0)+OFFSET(TblConstr[[#This Row],[Tot Hom]],-1,0)-TblConstr[[#This Row],[Dest Hom]]</f>
        <v>10</v>
      </c>
      <c r="AZ64" s="191" cm="1">
        <f t="array" aca="1" ref="AZ64" ca="1">IF(TblConstr[[#This Row],[Hour]:[Hour]]&gt;12,OFFSET(TblConstr[[#This Row],[Alc]],-12,0),0)+OFFSET(TblConstr[[#This Row],[Tot Alc]],-1,0)-TblConstr[[#This Row],[Dest Alc]]</f>
        <v>30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86" cm="1">
        <f t="array" aca="1" ref="BF64" ca="1">IF(TblConstr[[#This Row],[Hour]:[Hour]]&gt;12,OFFSET(TblConstr[[#This Row],[OM]],-12,0),0)+OFFSET(TblConstr[[#This Row],[Tot OM]],-1,0)-TblConstr[[#This Row],[Dest OM]]</f>
        <v>0</v>
      </c>
      <c r="BG64" s="386" cm="1">
        <f t="array" aca="1" ref="BG64" ca="1">IF(TblConstr[[#This Row],[Hour]:[Hour]]&gt;12,OFFSET(TblConstr[[#This Row],[GN]],-12,0),0)+OFFSET(TblConstr[[#This Row],[Tot GN]],-1,0)-TblConstr[[#This Row],[Dest GN]]</f>
        <v>0</v>
      </c>
      <c r="BH64" s="390" cm="1">
        <f t="array" aca="1" ref="BH64" ca="1">IF(TblConstr[[#This Row],[Hour]:[Hour]]&gt;12,OFFSET(TblConstr[[#This Row],[Fac]],-12,0),0)+OFFSET(TblConstr[[#This Row],[Tot Fac]],-1,0)-TblConstr[[#This Row],[Dest Fac]]</f>
        <v>0</v>
      </c>
      <c r="BI64" s="390" cm="1">
        <f t="array" aca="1" ref="BI64" ca="1">IF(TblConstr[[#This Row],[Hour]:[Hour]]&gt;12,OFFSET(TblConstr[[#This Row],[GT]],-12,0),0)+OFFSET(TblConstr[[#This Row],[Tot GT]],-1,0)-TblConstr[[#This Row],[Dest GT]]</f>
        <v>0</v>
      </c>
      <c r="BJ64" s="390" cm="1">
        <f t="array" aca="1" ref="BJ64" ca="1">IF(TblConstr[[#This Row],[Hour]:[Hour]]&gt;12,OFFSET(TblConstr[[#This Row],[Bar]],-12,0),0)+OFFSET(TblConstr[[#This Row],[Tot Bar]],-1,0)-TblConstr[[#This Row],[Dest Bar]]</f>
        <v>0</v>
      </c>
      <c r="BK64" s="390" cm="1">
        <f t="array" aca="1" ref="BK64" ca="1">IF(TblConstr[[#This Row],[Hour]:[Hour]]&gt;12,OFFSET(TblConstr[[#This Row],[Shr]],-12,0),0)+OFFSET(TblConstr[[#This Row],[Tot Shr]],-1,0)-TblConstr[[#This Row],[Dest Shr]]</f>
        <v>0</v>
      </c>
      <c r="BL64" s="394" cm="1">
        <f t="array" aca="1" ref="BL64" ca="1">IF(TblConstr[[#This Row],[Hour]:[Hour]]&gt;12,OFFSET(TblConstr[[#This Row],[Tow]],-12,0),0)+OFFSET(TblConstr[[#This Row],[Tot Tow]],-1,0)-TblConstr[[#This Row],[Dest Tow]]</f>
        <v>0</v>
      </c>
      <c r="BM64" s="394" cm="1">
        <f t="array" aca="1" ref="BM64" ca="1">IF(TblConstr[[#This Row],[Hour]:[Hour]]&gt;12,OFFSET(TblConstr[[#This Row],[Tem]],-12,0),0)+OFFSET(TblConstr[[#This Row],[Tot Tem]],-1,0)-TblConstr[[#This Row],[Dest Tem]]</f>
        <v>0</v>
      </c>
      <c r="BN64" s="394"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250</v>
      </c>
      <c r="BU64" s="161">
        <f ca="1">TblImps[[#This Row],[Time]]</f>
        <v>45734.499999999854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84">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100</v>
      </c>
      <c r="DA64" s="96">
        <f t="shared" ca="1" si="13"/>
        <v>40</v>
      </c>
      <c r="DB64" s="45">
        <f t="shared" ca="1" si="14"/>
        <v>20</v>
      </c>
      <c r="DC64" s="96">
        <f t="shared" ca="1" si="15"/>
        <v>20</v>
      </c>
      <c r="DD64" s="96">
        <f t="shared" ca="1" si="16"/>
        <v>20</v>
      </c>
      <c r="DE64" s="45">
        <f t="shared" ca="1" si="17"/>
        <v>20</v>
      </c>
      <c r="DF64" s="96">
        <f t="shared" ca="1" si="18"/>
        <v>20</v>
      </c>
      <c r="DG64" s="96"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7">
        <f>TblRezone[[#This Row],[Hour]]</f>
        <v>62</v>
      </c>
      <c r="B65" s="178">
        <f ca="1">SUM(TblConstr[[#This Row],[Plain]:[Water]])</f>
        <v>160</v>
      </c>
      <c r="C65" s="179">
        <f ca="1">SUM(TblConstr[[#This Row],[Tot Hom]:[Tot Doc]])</f>
        <v>90</v>
      </c>
      <c r="D65" s="179">
        <f t="shared" si="11"/>
        <v>0</v>
      </c>
      <c r="E65" s="180"/>
      <c r="F65" s="61">
        <f ca="1">TblConstr[[#This Row],[Barren]]+TblConstr[[#This Row],[Buildings]]+TblConstr[[#This Row],[Incoming]]</f>
        <v>250</v>
      </c>
      <c r="G65" s="189">
        <f ca="1">OFFSET(TblConstr[[#This Row],[Plain]],-1,0)+TblConstr[[#This Row],[Ch_Plain]]</f>
        <v>40</v>
      </c>
      <c r="H65" s="184">
        <f ca="1">OFFSET(TblConstr[[#This Row],[Forest]],-1,0)+TblConstr[[#This Row],[Ch_Forest]]</f>
        <v>20</v>
      </c>
      <c r="I65" s="384">
        <f ca="1">OFFSET(TblConstr[[#This Row],[Mountain]],-1,0)+TblConstr[[#This Row],[Ch_Mountain]]</f>
        <v>20</v>
      </c>
      <c r="J65" s="388">
        <f ca="1">OFFSET(TblConstr[[#This Row],[Hill]],-1,0)+TblConstr[[#This Row],[Ch_Hill]]</f>
        <v>20</v>
      </c>
      <c r="K65" s="392">
        <f ca="1">OFFSET(TblConstr[[#This Row],[Swamp]],-1,0)+TblConstr[[#This Row],[Ch_Swamp]]</f>
        <v>20</v>
      </c>
      <c r="L65" s="187">
        <f ca="1">OFFSET(TblConstr[[#This Row],[Cavern]],-1,0)+TblConstr[[#This Row],[Ch_Cavern]]</f>
        <v>20</v>
      </c>
      <c r="M65" s="188">
        <f ca="1">OFFSET(TblConstr[[#This Row],[Water]],-1,0)+TblConstr[[#This Row],[Ch_Water]]</f>
        <v>20</v>
      </c>
      <c r="N65" s="382">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45734.541666666519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455524</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6">
        <f ca="1">ROUNDDOWN( MAX(1 - MIN(facs_constr_factor*TblConstr[[#This Row],[Facs -DB]],facs_constr_max) + tech_1_11*TblTech[[#This Row],[11-1]] + tech_6_3_2*TblTech[[#This Row],[6-3]] + tech_5_2_3*TblTech[[#This Row],[5-2]], 1-global_constr_cap) * TblConstr[[#This Row],[RCPA Lumber]],0)</f>
        <v>88</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6">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ROUND((TblConstr[[#This Row],[Land]]-250 - IF(TblExplore[[#This Row],[Land Bonus]]&lt;&gt;0,20,0))*1.25 + 850 + 0,0)</f>
        <v>850</v>
      </c>
      <c r="AW65" s="96">
        <f ca="1">ROUND((TblConstr[[#This Row],[Land]]-250 - IF(TblExplore[[#This Row],[Land Bonus]]&lt;&gt;0,20,0))*0.285 + 87.5 + 0/4.25,0)</f>
        <v>88</v>
      </c>
      <c r="AX65" s="156"/>
      <c r="AY65" s="190" cm="1">
        <f t="array" aca="1" ref="AY65" ca="1">IF(TblConstr[[#This Row],[Hour]:[Hour]]&gt;12,OFFSET(TblConstr[[#This Row],[Hom]],-12,0),0)+OFFSET(TblConstr[[#This Row],[Tot Hom]],-1,0)-TblConstr[[#This Row],[Dest Hom]]</f>
        <v>10</v>
      </c>
      <c r="AZ65" s="191" cm="1">
        <f t="array" aca="1" ref="AZ65" ca="1">IF(TblConstr[[#This Row],[Hour]:[Hour]]&gt;12,OFFSET(TblConstr[[#This Row],[Alc]],-12,0),0)+OFFSET(TblConstr[[#This Row],[Tot Alc]],-1,0)-TblConstr[[#This Row],[Dest Alc]]</f>
        <v>30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86" cm="1">
        <f t="array" aca="1" ref="BF65" ca="1">IF(TblConstr[[#This Row],[Hour]:[Hour]]&gt;12,OFFSET(TblConstr[[#This Row],[OM]],-12,0),0)+OFFSET(TblConstr[[#This Row],[Tot OM]],-1,0)-TblConstr[[#This Row],[Dest OM]]</f>
        <v>0</v>
      </c>
      <c r="BG65" s="386" cm="1">
        <f t="array" aca="1" ref="BG65" ca="1">IF(TblConstr[[#This Row],[Hour]:[Hour]]&gt;12,OFFSET(TblConstr[[#This Row],[GN]],-12,0),0)+OFFSET(TblConstr[[#This Row],[Tot GN]],-1,0)-TblConstr[[#This Row],[Dest GN]]</f>
        <v>0</v>
      </c>
      <c r="BH65" s="390" cm="1">
        <f t="array" aca="1" ref="BH65" ca="1">IF(TblConstr[[#This Row],[Hour]:[Hour]]&gt;12,OFFSET(TblConstr[[#This Row],[Fac]],-12,0),0)+OFFSET(TblConstr[[#This Row],[Tot Fac]],-1,0)-TblConstr[[#This Row],[Dest Fac]]</f>
        <v>0</v>
      </c>
      <c r="BI65" s="390" cm="1">
        <f t="array" aca="1" ref="BI65" ca="1">IF(TblConstr[[#This Row],[Hour]:[Hour]]&gt;12,OFFSET(TblConstr[[#This Row],[GT]],-12,0),0)+OFFSET(TblConstr[[#This Row],[Tot GT]],-1,0)-TblConstr[[#This Row],[Dest GT]]</f>
        <v>0</v>
      </c>
      <c r="BJ65" s="390" cm="1">
        <f t="array" aca="1" ref="BJ65" ca="1">IF(TblConstr[[#This Row],[Hour]:[Hour]]&gt;12,OFFSET(TblConstr[[#This Row],[Bar]],-12,0),0)+OFFSET(TblConstr[[#This Row],[Tot Bar]],-1,0)-TblConstr[[#This Row],[Dest Bar]]</f>
        <v>0</v>
      </c>
      <c r="BK65" s="390" cm="1">
        <f t="array" aca="1" ref="BK65" ca="1">IF(TblConstr[[#This Row],[Hour]:[Hour]]&gt;12,OFFSET(TblConstr[[#This Row],[Shr]],-12,0),0)+OFFSET(TblConstr[[#This Row],[Tot Shr]],-1,0)-TblConstr[[#This Row],[Dest Shr]]</f>
        <v>0</v>
      </c>
      <c r="BL65" s="394" cm="1">
        <f t="array" aca="1" ref="BL65" ca="1">IF(TblConstr[[#This Row],[Hour]:[Hour]]&gt;12,OFFSET(TblConstr[[#This Row],[Tow]],-12,0),0)+OFFSET(TblConstr[[#This Row],[Tot Tow]],-1,0)-TblConstr[[#This Row],[Dest Tow]]</f>
        <v>0</v>
      </c>
      <c r="BM65" s="394" cm="1">
        <f t="array" aca="1" ref="BM65" ca="1">IF(TblConstr[[#This Row],[Hour]:[Hour]]&gt;12,OFFSET(TblConstr[[#This Row],[Tem]],-12,0),0)+OFFSET(TblConstr[[#This Row],[Tot Tem]],-1,0)-TblConstr[[#This Row],[Dest Tem]]</f>
        <v>0</v>
      </c>
      <c r="BN65" s="394"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250</v>
      </c>
      <c r="BU65" s="161">
        <f ca="1">TblImps[[#This Row],[Time]]</f>
        <v>45734.541666666519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84">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100</v>
      </c>
      <c r="DA65" s="96">
        <f t="shared" ca="1" si="13"/>
        <v>40</v>
      </c>
      <c r="DB65" s="45">
        <f t="shared" ca="1" si="14"/>
        <v>20</v>
      </c>
      <c r="DC65" s="96">
        <f t="shared" ca="1" si="15"/>
        <v>20</v>
      </c>
      <c r="DD65" s="96">
        <f t="shared" ca="1" si="16"/>
        <v>20</v>
      </c>
      <c r="DE65" s="45">
        <f t="shared" ca="1" si="17"/>
        <v>20</v>
      </c>
      <c r="DF65" s="96">
        <f t="shared" ca="1" si="18"/>
        <v>20</v>
      </c>
      <c r="DG65" s="96"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7">
        <f>TblRezone[[#This Row],[Hour]]</f>
        <v>63</v>
      </c>
      <c r="B66" s="178">
        <f ca="1">SUM(TblConstr[[#This Row],[Plain]:[Water]])</f>
        <v>160</v>
      </c>
      <c r="C66" s="179">
        <f ca="1">SUM(TblConstr[[#This Row],[Tot Hom]:[Tot Doc]])</f>
        <v>90</v>
      </c>
      <c r="D66" s="179">
        <f t="shared" si="11"/>
        <v>0</v>
      </c>
      <c r="E66" s="180"/>
      <c r="F66" s="61">
        <f ca="1">TblConstr[[#This Row],[Barren]]+TblConstr[[#This Row],[Buildings]]+TblConstr[[#This Row],[Incoming]]</f>
        <v>250</v>
      </c>
      <c r="G66" s="189">
        <f ca="1">OFFSET(TblConstr[[#This Row],[Plain]],-1,0)+TblConstr[[#This Row],[Ch_Plain]]</f>
        <v>40</v>
      </c>
      <c r="H66" s="184">
        <f ca="1">OFFSET(TblConstr[[#This Row],[Forest]],-1,0)+TblConstr[[#This Row],[Ch_Forest]]</f>
        <v>20</v>
      </c>
      <c r="I66" s="384">
        <f ca="1">OFFSET(TblConstr[[#This Row],[Mountain]],-1,0)+TblConstr[[#This Row],[Ch_Mountain]]</f>
        <v>20</v>
      </c>
      <c r="J66" s="388">
        <f ca="1">OFFSET(TblConstr[[#This Row],[Hill]],-1,0)+TblConstr[[#This Row],[Ch_Hill]]</f>
        <v>20</v>
      </c>
      <c r="K66" s="392">
        <f ca="1">OFFSET(TblConstr[[#This Row],[Swamp]],-1,0)+TblConstr[[#This Row],[Ch_Swamp]]</f>
        <v>20</v>
      </c>
      <c r="L66" s="187">
        <f ca="1">OFFSET(TblConstr[[#This Row],[Cavern]],-1,0)+TblConstr[[#This Row],[Ch_Cavern]]</f>
        <v>20</v>
      </c>
      <c r="M66" s="188">
        <f ca="1">OFFSET(TblConstr[[#This Row],[Water]],-1,0)+TblConstr[[#This Row],[Ch_Water]]</f>
        <v>20</v>
      </c>
      <c r="N66" s="382">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45734.583333333183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461010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6">
        <f ca="1">ROUNDDOWN( MAX(1 - MIN(facs_constr_factor*TblConstr[[#This Row],[Facs -DB]],facs_constr_max) + tech_1_11*TblTech[[#This Row],[11-1]] + tech_6_3_2*TblTech[[#This Row],[6-3]] + tech_5_2_3*TblTech[[#This Row],[5-2]], 1-global_constr_cap) * TblConstr[[#This Row],[RCPA Lumber]],0)</f>
        <v>88</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6">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ROUND((TblConstr[[#This Row],[Land]]-250 - IF(TblExplore[[#This Row],[Land Bonus]]&lt;&gt;0,20,0))*1.25 + 850 + 0,0)</f>
        <v>850</v>
      </c>
      <c r="AW66" s="96">
        <f ca="1">ROUND((TblConstr[[#This Row],[Land]]-250 - IF(TblExplore[[#This Row],[Land Bonus]]&lt;&gt;0,20,0))*0.285 + 87.5 + 0/4.25,0)</f>
        <v>88</v>
      </c>
      <c r="AX66" s="156"/>
      <c r="AY66" s="190" cm="1">
        <f t="array" aca="1" ref="AY66" ca="1">IF(TblConstr[[#This Row],[Hour]:[Hour]]&gt;12,OFFSET(TblConstr[[#This Row],[Hom]],-12,0),0)+OFFSET(TblConstr[[#This Row],[Tot Hom]],-1,0)-TblConstr[[#This Row],[Dest Hom]]</f>
        <v>10</v>
      </c>
      <c r="AZ66" s="191" cm="1">
        <f t="array" aca="1" ref="AZ66" ca="1">IF(TblConstr[[#This Row],[Hour]:[Hour]]&gt;12,OFFSET(TblConstr[[#This Row],[Alc]],-12,0),0)+OFFSET(TblConstr[[#This Row],[Tot Alc]],-1,0)-TblConstr[[#This Row],[Dest Alc]]</f>
        <v>30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86" cm="1">
        <f t="array" aca="1" ref="BF66" ca="1">IF(TblConstr[[#This Row],[Hour]:[Hour]]&gt;12,OFFSET(TblConstr[[#This Row],[OM]],-12,0),0)+OFFSET(TblConstr[[#This Row],[Tot OM]],-1,0)-TblConstr[[#This Row],[Dest OM]]</f>
        <v>0</v>
      </c>
      <c r="BG66" s="386" cm="1">
        <f t="array" aca="1" ref="BG66" ca="1">IF(TblConstr[[#This Row],[Hour]:[Hour]]&gt;12,OFFSET(TblConstr[[#This Row],[GN]],-12,0),0)+OFFSET(TblConstr[[#This Row],[Tot GN]],-1,0)-TblConstr[[#This Row],[Dest GN]]</f>
        <v>0</v>
      </c>
      <c r="BH66" s="390" cm="1">
        <f t="array" aca="1" ref="BH66" ca="1">IF(TblConstr[[#This Row],[Hour]:[Hour]]&gt;12,OFFSET(TblConstr[[#This Row],[Fac]],-12,0),0)+OFFSET(TblConstr[[#This Row],[Tot Fac]],-1,0)-TblConstr[[#This Row],[Dest Fac]]</f>
        <v>0</v>
      </c>
      <c r="BI66" s="390" cm="1">
        <f t="array" aca="1" ref="BI66" ca="1">IF(TblConstr[[#This Row],[Hour]:[Hour]]&gt;12,OFFSET(TblConstr[[#This Row],[GT]],-12,0),0)+OFFSET(TblConstr[[#This Row],[Tot GT]],-1,0)-TblConstr[[#This Row],[Dest GT]]</f>
        <v>0</v>
      </c>
      <c r="BJ66" s="390" cm="1">
        <f t="array" aca="1" ref="BJ66" ca="1">IF(TblConstr[[#This Row],[Hour]:[Hour]]&gt;12,OFFSET(TblConstr[[#This Row],[Bar]],-12,0),0)+OFFSET(TblConstr[[#This Row],[Tot Bar]],-1,0)-TblConstr[[#This Row],[Dest Bar]]</f>
        <v>0</v>
      </c>
      <c r="BK66" s="390" cm="1">
        <f t="array" aca="1" ref="BK66" ca="1">IF(TblConstr[[#This Row],[Hour]:[Hour]]&gt;12,OFFSET(TblConstr[[#This Row],[Shr]],-12,0),0)+OFFSET(TblConstr[[#This Row],[Tot Shr]],-1,0)-TblConstr[[#This Row],[Dest Shr]]</f>
        <v>0</v>
      </c>
      <c r="BL66" s="394" cm="1">
        <f t="array" aca="1" ref="BL66" ca="1">IF(TblConstr[[#This Row],[Hour]:[Hour]]&gt;12,OFFSET(TblConstr[[#This Row],[Tow]],-12,0),0)+OFFSET(TblConstr[[#This Row],[Tot Tow]],-1,0)-TblConstr[[#This Row],[Dest Tow]]</f>
        <v>0</v>
      </c>
      <c r="BM66" s="394" cm="1">
        <f t="array" aca="1" ref="BM66" ca="1">IF(TblConstr[[#This Row],[Hour]:[Hour]]&gt;12,OFFSET(TblConstr[[#This Row],[Tem]],-12,0),0)+OFFSET(TblConstr[[#This Row],[Tot Tem]],-1,0)-TblConstr[[#This Row],[Dest Tem]]</f>
        <v>0</v>
      </c>
      <c r="BN66" s="394"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250</v>
      </c>
      <c r="BU66" s="161">
        <f ca="1">TblImps[[#This Row],[Time]]</f>
        <v>45734.583333333183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84">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100</v>
      </c>
      <c r="DA66" s="96">
        <f t="shared" ca="1" si="13"/>
        <v>40</v>
      </c>
      <c r="DB66" s="45">
        <f t="shared" ca="1" si="14"/>
        <v>20</v>
      </c>
      <c r="DC66" s="96">
        <f t="shared" ca="1" si="15"/>
        <v>20</v>
      </c>
      <c r="DD66" s="96">
        <f t="shared" ca="1" si="16"/>
        <v>20</v>
      </c>
      <c r="DE66" s="45">
        <f t="shared" ca="1" si="17"/>
        <v>20</v>
      </c>
      <c r="DF66" s="96">
        <f t="shared" ca="1" si="18"/>
        <v>20</v>
      </c>
      <c r="DG66" s="96"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7">
        <f>TblRezone[[#This Row],[Hour]]</f>
        <v>64</v>
      </c>
      <c r="B67" s="178">
        <f ca="1">SUM(TblConstr[[#This Row],[Plain]:[Water]])</f>
        <v>160</v>
      </c>
      <c r="C67" s="179">
        <f ca="1">SUM(TblConstr[[#This Row],[Tot Hom]:[Tot Doc]])</f>
        <v>90</v>
      </c>
      <c r="D67" s="179">
        <f t="shared" si="11"/>
        <v>0</v>
      </c>
      <c r="E67" s="180"/>
      <c r="F67" s="61">
        <f ca="1">TblConstr[[#This Row],[Barren]]+TblConstr[[#This Row],[Buildings]]+TblConstr[[#This Row],[Incoming]]</f>
        <v>250</v>
      </c>
      <c r="G67" s="189">
        <f ca="1">OFFSET(TblConstr[[#This Row],[Plain]],-1,0)+TblConstr[[#This Row],[Ch_Plain]]</f>
        <v>40</v>
      </c>
      <c r="H67" s="184">
        <f ca="1">OFFSET(TblConstr[[#This Row],[Forest]],-1,0)+TblConstr[[#This Row],[Ch_Forest]]</f>
        <v>20</v>
      </c>
      <c r="I67" s="384">
        <f ca="1">OFFSET(TblConstr[[#This Row],[Mountain]],-1,0)+TblConstr[[#This Row],[Ch_Mountain]]</f>
        <v>20</v>
      </c>
      <c r="J67" s="388">
        <f ca="1">OFFSET(TblConstr[[#This Row],[Hill]],-1,0)+TblConstr[[#This Row],[Ch_Hill]]</f>
        <v>20</v>
      </c>
      <c r="K67" s="392">
        <f ca="1">OFFSET(TblConstr[[#This Row],[Swamp]],-1,0)+TblConstr[[#This Row],[Ch_Swamp]]</f>
        <v>20</v>
      </c>
      <c r="L67" s="187">
        <f ca="1">OFFSET(TblConstr[[#This Row],[Cavern]],-1,0)+TblConstr[[#This Row],[Ch_Cavern]]</f>
        <v>20</v>
      </c>
      <c r="M67" s="188">
        <f ca="1">OFFSET(TblConstr[[#This Row],[Water]],-1,0)+TblConstr[[#This Row],[Ch_Water]]</f>
        <v>20</v>
      </c>
      <c r="N67" s="382">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45734.624999999847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466496</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6">
        <f ca="1">ROUNDDOWN( MAX(1 - MIN(facs_constr_factor*TblConstr[[#This Row],[Facs -DB]],facs_constr_max) + tech_1_11*TblTech[[#This Row],[11-1]] + tech_6_3_2*TblTech[[#This Row],[6-3]] + tech_5_2_3*TblTech[[#This Row],[5-2]], 1-global_constr_cap) * TblConstr[[#This Row],[RCPA Lumber]],0)</f>
        <v>88</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6">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ROUND((TblConstr[[#This Row],[Land]]-250 - IF(TblExplore[[#This Row],[Land Bonus]]&lt;&gt;0,20,0))*1.25 + 850 + 0,0)</f>
        <v>850</v>
      </c>
      <c r="AW67" s="96">
        <f ca="1">ROUND((TblConstr[[#This Row],[Land]]-250 - IF(TblExplore[[#This Row],[Land Bonus]]&lt;&gt;0,20,0))*0.285 + 87.5 + 0/4.25,0)</f>
        <v>88</v>
      </c>
      <c r="AX67" s="156"/>
      <c r="AY67" s="190" cm="1">
        <f t="array" aca="1" ref="AY67" ca="1">IF(TblConstr[[#This Row],[Hour]:[Hour]]&gt;12,OFFSET(TblConstr[[#This Row],[Hom]],-12,0),0)+OFFSET(TblConstr[[#This Row],[Tot Hom]],-1,0)-TblConstr[[#This Row],[Dest Hom]]</f>
        <v>10</v>
      </c>
      <c r="AZ67" s="191" cm="1">
        <f t="array" aca="1" ref="AZ67" ca="1">IF(TblConstr[[#This Row],[Hour]:[Hour]]&gt;12,OFFSET(TblConstr[[#This Row],[Alc]],-12,0),0)+OFFSET(TblConstr[[#This Row],[Tot Alc]],-1,0)-TblConstr[[#This Row],[Dest Alc]]</f>
        <v>30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86" cm="1">
        <f t="array" aca="1" ref="BF67" ca="1">IF(TblConstr[[#This Row],[Hour]:[Hour]]&gt;12,OFFSET(TblConstr[[#This Row],[OM]],-12,0),0)+OFFSET(TblConstr[[#This Row],[Tot OM]],-1,0)-TblConstr[[#This Row],[Dest OM]]</f>
        <v>0</v>
      </c>
      <c r="BG67" s="386" cm="1">
        <f t="array" aca="1" ref="BG67" ca="1">IF(TblConstr[[#This Row],[Hour]:[Hour]]&gt;12,OFFSET(TblConstr[[#This Row],[GN]],-12,0),0)+OFFSET(TblConstr[[#This Row],[Tot GN]],-1,0)-TblConstr[[#This Row],[Dest GN]]</f>
        <v>0</v>
      </c>
      <c r="BH67" s="390" cm="1">
        <f t="array" aca="1" ref="BH67" ca="1">IF(TblConstr[[#This Row],[Hour]:[Hour]]&gt;12,OFFSET(TblConstr[[#This Row],[Fac]],-12,0),0)+OFFSET(TblConstr[[#This Row],[Tot Fac]],-1,0)-TblConstr[[#This Row],[Dest Fac]]</f>
        <v>0</v>
      </c>
      <c r="BI67" s="390" cm="1">
        <f t="array" aca="1" ref="BI67" ca="1">IF(TblConstr[[#This Row],[Hour]:[Hour]]&gt;12,OFFSET(TblConstr[[#This Row],[GT]],-12,0),0)+OFFSET(TblConstr[[#This Row],[Tot GT]],-1,0)-TblConstr[[#This Row],[Dest GT]]</f>
        <v>0</v>
      </c>
      <c r="BJ67" s="390" cm="1">
        <f t="array" aca="1" ref="BJ67" ca="1">IF(TblConstr[[#This Row],[Hour]:[Hour]]&gt;12,OFFSET(TblConstr[[#This Row],[Bar]],-12,0),0)+OFFSET(TblConstr[[#This Row],[Tot Bar]],-1,0)-TblConstr[[#This Row],[Dest Bar]]</f>
        <v>0</v>
      </c>
      <c r="BK67" s="390" cm="1">
        <f t="array" aca="1" ref="BK67" ca="1">IF(TblConstr[[#This Row],[Hour]:[Hour]]&gt;12,OFFSET(TblConstr[[#This Row],[Shr]],-12,0),0)+OFFSET(TblConstr[[#This Row],[Tot Shr]],-1,0)-TblConstr[[#This Row],[Dest Shr]]</f>
        <v>0</v>
      </c>
      <c r="BL67" s="394" cm="1">
        <f t="array" aca="1" ref="BL67" ca="1">IF(TblConstr[[#This Row],[Hour]:[Hour]]&gt;12,OFFSET(TblConstr[[#This Row],[Tow]],-12,0),0)+OFFSET(TblConstr[[#This Row],[Tot Tow]],-1,0)-TblConstr[[#This Row],[Dest Tow]]</f>
        <v>0</v>
      </c>
      <c r="BM67" s="394" cm="1">
        <f t="array" aca="1" ref="BM67" ca="1">IF(TblConstr[[#This Row],[Hour]:[Hour]]&gt;12,OFFSET(TblConstr[[#This Row],[Tem]],-12,0),0)+OFFSET(TblConstr[[#This Row],[Tot Tem]],-1,0)-TblConstr[[#This Row],[Dest Tem]]</f>
        <v>0</v>
      </c>
      <c r="BN67" s="394"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250</v>
      </c>
      <c r="BU67" s="161">
        <f ca="1">TblImps[[#This Row],[Time]]</f>
        <v>45734.624999999847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84">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100</v>
      </c>
      <c r="DA67" s="96">
        <f t="shared" ca="1" si="13"/>
        <v>40</v>
      </c>
      <c r="DB67" s="45">
        <f t="shared" ca="1" si="14"/>
        <v>20</v>
      </c>
      <c r="DC67" s="96">
        <f t="shared" ca="1" si="15"/>
        <v>20</v>
      </c>
      <c r="DD67" s="96">
        <f t="shared" ca="1" si="16"/>
        <v>20</v>
      </c>
      <c r="DE67" s="45">
        <f t="shared" ca="1" si="17"/>
        <v>20</v>
      </c>
      <c r="DF67" s="96">
        <f t="shared" ca="1" si="18"/>
        <v>20</v>
      </c>
      <c r="DG67" s="96"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7">
        <f>TblRezone[[#This Row],[Hour]]</f>
        <v>65</v>
      </c>
      <c r="B68" s="178">
        <f ca="1">SUM(TblConstr[[#This Row],[Plain]:[Water]])</f>
        <v>160</v>
      </c>
      <c r="C68" s="179">
        <f ca="1">SUM(TblConstr[[#This Row],[Tot Hom]:[Tot Doc]])</f>
        <v>90</v>
      </c>
      <c r="D68" s="179">
        <f t="shared" si="11"/>
        <v>0</v>
      </c>
      <c r="E68" s="180"/>
      <c r="F68" s="61">
        <f ca="1">TblConstr[[#This Row],[Barren]]+TblConstr[[#This Row],[Buildings]]+TblConstr[[#This Row],[Incoming]]</f>
        <v>250</v>
      </c>
      <c r="G68" s="189">
        <f ca="1">OFFSET(TblConstr[[#This Row],[Plain]],-1,0)+TblConstr[[#This Row],[Ch_Plain]]</f>
        <v>40</v>
      </c>
      <c r="H68" s="184">
        <f ca="1">OFFSET(TblConstr[[#This Row],[Forest]],-1,0)+TblConstr[[#This Row],[Ch_Forest]]</f>
        <v>20</v>
      </c>
      <c r="I68" s="384">
        <f ca="1">OFFSET(TblConstr[[#This Row],[Mountain]],-1,0)+TblConstr[[#This Row],[Ch_Mountain]]</f>
        <v>20</v>
      </c>
      <c r="J68" s="388">
        <f ca="1">OFFSET(TblConstr[[#This Row],[Hill]],-1,0)+TblConstr[[#This Row],[Ch_Hill]]</f>
        <v>20</v>
      </c>
      <c r="K68" s="392">
        <f ca="1">OFFSET(TblConstr[[#This Row],[Swamp]],-1,0)+TblConstr[[#This Row],[Ch_Swamp]]</f>
        <v>20</v>
      </c>
      <c r="L68" s="187">
        <f ca="1">OFFSET(TblConstr[[#This Row],[Cavern]],-1,0)+TblConstr[[#This Row],[Ch_Cavern]]</f>
        <v>20</v>
      </c>
      <c r="M68" s="188">
        <f ca="1">OFFSET(TblConstr[[#This Row],[Water]],-1,0)+TblConstr[[#This Row],[Ch_Water]]</f>
        <v>20</v>
      </c>
      <c r="N68" s="382">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45734.666666666511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471982</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6">
        <f ca="1">ROUNDDOWN( MAX(1 - MIN(facs_constr_factor*TblConstr[[#This Row],[Facs -DB]],facs_constr_max) + tech_1_11*TblTech[[#This Row],[11-1]] + tech_6_3_2*TblTech[[#This Row],[6-3]] + tech_5_2_3*TblTech[[#This Row],[5-2]], 1-global_constr_cap) * TblConstr[[#This Row],[RCPA Lumber]],0)</f>
        <v>88</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6">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ROUND((TblConstr[[#This Row],[Land]]-250 - IF(TblExplore[[#This Row],[Land Bonus]]&lt;&gt;0,20,0))*1.25 + 850 + 0,0)</f>
        <v>850</v>
      </c>
      <c r="AW68" s="96">
        <f ca="1">ROUND((TblConstr[[#This Row],[Land]]-250 - IF(TblExplore[[#This Row],[Land Bonus]]&lt;&gt;0,20,0))*0.285 + 87.5 + 0/4.25,0)</f>
        <v>88</v>
      </c>
      <c r="AX68" s="156"/>
      <c r="AY68" s="190" cm="1">
        <f t="array" aca="1" ref="AY68" ca="1">IF(TblConstr[[#This Row],[Hour]:[Hour]]&gt;12,OFFSET(TblConstr[[#This Row],[Hom]],-12,0),0)+OFFSET(TblConstr[[#This Row],[Tot Hom]],-1,0)-TblConstr[[#This Row],[Dest Hom]]</f>
        <v>10</v>
      </c>
      <c r="AZ68" s="191" cm="1">
        <f t="array" aca="1" ref="AZ68" ca="1">IF(TblConstr[[#This Row],[Hour]:[Hour]]&gt;12,OFFSET(TblConstr[[#This Row],[Alc]],-12,0),0)+OFFSET(TblConstr[[#This Row],[Tot Alc]],-1,0)-TblConstr[[#This Row],[Dest Alc]]</f>
        <v>30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86" cm="1">
        <f t="array" aca="1" ref="BF68" ca="1">IF(TblConstr[[#This Row],[Hour]:[Hour]]&gt;12,OFFSET(TblConstr[[#This Row],[OM]],-12,0),0)+OFFSET(TblConstr[[#This Row],[Tot OM]],-1,0)-TblConstr[[#This Row],[Dest OM]]</f>
        <v>0</v>
      </c>
      <c r="BG68" s="386" cm="1">
        <f t="array" aca="1" ref="BG68" ca="1">IF(TblConstr[[#This Row],[Hour]:[Hour]]&gt;12,OFFSET(TblConstr[[#This Row],[GN]],-12,0),0)+OFFSET(TblConstr[[#This Row],[Tot GN]],-1,0)-TblConstr[[#This Row],[Dest GN]]</f>
        <v>0</v>
      </c>
      <c r="BH68" s="390" cm="1">
        <f t="array" aca="1" ref="BH68" ca="1">IF(TblConstr[[#This Row],[Hour]:[Hour]]&gt;12,OFFSET(TblConstr[[#This Row],[Fac]],-12,0),0)+OFFSET(TblConstr[[#This Row],[Tot Fac]],-1,0)-TblConstr[[#This Row],[Dest Fac]]</f>
        <v>0</v>
      </c>
      <c r="BI68" s="390" cm="1">
        <f t="array" aca="1" ref="BI68" ca="1">IF(TblConstr[[#This Row],[Hour]:[Hour]]&gt;12,OFFSET(TblConstr[[#This Row],[GT]],-12,0),0)+OFFSET(TblConstr[[#This Row],[Tot GT]],-1,0)-TblConstr[[#This Row],[Dest GT]]</f>
        <v>0</v>
      </c>
      <c r="BJ68" s="390" cm="1">
        <f t="array" aca="1" ref="BJ68" ca="1">IF(TblConstr[[#This Row],[Hour]:[Hour]]&gt;12,OFFSET(TblConstr[[#This Row],[Bar]],-12,0),0)+OFFSET(TblConstr[[#This Row],[Tot Bar]],-1,0)-TblConstr[[#This Row],[Dest Bar]]</f>
        <v>0</v>
      </c>
      <c r="BK68" s="390" cm="1">
        <f t="array" aca="1" ref="BK68" ca="1">IF(TblConstr[[#This Row],[Hour]:[Hour]]&gt;12,OFFSET(TblConstr[[#This Row],[Shr]],-12,0),0)+OFFSET(TblConstr[[#This Row],[Tot Shr]],-1,0)-TblConstr[[#This Row],[Dest Shr]]</f>
        <v>0</v>
      </c>
      <c r="BL68" s="394" cm="1">
        <f t="array" aca="1" ref="BL68" ca="1">IF(TblConstr[[#This Row],[Hour]:[Hour]]&gt;12,OFFSET(TblConstr[[#This Row],[Tow]],-12,0),0)+OFFSET(TblConstr[[#This Row],[Tot Tow]],-1,0)-TblConstr[[#This Row],[Dest Tow]]</f>
        <v>0</v>
      </c>
      <c r="BM68" s="394" cm="1">
        <f t="array" aca="1" ref="BM68" ca="1">IF(TblConstr[[#This Row],[Hour]:[Hour]]&gt;12,OFFSET(TblConstr[[#This Row],[Tem]],-12,0),0)+OFFSET(TblConstr[[#This Row],[Tot Tem]],-1,0)-TblConstr[[#This Row],[Dest Tem]]</f>
        <v>0</v>
      </c>
      <c r="BN68" s="394"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250</v>
      </c>
      <c r="BU68" s="161">
        <f ca="1">TblImps[[#This Row],[Time]]</f>
        <v>45734.666666666511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84">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100</v>
      </c>
      <c r="DA68" s="96">
        <f t="shared" ca="1" si="13"/>
        <v>40</v>
      </c>
      <c r="DB68" s="45">
        <f t="shared" ca="1" si="14"/>
        <v>20</v>
      </c>
      <c r="DC68" s="96">
        <f t="shared" ca="1" si="15"/>
        <v>20</v>
      </c>
      <c r="DD68" s="96">
        <f t="shared" ca="1" si="16"/>
        <v>20</v>
      </c>
      <c r="DE68" s="45">
        <f t="shared" ca="1" si="17"/>
        <v>20</v>
      </c>
      <c r="DF68" s="96">
        <f t="shared" ca="1" si="18"/>
        <v>20</v>
      </c>
      <c r="DG68" s="96"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7">
        <f>TblRezone[[#This Row],[Hour]]</f>
        <v>66</v>
      </c>
      <c r="B69" s="178">
        <f ca="1">SUM(TblConstr[[#This Row],[Plain]:[Water]])</f>
        <v>160</v>
      </c>
      <c r="C69" s="179">
        <f ca="1">SUM(TblConstr[[#This Row],[Tot Hom]:[Tot Doc]])</f>
        <v>90</v>
      </c>
      <c r="D69" s="179">
        <f t="shared" si="11"/>
        <v>0</v>
      </c>
      <c r="E69" s="180"/>
      <c r="F69" s="61">
        <f ca="1">TblConstr[[#This Row],[Barren]]+TblConstr[[#This Row],[Buildings]]+TblConstr[[#This Row],[Incoming]]</f>
        <v>250</v>
      </c>
      <c r="G69" s="189">
        <f ca="1">OFFSET(TblConstr[[#This Row],[Plain]],-1,0)+TblConstr[[#This Row],[Ch_Plain]]</f>
        <v>40</v>
      </c>
      <c r="H69" s="184">
        <f ca="1">OFFSET(TblConstr[[#This Row],[Forest]],-1,0)+TblConstr[[#This Row],[Ch_Forest]]</f>
        <v>20</v>
      </c>
      <c r="I69" s="384">
        <f ca="1">OFFSET(TblConstr[[#This Row],[Mountain]],-1,0)+TblConstr[[#This Row],[Ch_Mountain]]</f>
        <v>20</v>
      </c>
      <c r="J69" s="388">
        <f ca="1">OFFSET(TblConstr[[#This Row],[Hill]],-1,0)+TblConstr[[#This Row],[Ch_Hill]]</f>
        <v>20</v>
      </c>
      <c r="K69" s="392">
        <f ca="1">OFFSET(TblConstr[[#This Row],[Swamp]],-1,0)+TblConstr[[#This Row],[Ch_Swamp]]</f>
        <v>20</v>
      </c>
      <c r="L69" s="187">
        <f ca="1">OFFSET(TblConstr[[#This Row],[Cavern]],-1,0)+TblConstr[[#This Row],[Ch_Cavern]]</f>
        <v>20</v>
      </c>
      <c r="M69" s="188">
        <f ca="1">OFFSET(TblConstr[[#This Row],[Water]],-1,0)+TblConstr[[#This Row],[Ch_Water]]</f>
        <v>20</v>
      </c>
      <c r="N69" s="382">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45734.708333333176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477468</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6">
        <f ca="1">ROUNDDOWN( MAX(1 - MIN(facs_constr_factor*TblConstr[[#This Row],[Facs -DB]],facs_constr_max) + tech_1_11*TblTech[[#This Row],[11-1]] + tech_6_3_2*TblTech[[#This Row],[6-3]] + tech_5_2_3*TblTech[[#This Row],[5-2]], 1-global_constr_cap) * TblConstr[[#This Row],[RCPA Lumber]],0)</f>
        <v>88</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6">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ROUND((TblConstr[[#This Row],[Land]]-250 - IF(TblExplore[[#This Row],[Land Bonus]]&lt;&gt;0,20,0))*1.25 + 850 + 0,0)</f>
        <v>850</v>
      </c>
      <c r="AW69" s="96">
        <f ca="1">ROUND((TblConstr[[#This Row],[Land]]-250 - IF(TblExplore[[#This Row],[Land Bonus]]&lt;&gt;0,20,0))*0.285 + 87.5 + 0/4.25,0)</f>
        <v>88</v>
      </c>
      <c r="AX69" s="156"/>
      <c r="AY69" s="190" cm="1">
        <f t="array" aca="1" ref="AY69" ca="1">IF(TblConstr[[#This Row],[Hour]:[Hour]]&gt;12,OFFSET(TblConstr[[#This Row],[Hom]],-12,0),0)+OFFSET(TblConstr[[#This Row],[Tot Hom]],-1,0)-TblConstr[[#This Row],[Dest Hom]]</f>
        <v>10</v>
      </c>
      <c r="AZ69" s="191" cm="1">
        <f t="array" aca="1" ref="AZ69" ca="1">IF(TblConstr[[#This Row],[Hour]:[Hour]]&gt;12,OFFSET(TblConstr[[#This Row],[Alc]],-12,0),0)+OFFSET(TblConstr[[#This Row],[Tot Alc]],-1,0)-TblConstr[[#This Row],[Dest Alc]]</f>
        <v>30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86" cm="1">
        <f t="array" aca="1" ref="BF69" ca="1">IF(TblConstr[[#This Row],[Hour]:[Hour]]&gt;12,OFFSET(TblConstr[[#This Row],[OM]],-12,0),0)+OFFSET(TblConstr[[#This Row],[Tot OM]],-1,0)-TblConstr[[#This Row],[Dest OM]]</f>
        <v>0</v>
      </c>
      <c r="BG69" s="386" cm="1">
        <f t="array" aca="1" ref="BG69" ca="1">IF(TblConstr[[#This Row],[Hour]:[Hour]]&gt;12,OFFSET(TblConstr[[#This Row],[GN]],-12,0),0)+OFFSET(TblConstr[[#This Row],[Tot GN]],-1,0)-TblConstr[[#This Row],[Dest GN]]</f>
        <v>0</v>
      </c>
      <c r="BH69" s="390" cm="1">
        <f t="array" aca="1" ref="BH69" ca="1">IF(TblConstr[[#This Row],[Hour]:[Hour]]&gt;12,OFFSET(TblConstr[[#This Row],[Fac]],-12,0),0)+OFFSET(TblConstr[[#This Row],[Tot Fac]],-1,0)-TblConstr[[#This Row],[Dest Fac]]</f>
        <v>0</v>
      </c>
      <c r="BI69" s="390" cm="1">
        <f t="array" aca="1" ref="BI69" ca="1">IF(TblConstr[[#This Row],[Hour]:[Hour]]&gt;12,OFFSET(TblConstr[[#This Row],[GT]],-12,0),0)+OFFSET(TblConstr[[#This Row],[Tot GT]],-1,0)-TblConstr[[#This Row],[Dest GT]]</f>
        <v>0</v>
      </c>
      <c r="BJ69" s="390" cm="1">
        <f t="array" aca="1" ref="BJ69" ca="1">IF(TblConstr[[#This Row],[Hour]:[Hour]]&gt;12,OFFSET(TblConstr[[#This Row],[Bar]],-12,0),0)+OFFSET(TblConstr[[#This Row],[Tot Bar]],-1,0)-TblConstr[[#This Row],[Dest Bar]]</f>
        <v>0</v>
      </c>
      <c r="BK69" s="390" cm="1">
        <f t="array" aca="1" ref="BK69" ca="1">IF(TblConstr[[#This Row],[Hour]:[Hour]]&gt;12,OFFSET(TblConstr[[#This Row],[Shr]],-12,0),0)+OFFSET(TblConstr[[#This Row],[Tot Shr]],-1,0)-TblConstr[[#This Row],[Dest Shr]]</f>
        <v>0</v>
      </c>
      <c r="BL69" s="394" cm="1">
        <f t="array" aca="1" ref="BL69" ca="1">IF(TblConstr[[#This Row],[Hour]:[Hour]]&gt;12,OFFSET(TblConstr[[#This Row],[Tow]],-12,0),0)+OFFSET(TblConstr[[#This Row],[Tot Tow]],-1,0)-TblConstr[[#This Row],[Dest Tow]]</f>
        <v>0</v>
      </c>
      <c r="BM69" s="394" cm="1">
        <f t="array" aca="1" ref="BM69" ca="1">IF(TblConstr[[#This Row],[Hour]:[Hour]]&gt;12,OFFSET(TblConstr[[#This Row],[Tem]],-12,0),0)+OFFSET(TblConstr[[#This Row],[Tot Tem]],-1,0)-TblConstr[[#This Row],[Dest Tem]]</f>
        <v>0</v>
      </c>
      <c r="BN69" s="394"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250</v>
      </c>
      <c r="BU69" s="161">
        <f ca="1">TblImps[[#This Row],[Time]]</f>
        <v>45734.708333333176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84">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100</v>
      </c>
      <c r="DA69" s="96">
        <f t="shared" ca="1" si="13"/>
        <v>40</v>
      </c>
      <c r="DB69" s="45">
        <f t="shared" ca="1" si="14"/>
        <v>20</v>
      </c>
      <c r="DC69" s="96">
        <f t="shared" ca="1" si="15"/>
        <v>20</v>
      </c>
      <c r="DD69" s="96">
        <f t="shared" ca="1" si="16"/>
        <v>20</v>
      </c>
      <c r="DE69" s="45">
        <f t="shared" ca="1" si="17"/>
        <v>20</v>
      </c>
      <c r="DF69" s="96">
        <f t="shared" ca="1" si="18"/>
        <v>20</v>
      </c>
      <c r="DG69" s="96"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7">
        <f>TblRezone[[#This Row],[Hour]]</f>
        <v>67</v>
      </c>
      <c r="B70" s="178">
        <f ca="1">SUM(TblConstr[[#This Row],[Plain]:[Water]])</f>
        <v>160</v>
      </c>
      <c r="C70" s="179">
        <f ca="1">SUM(TblConstr[[#This Row],[Tot Hom]:[Tot Doc]])</f>
        <v>90</v>
      </c>
      <c r="D70" s="179">
        <f t="shared" si="11"/>
        <v>0</v>
      </c>
      <c r="E70" s="180"/>
      <c r="F70" s="61">
        <f ca="1">TblConstr[[#This Row],[Barren]]+TblConstr[[#This Row],[Buildings]]+TblConstr[[#This Row],[Incoming]]</f>
        <v>250</v>
      </c>
      <c r="G70" s="189">
        <f ca="1">OFFSET(TblConstr[[#This Row],[Plain]],-1,0)+TblConstr[[#This Row],[Ch_Plain]]</f>
        <v>40</v>
      </c>
      <c r="H70" s="184">
        <f ca="1">OFFSET(TblConstr[[#This Row],[Forest]],-1,0)+TblConstr[[#This Row],[Ch_Forest]]</f>
        <v>20</v>
      </c>
      <c r="I70" s="384">
        <f ca="1">OFFSET(TblConstr[[#This Row],[Mountain]],-1,0)+TblConstr[[#This Row],[Ch_Mountain]]</f>
        <v>20</v>
      </c>
      <c r="J70" s="388">
        <f ca="1">OFFSET(TblConstr[[#This Row],[Hill]],-1,0)+TblConstr[[#This Row],[Ch_Hill]]</f>
        <v>20</v>
      </c>
      <c r="K70" s="392">
        <f ca="1">OFFSET(TblConstr[[#This Row],[Swamp]],-1,0)+TblConstr[[#This Row],[Ch_Swamp]]</f>
        <v>20</v>
      </c>
      <c r="L70" s="187">
        <f ca="1">OFFSET(TblConstr[[#This Row],[Cavern]],-1,0)+TblConstr[[#This Row],[Ch_Cavern]]</f>
        <v>20</v>
      </c>
      <c r="M70" s="188">
        <f ca="1">OFFSET(TblConstr[[#This Row],[Water]],-1,0)+TblConstr[[#This Row],[Ch_Water]]</f>
        <v>20</v>
      </c>
      <c r="N70" s="382">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45734.74999999984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482954</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6">
        <f ca="1">ROUNDDOWN( MAX(1 - MIN(facs_constr_factor*TblConstr[[#This Row],[Facs -DB]],facs_constr_max) + tech_1_11*TblTech[[#This Row],[11-1]] + tech_6_3_2*TblTech[[#This Row],[6-3]] + tech_5_2_3*TblTech[[#This Row],[5-2]], 1-global_constr_cap) * TblConstr[[#This Row],[RCPA Lumber]],0)</f>
        <v>88</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6">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ROUND((TblConstr[[#This Row],[Land]]-250 - IF(TblExplore[[#This Row],[Land Bonus]]&lt;&gt;0,20,0))*1.25 + 850 + 0,0)</f>
        <v>850</v>
      </c>
      <c r="AW70" s="96">
        <f ca="1">ROUND((TblConstr[[#This Row],[Land]]-250 - IF(TblExplore[[#This Row],[Land Bonus]]&lt;&gt;0,20,0))*0.285 + 87.5 + 0/4.25,0)</f>
        <v>88</v>
      </c>
      <c r="AX70" s="156"/>
      <c r="AY70" s="190" cm="1">
        <f t="array" aca="1" ref="AY70" ca="1">IF(TblConstr[[#This Row],[Hour]:[Hour]]&gt;12,OFFSET(TblConstr[[#This Row],[Hom]],-12,0),0)+OFFSET(TblConstr[[#This Row],[Tot Hom]],-1,0)-TblConstr[[#This Row],[Dest Hom]]</f>
        <v>10</v>
      </c>
      <c r="AZ70" s="191" cm="1">
        <f t="array" aca="1" ref="AZ70" ca="1">IF(TblConstr[[#This Row],[Hour]:[Hour]]&gt;12,OFFSET(TblConstr[[#This Row],[Alc]],-12,0),0)+OFFSET(TblConstr[[#This Row],[Tot Alc]],-1,0)-TblConstr[[#This Row],[Dest Alc]]</f>
        <v>30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86" cm="1">
        <f t="array" aca="1" ref="BF70" ca="1">IF(TblConstr[[#This Row],[Hour]:[Hour]]&gt;12,OFFSET(TblConstr[[#This Row],[OM]],-12,0),0)+OFFSET(TblConstr[[#This Row],[Tot OM]],-1,0)-TblConstr[[#This Row],[Dest OM]]</f>
        <v>0</v>
      </c>
      <c r="BG70" s="386" cm="1">
        <f t="array" aca="1" ref="BG70" ca="1">IF(TblConstr[[#This Row],[Hour]:[Hour]]&gt;12,OFFSET(TblConstr[[#This Row],[GN]],-12,0),0)+OFFSET(TblConstr[[#This Row],[Tot GN]],-1,0)-TblConstr[[#This Row],[Dest GN]]</f>
        <v>0</v>
      </c>
      <c r="BH70" s="390" cm="1">
        <f t="array" aca="1" ref="BH70" ca="1">IF(TblConstr[[#This Row],[Hour]:[Hour]]&gt;12,OFFSET(TblConstr[[#This Row],[Fac]],-12,0),0)+OFFSET(TblConstr[[#This Row],[Tot Fac]],-1,0)-TblConstr[[#This Row],[Dest Fac]]</f>
        <v>0</v>
      </c>
      <c r="BI70" s="390" cm="1">
        <f t="array" aca="1" ref="BI70" ca="1">IF(TblConstr[[#This Row],[Hour]:[Hour]]&gt;12,OFFSET(TblConstr[[#This Row],[GT]],-12,0),0)+OFFSET(TblConstr[[#This Row],[Tot GT]],-1,0)-TblConstr[[#This Row],[Dest GT]]</f>
        <v>0</v>
      </c>
      <c r="BJ70" s="390" cm="1">
        <f t="array" aca="1" ref="BJ70" ca="1">IF(TblConstr[[#This Row],[Hour]:[Hour]]&gt;12,OFFSET(TblConstr[[#This Row],[Bar]],-12,0),0)+OFFSET(TblConstr[[#This Row],[Tot Bar]],-1,0)-TblConstr[[#This Row],[Dest Bar]]</f>
        <v>0</v>
      </c>
      <c r="BK70" s="390" cm="1">
        <f t="array" aca="1" ref="BK70" ca="1">IF(TblConstr[[#This Row],[Hour]:[Hour]]&gt;12,OFFSET(TblConstr[[#This Row],[Shr]],-12,0),0)+OFFSET(TblConstr[[#This Row],[Tot Shr]],-1,0)-TblConstr[[#This Row],[Dest Shr]]</f>
        <v>0</v>
      </c>
      <c r="BL70" s="394" cm="1">
        <f t="array" aca="1" ref="BL70" ca="1">IF(TblConstr[[#This Row],[Hour]:[Hour]]&gt;12,OFFSET(TblConstr[[#This Row],[Tow]],-12,0),0)+OFFSET(TblConstr[[#This Row],[Tot Tow]],-1,0)-TblConstr[[#This Row],[Dest Tow]]</f>
        <v>0</v>
      </c>
      <c r="BM70" s="394" cm="1">
        <f t="array" aca="1" ref="BM70" ca="1">IF(TblConstr[[#This Row],[Hour]:[Hour]]&gt;12,OFFSET(TblConstr[[#This Row],[Tem]],-12,0),0)+OFFSET(TblConstr[[#This Row],[Tot Tem]],-1,0)-TblConstr[[#This Row],[Dest Tem]]</f>
        <v>0</v>
      </c>
      <c r="BN70" s="394"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250</v>
      </c>
      <c r="BU70" s="161">
        <f ca="1">TblImps[[#This Row],[Time]]</f>
        <v>45734.74999999984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84">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100</v>
      </c>
      <c r="DA70" s="96">
        <f t="shared" ca="1" si="13"/>
        <v>40</v>
      </c>
      <c r="DB70" s="45">
        <f t="shared" ca="1" si="14"/>
        <v>20</v>
      </c>
      <c r="DC70" s="96">
        <f t="shared" ca="1" si="15"/>
        <v>20</v>
      </c>
      <c r="DD70" s="96">
        <f t="shared" ca="1" si="16"/>
        <v>20</v>
      </c>
      <c r="DE70" s="45">
        <f t="shared" ca="1" si="17"/>
        <v>20</v>
      </c>
      <c r="DF70" s="96">
        <f t="shared" ca="1" si="18"/>
        <v>20</v>
      </c>
      <c r="DG70" s="96"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7">
        <f>TblRezone[[#This Row],[Hour]]</f>
        <v>68</v>
      </c>
      <c r="B71" s="178">
        <f ca="1">SUM(TblConstr[[#This Row],[Plain]:[Water]])</f>
        <v>160</v>
      </c>
      <c r="C71" s="179">
        <f ca="1">SUM(TblConstr[[#This Row],[Tot Hom]:[Tot Doc]])</f>
        <v>90</v>
      </c>
      <c r="D71" s="179">
        <f t="shared" si="11"/>
        <v>0</v>
      </c>
      <c r="E71" s="180"/>
      <c r="F71" s="61">
        <f ca="1">TblConstr[[#This Row],[Barren]]+TblConstr[[#This Row],[Buildings]]+TblConstr[[#This Row],[Incoming]]</f>
        <v>250</v>
      </c>
      <c r="G71" s="189">
        <f ca="1">OFFSET(TblConstr[[#This Row],[Plain]],-1,0)+TblConstr[[#This Row],[Ch_Plain]]</f>
        <v>40</v>
      </c>
      <c r="H71" s="184">
        <f ca="1">OFFSET(TblConstr[[#This Row],[Forest]],-1,0)+TblConstr[[#This Row],[Ch_Forest]]</f>
        <v>20</v>
      </c>
      <c r="I71" s="384">
        <f ca="1">OFFSET(TblConstr[[#This Row],[Mountain]],-1,0)+TblConstr[[#This Row],[Ch_Mountain]]</f>
        <v>20</v>
      </c>
      <c r="J71" s="388">
        <f ca="1">OFFSET(TblConstr[[#This Row],[Hill]],-1,0)+TblConstr[[#This Row],[Ch_Hill]]</f>
        <v>20</v>
      </c>
      <c r="K71" s="392">
        <f ca="1">OFFSET(TblConstr[[#This Row],[Swamp]],-1,0)+TblConstr[[#This Row],[Ch_Swamp]]</f>
        <v>20</v>
      </c>
      <c r="L71" s="187">
        <f ca="1">OFFSET(TblConstr[[#This Row],[Cavern]],-1,0)+TblConstr[[#This Row],[Ch_Cavern]]</f>
        <v>20</v>
      </c>
      <c r="M71" s="188">
        <f ca="1">OFFSET(TblConstr[[#This Row],[Water]],-1,0)+TblConstr[[#This Row],[Ch_Water]]</f>
        <v>20</v>
      </c>
      <c r="N71" s="382">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45734.791666666504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488440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6">
        <f ca="1">ROUNDDOWN( MAX(1 - MIN(facs_constr_factor*TblConstr[[#This Row],[Facs -DB]],facs_constr_max) + tech_1_11*TblTech[[#This Row],[11-1]] + tech_6_3_2*TblTech[[#This Row],[6-3]] + tech_5_2_3*TblTech[[#This Row],[5-2]], 1-global_constr_cap) * TblConstr[[#This Row],[RCPA Lumber]],0)</f>
        <v>88</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6">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ROUND((TblConstr[[#This Row],[Land]]-250 - IF(TblExplore[[#This Row],[Land Bonus]]&lt;&gt;0,20,0))*1.25 + 850 + 0,0)</f>
        <v>850</v>
      </c>
      <c r="AW71" s="96">
        <f ca="1">ROUND((TblConstr[[#This Row],[Land]]-250 - IF(TblExplore[[#This Row],[Land Bonus]]&lt;&gt;0,20,0))*0.285 + 87.5 + 0/4.25,0)</f>
        <v>88</v>
      </c>
      <c r="AX71" s="156"/>
      <c r="AY71" s="190" cm="1">
        <f t="array" aca="1" ref="AY71" ca="1">IF(TblConstr[[#This Row],[Hour]:[Hour]]&gt;12,OFFSET(TblConstr[[#This Row],[Hom]],-12,0),0)+OFFSET(TblConstr[[#This Row],[Tot Hom]],-1,0)-TblConstr[[#This Row],[Dest Hom]]</f>
        <v>10</v>
      </c>
      <c r="AZ71" s="191" cm="1">
        <f t="array" aca="1" ref="AZ71" ca="1">IF(TblConstr[[#This Row],[Hour]:[Hour]]&gt;12,OFFSET(TblConstr[[#This Row],[Alc]],-12,0),0)+OFFSET(TblConstr[[#This Row],[Tot Alc]],-1,0)-TblConstr[[#This Row],[Dest Alc]]</f>
        <v>30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86" cm="1">
        <f t="array" aca="1" ref="BF71" ca="1">IF(TblConstr[[#This Row],[Hour]:[Hour]]&gt;12,OFFSET(TblConstr[[#This Row],[OM]],-12,0),0)+OFFSET(TblConstr[[#This Row],[Tot OM]],-1,0)-TblConstr[[#This Row],[Dest OM]]</f>
        <v>0</v>
      </c>
      <c r="BG71" s="386" cm="1">
        <f t="array" aca="1" ref="BG71" ca="1">IF(TblConstr[[#This Row],[Hour]:[Hour]]&gt;12,OFFSET(TblConstr[[#This Row],[GN]],-12,0),0)+OFFSET(TblConstr[[#This Row],[Tot GN]],-1,0)-TblConstr[[#This Row],[Dest GN]]</f>
        <v>0</v>
      </c>
      <c r="BH71" s="390" cm="1">
        <f t="array" aca="1" ref="BH71" ca="1">IF(TblConstr[[#This Row],[Hour]:[Hour]]&gt;12,OFFSET(TblConstr[[#This Row],[Fac]],-12,0),0)+OFFSET(TblConstr[[#This Row],[Tot Fac]],-1,0)-TblConstr[[#This Row],[Dest Fac]]</f>
        <v>0</v>
      </c>
      <c r="BI71" s="390" cm="1">
        <f t="array" aca="1" ref="BI71" ca="1">IF(TblConstr[[#This Row],[Hour]:[Hour]]&gt;12,OFFSET(TblConstr[[#This Row],[GT]],-12,0),0)+OFFSET(TblConstr[[#This Row],[Tot GT]],-1,0)-TblConstr[[#This Row],[Dest GT]]</f>
        <v>0</v>
      </c>
      <c r="BJ71" s="390" cm="1">
        <f t="array" aca="1" ref="BJ71" ca="1">IF(TblConstr[[#This Row],[Hour]:[Hour]]&gt;12,OFFSET(TblConstr[[#This Row],[Bar]],-12,0),0)+OFFSET(TblConstr[[#This Row],[Tot Bar]],-1,0)-TblConstr[[#This Row],[Dest Bar]]</f>
        <v>0</v>
      </c>
      <c r="BK71" s="390" cm="1">
        <f t="array" aca="1" ref="BK71" ca="1">IF(TblConstr[[#This Row],[Hour]:[Hour]]&gt;12,OFFSET(TblConstr[[#This Row],[Shr]],-12,0),0)+OFFSET(TblConstr[[#This Row],[Tot Shr]],-1,0)-TblConstr[[#This Row],[Dest Shr]]</f>
        <v>0</v>
      </c>
      <c r="BL71" s="394" cm="1">
        <f t="array" aca="1" ref="BL71" ca="1">IF(TblConstr[[#This Row],[Hour]:[Hour]]&gt;12,OFFSET(TblConstr[[#This Row],[Tow]],-12,0),0)+OFFSET(TblConstr[[#This Row],[Tot Tow]],-1,0)-TblConstr[[#This Row],[Dest Tow]]</f>
        <v>0</v>
      </c>
      <c r="BM71" s="394" cm="1">
        <f t="array" aca="1" ref="BM71" ca="1">IF(TblConstr[[#This Row],[Hour]:[Hour]]&gt;12,OFFSET(TblConstr[[#This Row],[Tem]],-12,0),0)+OFFSET(TblConstr[[#This Row],[Tot Tem]],-1,0)-TblConstr[[#This Row],[Dest Tem]]</f>
        <v>0</v>
      </c>
      <c r="BN71" s="394"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250</v>
      </c>
      <c r="BU71" s="161">
        <f ca="1">TblImps[[#This Row],[Time]]</f>
        <v>45734.791666666504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84">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100</v>
      </c>
      <c r="DA71" s="96">
        <f t="shared" ca="1" si="13"/>
        <v>40</v>
      </c>
      <c r="DB71" s="45">
        <f t="shared" ca="1" si="14"/>
        <v>20</v>
      </c>
      <c r="DC71" s="96">
        <f t="shared" ca="1" si="15"/>
        <v>20</v>
      </c>
      <c r="DD71" s="96">
        <f t="shared" ca="1" si="16"/>
        <v>20</v>
      </c>
      <c r="DE71" s="45">
        <f t="shared" ca="1" si="17"/>
        <v>20</v>
      </c>
      <c r="DF71" s="96">
        <f t="shared" ca="1" si="18"/>
        <v>20</v>
      </c>
      <c r="DG71" s="96"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7">
        <f>TblRezone[[#This Row],[Hour]]</f>
        <v>69</v>
      </c>
      <c r="B72" s="178">
        <f ca="1">SUM(TblConstr[[#This Row],[Plain]:[Water]])</f>
        <v>160</v>
      </c>
      <c r="C72" s="179">
        <f ca="1">SUM(TblConstr[[#This Row],[Tot Hom]:[Tot Doc]])</f>
        <v>90</v>
      </c>
      <c r="D72" s="179">
        <f t="shared" si="11"/>
        <v>0</v>
      </c>
      <c r="E72" s="180"/>
      <c r="F72" s="61">
        <f ca="1">TblConstr[[#This Row],[Barren]]+TblConstr[[#This Row],[Buildings]]+TblConstr[[#This Row],[Incoming]]</f>
        <v>250</v>
      </c>
      <c r="G72" s="189">
        <f ca="1">OFFSET(TblConstr[[#This Row],[Plain]],-1,0)+TblConstr[[#This Row],[Ch_Plain]]</f>
        <v>40</v>
      </c>
      <c r="H72" s="184">
        <f ca="1">OFFSET(TblConstr[[#This Row],[Forest]],-1,0)+TblConstr[[#This Row],[Ch_Forest]]</f>
        <v>20</v>
      </c>
      <c r="I72" s="384">
        <f ca="1">OFFSET(TblConstr[[#This Row],[Mountain]],-1,0)+TblConstr[[#This Row],[Ch_Mountain]]</f>
        <v>20</v>
      </c>
      <c r="J72" s="388">
        <f ca="1">OFFSET(TblConstr[[#This Row],[Hill]],-1,0)+TblConstr[[#This Row],[Ch_Hill]]</f>
        <v>20</v>
      </c>
      <c r="K72" s="392">
        <f ca="1">OFFSET(TblConstr[[#This Row],[Swamp]],-1,0)+TblConstr[[#This Row],[Ch_Swamp]]</f>
        <v>20</v>
      </c>
      <c r="L72" s="187">
        <f ca="1">OFFSET(TblConstr[[#This Row],[Cavern]],-1,0)+TblConstr[[#This Row],[Ch_Cavern]]</f>
        <v>20</v>
      </c>
      <c r="M72" s="188">
        <f ca="1">OFFSET(TblConstr[[#This Row],[Water]],-1,0)+TblConstr[[#This Row],[Ch_Water]]</f>
        <v>20</v>
      </c>
      <c r="N72" s="382">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45734.833333333168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493926</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6">
        <f ca="1">ROUNDDOWN( MAX(1 - MIN(facs_constr_factor*TblConstr[[#This Row],[Facs -DB]],facs_constr_max) + tech_1_11*TblTech[[#This Row],[11-1]] + tech_6_3_2*TblTech[[#This Row],[6-3]] + tech_5_2_3*TblTech[[#This Row],[5-2]], 1-global_constr_cap) * TblConstr[[#This Row],[RCPA Lumber]],0)</f>
        <v>88</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6">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ROUND((TblConstr[[#This Row],[Land]]-250 - IF(TblExplore[[#This Row],[Land Bonus]]&lt;&gt;0,20,0))*1.25 + 850 + 0,0)</f>
        <v>850</v>
      </c>
      <c r="AW72" s="96">
        <f ca="1">ROUND((TblConstr[[#This Row],[Land]]-250 - IF(TblExplore[[#This Row],[Land Bonus]]&lt;&gt;0,20,0))*0.285 + 87.5 + 0/4.25,0)</f>
        <v>88</v>
      </c>
      <c r="AX72" s="156"/>
      <c r="AY72" s="190" cm="1">
        <f t="array" aca="1" ref="AY72" ca="1">IF(TblConstr[[#This Row],[Hour]:[Hour]]&gt;12,OFFSET(TblConstr[[#This Row],[Hom]],-12,0),0)+OFFSET(TblConstr[[#This Row],[Tot Hom]],-1,0)-TblConstr[[#This Row],[Dest Hom]]</f>
        <v>10</v>
      </c>
      <c r="AZ72" s="191" cm="1">
        <f t="array" aca="1" ref="AZ72" ca="1">IF(TblConstr[[#This Row],[Hour]:[Hour]]&gt;12,OFFSET(TblConstr[[#This Row],[Alc]],-12,0),0)+OFFSET(TblConstr[[#This Row],[Tot Alc]],-1,0)-TblConstr[[#This Row],[Dest Alc]]</f>
        <v>30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86" cm="1">
        <f t="array" aca="1" ref="BF72" ca="1">IF(TblConstr[[#This Row],[Hour]:[Hour]]&gt;12,OFFSET(TblConstr[[#This Row],[OM]],-12,0),0)+OFFSET(TblConstr[[#This Row],[Tot OM]],-1,0)-TblConstr[[#This Row],[Dest OM]]</f>
        <v>0</v>
      </c>
      <c r="BG72" s="386" cm="1">
        <f t="array" aca="1" ref="BG72" ca="1">IF(TblConstr[[#This Row],[Hour]:[Hour]]&gt;12,OFFSET(TblConstr[[#This Row],[GN]],-12,0),0)+OFFSET(TblConstr[[#This Row],[Tot GN]],-1,0)-TblConstr[[#This Row],[Dest GN]]</f>
        <v>0</v>
      </c>
      <c r="BH72" s="390" cm="1">
        <f t="array" aca="1" ref="BH72" ca="1">IF(TblConstr[[#This Row],[Hour]:[Hour]]&gt;12,OFFSET(TblConstr[[#This Row],[Fac]],-12,0),0)+OFFSET(TblConstr[[#This Row],[Tot Fac]],-1,0)-TblConstr[[#This Row],[Dest Fac]]</f>
        <v>0</v>
      </c>
      <c r="BI72" s="390" cm="1">
        <f t="array" aca="1" ref="BI72" ca="1">IF(TblConstr[[#This Row],[Hour]:[Hour]]&gt;12,OFFSET(TblConstr[[#This Row],[GT]],-12,0),0)+OFFSET(TblConstr[[#This Row],[Tot GT]],-1,0)-TblConstr[[#This Row],[Dest GT]]</f>
        <v>0</v>
      </c>
      <c r="BJ72" s="390" cm="1">
        <f t="array" aca="1" ref="BJ72" ca="1">IF(TblConstr[[#This Row],[Hour]:[Hour]]&gt;12,OFFSET(TblConstr[[#This Row],[Bar]],-12,0),0)+OFFSET(TblConstr[[#This Row],[Tot Bar]],-1,0)-TblConstr[[#This Row],[Dest Bar]]</f>
        <v>0</v>
      </c>
      <c r="BK72" s="390" cm="1">
        <f t="array" aca="1" ref="BK72" ca="1">IF(TblConstr[[#This Row],[Hour]:[Hour]]&gt;12,OFFSET(TblConstr[[#This Row],[Shr]],-12,0),0)+OFFSET(TblConstr[[#This Row],[Tot Shr]],-1,0)-TblConstr[[#This Row],[Dest Shr]]</f>
        <v>0</v>
      </c>
      <c r="BL72" s="394" cm="1">
        <f t="array" aca="1" ref="BL72" ca="1">IF(TblConstr[[#This Row],[Hour]:[Hour]]&gt;12,OFFSET(TblConstr[[#This Row],[Tow]],-12,0),0)+OFFSET(TblConstr[[#This Row],[Tot Tow]],-1,0)-TblConstr[[#This Row],[Dest Tow]]</f>
        <v>0</v>
      </c>
      <c r="BM72" s="394" cm="1">
        <f t="array" aca="1" ref="BM72" ca="1">IF(TblConstr[[#This Row],[Hour]:[Hour]]&gt;12,OFFSET(TblConstr[[#This Row],[Tem]],-12,0),0)+OFFSET(TblConstr[[#This Row],[Tot Tem]],-1,0)-TblConstr[[#This Row],[Dest Tem]]</f>
        <v>0</v>
      </c>
      <c r="BN72" s="394"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250</v>
      </c>
      <c r="BU72" s="161">
        <f ca="1">TblImps[[#This Row],[Time]]</f>
        <v>45734.833333333168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84">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100</v>
      </c>
      <c r="DA72" s="96">
        <f t="shared" ca="1" si="13"/>
        <v>40</v>
      </c>
      <c r="DB72" s="45">
        <f t="shared" ca="1" si="14"/>
        <v>20</v>
      </c>
      <c r="DC72" s="96">
        <f t="shared" ca="1" si="15"/>
        <v>20</v>
      </c>
      <c r="DD72" s="96">
        <f t="shared" ca="1" si="16"/>
        <v>20</v>
      </c>
      <c r="DE72" s="45">
        <f t="shared" ca="1" si="17"/>
        <v>20</v>
      </c>
      <c r="DF72" s="96">
        <f t="shared" ca="1" si="18"/>
        <v>20</v>
      </c>
      <c r="DG72" s="96"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7">
        <f>TblRezone[[#This Row],[Hour]]</f>
        <v>70</v>
      </c>
      <c r="B73" s="178">
        <f ca="1">SUM(TblConstr[[#This Row],[Plain]:[Water]])</f>
        <v>160</v>
      </c>
      <c r="C73" s="179">
        <f ca="1">SUM(TblConstr[[#This Row],[Tot Hom]:[Tot Doc]])</f>
        <v>90</v>
      </c>
      <c r="D73" s="179">
        <f t="shared" si="11"/>
        <v>0</v>
      </c>
      <c r="E73" s="180"/>
      <c r="F73" s="61">
        <f ca="1">TblConstr[[#This Row],[Barren]]+TblConstr[[#This Row],[Buildings]]+TblConstr[[#This Row],[Incoming]]</f>
        <v>250</v>
      </c>
      <c r="G73" s="189">
        <f ca="1">OFFSET(TblConstr[[#This Row],[Plain]],-1,0)+TblConstr[[#This Row],[Ch_Plain]]</f>
        <v>40</v>
      </c>
      <c r="H73" s="184">
        <f ca="1">OFFSET(TblConstr[[#This Row],[Forest]],-1,0)+TblConstr[[#This Row],[Ch_Forest]]</f>
        <v>20</v>
      </c>
      <c r="I73" s="384">
        <f ca="1">OFFSET(TblConstr[[#This Row],[Mountain]],-1,0)+TblConstr[[#This Row],[Ch_Mountain]]</f>
        <v>20</v>
      </c>
      <c r="J73" s="388">
        <f ca="1">OFFSET(TblConstr[[#This Row],[Hill]],-1,0)+TblConstr[[#This Row],[Ch_Hill]]</f>
        <v>20</v>
      </c>
      <c r="K73" s="392">
        <f ca="1">OFFSET(TblConstr[[#This Row],[Swamp]],-1,0)+TblConstr[[#This Row],[Ch_Swamp]]</f>
        <v>20</v>
      </c>
      <c r="L73" s="187">
        <f ca="1">OFFSET(TblConstr[[#This Row],[Cavern]],-1,0)+TblConstr[[#This Row],[Ch_Cavern]]</f>
        <v>20</v>
      </c>
      <c r="M73" s="188">
        <f ca="1">OFFSET(TblConstr[[#This Row],[Water]],-1,0)+TblConstr[[#This Row],[Ch_Water]]</f>
        <v>20</v>
      </c>
      <c r="N73" s="382">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45734.874999999833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499412</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6">
        <f ca="1">ROUNDDOWN( MAX(1 - MIN(facs_constr_factor*TblConstr[[#This Row],[Facs -DB]],facs_constr_max) + tech_1_11*TblTech[[#This Row],[11-1]] + tech_6_3_2*TblTech[[#This Row],[6-3]] + tech_5_2_3*TblTech[[#This Row],[5-2]], 1-global_constr_cap) * TblConstr[[#This Row],[RCPA Lumber]],0)</f>
        <v>88</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6">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ROUND((TblConstr[[#This Row],[Land]]-250 - IF(TblExplore[[#This Row],[Land Bonus]]&lt;&gt;0,20,0))*1.25 + 850 + 0,0)</f>
        <v>850</v>
      </c>
      <c r="AW73" s="96">
        <f ca="1">ROUND((TblConstr[[#This Row],[Land]]-250 - IF(TblExplore[[#This Row],[Land Bonus]]&lt;&gt;0,20,0))*0.285 + 87.5 + 0/4.25,0)</f>
        <v>88</v>
      </c>
      <c r="AX73" s="156"/>
      <c r="AY73" s="190" cm="1">
        <f t="array" aca="1" ref="AY73" ca="1">IF(TblConstr[[#This Row],[Hour]:[Hour]]&gt;12,OFFSET(TblConstr[[#This Row],[Hom]],-12,0),0)+OFFSET(TblConstr[[#This Row],[Tot Hom]],-1,0)-TblConstr[[#This Row],[Dest Hom]]</f>
        <v>10</v>
      </c>
      <c r="AZ73" s="191" cm="1">
        <f t="array" aca="1" ref="AZ73" ca="1">IF(TblConstr[[#This Row],[Hour]:[Hour]]&gt;12,OFFSET(TblConstr[[#This Row],[Alc]],-12,0),0)+OFFSET(TblConstr[[#This Row],[Tot Alc]],-1,0)-TblConstr[[#This Row],[Dest Alc]]</f>
        <v>30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86" cm="1">
        <f t="array" aca="1" ref="BF73" ca="1">IF(TblConstr[[#This Row],[Hour]:[Hour]]&gt;12,OFFSET(TblConstr[[#This Row],[OM]],-12,0),0)+OFFSET(TblConstr[[#This Row],[Tot OM]],-1,0)-TblConstr[[#This Row],[Dest OM]]</f>
        <v>0</v>
      </c>
      <c r="BG73" s="386" cm="1">
        <f t="array" aca="1" ref="BG73" ca="1">IF(TblConstr[[#This Row],[Hour]:[Hour]]&gt;12,OFFSET(TblConstr[[#This Row],[GN]],-12,0),0)+OFFSET(TblConstr[[#This Row],[Tot GN]],-1,0)-TblConstr[[#This Row],[Dest GN]]</f>
        <v>0</v>
      </c>
      <c r="BH73" s="390" cm="1">
        <f t="array" aca="1" ref="BH73" ca="1">IF(TblConstr[[#This Row],[Hour]:[Hour]]&gt;12,OFFSET(TblConstr[[#This Row],[Fac]],-12,0),0)+OFFSET(TblConstr[[#This Row],[Tot Fac]],-1,0)-TblConstr[[#This Row],[Dest Fac]]</f>
        <v>0</v>
      </c>
      <c r="BI73" s="390" cm="1">
        <f t="array" aca="1" ref="BI73" ca="1">IF(TblConstr[[#This Row],[Hour]:[Hour]]&gt;12,OFFSET(TblConstr[[#This Row],[GT]],-12,0),0)+OFFSET(TblConstr[[#This Row],[Tot GT]],-1,0)-TblConstr[[#This Row],[Dest GT]]</f>
        <v>0</v>
      </c>
      <c r="BJ73" s="390" cm="1">
        <f t="array" aca="1" ref="BJ73" ca="1">IF(TblConstr[[#This Row],[Hour]:[Hour]]&gt;12,OFFSET(TblConstr[[#This Row],[Bar]],-12,0),0)+OFFSET(TblConstr[[#This Row],[Tot Bar]],-1,0)-TblConstr[[#This Row],[Dest Bar]]</f>
        <v>0</v>
      </c>
      <c r="BK73" s="390" cm="1">
        <f t="array" aca="1" ref="BK73" ca="1">IF(TblConstr[[#This Row],[Hour]:[Hour]]&gt;12,OFFSET(TblConstr[[#This Row],[Shr]],-12,0),0)+OFFSET(TblConstr[[#This Row],[Tot Shr]],-1,0)-TblConstr[[#This Row],[Dest Shr]]</f>
        <v>0</v>
      </c>
      <c r="BL73" s="394" cm="1">
        <f t="array" aca="1" ref="BL73" ca="1">IF(TblConstr[[#This Row],[Hour]:[Hour]]&gt;12,OFFSET(TblConstr[[#This Row],[Tow]],-12,0),0)+OFFSET(TblConstr[[#This Row],[Tot Tow]],-1,0)-TblConstr[[#This Row],[Dest Tow]]</f>
        <v>0</v>
      </c>
      <c r="BM73" s="394" cm="1">
        <f t="array" aca="1" ref="BM73" ca="1">IF(TblConstr[[#This Row],[Hour]:[Hour]]&gt;12,OFFSET(TblConstr[[#This Row],[Tem]],-12,0),0)+OFFSET(TblConstr[[#This Row],[Tot Tem]],-1,0)-TblConstr[[#This Row],[Dest Tem]]</f>
        <v>0</v>
      </c>
      <c r="BN73" s="394"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250</v>
      </c>
      <c r="BU73" s="161">
        <f ca="1">TblImps[[#This Row],[Time]]</f>
        <v>45734.874999999833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84">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100</v>
      </c>
      <c r="DA73" s="96">
        <f t="shared" ca="1" si="13"/>
        <v>40</v>
      </c>
      <c r="DB73" s="45">
        <f t="shared" ca="1" si="14"/>
        <v>20</v>
      </c>
      <c r="DC73" s="96">
        <f t="shared" ca="1" si="15"/>
        <v>20</v>
      </c>
      <c r="DD73" s="96">
        <f t="shared" ca="1" si="16"/>
        <v>20</v>
      </c>
      <c r="DE73" s="45">
        <f t="shared" ca="1" si="17"/>
        <v>20</v>
      </c>
      <c r="DF73" s="96">
        <f t="shared" ca="1" si="18"/>
        <v>20</v>
      </c>
      <c r="DG73" s="96"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7">
        <f>TblRezone[[#This Row],[Hour]]</f>
        <v>71</v>
      </c>
      <c r="B74" s="178">
        <f ca="1">SUM(TblConstr[[#This Row],[Plain]:[Water]])</f>
        <v>160</v>
      </c>
      <c r="C74" s="179">
        <f ca="1">SUM(TblConstr[[#This Row],[Tot Hom]:[Tot Doc]])</f>
        <v>90</v>
      </c>
      <c r="D74" s="179">
        <f t="shared" si="11"/>
        <v>0</v>
      </c>
      <c r="E74" s="180"/>
      <c r="F74" s="61">
        <f ca="1">TblConstr[[#This Row],[Barren]]+TblConstr[[#This Row],[Buildings]]+TblConstr[[#This Row],[Incoming]]</f>
        <v>250</v>
      </c>
      <c r="G74" s="189">
        <f ca="1">OFFSET(TblConstr[[#This Row],[Plain]],-1,0)+TblConstr[[#This Row],[Ch_Plain]]</f>
        <v>40</v>
      </c>
      <c r="H74" s="184">
        <f ca="1">OFFSET(TblConstr[[#This Row],[Forest]],-1,0)+TblConstr[[#This Row],[Ch_Forest]]</f>
        <v>20</v>
      </c>
      <c r="I74" s="384">
        <f ca="1">OFFSET(TblConstr[[#This Row],[Mountain]],-1,0)+TblConstr[[#This Row],[Ch_Mountain]]</f>
        <v>20</v>
      </c>
      <c r="J74" s="388">
        <f ca="1">OFFSET(TblConstr[[#This Row],[Hill]],-1,0)+TblConstr[[#This Row],[Ch_Hill]]</f>
        <v>20</v>
      </c>
      <c r="K74" s="392">
        <f ca="1">OFFSET(TblConstr[[#This Row],[Swamp]],-1,0)+TblConstr[[#This Row],[Ch_Swamp]]</f>
        <v>20</v>
      </c>
      <c r="L74" s="187">
        <f ca="1">OFFSET(TblConstr[[#This Row],[Cavern]],-1,0)+TblConstr[[#This Row],[Ch_Cavern]]</f>
        <v>20</v>
      </c>
      <c r="M74" s="188">
        <f ca="1">OFFSET(TblConstr[[#This Row],[Water]],-1,0)+TblConstr[[#This Row],[Ch_Water]]</f>
        <v>20</v>
      </c>
      <c r="N74" s="382">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45734.916666666497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504898</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6">
        <f ca="1">ROUNDDOWN( MAX(1 - MIN(facs_constr_factor*TblConstr[[#This Row],[Facs -DB]],facs_constr_max) + tech_1_11*TblTech[[#This Row],[11-1]] + tech_6_3_2*TblTech[[#This Row],[6-3]] + tech_5_2_3*TblTech[[#This Row],[5-2]], 1-global_constr_cap) * TblConstr[[#This Row],[RCPA Lumber]],0)</f>
        <v>88</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6">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ROUND((TblConstr[[#This Row],[Land]]-250 - IF(TblExplore[[#This Row],[Land Bonus]]&lt;&gt;0,20,0))*1.25 + 850 + 0,0)</f>
        <v>850</v>
      </c>
      <c r="AW74" s="96">
        <f ca="1">ROUND((TblConstr[[#This Row],[Land]]-250 - IF(TblExplore[[#This Row],[Land Bonus]]&lt;&gt;0,20,0))*0.285 + 87.5 + 0/4.25,0)</f>
        <v>88</v>
      </c>
      <c r="AX74" s="156"/>
      <c r="AY74" s="190" cm="1">
        <f t="array" aca="1" ref="AY74" ca="1">IF(TblConstr[[#This Row],[Hour]:[Hour]]&gt;12,OFFSET(TblConstr[[#This Row],[Hom]],-12,0),0)+OFFSET(TblConstr[[#This Row],[Tot Hom]],-1,0)-TblConstr[[#This Row],[Dest Hom]]</f>
        <v>10</v>
      </c>
      <c r="AZ74" s="191" cm="1">
        <f t="array" aca="1" ref="AZ74" ca="1">IF(TblConstr[[#This Row],[Hour]:[Hour]]&gt;12,OFFSET(TblConstr[[#This Row],[Alc]],-12,0),0)+OFFSET(TblConstr[[#This Row],[Tot Alc]],-1,0)-TblConstr[[#This Row],[Dest Alc]]</f>
        <v>30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86" cm="1">
        <f t="array" aca="1" ref="BF74" ca="1">IF(TblConstr[[#This Row],[Hour]:[Hour]]&gt;12,OFFSET(TblConstr[[#This Row],[OM]],-12,0),0)+OFFSET(TblConstr[[#This Row],[Tot OM]],-1,0)-TblConstr[[#This Row],[Dest OM]]</f>
        <v>0</v>
      </c>
      <c r="BG74" s="386" cm="1">
        <f t="array" aca="1" ref="BG74" ca="1">IF(TblConstr[[#This Row],[Hour]:[Hour]]&gt;12,OFFSET(TblConstr[[#This Row],[GN]],-12,0),0)+OFFSET(TblConstr[[#This Row],[Tot GN]],-1,0)-TblConstr[[#This Row],[Dest GN]]</f>
        <v>0</v>
      </c>
      <c r="BH74" s="390" cm="1">
        <f t="array" aca="1" ref="BH74" ca="1">IF(TblConstr[[#This Row],[Hour]:[Hour]]&gt;12,OFFSET(TblConstr[[#This Row],[Fac]],-12,0),0)+OFFSET(TblConstr[[#This Row],[Tot Fac]],-1,0)-TblConstr[[#This Row],[Dest Fac]]</f>
        <v>0</v>
      </c>
      <c r="BI74" s="390" cm="1">
        <f t="array" aca="1" ref="BI74" ca="1">IF(TblConstr[[#This Row],[Hour]:[Hour]]&gt;12,OFFSET(TblConstr[[#This Row],[GT]],-12,0),0)+OFFSET(TblConstr[[#This Row],[Tot GT]],-1,0)-TblConstr[[#This Row],[Dest GT]]</f>
        <v>0</v>
      </c>
      <c r="BJ74" s="390" cm="1">
        <f t="array" aca="1" ref="BJ74" ca="1">IF(TblConstr[[#This Row],[Hour]:[Hour]]&gt;12,OFFSET(TblConstr[[#This Row],[Bar]],-12,0),0)+OFFSET(TblConstr[[#This Row],[Tot Bar]],-1,0)-TblConstr[[#This Row],[Dest Bar]]</f>
        <v>0</v>
      </c>
      <c r="BK74" s="390" cm="1">
        <f t="array" aca="1" ref="BK74" ca="1">IF(TblConstr[[#This Row],[Hour]:[Hour]]&gt;12,OFFSET(TblConstr[[#This Row],[Shr]],-12,0),0)+OFFSET(TblConstr[[#This Row],[Tot Shr]],-1,0)-TblConstr[[#This Row],[Dest Shr]]</f>
        <v>0</v>
      </c>
      <c r="BL74" s="394" cm="1">
        <f t="array" aca="1" ref="BL74" ca="1">IF(TblConstr[[#This Row],[Hour]:[Hour]]&gt;12,OFFSET(TblConstr[[#This Row],[Tow]],-12,0),0)+OFFSET(TblConstr[[#This Row],[Tot Tow]],-1,0)-TblConstr[[#This Row],[Dest Tow]]</f>
        <v>0</v>
      </c>
      <c r="BM74" s="394" cm="1">
        <f t="array" aca="1" ref="BM74" ca="1">IF(TblConstr[[#This Row],[Hour]:[Hour]]&gt;12,OFFSET(TblConstr[[#This Row],[Tem]],-12,0),0)+OFFSET(TblConstr[[#This Row],[Tot Tem]],-1,0)-TblConstr[[#This Row],[Dest Tem]]</f>
        <v>0</v>
      </c>
      <c r="BN74" s="394"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250</v>
      </c>
      <c r="BU74" s="161">
        <f ca="1">TblImps[[#This Row],[Time]]</f>
        <v>45734.916666666497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84">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100</v>
      </c>
      <c r="DA74" s="96">
        <f t="shared" ca="1" si="13"/>
        <v>40</v>
      </c>
      <c r="DB74" s="45">
        <f t="shared" ca="1" si="14"/>
        <v>20</v>
      </c>
      <c r="DC74" s="96">
        <f t="shared" ca="1" si="15"/>
        <v>20</v>
      </c>
      <c r="DD74" s="96">
        <f t="shared" ca="1" si="16"/>
        <v>20</v>
      </c>
      <c r="DE74" s="45">
        <f t="shared" ca="1" si="17"/>
        <v>20</v>
      </c>
      <c r="DF74" s="96">
        <f t="shared" ca="1" si="18"/>
        <v>20</v>
      </c>
      <c r="DG74" s="96"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7">
        <f>TblRezone[[#This Row],[Hour]]</f>
        <v>72</v>
      </c>
      <c r="B75" s="178">
        <f ca="1">SUM(TblConstr[[#This Row],[Plain]:[Water]])</f>
        <v>160</v>
      </c>
      <c r="C75" s="179">
        <f ca="1">SUM(TblConstr[[#This Row],[Tot Hom]:[Tot Doc]])</f>
        <v>90</v>
      </c>
      <c r="D75" s="179">
        <f t="shared" si="11"/>
        <v>0</v>
      </c>
      <c r="E75" s="180"/>
      <c r="F75" s="61">
        <f ca="1">TblConstr[[#This Row],[Barren]]+TblConstr[[#This Row],[Buildings]]+TblConstr[[#This Row],[Incoming]]</f>
        <v>250</v>
      </c>
      <c r="G75" s="189">
        <f ca="1">OFFSET(TblConstr[[#This Row],[Plain]],-1,0)+TblConstr[[#This Row],[Ch_Plain]]</f>
        <v>40</v>
      </c>
      <c r="H75" s="184">
        <f ca="1">OFFSET(TblConstr[[#This Row],[Forest]],-1,0)+TblConstr[[#This Row],[Ch_Forest]]</f>
        <v>20</v>
      </c>
      <c r="I75" s="384">
        <f ca="1">OFFSET(TblConstr[[#This Row],[Mountain]],-1,0)+TblConstr[[#This Row],[Ch_Mountain]]</f>
        <v>20</v>
      </c>
      <c r="J75" s="388">
        <f ca="1">OFFSET(TblConstr[[#This Row],[Hill]],-1,0)+TblConstr[[#This Row],[Ch_Hill]]</f>
        <v>20</v>
      </c>
      <c r="K75" s="392">
        <f ca="1">OFFSET(TblConstr[[#This Row],[Swamp]],-1,0)+TblConstr[[#This Row],[Ch_Swamp]]</f>
        <v>20</v>
      </c>
      <c r="L75" s="187">
        <f ca="1">OFFSET(TblConstr[[#This Row],[Cavern]],-1,0)+TblConstr[[#This Row],[Ch_Cavern]]</f>
        <v>20</v>
      </c>
      <c r="M75" s="188">
        <f ca="1">OFFSET(TblConstr[[#This Row],[Water]],-1,0)+TblConstr[[#This Row],[Ch_Water]]</f>
        <v>20</v>
      </c>
      <c r="N75" s="382">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45734.958333333161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510384</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6">
        <f ca="1">ROUNDDOWN( MAX(1 - MIN(facs_constr_factor*TblConstr[[#This Row],[Facs -DB]],facs_constr_max) + tech_1_11*TblTech[[#This Row],[11-1]] + tech_6_3_2*TblTech[[#This Row],[6-3]] + tech_5_2_3*TblTech[[#This Row],[5-2]], 1-global_constr_cap) * TblConstr[[#This Row],[RCPA Lumber]],0)</f>
        <v>88</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6">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ROUND((TblConstr[[#This Row],[Land]]-250 - IF(TblExplore[[#This Row],[Land Bonus]]&lt;&gt;0,20,0))*1.25 + 850 + 0,0)</f>
        <v>850</v>
      </c>
      <c r="AW75" s="96">
        <f ca="1">ROUND((TblConstr[[#This Row],[Land]]-250 - IF(TblExplore[[#This Row],[Land Bonus]]&lt;&gt;0,20,0))*0.285 + 87.5 + 0/4.25,0)</f>
        <v>88</v>
      </c>
      <c r="AX75" s="156"/>
      <c r="AY75" s="190" cm="1">
        <f t="array" aca="1" ref="AY75" ca="1">IF(TblConstr[[#This Row],[Hour]:[Hour]]&gt;12,OFFSET(TblConstr[[#This Row],[Hom]],-12,0),0)+OFFSET(TblConstr[[#This Row],[Tot Hom]],-1,0)-TblConstr[[#This Row],[Dest Hom]]</f>
        <v>10</v>
      </c>
      <c r="AZ75" s="191" cm="1">
        <f t="array" aca="1" ref="AZ75" ca="1">IF(TblConstr[[#This Row],[Hour]:[Hour]]&gt;12,OFFSET(TblConstr[[#This Row],[Alc]],-12,0),0)+OFFSET(TblConstr[[#This Row],[Tot Alc]],-1,0)-TblConstr[[#This Row],[Dest Alc]]</f>
        <v>30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86" cm="1">
        <f t="array" aca="1" ref="BF75" ca="1">IF(TblConstr[[#This Row],[Hour]:[Hour]]&gt;12,OFFSET(TblConstr[[#This Row],[OM]],-12,0),0)+OFFSET(TblConstr[[#This Row],[Tot OM]],-1,0)-TblConstr[[#This Row],[Dest OM]]</f>
        <v>0</v>
      </c>
      <c r="BG75" s="386" cm="1">
        <f t="array" aca="1" ref="BG75" ca="1">IF(TblConstr[[#This Row],[Hour]:[Hour]]&gt;12,OFFSET(TblConstr[[#This Row],[GN]],-12,0),0)+OFFSET(TblConstr[[#This Row],[Tot GN]],-1,0)-TblConstr[[#This Row],[Dest GN]]</f>
        <v>0</v>
      </c>
      <c r="BH75" s="390" cm="1">
        <f t="array" aca="1" ref="BH75" ca="1">IF(TblConstr[[#This Row],[Hour]:[Hour]]&gt;12,OFFSET(TblConstr[[#This Row],[Fac]],-12,0),0)+OFFSET(TblConstr[[#This Row],[Tot Fac]],-1,0)-TblConstr[[#This Row],[Dest Fac]]</f>
        <v>0</v>
      </c>
      <c r="BI75" s="390" cm="1">
        <f t="array" aca="1" ref="BI75" ca="1">IF(TblConstr[[#This Row],[Hour]:[Hour]]&gt;12,OFFSET(TblConstr[[#This Row],[GT]],-12,0),0)+OFFSET(TblConstr[[#This Row],[Tot GT]],-1,0)-TblConstr[[#This Row],[Dest GT]]</f>
        <v>0</v>
      </c>
      <c r="BJ75" s="390" cm="1">
        <f t="array" aca="1" ref="BJ75" ca="1">IF(TblConstr[[#This Row],[Hour]:[Hour]]&gt;12,OFFSET(TblConstr[[#This Row],[Bar]],-12,0),0)+OFFSET(TblConstr[[#This Row],[Tot Bar]],-1,0)-TblConstr[[#This Row],[Dest Bar]]</f>
        <v>0</v>
      </c>
      <c r="BK75" s="390" cm="1">
        <f t="array" aca="1" ref="BK75" ca="1">IF(TblConstr[[#This Row],[Hour]:[Hour]]&gt;12,OFFSET(TblConstr[[#This Row],[Shr]],-12,0),0)+OFFSET(TblConstr[[#This Row],[Tot Shr]],-1,0)-TblConstr[[#This Row],[Dest Shr]]</f>
        <v>0</v>
      </c>
      <c r="BL75" s="394" cm="1">
        <f t="array" aca="1" ref="BL75" ca="1">IF(TblConstr[[#This Row],[Hour]:[Hour]]&gt;12,OFFSET(TblConstr[[#This Row],[Tow]],-12,0),0)+OFFSET(TblConstr[[#This Row],[Tot Tow]],-1,0)-TblConstr[[#This Row],[Dest Tow]]</f>
        <v>0</v>
      </c>
      <c r="BM75" s="394" cm="1">
        <f t="array" aca="1" ref="BM75" ca="1">IF(TblConstr[[#This Row],[Hour]:[Hour]]&gt;12,OFFSET(TblConstr[[#This Row],[Tem]],-12,0),0)+OFFSET(TblConstr[[#This Row],[Tot Tem]],-1,0)-TblConstr[[#This Row],[Dest Tem]]</f>
        <v>0</v>
      </c>
      <c r="BN75" s="394"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250</v>
      </c>
      <c r="BU75" s="161">
        <f ca="1">TblImps[[#This Row],[Time]]</f>
        <v>45734.958333333161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84">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100</v>
      </c>
      <c r="DA75" s="96">
        <f t="shared" ca="1" si="13"/>
        <v>40</v>
      </c>
      <c r="DB75" s="45">
        <f t="shared" ca="1" si="14"/>
        <v>20</v>
      </c>
      <c r="DC75" s="96">
        <f t="shared" ca="1" si="15"/>
        <v>20</v>
      </c>
      <c r="DD75" s="96">
        <f t="shared" ca="1" si="16"/>
        <v>20</v>
      </c>
      <c r="DE75" s="45">
        <f t="shared" ca="1" si="17"/>
        <v>20</v>
      </c>
      <c r="DF75" s="96">
        <f t="shared" ca="1" si="18"/>
        <v>20</v>
      </c>
      <c r="DG75" s="96"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5">
        <f>TblRezone[[#This Row],[Hour]]</f>
        <v>73</v>
      </c>
      <c r="B76" s="196">
        <f ca="1">SUM(TblConstr[[#This Row],[Plain]:[Water]])</f>
        <v>160</v>
      </c>
      <c r="C76" s="197">
        <f ca="1">SUM(TblConstr[[#This Row],[Tot Hom]:[Tot Doc]])</f>
        <v>90</v>
      </c>
      <c r="D76" s="197">
        <f t="shared" ref="D76:D131" si="21">SUM(O65:AG76)</f>
        <v>0</v>
      </c>
      <c r="E76" s="198"/>
      <c r="F76" s="199">
        <f ca="1">TblConstr[[#This Row],[Barren]]+TblConstr[[#This Row],[Buildings]]+TblConstr[[#This Row],[Incoming]]</f>
        <v>250</v>
      </c>
      <c r="G76" s="200">
        <f ca="1">OFFSET(TblConstr[[#This Row],[Plain]],-1,0)+TblConstr[[#This Row],[Ch_Plain]]</f>
        <v>40</v>
      </c>
      <c r="H76" s="201">
        <f ca="1">OFFSET(TblConstr[[#This Row],[Forest]],-1,0)+TblConstr[[#This Row],[Ch_Forest]]</f>
        <v>20</v>
      </c>
      <c r="I76" s="385">
        <f ca="1">OFFSET(TblConstr[[#This Row],[Mountain]],-1,0)+TblConstr[[#This Row],[Ch_Mountain]]</f>
        <v>20</v>
      </c>
      <c r="J76" s="389">
        <f ca="1">OFFSET(TblConstr[[#This Row],[Hill]],-1,0)+TblConstr[[#This Row],[Ch_Hill]]</f>
        <v>20</v>
      </c>
      <c r="K76" s="393">
        <f ca="1">OFFSET(TblConstr[[#This Row],[Swamp]],-1,0)+TblConstr[[#This Row],[Ch_Swamp]]</f>
        <v>20</v>
      </c>
      <c r="L76" s="204">
        <f ca="1">OFFSET(TblConstr[[#This Row],[Cavern]],-1,0)+TblConstr[[#This Row],[Ch_Cavern]]</f>
        <v>20</v>
      </c>
      <c r="M76" s="205">
        <f ca="1">OFFSET(TblConstr[[#This Row],[Water]],-1,0)+TblConstr[[#This Row],[Ch_Water]]</f>
        <v>20</v>
      </c>
      <c r="N76" s="383">
        <f>TblRezone[[#This Row],[Hour]]</f>
        <v>73</v>
      </c>
      <c r="O76" s="206"/>
      <c r="P76" s="206"/>
      <c r="Q76" s="206"/>
      <c r="R76" s="206"/>
      <c r="S76" s="206"/>
      <c r="T76" s="206"/>
      <c r="U76" s="206"/>
      <c r="V76" s="206"/>
      <c r="W76" s="206"/>
      <c r="X76" s="206"/>
      <c r="Y76" s="206"/>
      <c r="Z76" s="206"/>
      <c r="AA76" s="206"/>
      <c r="AB76" s="206"/>
      <c r="AC76" s="206"/>
      <c r="AD76" s="206"/>
      <c r="AE76" s="206"/>
      <c r="AF76" s="206"/>
      <c r="AG76" s="206"/>
      <c r="AH76" s="207">
        <f ca="1">TblImps[[#This Row],[Time]]</f>
        <v>45734.999999999825</v>
      </c>
      <c r="AI76" s="208">
        <f ca="1">MIN(25%,(TblConstr[[#This Row],[Tot Fac]]+TblConstr[[#This Row],[Dest Fac]])/(TblConstr[[#This Row],[Land]]-TblExplore[[#This Row],[Land Bonus]]*20))</f>
        <v>0</v>
      </c>
      <c r="AJ76" s="208">
        <f ca="1">MIN(25%,(TblConstr[[#This Row],[Tot Fac]]+TblConstr[[#This Row],[Dest Fac]])/TblConstr[[#This Row],[Land]])</f>
        <v>0</v>
      </c>
      <c r="AK76" s="209">
        <f ca="1">TblProd[[#This Row],[Platinum]]</f>
        <v>515870</v>
      </c>
      <c r="AL76" s="209">
        <f ca="1">TblProd[[#This Row],[Lumber]]</f>
        <v>58774</v>
      </c>
      <c r="AM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09">
        <f ca="1">ROUNDDOWN( MAX(1 - MIN(facs_constr_factor*TblConstr[[#This Row],[Facs -DB]],facs_constr_max) + tech_1_11*TblTech[[#This Row],[11-1]] + tech_6_3_2*TblTech[[#This Row],[6-3]] + tech_5_2_3*TblTech[[#This Row],[5-2]], 1-global_constr_cap) * TblConstr[[#This Row],[RCPA Lumber]],0)</f>
        <v>88</v>
      </c>
      <c r="AO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09">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09">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1"/>
      <c r="AV76" s="209">
        <f ca="1">ROUND((TblConstr[[#This Row],[Land]]-250 - IF(TblExplore[[#This Row],[Land Bonus]]&lt;&gt;0,20,0))*1.25 + 850 + 0,0)</f>
        <v>850</v>
      </c>
      <c r="AW76" s="209">
        <f ca="1">ROUND((TblConstr[[#This Row],[Land]]-250 - IF(TblExplore[[#This Row],[Land Bonus]]&lt;&gt;0,20,0))*0.285 + 87.5 + 0/4.25,0)</f>
        <v>88</v>
      </c>
      <c r="AX76" s="164"/>
      <c r="AY76" s="211" cm="1">
        <f t="array" aca="1" ref="AY76" ca="1">IF(TblConstr[[#This Row],[Hour]:[Hour]]&gt;12,OFFSET(TblConstr[[#This Row],[Hom]],-12,0),0)+OFFSET(TblConstr[[#This Row],[Tot Hom]],-1,0)-TblConstr[[#This Row],[Dest Hom]]</f>
        <v>10</v>
      </c>
      <c r="AZ76" s="212" cm="1">
        <f t="array" aca="1" ref="AZ76" ca="1">IF(TblConstr[[#This Row],[Hour]:[Hour]]&gt;12,OFFSET(TblConstr[[#This Row],[Alc]],-12,0),0)+OFFSET(TblConstr[[#This Row],[Tot Alc]],-1,0)-TblConstr[[#This Row],[Dest Alc]]</f>
        <v>30</v>
      </c>
      <c r="BA76" s="212" cm="1">
        <f t="array" aca="1" ref="BA76" ca="1">IF(TblConstr[[#This Row],[Hour]:[Hour]]&gt;12,OFFSET(TblConstr[[#This Row],[Far]],-12,0),0)+OFFSET(TblConstr[[#This Row],[Tot Farm]],-1,0)-TblConstr[[#This Row],[Dest Farm]]</f>
        <v>30</v>
      </c>
      <c r="BB76" s="212" cm="1">
        <f t="array" aca="1" ref="BB76" ca="1">IF(TblConstr[[#This Row],[Hour]:[Hour]]&gt;12,OFFSET(TblConstr[[#This Row],[Smi]],-12,0),0)+OFFSET(TblConstr[[#This Row],[Tot Smi]],-1,0)-TblConstr[[#This Row],[Dest Smi]]</f>
        <v>0</v>
      </c>
      <c r="BC76" s="212" cm="1">
        <f t="array" aca="1" ref="BC76" ca="1">IF(TblConstr[[#This Row],[Hour]:[Hour]]&gt;12,OFFSET(TblConstr[[#This Row],[Mas]],-12,0),0)+OFFSET(TblConstr[[#This Row],[Tot Mas]],-1,0)-TblConstr[[#This Row],[Dest Mas]]</f>
        <v>0</v>
      </c>
      <c r="BD76" s="213" cm="1">
        <f t="array" aca="1" ref="BD76" ca="1">IF(TblConstr[[#This Row],[Hour]:[Hour]]&gt;12,OFFSET(TblConstr[[#This Row],[Ly]],-12,0),0)+OFFSET(TblConstr[[#This Row],[Tot Ly]],-1,0)-TblConstr[[#This Row],[Dest Ly]]</f>
        <v>20</v>
      </c>
      <c r="BE76" s="213" cm="1">
        <f t="array" aca="1" ref="BE76" ca="1">IF(TblConstr[[#This Row],[Hour]:[Hour]]&gt;12,OFFSET(TblConstr[[#This Row],[Hav]],-12,0),0)+OFFSET(TblConstr[[#This Row],[Tot Hav]],-1,0)-TblConstr[[#This Row],[Dest Hav]]</f>
        <v>0</v>
      </c>
      <c r="BF76" s="387" cm="1">
        <f t="array" aca="1" ref="BF76" ca="1">IF(TblConstr[[#This Row],[Hour]:[Hour]]&gt;12,OFFSET(TblConstr[[#This Row],[OM]],-12,0),0)+OFFSET(TblConstr[[#This Row],[Tot OM]],-1,0)-TblConstr[[#This Row],[Dest OM]]</f>
        <v>0</v>
      </c>
      <c r="BG76" s="386" cm="1">
        <f t="array" aca="1" ref="BG76" ca="1">IF(TblConstr[[#This Row],[Hour]:[Hour]]&gt;12,OFFSET(TblConstr[[#This Row],[GN]],-12,0),0)+OFFSET(TblConstr[[#This Row],[Tot GN]],-1,0)-TblConstr[[#This Row],[Dest GN]]</f>
        <v>0</v>
      </c>
      <c r="BH76" s="391" cm="1">
        <f t="array" aca="1" ref="BH76" ca="1">IF(TblConstr[[#This Row],[Hour]:[Hour]]&gt;12,OFFSET(TblConstr[[#This Row],[Fac]],-12,0),0)+OFFSET(TblConstr[[#This Row],[Tot Fac]],-1,0)-TblConstr[[#This Row],[Dest Fac]]</f>
        <v>0</v>
      </c>
      <c r="BI76" s="391" cm="1">
        <f t="array" aca="1" ref="BI76" ca="1">IF(TblConstr[[#This Row],[Hour]:[Hour]]&gt;12,OFFSET(TblConstr[[#This Row],[GT]],-12,0),0)+OFFSET(TblConstr[[#This Row],[Tot GT]],-1,0)-TblConstr[[#This Row],[Dest GT]]</f>
        <v>0</v>
      </c>
      <c r="BJ76" s="391" cm="1">
        <f t="array" aca="1" ref="BJ76" ca="1">IF(TblConstr[[#This Row],[Hour]:[Hour]]&gt;12,OFFSET(TblConstr[[#This Row],[Bar]],-12,0),0)+OFFSET(TblConstr[[#This Row],[Tot Bar]],-1,0)-TblConstr[[#This Row],[Dest Bar]]</f>
        <v>0</v>
      </c>
      <c r="BK76" s="391" cm="1">
        <f t="array" aca="1" ref="BK76" ca="1">IF(TblConstr[[#This Row],[Hour]:[Hour]]&gt;12,OFFSET(TblConstr[[#This Row],[Shr]],-12,0),0)+OFFSET(TblConstr[[#This Row],[Tot Shr]],-1,0)-TblConstr[[#This Row],[Dest Shr]]</f>
        <v>0</v>
      </c>
      <c r="BL76" s="395" cm="1">
        <f t="array" aca="1" ref="BL76" ca="1">IF(TblConstr[[#This Row],[Hour]:[Hour]]&gt;12,OFFSET(TblConstr[[#This Row],[Tow]],-12,0),0)+OFFSET(TblConstr[[#This Row],[Tot Tow]],-1,0)-TblConstr[[#This Row],[Dest Tow]]</f>
        <v>0</v>
      </c>
      <c r="BM76" s="395" cm="1">
        <f t="array" aca="1" ref="BM76" ca="1">IF(TblConstr[[#This Row],[Hour]:[Hour]]&gt;12,OFFSET(TblConstr[[#This Row],[Tem]],-12,0),0)+OFFSET(TblConstr[[#This Row],[Tot Tem]],-1,0)-TblConstr[[#This Row],[Dest Tem]]</f>
        <v>0</v>
      </c>
      <c r="BN76" s="395" cm="1">
        <f t="array" aca="1" ref="BN76" ca="1">IF(TblConstr[[#This Row],[Hour]:[Hour]]&gt;12,OFFSET(TblConstr[[#This Row],[WG]],-12,0),0)+OFFSET(TblConstr[[#This Row],[Tot WG]],-1,0)-TblConstr[[#This Row],[Dest WG]]</f>
        <v>0</v>
      </c>
      <c r="BO76" s="214" cm="1">
        <f t="array" aca="1" ref="BO76" ca="1">IF(TblConstr[[#This Row],[Hour]:[Hour]]&gt;12,OFFSET(TblConstr[[#This Row],[DM]],-12,0),0)+OFFSET(TblConstr[[#This Row],[Tot DM]],-1,0)-TblConstr[[#This Row],[Dest DM]]</f>
        <v>0</v>
      </c>
      <c r="BP76" s="214" cm="1">
        <f t="array" aca="1" ref="BP76" ca="1">IF(TblConstr[[#This Row],[Hour]:[Hour]]&gt;12,OFFSET(TblConstr[[#This Row],[Sch]],-12,0),0)+OFFSET(TblConstr[[#This Row],[Tot Sch]],-1,0)-TblConstr[[#This Row],[Dest Sch]]</f>
        <v>0</v>
      </c>
      <c r="BQ76" s="215" cm="1">
        <f t="array" aca="1" ref="BQ76" ca="1">IF(TblConstr[[#This Row],[Hour]:[Hour]]&gt;12,OFFSET(TblConstr[[#This Row],[Doc]],-12,0),0)+OFFSET(TblConstr[[#This Row],[Tot Doc]],-1,0)-TblConstr[[#This Row],[Dest Doc]]</f>
        <v>0</v>
      </c>
      <c r="BR76" s="151"/>
      <c r="BS76" s="164"/>
      <c r="BT76" s="209">
        <f ca="1">TblConstr[[#This Row],[Land]]</f>
        <v>250</v>
      </c>
      <c r="BU76" s="216">
        <f ca="1">TblImps[[#This Row],[Time]]</f>
        <v>45734.999999999825</v>
      </c>
      <c r="BV76" s="151"/>
      <c r="BW76" s="206"/>
      <c r="BX76" s="206"/>
      <c r="BY76" s="206"/>
      <c r="BZ76" s="206"/>
      <c r="CA76" s="206"/>
      <c r="CB76" s="206"/>
      <c r="CC76" s="206"/>
      <c r="CD76" s="206"/>
      <c r="CE76" s="206"/>
      <c r="CF76" s="206"/>
      <c r="CG76" s="206"/>
      <c r="CH76" s="206"/>
      <c r="CI76" s="206"/>
      <c r="CJ76" s="206"/>
      <c r="CK76" s="206"/>
      <c r="CL76" s="206"/>
      <c r="CM76" s="206"/>
      <c r="CN76" s="206"/>
      <c r="CO76" s="206"/>
      <c r="CP76" s="151"/>
      <c r="CQ76" s="217">
        <f ca="1">-SUM(TblConstr[[#This Row],[Alc]:[Mas]])+SUM(TblConstr[[#This Row],[Dest Alc]:[Dest Mas]])+Rezone!L76+IF("Ch_"&amp; home_land=TblConstr[[#Headers],[Ch_Plain]],TblConstr[[#This Row],[Home Land]])+IF(TblConstr[[#This Row],[Hour]:[Hour]]&gt;12,OFFSET(TblExplore[[#This Row],[Plains Explore]],-12,0),0)</f>
        <v>0</v>
      </c>
      <c r="CR76" s="201">
        <f ca="1">-SUM(TblConstr[[#This Row],[Ly]:[Hav]])+SUM(TblConstr[[#This Row],[Dest Ly]:[Dest Hav]]) +Rezone!M76 + IF("Ch_"&amp; home_land=TblConstr[[#Headers],[Ch_Forest]],TblConstr[[#This Row],[Home Land]])+IF(TblConstr[[#This Row],[Hour]:[Hour]]&gt;12,OFFSET(TblExplore[[#This Row],[Forest Explore]],-12,0),0)</f>
        <v>0</v>
      </c>
      <c r="CS76" s="385">
        <f ca="1">-SUM(TblConstr[[#This Row],[OM]:[GN]])+SUM(TblConstr[[#This Row],[Dest OM]:[Dest GN]]) +Rezone!N76 + IF("Ch_"&amp; home_land=TblConstr[[#Headers],[Ch_Mountain]],TblConstr[[#This Row],[Home Land]])+IF(TblConstr[[#This Row],[Hour]:[Hour]]&gt;12,OFFSET(TblExplore[[#This Row],[Mountain Explore]],-12,0),0)</f>
        <v>0</v>
      </c>
      <c r="CT76" s="202">
        <f ca="1">-SUM(TblConstr[[#This Row],[Fac]:[Shr]])+SUM(TblConstr[[#This Row],[Dest Fac]:[Dest Shr]]) +Rezone!O76 + IF("Ch_" &amp; home_land=TblConstr[[#Headers],[Ch_Hill]],TblConstr[[#This Row],[Home Land]])+IF(TblConstr[[#This Row],[Hour]:[Hour]]&gt;12,OFFSET(TblExplore[[#This Row],[Hill Explore]],-12,0),0)</f>
        <v>0</v>
      </c>
      <c r="CU76" s="203">
        <f ca="1">-SUM(TblConstr[[#This Row],[Tow]:[WG]])+SUM(TblConstr[[#This Row],[Dest Tow]:[Dest WG]]) +Rezone!P76 + IF("Ch_" &amp; home_land=TblConstr[[#Headers],[Ch_Swamp]],TblConstr[[#This Row],[Home Land]])+IF(TblConstr[[#This Row],[Hour]:[Hour]]&gt;12,OFFSET(TblExplore[[#This Row],[Swamp Explore]],-12,0),0)</f>
        <v>0</v>
      </c>
      <c r="CV76" s="204">
        <f ca="1" xml:space="preserve"> - SUM(TblConstr[[#This Row],[DM]:[Sch]])+SUM(TblConstr[[#This Row],[Dest DM]:[Dest Sch]]) +Rezone!Q76 + IF("Ch_" &amp; home_land=TblConstr[[#Headers],[Ch_Cavern]],TblConstr[[#This Row],[Home Land]])+IF(TblConstr[[#This Row],[Hour]:[Hour]]&gt;12,OFFSET(TblExplore[[#This Row],[Cavern Explore]],-12,0),0)</f>
        <v>0</v>
      </c>
      <c r="CW76" s="205">
        <f ca="1">-TblConstr[[#This Row],[Doc]]+TblConstr[[#This Row],[Dest Doc]] +Rezone!R76 + IF("Ch_" &amp; home_land=TblConstr[[#Headers],[Ch_Water]],TblConstr[[#This Row],[Home Land]])+IF(TblConstr[[#This Row],[Hour]:[Hour]]&gt;12,OFFSET(TblExplore[[#This Row],[Water Explore]],-12,0),0)</f>
        <v>0</v>
      </c>
      <c r="CX76" s="210">
        <f>IF(Explore!S76=1,20) - TblConstr[[#This Row],[Hom]] + TblConstr[[#This Row],[Dest Hom]]</f>
        <v>0</v>
      </c>
      <c r="CY76" s="151"/>
      <c r="CZ76" s="209">
        <f t="shared" ca="1" si="12"/>
        <v>100</v>
      </c>
      <c r="DA76" s="209">
        <f t="shared" ca="1" si="13"/>
        <v>40</v>
      </c>
      <c r="DB76" s="210">
        <f t="shared" ca="1" si="14"/>
        <v>20</v>
      </c>
      <c r="DC76" s="209">
        <f t="shared" ca="1" si="15"/>
        <v>20</v>
      </c>
      <c r="DD76" s="209">
        <f t="shared" ca="1" si="16"/>
        <v>20</v>
      </c>
      <c r="DE76" s="210">
        <f t="shared" ca="1" si="17"/>
        <v>20</v>
      </c>
      <c r="DF76" s="209">
        <f t="shared" ca="1" si="18"/>
        <v>20</v>
      </c>
      <c r="DG76" s="209" cm="1">
        <f t="array" aca="1" ref="DG76" ca="1">INDEX(TblConstr[[Total Plain]:[Total Water]],ROW()-ROW(TblConstr[#Headers]),MATCH("Total "&amp;home_land,TblConstr[[#Headers],[Total Plain]:[Total Water]],0))+TblConstr[[#This Row],[Homes]]</f>
        <v>110</v>
      </c>
      <c r="DH76" s="210">
        <f t="shared" ref="DH76:DH131" ca="1" si="22">SUM(O65:O76)+AY76</f>
        <v>10</v>
      </c>
      <c r="DI76" s="210">
        <f t="shared" ca="1" si="19"/>
        <v>0</v>
      </c>
      <c r="DJ76" s="210">
        <f t="shared" ca="1" si="20"/>
        <v>0</v>
      </c>
    </row>
    <row r="77" spans="1:114" x14ac:dyDescent="0.2">
      <c r="A77" s="177">
        <f>TblRezone[[#This Row],[Hour]]</f>
        <v>74</v>
      </c>
      <c r="B77" s="178">
        <f ca="1">SUM(TblConstr[[#This Row],[Plain]:[Water]])</f>
        <v>160</v>
      </c>
      <c r="C77" s="179">
        <f ca="1">SUM(TblConstr[[#This Row],[Tot Hom]:[Tot Doc]])</f>
        <v>90</v>
      </c>
      <c r="D77" s="179">
        <f t="shared" si="21"/>
        <v>0</v>
      </c>
      <c r="E77" s="180"/>
      <c r="F77" s="61">
        <f ca="1">TblConstr[[#This Row],[Barren]]+TblConstr[[#This Row],[Buildings]]+TblConstr[[#This Row],[Incoming]]</f>
        <v>250</v>
      </c>
      <c r="G77" s="189">
        <f ca="1">OFFSET(TblConstr[[#This Row],[Plain]],-1,0)+TblConstr[[#This Row],[Ch_Plain]]</f>
        <v>40</v>
      </c>
      <c r="H77" s="184">
        <f ca="1">OFFSET(TblConstr[[#This Row],[Forest]],-1,0)+TblConstr[[#This Row],[Ch_Forest]]</f>
        <v>20</v>
      </c>
      <c r="I77" s="384">
        <f ca="1">OFFSET(TblConstr[[#This Row],[Mountain]],-1,0)+TblConstr[[#This Row],[Ch_Mountain]]</f>
        <v>20</v>
      </c>
      <c r="J77" s="388">
        <f ca="1">OFFSET(TblConstr[[#This Row],[Hill]],-1,0)+TblConstr[[#This Row],[Ch_Hill]]</f>
        <v>20</v>
      </c>
      <c r="K77" s="392">
        <f ca="1">OFFSET(TblConstr[[#This Row],[Swamp]],-1,0)+TblConstr[[#This Row],[Ch_Swamp]]</f>
        <v>20</v>
      </c>
      <c r="L77" s="187">
        <f ca="1">OFFSET(TblConstr[[#This Row],[Cavern]],-1,0)+TblConstr[[#This Row],[Ch_Cavern]]</f>
        <v>20</v>
      </c>
      <c r="M77" s="188">
        <f ca="1">OFFSET(TblConstr[[#This Row],[Water]],-1,0)+TblConstr[[#This Row],[Ch_Water]]</f>
        <v>20</v>
      </c>
      <c r="N77" s="382">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45735.04166666649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521356</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6">
        <f ca="1">ROUNDDOWN( MAX(1 - MIN(facs_constr_factor*TblConstr[[#This Row],[Facs -DB]],facs_constr_max) + tech_1_11*TblTech[[#This Row],[11-1]] + tech_6_3_2*TblTech[[#This Row],[6-3]] + tech_5_2_3*TblTech[[#This Row],[5-2]], 1-global_constr_cap) * TblConstr[[#This Row],[RCPA Lumber]],0)</f>
        <v>88</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6">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ROUND((TblConstr[[#This Row],[Land]]-250 - IF(TblExplore[[#This Row],[Land Bonus]]&lt;&gt;0,20,0))*1.25 + 850 + 0,0)</f>
        <v>850</v>
      </c>
      <c r="AW77" s="96">
        <f ca="1">ROUND((TblConstr[[#This Row],[Land]]-250 - IF(TblExplore[[#This Row],[Land Bonus]]&lt;&gt;0,20,0))*0.285 + 87.5 + 0/4.25,0)</f>
        <v>88</v>
      </c>
      <c r="AX77" s="156"/>
      <c r="AY77" s="190" cm="1">
        <f t="array" aca="1" ref="AY77" ca="1">IF(TblConstr[[#This Row],[Hour]:[Hour]]&gt;12,OFFSET(TblConstr[[#This Row],[Hom]],-12,0),0)+OFFSET(TblConstr[[#This Row],[Tot Hom]],-1,0)-TblConstr[[#This Row],[Dest Hom]]</f>
        <v>10</v>
      </c>
      <c r="AZ77" s="191" cm="1">
        <f t="array" aca="1" ref="AZ77" ca="1">IF(TblConstr[[#This Row],[Hour]:[Hour]]&gt;12,OFFSET(TblConstr[[#This Row],[Alc]],-12,0),0)+OFFSET(TblConstr[[#This Row],[Tot Alc]],-1,0)-TblConstr[[#This Row],[Dest Alc]]</f>
        <v>30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86" cm="1">
        <f t="array" aca="1" ref="BF77" ca="1">IF(TblConstr[[#This Row],[Hour]:[Hour]]&gt;12,OFFSET(TblConstr[[#This Row],[OM]],-12,0),0)+OFFSET(TblConstr[[#This Row],[Tot OM]],-1,0)-TblConstr[[#This Row],[Dest OM]]</f>
        <v>0</v>
      </c>
      <c r="BG77" s="386" cm="1">
        <f t="array" aca="1" ref="BG77" ca="1">IF(TblConstr[[#This Row],[Hour]:[Hour]]&gt;12,OFFSET(TblConstr[[#This Row],[GN]],-12,0),0)+OFFSET(TblConstr[[#This Row],[Tot GN]],-1,0)-TblConstr[[#This Row],[Dest GN]]</f>
        <v>0</v>
      </c>
      <c r="BH77" s="390" cm="1">
        <f t="array" aca="1" ref="BH77" ca="1">IF(TblConstr[[#This Row],[Hour]:[Hour]]&gt;12,OFFSET(TblConstr[[#This Row],[Fac]],-12,0),0)+OFFSET(TblConstr[[#This Row],[Tot Fac]],-1,0)-TblConstr[[#This Row],[Dest Fac]]</f>
        <v>0</v>
      </c>
      <c r="BI77" s="390" cm="1">
        <f t="array" aca="1" ref="BI77" ca="1">IF(TblConstr[[#This Row],[Hour]:[Hour]]&gt;12,OFFSET(TblConstr[[#This Row],[GT]],-12,0),0)+OFFSET(TblConstr[[#This Row],[Tot GT]],-1,0)-TblConstr[[#This Row],[Dest GT]]</f>
        <v>0</v>
      </c>
      <c r="BJ77" s="390" cm="1">
        <f t="array" aca="1" ref="BJ77" ca="1">IF(TblConstr[[#This Row],[Hour]:[Hour]]&gt;12,OFFSET(TblConstr[[#This Row],[Bar]],-12,0),0)+OFFSET(TblConstr[[#This Row],[Tot Bar]],-1,0)-TblConstr[[#This Row],[Dest Bar]]</f>
        <v>0</v>
      </c>
      <c r="BK77" s="390" cm="1">
        <f t="array" aca="1" ref="BK77" ca="1">IF(TblConstr[[#This Row],[Hour]:[Hour]]&gt;12,OFFSET(TblConstr[[#This Row],[Shr]],-12,0),0)+OFFSET(TblConstr[[#This Row],[Tot Shr]],-1,0)-TblConstr[[#This Row],[Dest Shr]]</f>
        <v>0</v>
      </c>
      <c r="BL77" s="394" cm="1">
        <f t="array" aca="1" ref="BL77" ca="1">IF(TblConstr[[#This Row],[Hour]:[Hour]]&gt;12,OFFSET(TblConstr[[#This Row],[Tow]],-12,0),0)+OFFSET(TblConstr[[#This Row],[Tot Tow]],-1,0)-TblConstr[[#This Row],[Dest Tow]]</f>
        <v>0</v>
      </c>
      <c r="BM77" s="394" cm="1">
        <f t="array" aca="1" ref="BM77" ca="1">IF(TblConstr[[#This Row],[Hour]:[Hour]]&gt;12,OFFSET(TblConstr[[#This Row],[Tem]],-12,0),0)+OFFSET(TblConstr[[#This Row],[Tot Tem]],-1,0)-TblConstr[[#This Row],[Dest Tem]]</f>
        <v>0</v>
      </c>
      <c r="BN77" s="394"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250</v>
      </c>
      <c r="BU77" s="161">
        <f ca="1">TblImps[[#This Row],[Time]]</f>
        <v>45735.04166666649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84">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100</v>
      </c>
      <c r="DA77" s="96">
        <f t="shared" ca="1" si="13"/>
        <v>40</v>
      </c>
      <c r="DB77" s="45">
        <f t="shared" ca="1" si="14"/>
        <v>20</v>
      </c>
      <c r="DC77" s="96">
        <f t="shared" ca="1" si="15"/>
        <v>20</v>
      </c>
      <c r="DD77" s="96">
        <f t="shared" ca="1" si="16"/>
        <v>20</v>
      </c>
      <c r="DE77" s="45">
        <f t="shared" ca="1" si="17"/>
        <v>20</v>
      </c>
      <c r="DF77" s="96">
        <f t="shared" ca="1" si="18"/>
        <v>20</v>
      </c>
      <c r="DG77" s="96" cm="1">
        <f t="array" aca="1" ref="DG77" ca="1">INDEX(TblConstr[[Total Plain]:[Total Water]],ROW()-ROW(TblConstr[#Headers]),MATCH("Total "&amp;home_land,TblConstr[[#Headers],[Total Plain]:[Total Water]],0))+TblConstr[[#This Row],[Homes]]</f>
        <v>110</v>
      </c>
      <c r="DH77" s="45">
        <f t="shared" ca="1" si="22"/>
        <v>10</v>
      </c>
      <c r="DI77" s="96">
        <f t="shared" ca="1" si="19"/>
        <v>0</v>
      </c>
      <c r="DJ77" s="45">
        <f t="shared" ca="1" si="20"/>
        <v>0</v>
      </c>
    </row>
    <row r="78" spans="1:114" x14ac:dyDescent="0.2">
      <c r="A78" s="177">
        <f>TblRezone[[#This Row],[Hour]]</f>
        <v>75</v>
      </c>
      <c r="B78" s="178">
        <f ca="1">SUM(TblConstr[[#This Row],[Plain]:[Water]])</f>
        <v>160</v>
      </c>
      <c r="C78" s="179">
        <f ca="1">SUM(TblConstr[[#This Row],[Tot Hom]:[Tot Doc]])</f>
        <v>90</v>
      </c>
      <c r="D78" s="179">
        <f t="shared" si="21"/>
        <v>0</v>
      </c>
      <c r="E78" s="180"/>
      <c r="F78" s="61">
        <f ca="1">TblConstr[[#This Row],[Barren]]+TblConstr[[#This Row],[Buildings]]+TblConstr[[#This Row],[Incoming]]</f>
        <v>250</v>
      </c>
      <c r="G78" s="189">
        <f ca="1">OFFSET(TblConstr[[#This Row],[Plain]],-1,0)+TblConstr[[#This Row],[Ch_Plain]]</f>
        <v>40</v>
      </c>
      <c r="H78" s="184">
        <f ca="1">OFFSET(TblConstr[[#This Row],[Forest]],-1,0)+TblConstr[[#This Row],[Ch_Forest]]</f>
        <v>20</v>
      </c>
      <c r="I78" s="384">
        <f ca="1">OFFSET(TblConstr[[#This Row],[Mountain]],-1,0)+TblConstr[[#This Row],[Ch_Mountain]]</f>
        <v>20</v>
      </c>
      <c r="J78" s="388">
        <f ca="1">OFFSET(TblConstr[[#This Row],[Hill]],-1,0)+TblConstr[[#This Row],[Ch_Hill]]</f>
        <v>20</v>
      </c>
      <c r="K78" s="392">
        <f ca="1">OFFSET(TblConstr[[#This Row],[Swamp]],-1,0)+TblConstr[[#This Row],[Ch_Swamp]]</f>
        <v>20</v>
      </c>
      <c r="L78" s="187">
        <f ca="1">OFFSET(TblConstr[[#This Row],[Cavern]],-1,0)+TblConstr[[#This Row],[Ch_Cavern]]</f>
        <v>20</v>
      </c>
      <c r="M78" s="188">
        <f ca="1">OFFSET(TblConstr[[#This Row],[Water]],-1,0)+TblConstr[[#This Row],[Ch_Water]]</f>
        <v>20</v>
      </c>
      <c r="N78" s="382">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45735.083333333154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526842</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6">
        <f ca="1">ROUNDDOWN( MAX(1 - MIN(facs_constr_factor*TblConstr[[#This Row],[Facs -DB]],facs_constr_max) + tech_1_11*TblTech[[#This Row],[11-1]] + tech_6_3_2*TblTech[[#This Row],[6-3]] + tech_5_2_3*TblTech[[#This Row],[5-2]], 1-global_constr_cap) * TblConstr[[#This Row],[RCPA Lumber]],0)</f>
        <v>88</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6">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ROUND((TblConstr[[#This Row],[Land]]-250 - IF(TblExplore[[#This Row],[Land Bonus]]&lt;&gt;0,20,0))*1.25 + 850 + 0,0)</f>
        <v>850</v>
      </c>
      <c r="AW78" s="96">
        <f ca="1">ROUND((TblConstr[[#This Row],[Land]]-250 - IF(TblExplore[[#This Row],[Land Bonus]]&lt;&gt;0,20,0))*0.285 + 87.5 + 0/4.25,0)</f>
        <v>88</v>
      </c>
      <c r="AX78" s="156"/>
      <c r="AY78" s="190" cm="1">
        <f t="array" aca="1" ref="AY78" ca="1">IF(TblConstr[[#This Row],[Hour]:[Hour]]&gt;12,OFFSET(TblConstr[[#This Row],[Hom]],-12,0),0)+OFFSET(TblConstr[[#This Row],[Tot Hom]],-1,0)-TblConstr[[#This Row],[Dest Hom]]</f>
        <v>10</v>
      </c>
      <c r="AZ78" s="191" cm="1">
        <f t="array" aca="1" ref="AZ78" ca="1">IF(TblConstr[[#This Row],[Hour]:[Hour]]&gt;12,OFFSET(TblConstr[[#This Row],[Alc]],-12,0),0)+OFFSET(TblConstr[[#This Row],[Tot Alc]],-1,0)-TblConstr[[#This Row],[Dest Alc]]</f>
        <v>30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86" cm="1">
        <f t="array" aca="1" ref="BF78" ca="1">IF(TblConstr[[#This Row],[Hour]:[Hour]]&gt;12,OFFSET(TblConstr[[#This Row],[OM]],-12,0),0)+OFFSET(TblConstr[[#This Row],[Tot OM]],-1,0)-TblConstr[[#This Row],[Dest OM]]</f>
        <v>0</v>
      </c>
      <c r="BG78" s="386" cm="1">
        <f t="array" aca="1" ref="BG78" ca="1">IF(TblConstr[[#This Row],[Hour]:[Hour]]&gt;12,OFFSET(TblConstr[[#This Row],[GN]],-12,0),0)+OFFSET(TblConstr[[#This Row],[Tot GN]],-1,0)-TblConstr[[#This Row],[Dest GN]]</f>
        <v>0</v>
      </c>
      <c r="BH78" s="390" cm="1">
        <f t="array" aca="1" ref="BH78" ca="1">IF(TblConstr[[#This Row],[Hour]:[Hour]]&gt;12,OFFSET(TblConstr[[#This Row],[Fac]],-12,0),0)+OFFSET(TblConstr[[#This Row],[Tot Fac]],-1,0)-TblConstr[[#This Row],[Dest Fac]]</f>
        <v>0</v>
      </c>
      <c r="BI78" s="390" cm="1">
        <f t="array" aca="1" ref="BI78" ca="1">IF(TblConstr[[#This Row],[Hour]:[Hour]]&gt;12,OFFSET(TblConstr[[#This Row],[GT]],-12,0),0)+OFFSET(TblConstr[[#This Row],[Tot GT]],-1,0)-TblConstr[[#This Row],[Dest GT]]</f>
        <v>0</v>
      </c>
      <c r="BJ78" s="390" cm="1">
        <f t="array" aca="1" ref="BJ78" ca="1">IF(TblConstr[[#This Row],[Hour]:[Hour]]&gt;12,OFFSET(TblConstr[[#This Row],[Bar]],-12,0),0)+OFFSET(TblConstr[[#This Row],[Tot Bar]],-1,0)-TblConstr[[#This Row],[Dest Bar]]</f>
        <v>0</v>
      </c>
      <c r="BK78" s="390" cm="1">
        <f t="array" aca="1" ref="BK78" ca="1">IF(TblConstr[[#This Row],[Hour]:[Hour]]&gt;12,OFFSET(TblConstr[[#This Row],[Shr]],-12,0),0)+OFFSET(TblConstr[[#This Row],[Tot Shr]],-1,0)-TblConstr[[#This Row],[Dest Shr]]</f>
        <v>0</v>
      </c>
      <c r="BL78" s="394" cm="1">
        <f t="array" aca="1" ref="BL78" ca="1">IF(TblConstr[[#This Row],[Hour]:[Hour]]&gt;12,OFFSET(TblConstr[[#This Row],[Tow]],-12,0),0)+OFFSET(TblConstr[[#This Row],[Tot Tow]],-1,0)-TblConstr[[#This Row],[Dest Tow]]</f>
        <v>0</v>
      </c>
      <c r="BM78" s="394" cm="1">
        <f t="array" aca="1" ref="BM78" ca="1">IF(TblConstr[[#This Row],[Hour]:[Hour]]&gt;12,OFFSET(TblConstr[[#This Row],[Tem]],-12,0),0)+OFFSET(TblConstr[[#This Row],[Tot Tem]],-1,0)-TblConstr[[#This Row],[Dest Tem]]</f>
        <v>0</v>
      </c>
      <c r="BN78" s="394"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250</v>
      </c>
      <c r="BU78" s="161">
        <f ca="1">TblImps[[#This Row],[Time]]</f>
        <v>45735.083333333154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84">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100</v>
      </c>
      <c r="DA78" s="96">
        <f t="shared" ca="1" si="13"/>
        <v>40</v>
      </c>
      <c r="DB78" s="45">
        <f t="shared" ca="1" si="14"/>
        <v>20</v>
      </c>
      <c r="DC78" s="96">
        <f t="shared" ca="1" si="15"/>
        <v>20</v>
      </c>
      <c r="DD78" s="96">
        <f t="shared" ca="1" si="16"/>
        <v>20</v>
      </c>
      <c r="DE78" s="45">
        <f t="shared" ca="1" si="17"/>
        <v>20</v>
      </c>
      <c r="DF78" s="96">
        <f t="shared" ca="1" si="18"/>
        <v>20</v>
      </c>
      <c r="DG78" s="96"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7">
        <f>TblRezone[[#This Row],[Hour]]</f>
        <v>76</v>
      </c>
      <c r="B79" s="178">
        <f ca="1">SUM(TblConstr[[#This Row],[Plain]:[Water]])</f>
        <v>160</v>
      </c>
      <c r="C79" s="179">
        <f ca="1">SUM(TblConstr[[#This Row],[Tot Hom]:[Tot Doc]])</f>
        <v>90</v>
      </c>
      <c r="D79" s="179">
        <f t="shared" si="21"/>
        <v>0</v>
      </c>
      <c r="E79" s="180"/>
      <c r="F79" s="61">
        <f ca="1">TblConstr[[#This Row],[Barren]]+TblConstr[[#This Row],[Buildings]]+TblConstr[[#This Row],[Incoming]]</f>
        <v>250</v>
      </c>
      <c r="G79" s="189">
        <f ca="1">OFFSET(TblConstr[[#This Row],[Plain]],-1,0)+TblConstr[[#This Row],[Ch_Plain]]</f>
        <v>40</v>
      </c>
      <c r="H79" s="184">
        <f ca="1">OFFSET(TblConstr[[#This Row],[Forest]],-1,0)+TblConstr[[#This Row],[Ch_Forest]]</f>
        <v>20</v>
      </c>
      <c r="I79" s="384">
        <f ca="1">OFFSET(TblConstr[[#This Row],[Mountain]],-1,0)+TblConstr[[#This Row],[Ch_Mountain]]</f>
        <v>20</v>
      </c>
      <c r="J79" s="388">
        <f ca="1">OFFSET(TblConstr[[#This Row],[Hill]],-1,0)+TblConstr[[#This Row],[Ch_Hill]]</f>
        <v>20</v>
      </c>
      <c r="K79" s="392">
        <f ca="1">OFFSET(TblConstr[[#This Row],[Swamp]],-1,0)+TblConstr[[#This Row],[Ch_Swamp]]</f>
        <v>20</v>
      </c>
      <c r="L79" s="187">
        <f ca="1">OFFSET(TblConstr[[#This Row],[Cavern]],-1,0)+TblConstr[[#This Row],[Ch_Cavern]]</f>
        <v>20</v>
      </c>
      <c r="M79" s="188">
        <f ca="1">OFFSET(TblConstr[[#This Row],[Water]],-1,0)+TblConstr[[#This Row],[Ch_Water]]</f>
        <v>20</v>
      </c>
      <c r="N79" s="382">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45735.124999999818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532328</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6">
        <f ca="1">ROUNDDOWN( MAX(1 - MIN(facs_constr_factor*TblConstr[[#This Row],[Facs -DB]],facs_constr_max) + tech_1_11*TblTech[[#This Row],[11-1]] + tech_6_3_2*TblTech[[#This Row],[6-3]] + tech_5_2_3*TblTech[[#This Row],[5-2]], 1-global_constr_cap) * TblConstr[[#This Row],[RCPA Lumber]],0)</f>
        <v>88</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6">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ROUND((TblConstr[[#This Row],[Land]]-250 - IF(TblExplore[[#This Row],[Land Bonus]]&lt;&gt;0,20,0))*1.25 + 850 + 0,0)</f>
        <v>850</v>
      </c>
      <c r="AW79" s="96">
        <f ca="1">ROUND((TblConstr[[#This Row],[Land]]-250 - IF(TblExplore[[#This Row],[Land Bonus]]&lt;&gt;0,20,0))*0.285 + 87.5 + 0/4.25,0)</f>
        <v>88</v>
      </c>
      <c r="AX79" s="156"/>
      <c r="AY79" s="190" cm="1">
        <f t="array" aca="1" ref="AY79" ca="1">IF(TblConstr[[#This Row],[Hour]:[Hour]]&gt;12,OFFSET(TblConstr[[#This Row],[Hom]],-12,0),0)+OFFSET(TblConstr[[#This Row],[Tot Hom]],-1,0)-TblConstr[[#This Row],[Dest Hom]]</f>
        <v>10</v>
      </c>
      <c r="AZ79" s="191" cm="1">
        <f t="array" aca="1" ref="AZ79" ca="1">IF(TblConstr[[#This Row],[Hour]:[Hour]]&gt;12,OFFSET(TblConstr[[#This Row],[Alc]],-12,0),0)+OFFSET(TblConstr[[#This Row],[Tot Alc]],-1,0)-TblConstr[[#This Row],[Dest Alc]]</f>
        <v>30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86" cm="1">
        <f t="array" aca="1" ref="BF79" ca="1">IF(TblConstr[[#This Row],[Hour]:[Hour]]&gt;12,OFFSET(TblConstr[[#This Row],[OM]],-12,0),0)+OFFSET(TblConstr[[#This Row],[Tot OM]],-1,0)-TblConstr[[#This Row],[Dest OM]]</f>
        <v>0</v>
      </c>
      <c r="BG79" s="386" cm="1">
        <f t="array" aca="1" ref="BG79" ca="1">IF(TblConstr[[#This Row],[Hour]:[Hour]]&gt;12,OFFSET(TblConstr[[#This Row],[GN]],-12,0),0)+OFFSET(TblConstr[[#This Row],[Tot GN]],-1,0)-TblConstr[[#This Row],[Dest GN]]</f>
        <v>0</v>
      </c>
      <c r="BH79" s="390" cm="1">
        <f t="array" aca="1" ref="BH79" ca="1">IF(TblConstr[[#This Row],[Hour]:[Hour]]&gt;12,OFFSET(TblConstr[[#This Row],[Fac]],-12,0),0)+OFFSET(TblConstr[[#This Row],[Tot Fac]],-1,0)-TblConstr[[#This Row],[Dest Fac]]</f>
        <v>0</v>
      </c>
      <c r="BI79" s="390" cm="1">
        <f t="array" aca="1" ref="BI79" ca="1">IF(TblConstr[[#This Row],[Hour]:[Hour]]&gt;12,OFFSET(TblConstr[[#This Row],[GT]],-12,0),0)+OFFSET(TblConstr[[#This Row],[Tot GT]],-1,0)-TblConstr[[#This Row],[Dest GT]]</f>
        <v>0</v>
      </c>
      <c r="BJ79" s="390" cm="1">
        <f t="array" aca="1" ref="BJ79" ca="1">IF(TblConstr[[#This Row],[Hour]:[Hour]]&gt;12,OFFSET(TblConstr[[#This Row],[Bar]],-12,0),0)+OFFSET(TblConstr[[#This Row],[Tot Bar]],-1,0)-TblConstr[[#This Row],[Dest Bar]]</f>
        <v>0</v>
      </c>
      <c r="BK79" s="390" cm="1">
        <f t="array" aca="1" ref="BK79" ca="1">IF(TblConstr[[#This Row],[Hour]:[Hour]]&gt;12,OFFSET(TblConstr[[#This Row],[Shr]],-12,0),0)+OFFSET(TblConstr[[#This Row],[Tot Shr]],-1,0)-TblConstr[[#This Row],[Dest Shr]]</f>
        <v>0</v>
      </c>
      <c r="BL79" s="394" cm="1">
        <f t="array" aca="1" ref="BL79" ca="1">IF(TblConstr[[#This Row],[Hour]:[Hour]]&gt;12,OFFSET(TblConstr[[#This Row],[Tow]],-12,0),0)+OFFSET(TblConstr[[#This Row],[Tot Tow]],-1,0)-TblConstr[[#This Row],[Dest Tow]]</f>
        <v>0</v>
      </c>
      <c r="BM79" s="394" cm="1">
        <f t="array" aca="1" ref="BM79" ca="1">IF(TblConstr[[#This Row],[Hour]:[Hour]]&gt;12,OFFSET(TblConstr[[#This Row],[Tem]],-12,0),0)+OFFSET(TblConstr[[#This Row],[Tot Tem]],-1,0)-TblConstr[[#This Row],[Dest Tem]]</f>
        <v>0</v>
      </c>
      <c r="BN79" s="394"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250</v>
      </c>
      <c r="BU79" s="161">
        <f ca="1">TblImps[[#This Row],[Time]]</f>
        <v>45735.124999999818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84">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100</v>
      </c>
      <c r="DA79" s="96">
        <f t="shared" ca="1" si="13"/>
        <v>40</v>
      </c>
      <c r="DB79" s="45">
        <f t="shared" ca="1" si="14"/>
        <v>20</v>
      </c>
      <c r="DC79" s="96">
        <f t="shared" ca="1" si="15"/>
        <v>20</v>
      </c>
      <c r="DD79" s="96">
        <f t="shared" ca="1" si="16"/>
        <v>20</v>
      </c>
      <c r="DE79" s="45">
        <f t="shared" ca="1" si="17"/>
        <v>20</v>
      </c>
      <c r="DF79" s="96">
        <f t="shared" ca="1" si="18"/>
        <v>20</v>
      </c>
      <c r="DG79" s="96"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7">
        <f>TblRezone[[#This Row],[Hour]]</f>
        <v>77</v>
      </c>
      <c r="B80" s="178">
        <f ca="1">SUM(TblConstr[[#This Row],[Plain]:[Water]])</f>
        <v>160</v>
      </c>
      <c r="C80" s="179">
        <f ca="1">SUM(TblConstr[[#This Row],[Tot Hom]:[Tot Doc]])</f>
        <v>90</v>
      </c>
      <c r="D80" s="179">
        <f t="shared" si="21"/>
        <v>0</v>
      </c>
      <c r="E80" s="180"/>
      <c r="F80" s="61">
        <f ca="1">TblConstr[[#This Row],[Barren]]+TblConstr[[#This Row],[Buildings]]+TblConstr[[#This Row],[Incoming]]</f>
        <v>250</v>
      </c>
      <c r="G80" s="189">
        <f ca="1">OFFSET(TblConstr[[#This Row],[Plain]],-1,0)+TblConstr[[#This Row],[Ch_Plain]]</f>
        <v>40</v>
      </c>
      <c r="H80" s="184">
        <f ca="1">OFFSET(TblConstr[[#This Row],[Forest]],-1,0)+TblConstr[[#This Row],[Ch_Forest]]</f>
        <v>20</v>
      </c>
      <c r="I80" s="384">
        <f ca="1">OFFSET(TblConstr[[#This Row],[Mountain]],-1,0)+TblConstr[[#This Row],[Ch_Mountain]]</f>
        <v>20</v>
      </c>
      <c r="J80" s="388">
        <f ca="1">OFFSET(TblConstr[[#This Row],[Hill]],-1,0)+TblConstr[[#This Row],[Ch_Hill]]</f>
        <v>20</v>
      </c>
      <c r="K80" s="392">
        <f ca="1">OFFSET(TblConstr[[#This Row],[Swamp]],-1,0)+TblConstr[[#This Row],[Ch_Swamp]]</f>
        <v>20</v>
      </c>
      <c r="L80" s="187">
        <f ca="1">OFFSET(TblConstr[[#This Row],[Cavern]],-1,0)+TblConstr[[#This Row],[Ch_Cavern]]</f>
        <v>20</v>
      </c>
      <c r="M80" s="188">
        <f ca="1">OFFSET(TblConstr[[#This Row],[Water]],-1,0)+TblConstr[[#This Row],[Ch_Water]]</f>
        <v>20</v>
      </c>
      <c r="N80" s="382">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45735.166666666482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537814</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6">
        <f ca="1">ROUNDDOWN( MAX(1 - MIN(facs_constr_factor*TblConstr[[#This Row],[Facs -DB]],facs_constr_max) + tech_1_11*TblTech[[#This Row],[11-1]] + tech_6_3_2*TblTech[[#This Row],[6-3]] + tech_5_2_3*TblTech[[#This Row],[5-2]], 1-global_constr_cap) * TblConstr[[#This Row],[RCPA Lumber]],0)</f>
        <v>88</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6">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ROUND((TblConstr[[#This Row],[Land]]-250 - IF(TblExplore[[#This Row],[Land Bonus]]&lt;&gt;0,20,0))*1.25 + 850 + 0,0)</f>
        <v>850</v>
      </c>
      <c r="AW80" s="96">
        <f ca="1">ROUND((TblConstr[[#This Row],[Land]]-250 - IF(TblExplore[[#This Row],[Land Bonus]]&lt;&gt;0,20,0))*0.285 + 87.5 + 0/4.25,0)</f>
        <v>88</v>
      </c>
      <c r="AX80" s="156"/>
      <c r="AY80" s="190" cm="1">
        <f t="array" aca="1" ref="AY80" ca="1">IF(TblConstr[[#This Row],[Hour]:[Hour]]&gt;12,OFFSET(TblConstr[[#This Row],[Hom]],-12,0),0)+OFFSET(TblConstr[[#This Row],[Tot Hom]],-1,0)-TblConstr[[#This Row],[Dest Hom]]</f>
        <v>10</v>
      </c>
      <c r="AZ80" s="191" cm="1">
        <f t="array" aca="1" ref="AZ80" ca="1">IF(TblConstr[[#This Row],[Hour]:[Hour]]&gt;12,OFFSET(TblConstr[[#This Row],[Alc]],-12,0),0)+OFFSET(TblConstr[[#This Row],[Tot Alc]],-1,0)-TblConstr[[#This Row],[Dest Alc]]</f>
        <v>30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86" cm="1">
        <f t="array" aca="1" ref="BF80" ca="1">IF(TblConstr[[#This Row],[Hour]:[Hour]]&gt;12,OFFSET(TblConstr[[#This Row],[OM]],-12,0),0)+OFFSET(TblConstr[[#This Row],[Tot OM]],-1,0)-TblConstr[[#This Row],[Dest OM]]</f>
        <v>0</v>
      </c>
      <c r="BG80" s="386" cm="1">
        <f t="array" aca="1" ref="BG80" ca="1">IF(TblConstr[[#This Row],[Hour]:[Hour]]&gt;12,OFFSET(TblConstr[[#This Row],[GN]],-12,0),0)+OFFSET(TblConstr[[#This Row],[Tot GN]],-1,0)-TblConstr[[#This Row],[Dest GN]]</f>
        <v>0</v>
      </c>
      <c r="BH80" s="390" cm="1">
        <f t="array" aca="1" ref="BH80" ca="1">IF(TblConstr[[#This Row],[Hour]:[Hour]]&gt;12,OFFSET(TblConstr[[#This Row],[Fac]],-12,0),0)+OFFSET(TblConstr[[#This Row],[Tot Fac]],-1,0)-TblConstr[[#This Row],[Dest Fac]]</f>
        <v>0</v>
      </c>
      <c r="BI80" s="390" cm="1">
        <f t="array" aca="1" ref="BI80" ca="1">IF(TblConstr[[#This Row],[Hour]:[Hour]]&gt;12,OFFSET(TblConstr[[#This Row],[GT]],-12,0),0)+OFFSET(TblConstr[[#This Row],[Tot GT]],-1,0)-TblConstr[[#This Row],[Dest GT]]</f>
        <v>0</v>
      </c>
      <c r="BJ80" s="390" cm="1">
        <f t="array" aca="1" ref="BJ80" ca="1">IF(TblConstr[[#This Row],[Hour]:[Hour]]&gt;12,OFFSET(TblConstr[[#This Row],[Bar]],-12,0),0)+OFFSET(TblConstr[[#This Row],[Tot Bar]],-1,0)-TblConstr[[#This Row],[Dest Bar]]</f>
        <v>0</v>
      </c>
      <c r="BK80" s="390" cm="1">
        <f t="array" aca="1" ref="BK80" ca="1">IF(TblConstr[[#This Row],[Hour]:[Hour]]&gt;12,OFFSET(TblConstr[[#This Row],[Shr]],-12,0),0)+OFFSET(TblConstr[[#This Row],[Tot Shr]],-1,0)-TblConstr[[#This Row],[Dest Shr]]</f>
        <v>0</v>
      </c>
      <c r="BL80" s="394" cm="1">
        <f t="array" aca="1" ref="BL80" ca="1">IF(TblConstr[[#This Row],[Hour]:[Hour]]&gt;12,OFFSET(TblConstr[[#This Row],[Tow]],-12,0),0)+OFFSET(TblConstr[[#This Row],[Tot Tow]],-1,0)-TblConstr[[#This Row],[Dest Tow]]</f>
        <v>0</v>
      </c>
      <c r="BM80" s="394" cm="1">
        <f t="array" aca="1" ref="BM80" ca="1">IF(TblConstr[[#This Row],[Hour]:[Hour]]&gt;12,OFFSET(TblConstr[[#This Row],[Tem]],-12,0),0)+OFFSET(TblConstr[[#This Row],[Tot Tem]],-1,0)-TblConstr[[#This Row],[Dest Tem]]</f>
        <v>0</v>
      </c>
      <c r="BN80" s="394"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250</v>
      </c>
      <c r="BU80" s="161">
        <f ca="1">TblImps[[#This Row],[Time]]</f>
        <v>45735.166666666482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84">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100</v>
      </c>
      <c r="DA80" s="96">
        <f t="shared" ref="DA80:DA111" ca="1" si="24">H80+SUM(T69:U80)+SUM(BD80:BE80)</f>
        <v>40</v>
      </c>
      <c r="DB80" s="45">
        <f t="shared" ref="DB80:DB111" ca="1" si="25">I80+SUM(V69:W80)+SUM(BF80:BG80)</f>
        <v>20</v>
      </c>
      <c r="DC80" s="96">
        <f t="shared" ref="DC80:DC111" ca="1" si="26">J80+SUM(X69:Y80)+SUM(BH80:BI80)</f>
        <v>20</v>
      </c>
      <c r="DD80" s="96">
        <f t="shared" ref="DD80:DD111" ca="1" si="27">K80+SUM(AB69:AD80)+SUM(BL80:BN80)</f>
        <v>20</v>
      </c>
      <c r="DE80" s="45">
        <f t="shared" ref="DE80:DE111" ca="1" si="28">L80+SUM(AE69:AE80)+BO80</f>
        <v>20</v>
      </c>
      <c r="DF80" s="96">
        <f t="shared" ref="DF80:DF111" ca="1" si="29">M80+SUM(AG69:AG80)+BQ80</f>
        <v>20</v>
      </c>
      <c r="DG80" s="96"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7">
        <f>TblRezone[[#This Row],[Hour]]</f>
        <v>78</v>
      </c>
      <c r="B81" s="178">
        <f ca="1">SUM(TblConstr[[#This Row],[Plain]:[Water]])</f>
        <v>160</v>
      </c>
      <c r="C81" s="179">
        <f ca="1">SUM(TblConstr[[#This Row],[Tot Hom]:[Tot Doc]])</f>
        <v>90</v>
      </c>
      <c r="D81" s="179">
        <f t="shared" si="21"/>
        <v>0</v>
      </c>
      <c r="E81" s="180"/>
      <c r="F81" s="61">
        <f ca="1">TblConstr[[#This Row],[Barren]]+TblConstr[[#This Row],[Buildings]]+TblConstr[[#This Row],[Incoming]]</f>
        <v>250</v>
      </c>
      <c r="G81" s="189">
        <f ca="1">OFFSET(TblConstr[[#This Row],[Plain]],-1,0)+TblConstr[[#This Row],[Ch_Plain]]</f>
        <v>40</v>
      </c>
      <c r="H81" s="184">
        <f ca="1">OFFSET(TblConstr[[#This Row],[Forest]],-1,0)+TblConstr[[#This Row],[Ch_Forest]]</f>
        <v>20</v>
      </c>
      <c r="I81" s="384">
        <f ca="1">OFFSET(TblConstr[[#This Row],[Mountain]],-1,0)+TblConstr[[#This Row],[Ch_Mountain]]</f>
        <v>20</v>
      </c>
      <c r="J81" s="388">
        <f ca="1">OFFSET(TblConstr[[#This Row],[Hill]],-1,0)+TblConstr[[#This Row],[Ch_Hill]]</f>
        <v>20</v>
      </c>
      <c r="K81" s="392">
        <f ca="1">OFFSET(TblConstr[[#This Row],[Swamp]],-1,0)+TblConstr[[#This Row],[Ch_Swamp]]</f>
        <v>20</v>
      </c>
      <c r="L81" s="187">
        <f ca="1">OFFSET(TblConstr[[#This Row],[Cavern]],-1,0)+TblConstr[[#This Row],[Ch_Cavern]]</f>
        <v>20</v>
      </c>
      <c r="M81" s="188">
        <f ca="1">OFFSET(TblConstr[[#This Row],[Water]],-1,0)+TblConstr[[#This Row],[Ch_Water]]</f>
        <v>20</v>
      </c>
      <c r="N81" s="382">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45735.208333333147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543300</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6">
        <f ca="1">ROUNDDOWN( MAX(1 - MIN(facs_constr_factor*TblConstr[[#This Row],[Facs -DB]],facs_constr_max) + tech_1_11*TblTech[[#This Row],[11-1]] + tech_6_3_2*TblTech[[#This Row],[6-3]] + tech_5_2_3*TblTech[[#This Row],[5-2]], 1-global_constr_cap) * TblConstr[[#This Row],[RCPA Lumber]],0)</f>
        <v>88</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6">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ROUND((TblConstr[[#This Row],[Land]]-250 - IF(TblExplore[[#This Row],[Land Bonus]]&lt;&gt;0,20,0))*1.25 + 850 + 0,0)</f>
        <v>850</v>
      </c>
      <c r="AW81" s="96">
        <f ca="1">ROUND((TblConstr[[#This Row],[Land]]-250 - IF(TblExplore[[#This Row],[Land Bonus]]&lt;&gt;0,20,0))*0.285 + 87.5 + 0/4.25,0)</f>
        <v>88</v>
      </c>
      <c r="AX81" s="156"/>
      <c r="AY81" s="190" cm="1">
        <f t="array" aca="1" ref="AY81" ca="1">IF(TblConstr[[#This Row],[Hour]:[Hour]]&gt;12,OFFSET(TblConstr[[#This Row],[Hom]],-12,0),0)+OFFSET(TblConstr[[#This Row],[Tot Hom]],-1,0)-TblConstr[[#This Row],[Dest Hom]]</f>
        <v>10</v>
      </c>
      <c r="AZ81" s="191" cm="1">
        <f t="array" aca="1" ref="AZ81" ca="1">IF(TblConstr[[#This Row],[Hour]:[Hour]]&gt;12,OFFSET(TblConstr[[#This Row],[Alc]],-12,0),0)+OFFSET(TblConstr[[#This Row],[Tot Alc]],-1,0)-TblConstr[[#This Row],[Dest Alc]]</f>
        <v>30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86" cm="1">
        <f t="array" aca="1" ref="BF81" ca="1">IF(TblConstr[[#This Row],[Hour]:[Hour]]&gt;12,OFFSET(TblConstr[[#This Row],[OM]],-12,0),0)+OFFSET(TblConstr[[#This Row],[Tot OM]],-1,0)-TblConstr[[#This Row],[Dest OM]]</f>
        <v>0</v>
      </c>
      <c r="BG81" s="386" cm="1">
        <f t="array" aca="1" ref="BG81" ca="1">IF(TblConstr[[#This Row],[Hour]:[Hour]]&gt;12,OFFSET(TblConstr[[#This Row],[GN]],-12,0),0)+OFFSET(TblConstr[[#This Row],[Tot GN]],-1,0)-TblConstr[[#This Row],[Dest GN]]</f>
        <v>0</v>
      </c>
      <c r="BH81" s="390" cm="1">
        <f t="array" aca="1" ref="BH81" ca="1">IF(TblConstr[[#This Row],[Hour]:[Hour]]&gt;12,OFFSET(TblConstr[[#This Row],[Fac]],-12,0),0)+OFFSET(TblConstr[[#This Row],[Tot Fac]],-1,0)-TblConstr[[#This Row],[Dest Fac]]</f>
        <v>0</v>
      </c>
      <c r="BI81" s="390" cm="1">
        <f t="array" aca="1" ref="BI81" ca="1">IF(TblConstr[[#This Row],[Hour]:[Hour]]&gt;12,OFFSET(TblConstr[[#This Row],[GT]],-12,0),0)+OFFSET(TblConstr[[#This Row],[Tot GT]],-1,0)-TblConstr[[#This Row],[Dest GT]]</f>
        <v>0</v>
      </c>
      <c r="BJ81" s="390" cm="1">
        <f t="array" aca="1" ref="BJ81" ca="1">IF(TblConstr[[#This Row],[Hour]:[Hour]]&gt;12,OFFSET(TblConstr[[#This Row],[Bar]],-12,0),0)+OFFSET(TblConstr[[#This Row],[Tot Bar]],-1,0)-TblConstr[[#This Row],[Dest Bar]]</f>
        <v>0</v>
      </c>
      <c r="BK81" s="390" cm="1">
        <f t="array" aca="1" ref="BK81" ca="1">IF(TblConstr[[#This Row],[Hour]:[Hour]]&gt;12,OFFSET(TblConstr[[#This Row],[Shr]],-12,0),0)+OFFSET(TblConstr[[#This Row],[Tot Shr]],-1,0)-TblConstr[[#This Row],[Dest Shr]]</f>
        <v>0</v>
      </c>
      <c r="BL81" s="394" cm="1">
        <f t="array" aca="1" ref="BL81" ca="1">IF(TblConstr[[#This Row],[Hour]:[Hour]]&gt;12,OFFSET(TblConstr[[#This Row],[Tow]],-12,0),0)+OFFSET(TblConstr[[#This Row],[Tot Tow]],-1,0)-TblConstr[[#This Row],[Dest Tow]]</f>
        <v>0</v>
      </c>
      <c r="BM81" s="394" cm="1">
        <f t="array" aca="1" ref="BM81" ca="1">IF(TblConstr[[#This Row],[Hour]:[Hour]]&gt;12,OFFSET(TblConstr[[#This Row],[Tem]],-12,0),0)+OFFSET(TblConstr[[#This Row],[Tot Tem]],-1,0)-TblConstr[[#This Row],[Dest Tem]]</f>
        <v>0</v>
      </c>
      <c r="BN81" s="394"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250</v>
      </c>
      <c r="BU81" s="161">
        <f ca="1">TblImps[[#This Row],[Time]]</f>
        <v>45735.208333333147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84">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100</v>
      </c>
      <c r="DA81" s="96">
        <f t="shared" ca="1" si="24"/>
        <v>40</v>
      </c>
      <c r="DB81" s="45">
        <f t="shared" ca="1" si="25"/>
        <v>20</v>
      </c>
      <c r="DC81" s="96">
        <f t="shared" ca="1" si="26"/>
        <v>20</v>
      </c>
      <c r="DD81" s="96">
        <f t="shared" ca="1" si="27"/>
        <v>20</v>
      </c>
      <c r="DE81" s="45">
        <f t="shared" ca="1" si="28"/>
        <v>20</v>
      </c>
      <c r="DF81" s="96">
        <f t="shared" ca="1" si="29"/>
        <v>20</v>
      </c>
      <c r="DG81" s="96"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7">
        <f>TblRezone[[#This Row],[Hour]]</f>
        <v>79</v>
      </c>
      <c r="B82" s="178">
        <f ca="1">SUM(TblConstr[[#This Row],[Plain]:[Water]])</f>
        <v>160</v>
      </c>
      <c r="C82" s="179">
        <f ca="1">SUM(TblConstr[[#This Row],[Tot Hom]:[Tot Doc]])</f>
        <v>90</v>
      </c>
      <c r="D82" s="179">
        <f t="shared" si="21"/>
        <v>0</v>
      </c>
      <c r="E82" s="180"/>
      <c r="F82" s="61">
        <f ca="1">TblConstr[[#This Row],[Barren]]+TblConstr[[#This Row],[Buildings]]+TblConstr[[#This Row],[Incoming]]</f>
        <v>250</v>
      </c>
      <c r="G82" s="189">
        <f ca="1">OFFSET(TblConstr[[#This Row],[Plain]],-1,0)+TblConstr[[#This Row],[Ch_Plain]]</f>
        <v>40</v>
      </c>
      <c r="H82" s="184">
        <f ca="1">OFFSET(TblConstr[[#This Row],[Forest]],-1,0)+TblConstr[[#This Row],[Ch_Forest]]</f>
        <v>20</v>
      </c>
      <c r="I82" s="384">
        <f ca="1">OFFSET(TblConstr[[#This Row],[Mountain]],-1,0)+TblConstr[[#This Row],[Ch_Mountain]]</f>
        <v>20</v>
      </c>
      <c r="J82" s="388">
        <f ca="1">OFFSET(TblConstr[[#This Row],[Hill]],-1,0)+TblConstr[[#This Row],[Ch_Hill]]</f>
        <v>20</v>
      </c>
      <c r="K82" s="392">
        <f ca="1">OFFSET(TblConstr[[#This Row],[Swamp]],-1,0)+TblConstr[[#This Row],[Ch_Swamp]]</f>
        <v>20</v>
      </c>
      <c r="L82" s="187">
        <f ca="1">OFFSET(TblConstr[[#This Row],[Cavern]],-1,0)+TblConstr[[#This Row],[Ch_Cavern]]</f>
        <v>20</v>
      </c>
      <c r="M82" s="188">
        <f ca="1">OFFSET(TblConstr[[#This Row],[Water]],-1,0)+TblConstr[[#This Row],[Ch_Water]]</f>
        <v>20</v>
      </c>
      <c r="N82" s="382">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45735.249999999811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548786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6">
        <f ca="1">ROUNDDOWN( MAX(1 - MIN(facs_constr_factor*TblConstr[[#This Row],[Facs -DB]],facs_constr_max) + tech_1_11*TblTech[[#This Row],[11-1]] + tech_6_3_2*TblTech[[#This Row],[6-3]] + tech_5_2_3*TblTech[[#This Row],[5-2]], 1-global_constr_cap) * TblConstr[[#This Row],[RCPA Lumber]],0)</f>
        <v>88</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6">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ROUND((TblConstr[[#This Row],[Land]]-250 - IF(TblExplore[[#This Row],[Land Bonus]]&lt;&gt;0,20,0))*1.25 + 850 + 0,0)</f>
        <v>850</v>
      </c>
      <c r="AW82" s="96">
        <f ca="1">ROUND((TblConstr[[#This Row],[Land]]-250 - IF(TblExplore[[#This Row],[Land Bonus]]&lt;&gt;0,20,0))*0.285 + 87.5 + 0/4.25,0)</f>
        <v>88</v>
      </c>
      <c r="AX82" s="156"/>
      <c r="AY82" s="190" cm="1">
        <f t="array" aca="1" ref="AY82" ca="1">IF(TblConstr[[#This Row],[Hour]:[Hour]]&gt;12,OFFSET(TblConstr[[#This Row],[Hom]],-12,0),0)+OFFSET(TblConstr[[#This Row],[Tot Hom]],-1,0)-TblConstr[[#This Row],[Dest Hom]]</f>
        <v>10</v>
      </c>
      <c r="AZ82" s="191" cm="1">
        <f t="array" aca="1" ref="AZ82" ca="1">IF(TblConstr[[#This Row],[Hour]:[Hour]]&gt;12,OFFSET(TblConstr[[#This Row],[Alc]],-12,0),0)+OFFSET(TblConstr[[#This Row],[Tot Alc]],-1,0)-TblConstr[[#This Row],[Dest Alc]]</f>
        <v>30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86" cm="1">
        <f t="array" aca="1" ref="BF82" ca="1">IF(TblConstr[[#This Row],[Hour]:[Hour]]&gt;12,OFFSET(TblConstr[[#This Row],[OM]],-12,0),0)+OFFSET(TblConstr[[#This Row],[Tot OM]],-1,0)-TblConstr[[#This Row],[Dest OM]]</f>
        <v>0</v>
      </c>
      <c r="BG82" s="386" cm="1">
        <f t="array" aca="1" ref="BG82" ca="1">IF(TblConstr[[#This Row],[Hour]:[Hour]]&gt;12,OFFSET(TblConstr[[#This Row],[GN]],-12,0),0)+OFFSET(TblConstr[[#This Row],[Tot GN]],-1,0)-TblConstr[[#This Row],[Dest GN]]</f>
        <v>0</v>
      </c>
      <c r="BH82" s="390" cm="1">
        <f t="array" aca="1" ref="BH82" ca="1">IF(TblConstr[[#This Row],[Hour]:[Hour]]&gt;12,OFFSET(TblConstr[[#This Row],[Fac]],-12,0),0)+OFFSET(TblConstr[[#This Row],[Tot Fac]],-1,0)-TblConstr[[#This Row],[Dest Fac]]</f>
        <v>0</v>
      </c>
      <c r="BI82" s="390" cm="1">
        <f t="array" aca="1" ref="BI82" ca="1">IF(TblConstr[[#This Row],[Hour]:[Hour]]&gt;12,OFFSET(TblConstr[[#This Row],[GT]],-12,0),0)+OFFSET(TblConstr[[#This Row],[Tot GT]],-1,0)-TblConstr[[#This Row],[Dest GT]]</f>
        <v>0</v>
      </c>
      <c r="BJ82" s="390" cm="1">
        <f t="array" aca="1" ref="BJ82" ca="1">IF(TblConstr[[#This Row],[Hour]:[Hour]]&gt;12,OFFSET(TblConstr[[#This Row],[Bar]],-12,0),0)+OFFSET(TblConstr[[#This Row],[Tot Bar]],-1,0)-TblConstr[[#This Row],[Dest Bar]]</f>
        <v>0</v>
      </c>
      <c r="BK82" s="390" cm="1">
        <f t="array" aca="1" ref="BK82" ca="1">IF(TblConstr[[#This Row],[Hour]:[Hour]]&gt;12,OFFSET(TblConstr[[#This Row],[Shr]],-12,0),0)+OFFSET(TblConstr[[#This Row],[Tot Shr]],-1,0)-TblConstr[[#This Row],[Dest Shr]]</f>
        <v>0</v>
      </c>
      <c r="BL82" s="394" cm="1">
        <f t="array" aca="1" ref="BL82" ca="1">IF(TblConstr[[#This Row],[Hour]:[Hour]]&gt;12,OFFSET(TblConstr[[#This Row],[Tow]],-12,0),0)+OFFSET(TblConstr[[#This Row],[Tot Tow]],-1,0)-TblConstr[[#This Row],[Dest Tow]]</f>
        <v>0</v>
      </c>
      <c r="BM82" s="394" cm="1">
        <f t="array" aca="1" ref="BM82" ca="1">IF(TblConstr[[#This Row],[Hour]:[Hour]]&gt;12,OFFSET(TblConstr[[#This Row],[Tem]],-12,0),0)+OFFSET(TblConstr[[#This Row],[Tot Tem]],-1,0)-TblConstr[[#This Row],[Dest Tem]]</f>
        <v>0</v>
      </c>
      <c r="BN82" s="394"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250</v>
      </c>
      <c r="BU82" s="161">
        <f ca="1">TblImps[[#This Row],[Time]]</f>
        <v>45735.249999999811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84">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100</v>
      </c>
      <c r="DA82" s="96">
        <f t="shared" ca="1" si="24"/>
        <v>40</v>
      </c>
      <c r="DB82" s="45">
        <f t="shared" ca="1" si="25"/>
        <v>20</v>
      </c>
      <c r="DC82" s="96">
        <f t="shared" ca="1" si="26"/>
        <v>20</v>
      </c>
      <c r="DD82" s="96">
        <f t="shared" ca="1" si="27"/>
        <v>20</v>
      </c>
      <c r="DE82" s="45">
        <f t="shared" ca="1" si="28"/>
        <v>20</v>
      </c>
      <c r="DF82" s="96">
        <f t="shared" ca="1" si="29"/>
        <v>20</v>
      </c>
      <c r="DG82" s="96"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7">
        <f>TblRezone[[#This Row],[Hour]]</f>
        <v>80</v>
      </c>
      <c r="B83" s="178">
        <f ca="1">SUM(TblConstr[[#This Row],[Plain]:[Water]])</f>
        <v>160</v>
      </c>
      <c r="C83" s="179">
        <f ca="1">SUM(TblConstr[[#This Row],[Tot Hom]:[Tot Doc]])</f>
        <v>90</v>
      </c>
      <c r="D83" s="179">
        <f t="shared" si="21"/>
        <v>0</v>
      </c>
      <c r="E83" s="180"/>
      <c r="F83" s="61">
        <f ca="1">TblConstr[[#This Row],[Barren]]+TblConstr[[#This Row],[Buildings]]+TblConstr[[#This Row],[Incoming]]</f>
        <v>250</v>
      </c>
      <c r="G83" s="189">
        <f ca="1">OFFSET(TblConstr[[#This Row],[Plain]],-1,0)+TblConstr[[#This Row],[Ch_Plain]]</f>
        <v>40</v>
      </c>
      <c r="H83" s="184">
        <f ca="1">OFFSET(TblConstr[[#This Row],[Forest]],-1,0)+TblConstr[[#This Row],[Ch_Forest]]</f>
        <v>20</v>
      </c>
      <c r="I83" s="384">
        <f ca="1">OFFSET(TblConstr[[#This Row],[Mountain]],-1,0)+TblConstr[[#This Row],[Ch_Mountain]]</f>
        <v>20</v>
      </c>
      <c r="J83" s="388">
        <f ca="1">OFFSET(TblConstr[[#This Row],[Hill]],-1,0)+TblConstr[[#This Row],[Ch_Hill]]</f>
        <v>20</v>
      </c>
      <c r="K83" s="392">
        <f ca="1">OFFSET(TblConstr[[#This Row],[Swamp]],-1,0)+TblConstr[[#This Row],[Ch_Swamp]]</f>
        <v>20</v>
      </c>
      <c r="L83" s="187">
        <f ca="1">OFFSET(TblConstr[[#This Row],[Cavern]],-1,0)+TblConstr[[#This Row],[Ch_Cavern]]</f>
        <v>20</v>
      </c>
      <c r="M83" s="188">
        <f ca="1">OFFSET(TblConstr[[#This Row],[Water]],-1,0)+TblConstr[[#This Row],[Ch_Water]]</f>
        <v>20</v>
      </c>
      <c r="N83" s="382">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45735.291666666475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554272</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6">
        <f ca="1">ROUNDDOWN( MAX(1 - MIN(facs_constr_factor*TblConstr[[#This Row],[Facs -DB]],facs_constr_max) + tech_1_11*TblTech[[#This Row],[11-1]] + tech_6_3_2*TblTech[[#This Row],[6-3]] + tech_5_2_3*TblTech[[#This Row],[5-2]], 1-global_constr_cap) * TblConstr[[#This Row],[RCPA Lumber]],0)</f>
        <v>88</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6">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ROUND((TblConstr[[#This Row],[Land]]-250 - IF(TblExplore[[#This Row],[Land Bonus]]&lt;&gt;0,20,0))*1.25 + 850 + 0,0)</f>
        <v>850</v>
      </c>
      <c r="AW83" s="96">
        <f ca="1">ROUND((TblConstr[[#This Row],[Land]]-250 - IF(TblExplore[[#This Row],[Land Bonus]]&lt;&gt;0,20,0))*0.285 + 87.5 + 0/4.25,0)</f>
        <v>88</v>
      </c>
      <c r="AX83" s="156"/>
      <c r="AY83" s="190" cm="1">
        <f t="array" aca="1" ref="AY83" ca="1">IF(TblConstr[[#This Row],[Hour]:[Hour]]&gt;12,OFFSET(TblConstr[[#This Row],[Hom]],-12,0),0)+OFFSET(TblConstr[[#This Row],[Tot Hom]],-1,0)-TblConstr[[#This Row],[Dest Hom]]</f>
        <v>10</v>
      </c>
      <c r="AZ83" s="191" cm="1">
        <f t="array" aca="1" ref="AZ83" ca="1">IF(TblConstr[[#This Row],[Hour]:[Hour]]&gt;12,OFFSET(TblConstr[[#This Row],[Alc]],-12,0),0)+OFFSET(TblConstr[[#This Row],[Tot Alc]],-1,0)-TblConstr[[#This Row],[Dest Alc]]</f>
        <v>30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86" cm="1">
        <f t="array" aca="1" ref="BF83" ca="1">IF(TblConstr[[#This Row],[Hour]:[Hour]]&gt;12,OFFSET(TblConstr[[#This Row],[OM]],-12,0),0)+OFFSET(TblConstr[[#This Row],[Tot OM]],-1,0)-TblConstr[[#This Row],[Dest OM]]</f>
        <v>0</v>
      </c>
      <c r="BG83" s="386" cm="1">
        <f t="array" aca="1" ref="BG83" ca="1">IF(TblConstr[[#This Row],[Hour]:[Hour]]&gt;12,OFFSET(TblConstr[[#This Row],[GN]],-12,0),0)+OFFSET(TblConstr[[#This Row],[Tot GN]],-1,0)-TblConstr[[#This Row],[Dest GN]]</f>
        <v>0</v>
      </c>
      <c r="BH83" s="390" cm="1">
        <f t="array" aca="1" ref="BH83" ca="1">IF(TblConstr[[#This Row],[Hour]:[Hour]]&gt;12,OFFSET(TblConstr[[#This Row],[Fac]],-12,0),0)+OFFSET(TblConstr[[#This Row],[Tot Fac]],-1,0)-TblConstr[[#This Row],[Dest Fac]]</f>
        <v>0</v>
      </c>
      <c r="BI83" s="390" cm="1">
        <f t="array" aca="1" ref="BI83" ca="1">IF(TblConstr[[#This Row],[Hour]:[Hour]]&gt;12,OFFSET(TblConstr[[#This Row],[GT]],-12,0),0)+OFFSET(TblConstr[[#This Row],[Tot GT]],-1,0)-TblConstr[[#This Row],[Dest GT]]</f>
        <v>0</v>
      </c>
      <c r="BJ83" s="390" cm="1">
        <f t="array" aca="1" ref="BJ83" ca="1">IF(TblConstr[[#This Row],[Hour]:[Hour]]&gt;12,OFFSET(TblConstr[[#This Row],[Bar]],-12,0),0)+OFFSET(TblConstr[[#This Row],[Tot Bar]],-1,0)-TblConstr[[#This Row],[Dest Bar]]</f>
        <v>0</v>
      </c>
      <c r="BK83" s="390" cm="1">
        <f t="array" aca="1" ref="BK83" ca="1">IF(TblConstr[[#This Row],[Hour]:[Hour]]&gt;12,OFFSET(TblConstr[[#This Row],[Shr]],-12,0),0)+OFFSET(TblConstr[[#This Row],[Tot Shr]],-1,0)-TblConstr[[#This Row],[Dest Shr]]</f>
        <v>0</v>
      </c>
      <c r="BL83" s="394" cm="1">
        <f t="array" aca="1" ref="BL83" ca="1">IF(TblConstr[[#This Row],[Hour]:[Hour]]&gt;12,OFFSET(TblConstr[[#This Row],[Tow]],-12,0),0)+OFFSET(TblConstr[[#This Row],[Tot Tow]],-1,0)-TblConstr[[#This Row],[Dest Tow]]</f>
        <v>0</v>
      </c>
      <c r="BM83" s="394" cm="1">
        <f t="array" aca="1" ref="BM83" ca="1">IF(TblConstr[[#This Row],[Hour]:[Hour]]&gt;12,OFFSET(TblConstr[[#This Row],[Tem]],-12,0),0)+OFFSET(TblConstr[[#This Row],[Tot Tem]],-1,0)-TblConstr[[#This Row],[Dest Tem]]</f>
        <v>0</v>
      </c>
      <c r="BN83" s="394"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250</v>
      </c>
      <c r="BU83" s="161">
        <f ca="1">TblImps[[#This Row],[Time]]</f>
        <v>45735.291666666475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84">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100</v>
      </c>
      <c r="DA83" s="96">
        <f t="shared" ca="1" si="24"/>
        <v>40</v>
      </c>
      <c r="DB83" s="45">
        <f t="shared" ca="1" si="25"/>
        <v>20</v>
      </c>
      <c r="DC83" s="96">
        <f t="shared" ca="1" si="26"/>
        <v>20</v>
      </c>
      <c r="DD83" s="96">
        <f t="shared" ca="1" si="27"/>
        <v>20</v>
      </c>
      <c r="DE83" s="45">
        <f t="shared" ca="1" si="28"/>
        <v>20</v>
      </c>
      <c r="DF83" s="96">
        <f t="shared" ca="1" si="29"/>
        <v>20</v>
      </c>
      <c r="DG83" s="96"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7">
        <f>TblRezone[[#This Row],[Hour]]</f>
        <v>81</v>
      </c>
      <c r="B84" s="178">
        <f ca="1">SUM(TblConstr[[#This Row],[Plain]:[Water]])</f>
        <v>160</v>
      </c>
      <c r="C84" s="179">
        <f ca="1">SUM(TblConstr[[#This Row],[Tot Hom]:[Tot Doc]])</f>
        <v>90</v>
      </c>
      <c r="D84" s="179">
        <f t="shared" si="21"/>
        <v>0</v>
      </c>
      <c r="E84" s="180"/>
      <c r="F84" s="61">
        <f ca="1">TblConstr[[#This Row],[Barren]]+TblConstr[[#This Row],[Buildings]]+TblConstr[[#This Row],[Incoming]]</f>
        <v>250</v>
      </c>
      <c r="G84" s="189">
        <f ca="1">OFFSET(TblConstr[[#This Row],[Plain]],-1,0)+TblConstr[[#This Row],[Ch_Plain]]</f>
        <v>40</v>
      </c>
      <c r="H84" s="184">
        <f ca="1">OFFSET(TblConstr[[#This Row],[Forest]],-1,0)+TblConstr[[#This Row],[Ch_Forest]]</f>
        <v>20</v>
      </c>
      <c r="I84" s="384">
        <f ca="1">OFFSET(TblConstr[[#This Row],[Mountain]],-1,0)+TblConstr[[#This Row],[Ch_Mountain]]</f>
        <v>20</v>
      </c>
      <c r="J84" s="388">
        <f ca="1">OFFSET(TblConstr[[#This Row],[Hill]],-1,0)+TblConstr[[#This Row],[Ch_Hill]]</f>
        <v>20</v>
      </c>
      <c r="K84" s="392">
        <f ca="1">OFFSET(TblConstr[[#This Row],[Swamp]],-1,0)+TblConstr[[#This Row],[Ch_Swamp]]</f>
        <v>20</v>
      </c>
      <c r="L84" s="187">
        <f ca="1">OFFSET(TblConstr[[#This Row],[Cavern]],-1,0)+TblConstr[[#This Row],[Ch_Cavern]]</f>
        <v>20</v>
      </c>
      <c r="M84" s="188">
        <f ca="1">OFFSET(TblConstr[[#This Row],[Water]],-1,0)+TblConstr[[#This Row],[Ch_Water]]</f>
        <v>20</v>
      </c>
      <c r="N84" s="382">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45735.333333333139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559758</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6">
        <f ca="1">ROUNDDOWN( MAX(1 - MIN(facs_constr_factor*TblConstr[[#This Row],[Facs -DB]],facs_constr_max) + tech_1_11*TblTech[[#This Row],[11-1]] + tech_6_3_2*TblTech[[#This Row],[6-3]] + tech_5_2_3*TblTech[[#This Row],[5-2]], 1-global_constr_cap) * TblConstr[[#This Row],[RCPA Lumber]],0)</f>
        <v>88</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6">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ROUND((TblConstr[[#This Row],[Land]]-250 - IF(TblExplore[[#This Row],[Land Bonus]]&lt;&gt;0,20,0))*1.25 + 850 + 0,0)</f>
        <v>850</v>
      </c>
      <c r="AW84" s="96">
        <f ca="1">ROUND((TblConstr[[#This Row],[Land]]-250 - IF(TblExplore[[#This Row],[Land Bonus]]&lt;&gt;0,20,0))*0.285 + 87.5 + 0/4.25,0)</f>
        <v>88</v>
      </c>
      <c r="AX84" s="156"/>
      <c r="AY84" s="190" cm="1">
        <f t="array" aca="1" ref="AY84" ca="1">IF(TblConstr[[#This Row],[Hour]:[Hour]]&gt;12,OFFSET(TblConstr[[#This Row],[Hom]],-12,0),0)+OFFSET(TblConstr[[#This Row],[Tot Hom]],-1,0)-TblConstr[[#This Row],[Dest Hom]]</f>
        <v>10</v>
      </c>
      <c r="AZ84" s="191" cm="1">
        <f t="array" aca="1" ref="AZ84" ca="1">IF(TblConstr[[#This Row],[Hour]:[Hour]]&gt;12,OFFSET(TblConstr[[#This Row],[Alc]],-12,0),0)+OFFSET(TblConstr[[#This Row],[Tot Alc]],-1,0)-TblConstr[[#This Row],[Dest Alc]]</f>
        <v>30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86" cm="1">
        <f t="array" aca="1" ref="BF84" ca="1">IF(TblConstr[[#This Row],[Hour]:[Hour]]&gt;12,OFFSET(TblConstr[[#This Row],[OM]],-12,0),0)+OFFSET(TblConstr[[#This Row],[Tot OM]],-1,0)-TblConstr[[#This Row],[Dest OM]]</f>
        <v>0</v>
      </c>
      <c r="BG84" s="386" cm="1">
        <f t="array" aca="1" ref="BG84" ca="1">IF(TblConstr[[#This Row],[Hour]:[Hour]]&gt;12,OFFSET(TblConstr[[#This Row],[GN]],-12,0),0)+OFFSET(TblConstr[[#This Row],[Tot GN]],-1,0)-TblConstr[[#This Row],[Dest GN]]</f>
        <v>0</v>
      </c>
      <c r="BH84" s="390" cm="1">
        <f t="array" aca="1" ref="BH84" ca="1">IF(TblConstr[[#This Row],[Hour]:[Hour]]&gt;12,OFFSET(TblConstr[[#This Row],[Fac]],-12,0),0)+OFFSET(TblConstr[[#This Row],[Tot Fac]],-1,0)-TblConstr[[#This Row],[Dest Fac]]</f>
        <v>0</v>
      </c>
      <c r="BI84" s="390" cm="1">
        <f t="array" aca="1" ref="BI84" ca="1">IF(TblConstr[[#This Row],[Hour]:[Hour]]&gt;12,OFFSET(TblConstr[[#This Row],[GT]],-12,0),0)+OFFSET(TblConstr[[#This Row],[Tot GT]],-1,0)-TblConstr[[#This Row],[Dest GT]]</f>
        <v>0</v>
      </c>
      <c r="BJ84" s="390" cm="1">
        <f t="array" aca="1" ref="BJ84" ca="1">IF(TblConstr[[#This Row],[Hour]:[Hour]]&gt;12,OFFSET(TblConstr[[#This Row],[Bar]],-12,0),0)+OFFSET(TblConstr[[#This Row],[Tot Bar]],-1,0)-TblConstr[[#This Row],[Dest Bar]]</f>
        <v>0</v>
      </c>
      <c r="BK84" s="390" cm="1">
        <f t="array" aca="1" ref="BK84" ca="1">IF(TblConstr[[#This Row],[Hour]:[Hour]]&gt;12,OFFSET(TblConstr[[#This Row],[Shr]],-12,0),0)+OFFSET(TblConstr[[#This Row],[Tot Shr]],-1,0)-TblConstr[[#This Row],[Dest Shr]]</f>
        <v>0</v>
      </c>
      <c r="BL84" s="394" cm="1">
        <f t="array" aca="1" ref="BL84" ca="1">IF(TblConstr[[#This Row],[Hour]:[Hour]]&gt;12,OFFSET(TblConstr[[#This Row],[Tow]],-12,0),0)+OFFSET(TblConstr[[#This Row],[Tot Tow]],-1,0)-TblConstr[[#This Row],[Dest Tow]]</f>
        <v>0</v>
      </c>
      <c r="BM84" s="394" cm="1">
        <f t="array" aca="1" ref="BM84" ca="1">IF(TblConstr[[#This Row],[Hour]:[Hour]]&gt;12,OFFSET(TblConstr[[#This Row],[Tem]],-12,0),0)+OFFSET(TblConstr[[#This Row],[Tot Tem]],-1,0)-TblConstr[[#This Row],[Dest Tem]]</f>
        <v>0</v>
      </c>
      <c r="BN84" s="394"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250</v>
      </c>
      <c r="BU84" s="161">
        <f ca="1">TblImps[[#This Row],[Time]]</f>
        <v>45735.333333333139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84">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100</v>
      </c>
      <c r="DA84" s="96">
        <f t="shared" ca="1" si="24"/>
        <v>40</v>
      </c>
      <c r="DB84" s="45">
        <f t="shared" ca="1" si="25"/>
        <v>20</v>
      </c>
      <c r="DC84" s="96">
        <f t="shared" ca="1" si="26"/>
        <v>20</v>
      </c>
      <c r="DD84" s="96">
        <f t="shared" ca="1" si="27"/>
        <v>20</v>
      </c>
      <c r="DE84" s="45">
        <f t="shared" ca="1" si="28"/>
        <v>20</v>
      </c>
      <c r="DF84" s="96">
        <f t="shared" ca="1" si="29"/>
        <v>20</v>
      </c>
      <c r="DG84" s="96"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7">
        <f>TblRezone[[#This Row],[Hour]]</f>
        <v>82</v>
      </c>
      <c r="B85" s="178">
        <f ca="1">SUM(TblConstr[[#This Row],[Plain]:[Water]])</f>
        <v>160</v>
      </c>
      <c r="C85" s="179">
        <f ca="1">SUM(TblConstr[[#This Row],[Tot Hom]:[Tot Doc]])</f>
        <v>90</v>
      </c>
      <c r="D85" s="179">
        <f t="shared" si="21"/>
        <v>0</v>
      </c>
      <c r="E85" s="180"/>
      <c r="F85" s="61">
        <f ca="1">TblConstr[[#This Row],[Barren]]+TblConstr[[#This Row],[Buildings]]+TblConstr[[#This Row],[Incoming]]</f>
        <v>250</v>
      </c>
      <c r="G85" s="189">
        <f ca="1">OFFSET(TblConstr[[#This Row],[Plain]],-1,0)+TblConstr[[#This Row],[Ch_Plain]]</f>
        <v>40</v>
      </c>
      <c r="H85" s="184">
        <f ca="1">OFFSET(TblConstr[[#This Row],[Forest]],-1,0)+TblConstr[[#This Row],[Ch_Forest]]</f>
        <v>20</v>
      </c>
      <c r="I85" s="384">
        <f ca="1">OFFSET(TblConstr[[#This Row],[Mountain]],-1,0)+TblConstr[[#This Row],[Ch_Mountain]]</f>
        <v>20</v>
      </c>
      <c r="J85" s="388">
        <f ca="1">OFFSET(TblConstr[[#This Row],[Hill]],-1,0)+TblConstr[[#This Row],[Ch_Hill]]</f>
        <v>20</v>
      </c>
      <c r="K85" s="392">
        <f ca="1">OFFSET(TblConstr[[#This Row],[Swamp]],-1,0)+TblConstr[[#This Row],[Ch_Swamp]]</f>
        <v>20</v>
      </c>
      <c r="L85" s="187">
        <f ca="1">OFFSET(TblConstr[[#This Row],[Cavern]],-1,0)+TblConstr[[#This Row],[Ch_Cavern]]</f>
        <v>20</v>
      </c>
      <c r="M85" s="188">
        <f ca="1">OFFSET(TblConstr[[#This Row],[Water]],-1,0)+TblConstr[[#This Row],[Ch_Water]]</f>
        <v>20</v>
      </c>
      <c r="N85" s="382">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45735.374999999804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565244</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6">
        <f ca="1">ROUNDDOWN( MAX(1 - MIN(facs_constr_factor*TblConstr[[#This Row],[Facs -DB]],facs_constr_max) + tech_1_11*TblTech[[#This Row],[11-1]] + tech_6_3_2*TblTech[[#This Row],[6-3]] + tech_5_2_3*TblTech[[#This Row],[5-2]], 1-global_constr_cap) * TblConstr[[#This Row],[RCPA Lumber]],0)</f>
        <v>88</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6">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ROUND((TblConstr[[#This Row],[Land]]-250 - IF(TblExplore[[#This Row],[Land Bonus]]&lt;&gt;0,20,0))*1.25 + 850 + 0,0)</f>
        <v>850</v>
      </c>
      <c r="AW85" s="96">
        <f ca="1">ROUND((TblConstr[[#This Row],[Land]]-250 - IF(TblExplore[[#This Row],[Land Bonus]]&lt;&gt;0,20,0))*0.285 + 87.5 + 0/4.25,0)</f>
        <v>88</v>
      </c>
      <c r="AX85" s="156"/>
      <c r="AY85" s="190" cm="1">
        <f t="array" aca="1" ref="AY85" ca="1">IF(TblConstr[[#This Row],[Hour]:[Hour]]&gt;12,OFFSET(TblConstr[[#This Row],[Hom]],-12,0),0)+OFFSET(TblConstr[[#This Row],[Tot Hom]],-1,0)-TblConstr[[#This Row],[Dest Hom]]</f>
        <v>10</v>
      </c>
      <c r="AZ85" s="191" cm="1">
        <f t="array" aca="1" ref="AZ85" ca="1">IF(TblConstr[[#This Row],[Hour]:[Hour]]&gt;12,OFFSET(TblConstr[[#This Row],[Alc]],-12,0),0)+OFFSET(TblConstr[[#This Row],[Tot Alc]],-1,0)-TblConstr[[#This Row],[Dest Alc]]</f>
        <v>30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86" cm="1">
        <f t="array" aca="1" ref="BF85" ca="1">IF(TblConstr[[#This Row],[Hour]:[Hour]]&gt;12,OFFSET(TblConstr[[#This Row],[OM]],-12,0),0)+OFFSET(TblConstr[[#This Row],[Tot OM]],-1,0)-TblConstr[[#This Row],[Dest OM]]</f>
        <v>0</v>
      </c>
      <c r="BG85" s="386" cm="1">
        <f t="array" aca="1" ref="BG85" ca="1">IF(TblConstr[[#This Row],[Hour]:[Hour]]&gt;12,OFFSET(TblConstr[[#This Row],[GN]],-12,0),0)+OFFSET(TblConstr[[#This Row],[Tot GN]],-1,0)-TblConstr[[#This Row],[Dest GN]]</f>
        <v>0</v>
      </c>
      <c r="BH85" s="390" cm="1">
        <f t="array" aca="1" ref="BH85" ca="1">IF(TblConstr[[#This Row],[Hour]:[Hour]]&gt;12,OFFSET(TblConstr[[#This Row],[Fac]],-12,0),0)+OFFSET(TblConstr[[#This Row],[Tot Fac]],-1,0)-TblConstr[[#This Row],[Dest Fac]]</f>
        <v>0</v>
      </c>
      <c r="BI85" s="390" cm="1">
        <f t="array" aca="1" ref="BI85" ca="1">IF(TblConstr[[#This Row],[Hour]:[Hour]]&gt;12,OFFSET(TblConstr[[#This Row],[GT]],-12,0),0)+OFFSET(TblConstr[[#This Row],[Tot GT]],-1,0)-TblConstr[[#This Row],[Dest GT]]</f>
        <v>0</v>
      </c>
      <c r="BJ85" s="390" cm="1">
        <f t="array" aca="1" ref="BJ85" ca="1">IF(TblConstr[[#This Row],[Hour]:[Hour]]&gt;12,OFFSET(TblConstr[[#This Row],[Bar]],-12,0),0)+OFFSET(TblConstr[[#This Row],[Tot Bar]],-1,0)-TblConstr[[#This Row],[Dest Bar]]</f>
        <v>0</v>
      </c>
      <c r="BK85" s="390" cm="1">
        <f t="array" aca="1" ref="BK85" ca="1">IF(TblConstr[[#This Row],[Hour]:[Hour]]&gt;12,OFFSET(TblConstr[[#This Row],[Shr]],-12,0),0)+OFFSET(TblConstr[[#This Row],[Tot Shr]],-1,0)-TblConstr[[#This Row],[Dest Shr]]</f>
        <v>0</v>
      </c>
      <c r="BL85" s="394" cm="1">
        <f t="array" aca="1" ref="BL85" ca="1">IF(TblConstr[[#This Row],[Hour]:[Hour]]&gt;12,OFFSET(TblConstr[[#This Row],[Tow]],-12,0),0)+OFFSET(TblConstr[[#This Row],[Tot Tow]],-1,0)-TblConstr[[#This Row],[Dest Tow]]</f>
        <v>0</v>
      </c>
      <c r="BM85" s="394" cm="1">
        <f t="array" aca="1" ref="BM85" ca="1">IF(TblConstr[[#This Row],[Hour]:[Hour]]&gt;12,OFFSET(TblConstr[[#This Row],[Tem]],-12,0),0)+OFFSET(TblConstr[[#This Row],[Tot Tem]],-1,0)-TblConstr[[#This Row],[Dest Tem]]</f>
        <v>0</v>
      </c>
      <c r="BN85" s="394"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250</v>
      </c>
      <c r="BU85" s="161">
        <f ca="1">TblImps[[#This Row],[Time]]</f>
        <v>45735.374999999804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84">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100</v>
      </c>
      <c r="DA85" s="96">
        <f t="shared" ca="1" si="24"/>
        <v>40</v>
      </c>
      <c r="DB85" s="45">
        <f t="shared" ca="1" si="25"/>
        <v>20</v>
      </c>
      <c r="DC85" s="96">
        <f t="shared" ca="1" si="26"/>
        <v>20</v>
      </c>
      <c r="DD85" s="96">
        <f t="shared" ca="1" si="27"/>
        <v>20</v>
      </c>
      <c r="DE85" s="45">
        <f t="shared" ca="1" si="28"/>
        <v>20</v>
      </c>
      <c r="DF85" s="96">
        <f t="shared" ca="1" si="29"/>
        <v>20</v>
      </c>
      <c r="DG85" s="96"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7">
        <f>TblRezone[[#This Row],[Hour]]</f>
        <v>83</v>
      </c>
      <c r="B86" s="178">
        <f ca="1">SUM(TblConstr[[#This Row],[Plain]:[Water]])</f>
        <v>160</v>
      </c>
      <c r="C86" s="179">
        <f ca="1">SUM(TblConstr[[#This Row],[Tot Hom]:[Tot Doc]])</f>
        <v>90</v>
      </c>
      <c r="D86" s="179">
        <f t="shared" si="21"/>
        <v>0</v>
      </c>
      <c r="E86" s="180"/>
      <c r="F86" s="61">
        <f ca="1">TblConstr[[#This Row],[Barren]]+TblConstr[[#This Row],[Buildings]]+TblConstr[[#This Row],[Incoming]]</f>
        <v>250</v>
      </c>
      <c r="G86" s="189">
        <f ca="1">OFFSET(TblConstr[[#This Row],[Plain]],-1,0)+TblConstr[[#This Row],[Ch_Plain]]</f>
        <v>40</v>
      </c>
      <c r="H86" s="184">
        <f ca="1">OFFSET(TblConstr[[#This Row],[Forest]],-1,0)+TblConstr[[#This Row],[Ch_Forest]]</f>
        <v>20</v>
      </c>
      <c r="I86" s="384">
        <f ca="1">OFFSET(TblConstr[[#This Row],[Mountain]],-1,0)+TblConstr[[#This Row],[Ch_Mountain]]</f>
        <v>20</v>
      </c>
      <c r="J86" s="388">
        <f ca="1">OFFSET(TblConstr[[#This Row],[Hill]],-1,0)+TblConstr[[#This Row],[Ch_Hill]]</f>
        <v>20</v>
      </c>
      <c r="K86" s="392">
        <f ca="1">OFFSET(TblConstr[[#This Row],[Swamp]],-1,0)+TblConstr[[#This Row],[Ch_Swamp]]</f>
        <v>20</v>
      </c>
      <c r="L86" s="187">
        <f ca="1">OFFSET(TblConstr[[#This Row],[Cavern]],-1,0)+TblConstr[[#This Row],[Ch_Cavern]]</f>
        <v>20</v>
      </c>
      <c r="M86" s="188">
        <f ca="1">OFFSET(TblConstr[[#This Row],[Water]],-1,0)+TblConstr[[#This Row],[Ch_Water]]</f>
        <v>20</v>
      </c>
      <c r="N86" s="382">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45735.416666666468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570730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6">
        <f ca="1">ROUNDDOWN( MAX(1 - MIN(facs_constr_factor*TblConstr[[#This Row],[Facs -DB]],facs_constr_max) + tech_1_11*TblTech[[#This Row],[11-1]] + tech_6_3_2*TblTech[[#This Row],[6-3]] + tech_5_2_3*TblTech[[#This Row],[5-2]], 1-global_constr_cap) * TblConstr[[#This Row],[RCPA Lumber]],0)</f>
        <v>88</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6">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ROUND((TblConstr[[#This Row],[Land]]-250 - IF(TblExplore[[#This Row],[Land Bonus]]&lt;&gt;0,20,0))*1.25 + 850 + 0,0)</f>
        <v>850</v>
      </c>
      <c r="AW86" s="96">
        <f ca="1">ROUND((TblConstr[[#This Row],[Land]]-250 - IF(TblExplore[[#This Row],[Land Bonus]]&lt;&gt;0,20,0))*0.285 + 87.5 + 0/4.25,0)</f>
        <v>88</v>
      </c>
      <c r="AX86" s="156"/>
      <c r="AY86" s="190" cm="1">
        <f t="array" aca="1" ref="AY86" ca="1">IF(TblConstr[[#This Row],[Hour]:[Hour]]&gt;12,OFFSET(TblConstr[[#This Row],[Hom]],-12,0),0)+OFFSET(TblConstr[[#This Row],[Tot Hom]],-1,0)-TblConstr[[#This Row],[Dest Hom]]</f>
        <v>10</v>
      </c>
      <c r="AZ86" s="191" cm="1">
        <f t="array" aca="1" ref="AZ86" ca="1">IF(TblConstr[[#This Row],[Hour]:[Hour]]&gt;12,OFFSET(TblConstr[[#This Row],[Alc]],-12,0),0)+OFFSET(TblConstr[[#This Row],[Tot Alc]],-1,0)-TblConstr[[#This Row],[Dest Alc]]</f>
        <v>30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86" cm="1">
        <f t="array" aca="1" ref="BF86" ca="1">IF(TblConstr[[#This Row],[Hour]:[Hour]]&gt;12,OFFSET(TblConstr[[#This Row],[OM]],-12,0),0)+OFFSET(TblConstr[[#This Row],[Tot OM]],-1,0)-TblConstr[[#This Row],[Dest OM]]</f>
        <v>0</v>
      </c>
      <c r="BG86" s="386" cm="1">
        <f t="array" aca="1" ref="BG86" ca="1">IF(TblConstr[[#This Row],[Hour]:[Hour]]&gt;12,OFFSET(TblConstr[[#This Row],[GN]],-12,0),0)+OFFSET(TblConstr[[#This Row],[Tot GN]],-1,0)-TblConstr[[#This Row],[Dest GN]]</f>
        <v>0</v>
      </c>
      <c r="BH86" s="390" cm="1">
        <f t="array" aca="1" ref="BH86" ca="1">IF(TblConstr[[#This Row],[Hour]:[Hour]]&gt;12,OFFSET(TblConstr[[#This Row],[Fac]],-12,0),0)+OFFSET(TblConstr[[#This Row],[Tot Fac]],-1,0)-TblConstr[[#This Row],[Dest Fac]]</f>
        <v>0</v>
      </c>
      <c r="BI86" s="390" cm="1">
        <f t="array" aca="1" ref="BI86" ca="1">IF(TblConstr[[#This Row],[Hour]:[Hour]]&gt;12,OFFSET(TblConstr[[#This Row],[GT]],-12,0),0)+OFFSET(TblConstr[[#This Row],[Tot GT]],-1,0)-TblConstr[[#This Row],[Dest GT]]</f>
        <v>0</v>
      </c>
      <c r="BJ86" s="390" cm="1">
        <f t="array" aca="1" ref="BJ86" ca="1">IF(TblConstr[[#This Row],[Hour]:[Hour]]&gt;12,OFFSET(TblConstr[[#This Row],[Bar]],-12,0),0)+OFFSET(TblConstr[[#This Row],[Tot Bar]],-1,0)-TblConstr[[#This Row],[Dest Bar]]</f>
        <v>0</v>
      </c>
      <c r="BK86" s="390" cm="1">
        <f t="array" aca="1" ref="BK86" ca="1">IF(TblConstr[[#This Row],[Hour]:[Hour]]&gt;12,OFFSET(TblConstr[[#This Row],[Shr]],-12,0),0)+OFFSET(TblConstr[[#This Row],[Tot Shr]],-1,0)-TblConstr[[#This Row],[Dest Shr]]</f>
        <v>0</v>
      </c>
      <c r="BL86" s="394" cm="1">
        <f t="array" aca="1" ref="BL86" ca="1">IF(TblConstr[[#This Row],[Hour]:[Hour]]&gt;12,OFFSET(TblConstr[[#This Row],[Tow]],-12,0),0)+OFFSET(TblConstr[[#This Row],[Tot Tow]],-1,0)-TblConstr[[#This Row],[Dest Tow]]</f>
        <v>0</v>
      </c>
      <c r="BM86" s="394" cm="1">
        <f t="array" aca="1" ref="BM86" ca="1">IF(TblConstr[[#This Row],[Hour]:[Hour]]&gt;12,OFFSET(TblConstr[[#This Row],[Tem]],-12,0),0)+OFFSET(TblConstr[[#This Row],[Tot Tem]],-1,0)-TblConstr[[#This Row],[Dest Tem]]</f>
        <v>0</v>
      </c>
      <c r="BN86" s="394"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250</v>
      </c>
      <c r="BU86" s="161">
        <f ca="1">TblImps[[#This Row],[Time]]</f>
        <v>45735.416666666468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84">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100</v>
      </c>
      <c r="DA86" s="96">
        <f t="shared" ca="1" si="24"/>
        <v>40</v>
      </c>
      <c r="DB86" s="45">
        <f t="shared" ca="1" si="25"/>
        <v>20</v>
      </c>
      <c r="DC86" s="96">
        <f t="shared" ca="1" si="26"/>
        <v>20</v>
      </c>
      <c r="DD86" s="96">
        <f t="shared" ca="1" si="27"/>
        <v>20</v>
      </c>
      <c r="DE86" s="45">
        <f t="shared" ca="1" si="28"/>
        <v>20</v>
      </c>
      <c r="DF86" s="96">
        <f t="shared" ca="1" si="29"/>
        <v>20</v>
      </c>
      <c r="DG86" s="96"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7">
        <f>TblRezone[[#This Row],[Hour]]</f>
        <v>84</v>
      </c>
      <c r="B87" s="178">
        <f ca="1">SUM(TblConstr[[#This Row],[Plain]:[Water]])</f>
        <v>160</v>
      </c>
      <c r="C87" s="179">
        <f ca="1">SUM(TblConstr[[#This Row],[Tot Hom]:[Tot Doc]])</f>
        <v>90</v>
      </c>
      <c r="D87" s="179">
        <f t="shared" si="21"/>
        <v>0</v>
      </c>
      <c r="E87" s="180"/>
      <c r="F87" s="61">
        <f ca="1">TblConstr[[#This Row],[Barren]]+TblConstr[[#This Row],[Buildings]]+TblConstr[[#This Row],[Incoming]]</f>
        <v>250</v>
      </c>
      <c r="G87" s="189">
        <f ca="1">OFFSET(TblConstr[[#This Row],[Plain]],-1,0)+TblConstr[[#This Row],[Ch_Plain]]</f>
        <v>40</v>
      </c>
      <c r="H87" s="184">
        <f ca="1">OFFSET(TblConstr[[#This Row],[Forest]],-1,0)+TblConstr[[#This Row],[Ch_Forest]]</f>
        <v>20</v>
      </c>
      <c r="I87" s="384">
        <f ca="1">OFFSET(TblConstr[[#This Row],[Mountain]],-1,0)+TblConstr[[#This Row],[Ch_Mountain]]</f>
        <v>20</v>
      </c>
      <c r="J87" s="388">
        <f ca="1">OFFSET(TblConstr[[#This Row],[Hill]],-1,0)+TblConstr[[#This Row],[Ch_Hill]]</f>
        <v>20</v>
      </c>
      <c r="K87" s="392">
        <f ca="1">OFFSET(TblConstr[[#This Row],[Swamp]],-1,0)+TblConstr[[#This Row],[Ch_Swamp]]</f>
        <v>20</v>
      </c>
      <c r="L87" s="187">
        <f ca="1">OFFSET(TblConstr[[#This Row],[Cavern]],-1,0)+TblConstr[[#This Row],[Ch_Cavern]]</f>
        <v>20</v>
      </c>
      <c r="M87" s="188">
        <f ca="1">OFFSET(TblConstr[[#This Row],[Water]],-1,0)+TblConstr[[#This Row],[Ch_Water]]</f>
        <v>20</v>
      </c>
      <c r="N87" s="382">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45735.458333333132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576216</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6">
        <f ca="1">ROUNDDOWN( MAX(1 - MIN(facs_constr_factor*TblConstr[[#This Row],[Facs -DB]],facs_constr_max) + tech_1_11*TblTech[[#This Row],[11-1]] + tech_6_3_2*TblTech[[#This Row],[6-3]] + tech_5_2_3*TblTech[[#This Row],[5-2]], 1-global_constr_cap) * TblConstr[[#This Row],[RCPA Lumber]],0)</f>
        <v>88</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6">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ROUND((TblConstr[[#This Row],[Land]]-250 - IF(TblExplore[[#This Row],[Land Bonus]]&lt;&gt;0,20,0))*1.25 + 850 + 0,0)</f>
        <v>850</v>
      </c>
      <c r="AW87" s="96">
        <f ca="1">ROUND((TblConstr[[#This Row],[Land]]-250 - IF(TblExplore[[#This Row],[Land Bonus]]&lt;&gt;0,20,0))*0.285 + 87.5 + 0/4.25,0)</f>
        <v>88</v>
      </c>
      <c r="AX87" s="156"/>
      <c r="AY87" s="190" cm="1">
        <f t="array" aca="1" ref="AY87" ca="1">IF(TblConstr[[#This Row],[Hour]:[Hour]]&gt;12,OFFSET(TblConstr[[#This Row],[Hom]],-12,0),0)+OFFSET(TblConstr[[#This Row],[Tot Hom]],-1,0)-TblConstr[[#This Row],[Dest Hom]]</f>
        <v>10</v>
      </c>
      <c r="AZ87" s="191" cm="1">
        <f t="array" aca="1" ref="AZ87" ca="1">IF(TblConstr[[#This Row],[Hour]:[Hour]]&gt;12,OFFSET(TblConstr[[#This Row],[Alc]],-12,0),0)+OFFSET(TblConstr[[#This Row],[Tot Alc]],-1,0)-TblConstr[[#This Row],[Dest Alc]]</f>
        <v>30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86" cm="1">
        <f t="array" aca="1" ref="BF87" ca="1">IF(TblConstr[[#This Row],[Hour]:[Hour]]&gt;12,OFFSET(TblConstr[[#This Row],[OM]],-12,0),0)+OFFSET(TblConstr[[#This Row],[Tot OM]],-1,0)-TblConstr[[#This Row],[Dest OM]]</f>
        <v>0</v>
      </c>
      <c r="BG87" s="386" cm="1">
        <f t="array" aca="1" ref="BG87" ca="1">IF(TblConstr[[#This Row],[Hour]:[Hour]]&gt;12,OFFSET(TblConstr[[#This Row],[GN]],-12,0),0)+OFFSET(TblConstr[[#This Row],[Tot GN]],-1,0)-TblConstr[[#This Row],[Dest GN]]</f>
        <v>0</v>
      </c>
      <c r="BH87" s="390" cm="1">
        <f t="array" aca="1" ref="BH87" ca="1">IF(TblConstr[[#This Row],[Hour]:[Hour]]&gt;12,OFFSET(TblConstr[[#This Row],[Fac]],-12,0),0)+OFFSET(TblConstr[[#This Row],[Tot Fac]],-1,0)-TblConstr[[#This Row],[Dest Fac]]</f>
        <v>0</v>
      </c>
      <c r="BI87" s="390" cm="1">
        <f t="array" aca="1" ref="BI87" ca="1">IF(TblConstr[[#This Row],[Hour]:[Hour]]&gt;12,OFFSET(TblConstr[[#This Row],[GT]],-12,0),0)+OFFSET(TblConstr[[#This Row],[Tot GT]],-1,0)-TblConstr[[#This Row],[Dest GT]]</f>
        <v>0</v>
      </c>
      <c r="BJ87" s="390" cm="1">
        <f t="array" aca="1" ref="BJ87" ca="1">IF(TblConstr[[#This Row],[Hour]:[Hour]]&gt;12,OFFSET(TblConstr[[#This Row],[Bar]],-12,0),0)+OFFSET(TblConstr[[#This Row],[Tot Bar]],-1,0)-TblConstr[[#This Row],[Dest Bar]]</f>
        <v>0</v>
      </c>
      <c r="BK87" s="390" cm="1">
        <f t="array" aca="1" ref="BK87" ca="1">IF(TblConstr[[#This Row],[Hour]:[Hour]]&gt;12,OFFSET(TblConstr[[#This Row],[Shr]],-12,0),0)+OFFSET(TblConstr[[#This Row],[Tot Shr]],-1,0)-TblConstr[[#This Row],[Dest Shr]]</f>
        <v>0</v>
      </c>
      <c r="BL87" s="394" cm="1">
        <f t="array" aca="1" ref="BL87" ca="1">IF(TblConstr[[#This Row],[Hour]:[Hour]]&gt;12,OFFSET(TblConstr[[#This Row],[Tow]],-12,0),0)+OFFSET(TblConstr[[#This Row],[Tot Tow]],-1,0)-TblConstr[[#This Row],[Dest Tow]]</f>
        <v>0</v>
      </c>
      <c r="BM87" s="394" cm="1">
        <f t="array" aca="1" ref="BM87" ca="1">IF(TblConstr[[#This Row],[Hour]:[Hour]]&gt;12,OFFSET(TblConstr[[#This Row],[Tem]],-12,0),0)+OFFSET(TblConstr[[#This Row],[Tot Tem]],-1,0)-TblConstr[[#This Row],[Dest Tem]]</f>
        <v>0</v>
      </c>
      <c r="BN87" s="394"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250</v>
      </c>
      <c r="BU87" s="161">
        <f ca="1">TblImps[[#This Row],[Time]]</f>
        <v>45735.458333333132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84">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100</v>
      </c>
      <c r="DA87" s="96">
        <f t="shared" ca="1" si="24"/>
        <v>40</v>
      </c>
      <c r="DB87" s="45">
        <f t="shared" ca="1" si="25"/>
        <v>20</v>
      </c>
      <c r="DC87" s="96">
        <f t="shared" ca="1" si="26"/>
        <v>20</v>
      </c>
      <c r="DD87" s="96">
        <f t="shared" ca="1" si="27"/>
        <v>20</v>
      </c>
      <c r="DE87" s="45">
        <f t="shared" ca="1" si="28"/>
        <v>20</v>
      </c>
      <c r="DF87" s="96">
        <f t="shared" ca="1" si="29"/>
        <v>20</v>
      </c>
      <c r="DG87" s="96"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7">
        <f>TblRezone[[#This Row],[Hour]]</f>
        <v>85</v>
      </c>
      <c r="B88" s="178">
        <f ca="1">SUM(TblConstr[[#This Row],[Plain]:[Water]])</f>
        <v>160</v>
      </c>
      <c r="C88" s="179">
        <f ca="1">SUM(TblConstr[[#This Row],[Tot Hom]:[Tot Doc]])</f>
        <v>90</v>
      </c>
      <c r="D88" s="179">
        <f t="shared" si="21"/>
        <v>0</v>
      </c>
      <c r="E88" s="180"/>
      <c r="F88" s="61">
        <f ca="1">TblConstr[[#This Row],[Barren]]+TblConstr[[#This Row],[Buildings]]+TblConstr[[#This Row],[Incoming]]</f>
        <v>250</v>
      </c>
      <c r="G88" s="189">
        <f ca="1">OFFSET(TblConstr[[#This Row],[Plain]],-1,0)+TblConstr[[#This Row],[Ch_Plain]]</f>
        <v>40</v>
      </c>
      <c r="H88" s="184">
        <f ca="1">OFFSET(TblConstr[[#This Row],[Forest]],-1,0)+TblConstr[[#This Row],[Ch_Forest]]</f>
        <v>20</v>
      </c>
      <c r="I88" s="384">
        <f ca="1">OFFSET(TblConstr[[#This Row],[Mountain]],-1,0)+TblConstr[[#This Row],[Ch_Mountain]]</f>
        <v>20</v>
      </c>
      <c r="J88" s="388">
        <f ca="1">OFFSET(TblConstr[[#This Row],[Hill]],-1,0)+TblConstr[[#This Row],[Ch_Hill]]</f>
        <v>20</v>
      </c>
      <c r="K88" s="392">
        <f ca="1">OFFSET(TblConstr[[#This Row],[Swamp]],-1,0)+TblConstr[[#This Row],[Ch_Swamp]]</f>
        <v>20</v>
      </c>
      <c r="L88" s="187">
        <f ca="1">OFFSET(TblConstr[[#This Row],[Cavern]],-1,0)+TblConstr[[#This Row],[Ch_Cavern]]</f>
        <v>20</v>
      </c>
      <c r="M88" s="188">
        <f ca="1">OFFSET(TblConstr[[#This Row],[Water]],-1,0)+TblConstr[[#This Row],[Ch_Water]]</f>
        <v>20</v>
      </c>
      <c r="N88" s="382">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45735.499999999796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581702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6">
        <f ca="1">ROUNDDOWN( MAX(1 - MIN(facs_constr_factor*TblConstr[[#This Row],[Facs -DB]],facs_constr_max) + tech_1_11*TblTech[[#This Row],[11-1]] + tech_6_3_2*TblTech[[#This Row],[6-3]] + tech_5_2_3*TblTech[[#This Row],[5-2]], 1-global_constr_cap) * TblConstr[[#This Row],[RCPA Lumber]],0)</f>
        <v>88</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6">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ROUND((TblConstr[[#This Row],[Land]]-250 - IF(TblExplore[[#This Row],[Land Bonus]]&lt;&gt;0,20,0))*1.25 + 850 + 0,0)</f>
        <v>850</v>
      </c>
      <c r="AW88" s="96">
        <f ca="1">ROUND((TblConstr[[#This Row],[Land]]-250 - IF(TblExplore[[#This Row],[Land Bonus]]&lt;&gt;0,20,0))*0.285 + 87.5 + 0/4.25,0)</f>
        <v>88</v>
      </c>
      <c r="AX88" s="156"/>
      <c r="AY88" s="190" cm="1">
        <f t="array" aca="1" ref="AY88" ca="1">IF(TblConstr[[#This Row],[Hour]:[Hour]]&gt;12,OFFSET(TblConstr[[#This Row],[Hom]],-12,0),0)+OFFSET(TblConstr[[#This Row],[Tot Hom]],-1,0)-TblConstr[[#This Row],[Dest Hom]]</f>
        <v>10</v>
      </c>
      <c r="AZ88" s="191" cm="1">
        <f t="array" aca="1" ref="AZ88" ca="1">IF(TblConstr[[#This Row],[Hour]:[Hour]]&gt;12,OFFSET(TblConstr[[#This Row],[Alc]],-12,0),0)+OFFSET(TblConstr[[#This Row],[Tot Alc]],-1,0)-TblConstr[[#This Row],[Dest Alc]]</f>
        <v>30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86" cm="1">
        <f t="array" aca="1" ref="BF88" ca="1">IF(TblConstr[[#This Row],[Hour]:[Hour]]&gt;12,OFFSET(TblConstr[[#This Row],[OM]],-12,0),0)+OFFSET(TblConstr[[#This Row],[Tot OM]],-1,0)-TblConstr[[#This Row],[Dest OM]]</f>
        <v>0</v>
      </c>
      <c r="BG88" s="386" cm="1">
        <f t="array" aca="1" ref="BG88" ca="1">IF(TblConstr[[#This Row],[Hour]:[Hour]]&gt;12,OFFSET(TblConstr[[#This Row],[GN]],-12,0),0)+OFFSET(TblConstr[[#This Row],[Tot GN]],-1,0)-TblConstr[[#This Row],[Dest GN]]</f>
        <v>0</v>
      </c>
      <c r="BH88" s="390" cm="1">
        <f t="array" aca="1" ref="BH88" ca="1">IF(TblConstr[[#This Row],[Hour]:[Hour]]&gt;12,OFFSET(TblConstr[[#This Row],[Fac]],-12,0),0)+OFFSET(TblConstr[[#This Row],[Tot Fac]],-1,0)-TblConstr[[#This Row],[Dest Fac]]</f>
        <v>0</v>
      </c>
      <c r="BI88" s="390" cm="1">
        <f t="array" aca="1" ref="BI88" ca="1">IF(TblConstr[[#This Row],[Hour]:[Hour]]&gt;12,OFFSET(TblConstr[[#This Row],[GT]],-12,0),0)+OFFSET(TblConstr[[#This Row],[Tot GT]],-1,0)-TblConstr[[#This Row],[Dest GT]]</f>
        <v>0</v>
      </c>
      <c r="BJ88" s="390" cm="1">
        <f t="array" aca="1" ref="BJ88" ca="1">IF(TblConstr[[#This Row],[Hour]:[Hour]]&gt;12,OFFSET(TblConstr[[#This Row],[Bar]],-12,0),0)+OFFSET(TblConstr[[#This Row],[Tot Bar]],-1,0)-TblConstr[[#This Row],[Dest Bar]]</f>
        <v>0</v>
      </c>
      <c r="BK88" s="390" cm="1">
        <f t="array" aca="1" ref="BK88" ca="1">IF(TblConstr[[#This Row],[Hour]:[Hour]]&gt;12,OFFSET(TblConstr[[#This Row],[Shr]],-12,0),0)+OFFSET(TblConstr[[#This Row],[Tot Shr]],-1,0)-TblConstr[[#This Row],[Dest Shr]]</f>
        <v>0</v>
      </c>
      <c r="BL88" s="394" cm="1">
        <f t="array" aca="1" ref="BL88" ca="1">IF(TblConstr[[#This Row],[Hour]:[Hour]]&gt;12,OFFSET(TblConstr[[#This Row],[Tow]],-12,0),0)+OFFSET(TblConstr[[#This Row],[Tot Tow]],-1,0)-TblConstr[[#This Row],[Dest Tow]]</f>
        <v>0</v>
      </c>
      <c r="BM88" s="394" cm="1">
        <f t="array" aca="1" ref="BM88" ca="1">IF(TblConstr[[#This Row],[Hour]:[Hour]]&gt;12,OFFSET(TblConstr[[#This Row],[Tem]],-12,0),0)+OFFSET(TblConstr[[#This Row],[Tot Tem]],-1,0)-TblConstr[[#This Row],[Dest Tem]]</f>
        <v>0</v>
      </c>
      <c r="BN88" s="394"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250</v>
      </c>
      <c r="BU88" s="161">
        <f ca="1">TblImps[[#This Row],[Time]]</f>
        <v>45735.499999999796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84">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100</v>
      </c>
      <c r="DA88" s="96">
        <f t="shared" ca="1" si="24"/>
        <v>40</v>
      </c>
      <c r="DB88" s="45">
        <f t="shared" ca="1" si="25"/>
        <v>20</v>
      </c>
      <c r="DC88" s="96">
        <f t="shared" ca="1" si="26"/>
        <v>20</v>
      </c>
      <c r="DD88" s="96">
        <f t="shared" ca="1" si="27"/>
        <v>20</v>
      </c>
      <c r="DE88" s="45">
        <f t="shared" ca="1" si="28"/>
        <v>20</v>
      </c>
      <c r="DF88" s="96">
        <f t="shared" ca="1" si="29"/>
        <v>20</v>
      </c>
      <c r="DG88" s="96"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7">
        <f>TblRezone[[#This Row],[Hour]]</f>
        <v>86</v>
      </c>
      <c r="B89" s="178">
        <f ca="1">SUM(TblConstr[[#This Row],[Plain]:[Water]])</f>
        <v>160</v>
      </c>
      <c r="C89" s="179">
        <f ca="1">SUM(TblConstr[[#This Row],[Tot Hom]:[Tot Doc]])</f>
        <v>90</v>
      </c>
      <c r="D89" s="179">
        <f t="shared" si="21"/>
        <v>0</v>
      </c>
      <c r="E89" s="180"/>
      <c r="F89" s="61">
        <f ca="1">TblConstr[[#This Row],[Barren]]+TblConstr[[#This Row],[Buildings]]+TblConstr[[#This Row],[Incoming]]</f>
        <v>250</v>
      </c>
      <c r="G89" s="189">
        <f ca="1">OFFSET(TblConstr[[#This Row],[Plain]],-1,0)+TblConstr[[#This Row],[Ch_Plain]]</f>
        <v>40</v>
      </c>
      <c r="H89" s="184">
        <f ca="1">OFFSET(TblConstr[[#This Row],[Forest]],-1,0)+TblConstr[[#This Row],[Ch_Forest]]</f>
        <v>20</v>
      </c>
      <c r="I89" s="384">
        <f ca="1">OFFSET(TblConstr[[#This Row],[Mountain]],-1,0)+TblConstr[[#This Row],[Ch_Mountain]]</f>
        <v>20</v>
      </c>
      <c r="J89" s="388">
        <f ca="1">OFFSET(TblConstr[[#This Row],[Hill]],-1,0)+TblConstr[[#This Row],[Ch_Hill]]</f>
        <v>20</v>
      </c>
      <c r="K89" s="392">
        <f ca="1">OFFSET(TblConstr[[#This Row],[Swamp]],-1,0)+TblConstr[[#This Row],[Ch_Swamp]]</f>
        <v>20</v>
      </c>
      <c r="L89" s="187">
        <f ca="1">OFFSET(TblConstr[[#This Row],[Cavern]],-1,0)+TblConstr[[#This Row],[Ch_Cavern]]</f>
        <v>20</v>
      </c>
      <c r="M89" s="188">
        <f ca="1">OFFSET(TblConstr[[#This Row],[Water]],-1,0)+TblConstr[[#This Row],[Ch_Water]]</f>
        <v>20</v>
      </c>
      <c r="N89" s="382">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45735.541666666461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587188</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6">
        <f ca="1">ROUNDDOWN( MAX(1 - MIN(facs_constr_factor*TblConstr[[#This Row],[Facs -DB]],facs_constr_max) + tech_1_11*TblTech[[#This Row],[11-1]] + tech_6_3_2*TblTech[[#This Row],[6-3]] + tech_5_2_3*TblTech[[#This Row],[5-2]], 1-global_constr_cap) * TblConstr[[#This Row],[RCPA Lumber]],0)</f>
        <v>88</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6">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ROUND((TblConstr[[#This Row],[Land]]-250 - IF(TblExplore[[#This Row],[Land Bonus]]&lt;&gt;0,20,0))*1.25 + 850 + 0,0)</f>
        <v>850</v>
      </c>
      <c r="AW89" s="96">
        <f ca="1">ROUND((TblConstr[[#This Row],[Land]]-250 - IF(TblExplore[[#This Row],[Land Bonus]]&lt;&gt;0,20,0))*0.285 + 87.5 + 0/4.25,0)</f>
        <v>88</v>
      </c>
      <c r="AX89" s="156"/>
      <c r="AY89" s="190" cm="1">
        <f t="array" aca="1" ref="AY89" ca="1">IF(TblConstr[[#This Row],[Hour]:[Hour]]&gt;12,OFFSET(TblConstr[[#This Row],[Hom]],-12,0),0)+OFFSET(TblConstr[[#This Row],[Tot Hom]],-1,0)-TblConstr[[#This Row],[Dest Hom]]</f>
        <v>10</v>
      </c>
      <c r="AZ89" s="191" cm="1">
        <f t="array" aca="1" ref="AZ89" ca="1">IF(TblConstr[[#This Row],[Hour]:[Hour]]&gt;12,OFFSET(TblConstr[[#This Row],[Alc]],-12,0),0)+OFFSET(TblConstr[[#This Row],[Tot Alc]],-1,0)-TblConstr[[#This Row],[Dest Alc]]</f>
        <v>30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86" cm="1">
        <f t="array" aca="1" ref="BF89" ca="1">IF(TblConstr[[#This Row],[Hour]:[Hour]]&gt;12,OFFSET(TblConstr[[#This Row],[OM]],-12,0),0)+OFFSET(TblConstr[[#This Row],[Tot OM]],-1,0)-TblConstr[[#This Row],[Dest OM]]</f>
        <v>0</v>
      </c>
      <c r="BG89" s="386" cm="1">
        <f t="array" aca="1" ref="BG89" ca="1">IF(TblConstr[[#This Row],[Hour]:[Hour]]&gt;12,OFFSET(TblConstr[[#This Row],[GN]],-12,0),0)+OFFSET(TblConstr[[#This Row],[Tot GN]],-1,0)-TblConstr[[#This Row],[Dest GN]]</f>
        <v>0</v>
      </c>
      <c r="BH89" s="390" cm="1">
        <f t="array" aca="1" ref="BH89" ca="1">IF(TblConstr[[#This Row],[Hour]:[Hour]]&gt;12,OFFSET(TblConstr[[#This Row],[Fac]],-12,0),0)+OFFSET(TblConstr[[#This Row],[Tot Fac]],-1,0)-TblConstr[[#This Row],[Dest Fac]]</f>
        <v>0</v>
      </c>
      <c r="BI89" s="390" cm="1">
        <f t="array" aca="1" ref="BI89" ca="1">IF(TblConstr[[#This Row],[Hour]:[Hour]]&gt;12,OFFSET(TblConstr[[#This Row],[GT]],-12,0),0)+OFFSET(TblConstr[[#This Row],[Tot GT]],-1,0)-TblConstr[[#This Row],[Dest GT]]</f>
        <v>0</v>
      </c>
      <c r="BJ89" s="390" cm="1">
        <f t="array" aca="1" ref="BJ89" ca="1">IF(TblConstr[[#This Row],[Hour]:[Hour]]&gt;12,OFFSET(TblConstr[[#This Row],[Bar]],-12,0),0)+OFFSET(TblConstr[[#This Row],[Tot Bar]],-1,0)-TblConstr[[#This Row],[Dest Bar]]</f>
        <v>0</v>
      </c>
      <c r="BK89" s="390" cm="1">
        <f t="array" aca="1" ref="BK89" ca="1">IF(TblConstr[[#This Row],[Hour]:[Hour]]&gt;12,OFFSET(TblConstr[[#This Row],[Shr]],-12,0),0)+OFFSET(TblConstr[[#This Row],[Tot Shr]],-1,0)-TblConstr[[#This Row],[Dest Shr]]</f>
        <v>0</v>
      </c>
      <c r="BL89" s="394" cm="1">
        <f t="array" aca="1" ref="BL89" ca="1">IF(TblConstr[[#This Row],[Hour]:[Hour]]&gt;12,OFFSET(TblConstr[[#This Row],[Tow]],-12,0),0)+OFFSET(TblConstr[[#This Row],[Tot Tow]],-1,0)-TblConstr[[#This Row],[Dest Tow]]</f>
        <v>0</v>
      </c>
      <c r="BM89" s="394" cm="1">
        <f t="array" aca="1" ref="BM89" ca="1">IF(TblConstr[[#This Row],[Hour]:[Hour]]&gt;12,OFFSET(TblConstr[[#This Row],[Tem]],-12,0),0)+OFFSET(TblConstr[[#This Row],[Tot Tem]],-1,0)-TblConstr[[#This Row],[Dest Tem]]</f>
        <v>0</v>
      </c>
      <c r="BN89" s="394"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250</v>
      </c>
      <c r="BU89" s="161">
        <f ca="1">TblImps[[#This Row],[Time]]</f>
        <v>45735.541666666461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84">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100</v>
      </c>
      <c r="DA89" s="96">
        <f t="shared" ca="1" si="24"/>
        <v>40</v>
      </c>
      <c r="DB89" s="45">
        <f t="shared" ca="1" si="25"/>
        <v>20</v>
      </c>
      <c r="DC89" s="96">
        <f t="shared" ca="1" si="26"/>
        <v>20</v>
      </c>
      <c r="DD89" s="96">
        <f t="shared" ca="1" si="27"/>
        <v>20</v>
      </c>
      <c r="DE89" s="45">
        <f t="shared" ca="1" si="28"/>
        <v>20</v>
      </c>
      <c r="DF89" s="96">
        <f t="shared" ca="1" si="29"/>
        <v>20</v>
      </c>
      <c r="DG89" s="96"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7">
        <f>TblRezone[[#This Row],[Hour]]</f>
        <v>87</v>
      </c>
      <c r="B90" s="178">
        <f ca="1">SUM(TblConstr[[#This Row],[Plain]:[Water]])</f>
        <v>160</v>
      </c>
      <c r="C90" s="179">
        <f ca="1">SUM(TblConstr[[#This Row],[Tot Hom]:[Tot Doc]])</f>
        <v>90</v>
      </c>
      <c r="D90" s="179">
        <f t="shared" si="21"/>
        <v>0</v>
      </c>
      <c r="E90" s="180"/>
      <c r="F90" s="61">
        <f ca="1">TblConstr[[#This Row],[Barren]]+TblConstr[[#This Row],[Buildings]]+TblConstr[[#This Row],[Incoming]]</f>
        <v>250</v>
      </c>
      <c r="G90" s="189">
        <f ca="1">OFFSET(TblConstr[[#This Row],[Plain]],-1,0)+TblConstr[[#This Row],[Ch_Plain]]</f>
        <v>40</v>
      </c>
      <c r="H90" s="184">
        <f ca="1">OFFSET(TblConstr[[#This Row],[Forest]],-1,0)+TblConstr[[#This Row],[Ch_Forest]]</f>
        <v>20</v>
      </c>
      <c r="I90" s="384">
        <f ca="1">OFFSET(TblConstr[[#This Row],[Mountain]],-1,0)+TblConstr[[#This Row],[Ch_Mountain]]</f>
        <v>20</v>
      </c>
      <c r="J90" s="388">
        <f ca="1">OFFSET(TblConstr[[#This Row],[Hill]],-1,0)+TblConstr[[#This Row],[Ch_Hill]]</f>
        <v>20</v>
      </c>
      <c r="K90" s="392">
        <f ca="1">OFFSET(TblConstr[[#This Row],[Swamp]],-1,0)+TblConstr[[#This Row],[Ch_Swamp]]</f>
        <v>20</v>
      </c>
      <c r="L90" s="187">
        <f ca="1">OFFSET(TblConstr[[#This Row],[Cavern]],-1,0)+TblConstr[[#This Row],[Ch_Cavern]]</f>
        <v>20</v>
      </c>
      <c r="M90" s="188">
        <f ca="1">OFFSET(TblConstr[[#This Row],[Water]],-1,0)+TblConstr[[#This Row],[Ch_Water]]</f>
        <v>20</v>
      </c>
      <c r="N90" s="382">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45735.583333333125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592674</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6">
        <f ca="1">ROUNDDOWN( MAX(1 - MIN(facs_constr_factor*TblConstr[[#This Row],[Facs -DB]],facs_constr_max) + tech_1_11*TblTech[[#This Row],[11-1]] + tech_6_3_2*TblTech[[#This Row],[6-3]] + tech_5_2_3*TblTech[[#This Row],[5-2]], 1-global_constr_cap) * TblConstr[[#This Row],[RCPA Lumber]],0)</f>
        <v>88</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6">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ROUND((TblConstr[[#This Row],[Land]]-250 - IF(TblExplore[[#This Row],[Land Bonus]]&lt;&gt;0,20,0))*1.25 + 850 + 0,0)</f>
        <v>850</v>
      </c>
      <c r="AW90" s="96">
        <f ca="1">ROUND((TblConstr[[#This Row],[Land]]-250 - IF(TblExplore[[#This Row],[Land Bonus]]&lt;&gt;0,20,0))*0.285 + 87.5 + 0/4.25,0)</f>
        <v>88</v>
      </c>
      <c r="AX90" s="156"/>
      <c r="AY90" s="190" cm="1">
        <f t="array" aca="1" ref="AY90" ca="1">IF(TblConstr[[#This Row],[Hour]:[Hour]]&gt;12,OFFSET(TblConstr[[#This Row],[Hom]],-12,0),0)+OFFSET(TblConstr[[#This Row],[Tot Hom]],-1,0)-TblConstr[[#This Row],[Dest Hom]]</f>
        <v>10</v>
      </c>
      <c r="AZ90" s="191" cm="1">
        <f t="array" aca="1" ref="AZ90" ca="1">IF(TblConstr[[#This Row],[Hour]:[Hour]]&gt;12,OFFSET(TblConstr[[#This Row],[Alc]],-12,0),0)+OFFSET(TblConstr[[#This Row],[Tot Alc]],-1,0)-TblConstr[[#This Row],[Dest Alc]]</f>
        <v>30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86" cm="1">
        <f t="array" aca="1" ref="BF90" ca="1">IF(TblConstr[[#This Row],[Hour]:[Hour]]&gt;12,OFFSET(TblConstr[[#This Row],[OM]],-12,0),0)+OFFSET(TblConstr[[#This Row],[Tot OM]],-1,0)-TblConstr[[#This Row],[Dest OM]]</f>
        <v>0</v>
      </c>
      <c r="BG90" s="386" cm="1">
        <f t="array" aca="1" ref="BG90" ca="1">IF(TblConstr[[#This Row],[Hour]:[Hour]]&gt;12,OFFSET(TblConstr[[#This Row],[GN]],-12,0),0)+OFFSET(TblConstr[[#This Row],[Tot GN]],-1,0)-TblConstr[[#This Row],[Dest GN]]</f>
        <v>0</v>
      </c>
      <c r="BH90" s="390" cm="1">
        <f t="array" aca="1" ref="BH90" ca="1">IF(TblConstr[[#This Row],[Hour]:[Hour]]&gt;12,OFFSET(TblConstr[[#This Row],[Fac]],-12,0),0)+OFFSET(TblConstr[[#This Row],[Tot Fac]],-1,0)-TblConstr[[#This Row],[Dest Fac]]</f>
        <v>0</v>
      </c>
      <c r="BI90" s="390" cm="1">
        <f t="array" aca="1" ref="BI90" ca="1">IF(TblConstr[[#This Row],[Hour]:[Hour]]&gt;12,OFFSET(TblConstr[[#This Row],[GT]],-12,0),0)+OFFSET(TblConstr[[#This Row],[Tot GT]],-1,0)-TblConstr[[#This Row],[Dest GT]]</f>
        <v>0</v>
      </c>
      <c r="BJ90" s="390" cm="1">
        <f t="array" aca="1" ref="BJ90" ca="1">IF(TblConstr[[#This Row],[Hour]:[Hour]]&gt;12,OFFSET(TblConstr[[#This Row],[Bar]],-12,0),0)+OFFSET(TblConstr[[#This Row],[Tot Bar]],-1,0)-TblConstr[[#This Row],[Dest Bar]]</f>
        <v>0</v>
      </c>
      <c r="BK90" s="390" cm="1">
        <f t="array" aca="1" ref="BK90" ca="1">IF(TblConstr[[#This Row],[Hour]:[Hour]]&gt;12,OFFSET(TblConstr[[#This Row],[Shr]],-12,0),0)+OFFSET(TblConstr[[#This Row],[Tot Shr]],-1,0)-TblConstr[[#This Row],[Dest Shr]]</f>
        <v>0</v>
      </c>
      <c r="BL90" s="394" cm="1">
        <f t="array" aca="1" ref="BL90" ca="1">IF(TblConstr[[#This Row],[Hour]:[Hour]]&gt;12,OFFSET(TblConstr[[#This Row],[Tow]],-12,0),0)+OFFSET(TblConstr[[#This Row],[Tot Tow]],-1,0)-TblConstr[[#This Row],[Dest Tow]]</f>
        <v>0</v>
      </c>
      <c r="BM90" s="394" cm="1">
        <f t="array" aca="1" ref="BM90" ca="1">IF(TblConstr[[#This Row],[Hour]:[Hour]]&gt;12,OFFSET(TblConstr[[#This Row],[Tem]],-12,0),0)+OFFSET(TblConstr[[#This Row],[Tot Tem]],-1,0)-TblConstr[[#This Row],[Dest Tem]]</f>
        <v>0</v>
      </c>
      <c r="BN90" s="394"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250</v>
      </c>
      <c r="BU90" s="161">
        <f ca="1">TblImps[[#This Row],[Time]]</f>
        <v>45735.583333333125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84">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100</v>
      </c>
      <c r="DA90" s="96">
        <f t="shared" ca="1" si="24"/>
        <v>40</v>
      </c>
      <c r="DB90" s="45">
        <f t="shared" ca="1" si="25"/>
        <v>20</v>
      </c>
      <c r="DC90" s="96">
        <f t="shared" ca="1" si="26"/>
        <v>20</v>
      </c>
      <c r="DD90" s="96">
        <f t="shared" ca="1" si="27"/>
        <v>20</v>
      </c>
      <c r="DE90" s="45">
        <f t="shared" ca="1" si="28"/>
        <v>20</v>
      </c>
      <c r="DF90" s="96">
        <f t="shared" ca="1" si="29"/>
        <v>20</v>
      </c>
      <c r="DG90" s="96"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7">
        <f>TblRezone[[#This Row],[Hour]]</f>
        <v>88</v>
      </c>
      <c r="B91" s="178">
        <f ca="1">SUM(TblConstr[[#This Row],[Plain]:[Water]])</f>
        <v>160</v>
      </c>
      <c r="C91" s="179">
        <f ca="1">SUM(TblConstr[[#This Row],[Tot Hom]:[Tot Doc]])</f>
        <v>90</v>
      </c>
      <c r="D91" s="179">
        <f t="shared" si="21"/>
        <v>0</v>
      </c>
      <c r="E91" s="180"/>
      <c r="F91" s="61">
        <f ca="1">TblConstr[[#This Row],[Barren]]+TblConstr[[#This Row],[Buildings]]+TblConstr[[#This Row],[Incoming]]</f>
        <v>250</v>
      </c>
      <c r="G91" s="189">
        <f ca="1">OFFSET(TblConstr[[#This Row],[Plain]],-1,0)+TblConstr[[#This Row],[Ch_Plain]]</f>
        <v>40</v>
      </c>
      <c r="H91" s="184">
        <f ca="1">OFFSET(TblConstr[[#This Row],[Forest]],-1,0)+TblConstr[[#This Row],[Ch_Forest]]</f>
        <v>20</v>
      </c>
      <c r="I91" s="384">
        <f ca="1">OFFSET(TblConstr[[#This Row],[Mountain]],-1,0)+TblConstr[[#This Row],[Ch_Mountain]]</f>
        <v>20</v>
      </c>
      <c r="J91" s="388">
        <f ca="1">OFFSET(TblConstr[[#This Row],[Hill]],-1,0)+TblConstr[[#This Row],[Ch_Hill]]</f>
        <v>20</v>
      </c>
      <c r="K91" s="392">
        <f ca="1">OFFSET(TblConstr[[#This Row],[Swamp]],-1,0)+TblConstr[[#This Row],[Ch_Swamp]]</f>
        <v>20</v>
      </c>
      <c r="L91" s="187">
        <f ca="1">OFFSET(TblConstr[[#This Row],[Cavern]],-1,0)+TblConstr[[#This Row],[Ch_Cavern]]</f>
        <v>20</v>
      </c>
      <c r="M91" s="188">
        <f ca="1">OFFSET(TblConstr[[#This Row],[Water]],-1,0)+TblConstr[[#This Row],[Ch_Water]]</f>
        <v>20</v>
      </c>
      <c r="N91" s="382">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45735.624999999789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598160</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6">
        <f ca="1">ROUNDDOWN( MAX(1 - MIN(facs_constr_factor*TblConstr[[#This Row],[Facs -DB]],facs_constr_max) + tech_1_11*TblTech[[#This Row],[11-1]] + tech_6_3_2*TblTech[[#This Row],[6-3]] + tech_5_2_3*TblTech[[#This Row],[5-2]], 1-global_constr_cap) * TblConstr[[#This Row],[RCPA Lumber]],0)</f>
        <v>88</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6">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ROUND((TblConstr[[#This Row],[Land]]-250 - IF(TblExplore[[#This Row],[Land Bonus]]&lt;&gt;0,20,0))*1.25 + 850 + 0,0)</f>
        <v>850</v>
      </c>
      <c r="AW91" s="96">
        <f ca="1">ROUND((TblConstr[[#This Row],[Land]]-250 - IF(TblExplore[[#This Row],[Land Bonus]]&lt;&gt;0,20,0))*0.285 + 87.5 + 0/4.25,0)</f>
        <v>88</v>
      </c>
      <c r="AX91" s="156"/>
      <c r="AY91" s="190" cm="1">
        <f t="array" aca="1" ref="AY91" ca="1">IF(TblConstr[[#This Row],[Hour]:[Hour]]&gt;12,OFFSET(TblConstr[[#This Row],[Hom]],-12,0),0)+OFFSET(TblConstr[[#This Row],[Tot Hom]],-1,0)-TblConstr[[#This Row],[Dest Hom]]</f>
        <v>10</v>
      </c>
      <c r="AZ91" s="191" cm="1">
        <f t="array" aca="1" ref="AZ91" ca="1">IF(TblConstr[[#This Row],[Hour]:[Hour]]&gt;12,OFFSET(TblConstr[[#This Row],[Alc]],-12,0),0)+OFFSET(TblConstr[[#This Row],[Tot Alc]],-1,0)-TblConstr[[#This Row],[Dest Alc]]</f>
        <v>30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86" cm="1">
        <f t="array" aca="1" ref="BF91" ca="1">IF(TblConstr[[#This Row],[Hour]:[Hour]]&gt;12,OFFSET(TblConstr[[#This Row],[OM]],-12,0),0)+OFFSET(TblConstr[[#This Row],[Tot OM]],-1,0)-TblConstr[[#This Row],[Dest OM]]</f>
        <v>0</v>
      </c>
      <c r="BG91" s="386" cm="1">
        <f t="array" aca="1" ref="BG91" ca="1">IF(TblConstr[[#This Row],[Hour]:[Hour]]&gt;12,OFFSET(TblConstr[[#This Row],[GN]],-12,0),0)+OFFSET(TblConstr[[#This Row],[Tot GN]],-1,0)-TblConstr[[#This Row],[Dest GN]]</f>
        <v>0</v>
      </c>
      <c r="BH91" s="390" cm="1">
        <f t="array" aca="1" ref="BH91" ca="1">IF(TblConstr[[#This Row],[Hour]:[Hour]]&gt;12,OFFSET(TblConstr[[#This Row],[Fac]],-12,0),0)+OFFSET(TblConstr[[#This Row],[Tot Fac]],-1,0)-TblConstr[[#This Row],[Dest Fac]]</f>
        <v>0</v>
      </c>
      <c r="BI91" s="390" cm="1">
        <f t="array" aca="1" ref="BI91" ca="1">IF(TblConstr[[#This Row],[Hour]:[Hour]]&gt;12,OFFSET(TblConstr[[#This Row],[GT]],-12,0),0)+OFFSET(TblConstr[[#This Row],[Tot GT]],-1,0)-TblConstr[[#This Row],[Dest GT]]</f>
        <v>0</v>
      </c>
      <c r="BJ91" s="390" cm="1">
        <f t="array" aca="1" ref="BJ91" ca="1">IF(TblConstr[[#This Row],[Hour]:[Hour]]&gt;12,OFFSET(TblConstr[[#This Row],[Bar]],-12,0),0)+OFFSET(TblConstr[[#This Row],[Tot Bar]],-1,0)-TblConstr[[#This Row],[Dest Bar]]</f>
        <v>0</v>
      </c>
      <c r="BK91" s="390" cm="1">
        <f t="array" aca="1" ref="BK91" ca="1">IF(TblConstr[[#This Row],[Hour]:[Hour]]&gt;12,OFFSET(TblConstr[[#This Row],[Shr]],-12,0),0)+OFFSET(TblConstr[[#This Row],[Tot Shr]],-1,0)-TblConstr[[#This Row],[Dest Shr]]</f>
        <v>0</v>
      </c>
      <c r="BL91" s="394" cm="1">
        <f t="array" aca="1" ref="BL91" ca="1">IF(TblConstr[[#This Row],[Hour]:[Hour]]&gt;12,OFFSET(TblConstr[[#This Row],[Tow]],-12,0),0)+OFFSET(TblConstr[[#This Row],[Tot Tow]],-1,0)-TblConstr[[#This Row],[Dest Tow]]</f>
        <v>0</v>
      </c>
      <c r="BM91" s="394" cm="1">
        <f t="array" aca="1" ref="BM91" ca="1">IF(TblConstr[[#This Row],[Hour]:[Hour]]&gt;12,OFFSET(TblConstr[[#This Row],[Tem]],-12,0),0)+OFFSET(TblConstr[[#This Row],[Tot Tem]],-1,0)-TblConstr[[#This Row],[Dest Tem]]</f>
        <v>0</v>
      </c>
      <c r="BN91" s="394"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250</v>
      </c>
      <c r="BU91" s="161">
        <f ca="1">TblImps[[#This Row],[Time]]</f>
        <v>45735.624999999789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84">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100</v>
      </c>
      <c r="DA91" s="96">
        <f t="shared" ca="1" si="24"/>
        <v>40</v>
      </c>
      <c r="DB91" s="45">
        <f t="shared" ca="1" si="25"/>
        <v>20</v>
      </c>
      <c r="DC91" s="96">
        <f t="shared" ca="1" si="26"/>
        <v>20</v>
      </c>
      <c r="DD91" s="96">
        <f t="shared" ca="1" si="27"/>
        <v>20</v>
      </c>
      <c r="DE91" s="45">
        <f t="shared" ca="1" si="28"/>
        <v>20</v>
      </c>
      <c r="DF91" s="96">
        <f t="shared" ca="1" si="29"/>
        <v>20</v>
      </c>
      <c r="DG91" s="96"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7">
        <f>TblRezone[[#This Row],[Hour]]</f>
        <v>89</v>
      </c>
      <c r="B92" s="178">
        <f ca="1">SUM(TblConstr[[#This Row],[Plain]:[Water]])</f>
        <v>160</v>
      </c>
      <c r="C92" s="179">
        <f ca="1">SUM(TblConstr[[#This Row],[Tot Hom]:[Tot Doc]])</f>
        <v>90</v>
      </c>
      <c r="D92" s="179">
        <f t="shared" si="21"/>
        <v>0</v>
      </c>
      <c r="E92" s="180"/>
      <c r="F92" s="61">
        <f ca="1">TblConstr[[#This Row],[Barren]]+TblConstr[[#This Row],[Buildings]]+TblConstr[[#This Row],[Incoming]]</f>
        <v>250</v>
      </c>
      <c r="G92" s="189">
        <f ca="1">OFFSET(TblConstr[[#This Row],[Plain]],-1,0)+TblConstr[[#This Row],[Ch_Plain]]</f>
        <v>40</v>
      </c>
      <c r="H92" s="184">
        <f ca="1">OFFSET(TblConstr[[#This Row],[Forest]],-1,0)+TblConstr[[#This Row],[Ch_Forest]]</f>
        <v>20</v>
      </c>
      <c r="I92" s="384">
        <f ca="1">OFFSET(TblConstr[[#This Row],[Mountain]],-1,0)+TblConstr[[#This Row],[Ch_Mountain]]</f>
        <v>20</v>
      </c>
      <c r="J92" s="388">
        <f ca="1">OFFSET(TblConstr[[#This Row],[Hill]],-1,0)+TblConstr[[#This Row],[Ch_Hill]]</f>
        <v>20</v>
      </c>
      <c r="K92" s="392">
        <f ca="1">OFFSET(TblConstr[[#This Row],[Swamp]],-1,0)+TblConstr[[#This Row],[Ch_Swamp]]</f>
        <v>20</v>
      </c>
      <c r="L92" s="187">
        <f ca="1">OFFSET(TblConstr[[#This Row],[Cavern]],-1,0)+TblConstr[[#This Row],[Ch_Cavern]]</f>
        <v>20</v>
      </c>
      <c r="M92" s="188">
        <f ca="1">OFFSET(TblConstr[[#This Row],[Water]],-1,0)+TblConstr[[#This Row],[Ch_Water]]</f>
        <v>20</v>
      </c>
      <c r="N92" s="382">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45735.666666666453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603646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6">
        <f ca="1">ROUNDDOWN( MAX(1 - MIN(facs_constr_factor*TblConstr[[#This Row],[Facs -DB]],facs_constr_max) + tech_1_11*TblTech[[#This Row],[11-1]] + tech_6_3_2*TblTech[[#This Row],[6-3]] + tech_5_2_3*TblTech[[#This Row],[5-2]], 1-global_constr_cap) * TblConstr[[#This Row],[RCPA Lumber]],0)</f>
        <v>88</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6">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ROUND((TblConstr[[#This Row],[Land]]-250 - IF(TblExplore[[#This Row],[Land Bonus]]&lt;&gt;0,20,0))*1.25 + 850 + 0,0)</f>
        <v>850</v>
      </c>
      <c r="AW92" s="96">
        <f ca="1">ROUND((TblConstr[[#This Row],[Land]]-250 - IF(TblExplore[[#This Row],[Land Bonus]]&lt;&gt;0,20,0))*0.285 + 87.5 + 0/4.25,0)</f>
        <v>88</v>
      </c>
      <c r="AX92" s="156"/>
      <c r="AY92" s="190" cm="1">
        <f t="array" aca="1" ref="AY92" ca="1">IF(TblConstr[[#This Row],[Hour]:[Hour]]&gt;12,OFFSET(TblConstr[[#This Row],[Hom]],-12,0),0)+OFFSET(TblConstr[[#This Row],[Tot Hom]],-1,0)-TblConstr[[#This Row],[Dest Hom]]</f>
        <v>10</v>
      </c>
      <c r="AZ92" s="191" cm="1">
        <f t="array" aca="1" ref="AZ92" ca="1">IF(TblConstr[[#This Row],[Hour]:[Hour]]&gt;12,OFFSET(TblConstr[[#This Row],[Alc]],-12,0),0)+OFFSET(TblConstr[[#This Row],[Tot Alc]],-1,0)-TblConstr[[#This Row],[Dest Alc]]</f>
        <v>30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86" cm="1">
        <f t="array" aca="1" ref="BF92" ca="1">IF(TblConstr[[#This Row],[Hour]:[Hour]]&gt;12,OFFSET(TblConstr[[#This Row],[OM]],-12,0),0)+OFFSET(TblConstr[[#This Row],[Tot OM]],-1,0)-TblConstr[[#This Row],[Dest OM]]</f>
        <v>0</v>
      </c>
      <c r="BG92" s="386" cm="1">
        <f t="array" aca="1" ref="BG92" ca="1">IF(TblConstr[[#This Row],[Hour]:[Hour]]&gt;12,OFFSET(TblConstr[[#This Row],[GN]],-12,0),0)+OFFSET(TblConstr[[#This Row],[Tot GN]],-1,0)-TblConstr[[#This Row],[Dest GN]]</f>
        <v>0</v>
      </c>
      <c r="BH92" s="390" cm="1">
        <f t="array" aca="1" ref="BH92" ca="1">IF(TblConstr[[#This Row],[Hour]:[Hour]]&gt;12,OFFSET(TblConstr[[#This Row],[Fac]],-12,0),0)+OFFSET(TblConstr[[#This Row],[Tot Fac]],-1,0)-TblConstr[[#This Row],[Dest Fac]]</f>
        <v>0</v>
      </c>
      <c r="BI92" s="390" cm="1">
        <f t="array" aca="1" ref="BI92" ca="1">IF(TblConstr[[#This Row],[Hour]:[Hour]]&gt;12,OFFSET(TblConstr[[#This Row],[GT]],-12,0),0)+OFFSET(TblConstr[[#This Row],[Tot GT]],-1,0)-TblConstr[[#This Row],[Dest GT]]</f>
        <v>0</v>
      </c>
      <c r="BJ92" s="390" cm="1">
        <f t="array" aca="1" ref="BJ92" ca="1">IF(TblConstr[[#This Row],[Hour]:[Hour]]&gt;12,OFFSET(TblConstr[[#This Row],[Bar]],-12,0),0)+OFFSET(TblConstr[[#This Row],[Tot Bar]],-1,0)-TblConstr[[#This Row],[Dest Bar]]</f>
        <v>0</v>
      </c>
      <c r="BK92" s="390" cm="1">
        <f t="array" aca="1" ref="BK92" ca="1">IF(TblConstr[[#This Row],[Hour]:[Hour]]&gt;12,OFFSET(TblConstr[[#This Row],[Shr]],-12,0),0)+OFFSET(TblConstr[[#This Row],[Tot Shr]],-1,0)-TblConstr[[#This Row],[Dest Shr]]</f>
        <v>0</v>
      </c>
      <c r="BL92" s="394" cm="1">
        <f t="array" aca="1" ref="BL92" ca="1">IF(TblConstr[[#This Row],[Hour]:[Hour]]&gt;12,OFFSET(TblConstr[[#This Row],[Tow]],-12,0),0)+OFFSET(TblConstr[[#This Row],[Tot Tow]],-1,0)-TblConstr[[#This Row],[Dest Tow]]</f>
        <v>0</v>
      </c>
      <c r="BM92" s="394" cm="1">
        <f t="array" aca="1" ref="BM92" ca="1">IF(TblConstr[[#This Row],[Hour]:[Hour]]&gt;12,OFFSET(TblConstr[[#This Row],[Tem]],-12,0),0)+OFFSET(TblConstr[[#This Row],[Tot Tem]],-1,0)-TblConstr[[#This Row],[Dest Tem]]</f>
        <v>0</v>
      </c>
      <c r="BN92" s="394"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250</v>
      </c>
      <c r="BU92" s="161">
        <f ca="1">TblImps[[#This Row],[Time]]</f>
        <v>45735.666666666453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84">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100</v>
      </c>
      <c r="DA92" s="96">
        <f t="shared" ca="1" si="24"/>
        <v>40</v>
      </c>
      <c r="DB92" s="45">
        <f t="shared" ca="1" si="25"/>
        <v>20</v>
      </c>
      <c r="DC92" s="96">
        <f t="shared" ca="1" si="26"/>
        <v>20</v>
      </c>
      <c r="DD92" s="96">
        <f t="shared" ca="1" si="27"/>
        <v>20</v>
      </c>
      <c r="DE92" s="45">
        <f t="shared" ca="1" si="28"/>
        <v>20</v>
      </c>
      <c r="DF92" s="96">
        <f t="shared" ca="1" si="29"/>
        <v>20</v>
      </c>
      <c r="DG92" s="96"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7">
        <f>TblRezone[[#This Row],[Hour]]</f>
        <v>90</v>
      </c>
      <c r="B93" s="178">
        <f ca="1">SUM(TblConstr[[#This Row],[Plain]:[Water]])</f>
        <v>160</v>
      </c>
      <c r="C93" s="179">
        <f ca="1">SUM(TblConstr[[#This Row],[Tot Hom]:[Tot Doc]])</f>
        <v>90</v>
      </c>
      <c r="D93" s="179">
        <f t="shared" si="21"/>
        <v>0</v>
      </c>
      <c r="E93" s="180"/>
      <c r="F93" s="61">
        <f ca="1">TblConstr[[#This Row],[Barren]]+TblConstr[[#This Row],[Buildings]]+TblConstr[[#This Row],[Incoming]]</f>
        <v>250</v>
      </c>
      <c r="G93" s="189">
        <f ca="1">OFFSET(TblConstr[[#This Row],[Plain]],-1,0)+TblConstr[[#This Row],[Ch_Plain]]</f>
        <v>40</v>
      </c>
      <c r="H93" s="184">
        <f ca="1">OFFSET(TblConstr[[#This Row],[Forest]],-1,0)+TblConstr[[#This Row],[Ch_Forest]]</f>
        <v>20</v>
      </c>
      <c r="I93" s="384">
        <f ca="1">OFFSET(TblConstr[[#This Row],[Mountain]],-1,0)+TblConstr[[#This Row],[Ch_Mountain]]</f>
        <v>20</v>
      </c>
      <c r="J93" s="388">
        <f ca="1">OFFSET(TblConstr[[#This Row],[Hill]],-1,0)+TblConstr[[#This Row],[Ch_Hill]]</f>
        <v>20</v>
      </c>
      <c r="K93" s="392">
        <f ca="1">OFFSET(TblConstr[[#This Row],[Swamp]],-1,0)+TblConstr[[#This Row],[Ch_Swamp]]</f>
        <v>20</v>
      </c>
      <c r="L93" s="187">
        <f ca="1">OFFSET(TblConstr[[#This Row],[Cavern]],-1,0)+TblConstr[[#This Row],[Ch_Cavern]]</f>
        <v>20</v>
      </c>
      <c r="M93" s="188">
        <f ca="1">OFFSET(TblConstr[[#This Row],[Water]],-1,0)+TblConstr[[#This Row],[Ch_Water]]</f>
        <v>20</v>
      </c>
      <c r="N93" s="382">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45735.708333333117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609132</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6">
        <f ca="1">ROUNDDOWN( MAX(1 - MIN(facs_constr_factor*TblConstr[[#This Row],[Facs -DB]],facs_constr_max) + tech_1_11*TblTech[[#This Row],[11-1]] + tech_6_3_2*TblTech[[#This Row],[6-3]] + tech_5_2_3*TblTech[[#This Row],[5-2]], 1-global_constr_cap) * TblConstr[[#This Row],[RCPA Lumber]],0)</f>
        <v>88</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6">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ROUND((TblConstr[[#This Row],[Land]]-250 - IF(TblExplore[[#This Row],[Land Bonus]]&lt;&gt;0,20,0))*1.25 + 850 + 0,0)</f>
        <v>850</v>
      </c>
      <c r="AW93" s="96">
        <f ca="1">ROUND((TblConstr[[#This Row],[Land]]-250 - IF(TblExplore[[#This Row],[Land Bonus]]&lt;&gt;0,20,0))*0.285 + 87.5 + 0/4.25,0)</f>
        <v>88</v>
      </c>
      <c r="AX93" s="156"/>
      <c r="AY93" s="190" cm="1">
        <f t="array" aca="1" ref="AY93" ca="1">IF(TblConstr[[#This Row],[Hour]:[Hour]]&gt;12,OFFSET(TblConstr[[#This Row],[Hom]],-12,0),0)+OFFSET(TblConstr[[#This Row],[Tot Hom]],-1,0)-TblConstr[[#This Row],[Dest Hom]]</f>
        <v>10</v>
      </c>
      <c r="AZ93" s="191" cm="1">
        <f t="array" aca="1" ref="AZ93" ca="1">IF(TblConstr[[#This Row],[Hour]:[Hour]]&gt;12,OFFSET(TblConstr[[#This Row],[Alc]],-12,0),0)+OFFSET(TblConstr[[#This Row],[Tot Alc]],-1,0)-TblConstr[[#This Row],[Dest Alc]]</f>
        <v>30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86" cm="1">
        <f t="array" aca="1" ref="BF93" ca="1">IF(TblConstr[[#This Row],[Hour]:[Hour]]&gt;12,OFFSET(TblConstr[[#This Row],[OM]],-12,0),0)+OFFSET(TblConstr[[#This Row],[Tot OM]],-1,0)-TblConstr[[#This Row],[Dest OM]]</f>
        <v>0</v>
      </c>
      <c r="BG93" s="386" cm="1">
        <f t="array" aca="1" ref="BG93" ca="1">IF(TblConstr[[#This Row],[Hour]:[Hour]]&gt;12,OFFSET(TblConstr[[#This Row],[GN]],-12,0),0)+OFFSET(TblConstr[[#This Row],[Tot GN]],-1,0)-TblConstr[[#This Row],[Dest GN]]</f>
        <v>0</v>
      </c>
      <c r="BH93" s="390" cm="1">
        <f t="array" aca="1" ref="BH93" ca="1">IF(TblConstr[[#This Row],[Hour]:[Hour]]&gt;12,OFFSET(TblConstr[[#This Row],[Fac]],-12,0),0)+OFFSET(TblConstr[[#This Row],[Tot Fac]],-1,0)-TblConstr[[#This Row],[Dest Fac]]</f>
        <v>0</v>
      </c>
      <c r="BI93" s="390" cm="1">
        <f t="array" aca="1" ref="BI93" ca="1">IF(TblConstr[[#This Row],[Hour]:[Hour]]&gt;12,OFFSET(TblConstr[[#This Row],[GT]],-12,0),0)+OFFSET(TblConstr[[#This Row],[Tot GT]],-1,0)-TblConstr[[#This Row],[Dest GT]]</f>
        <v>0</v>
      </c>
      <c r="BJ93" s="390" cm="1">
        <f t="array" aca="1" ref="BJ93" ca="1">IF(TblConstr[[#This Row],[Hour]:[Hour]]&gt;12,OFFSET(TblConstr[[#This Row],[Bar]],-12,0),0)+OFFSET(TblConstr[[#This Row],[Tot Bar]],-1,0)-TblConstr[[#This Row],[Dest Bar]]</f>
        <v>0</v>
      </c>
      <c r="BK93" s="390" cm="1">
        <f t="array" aca="1" ref="BK93" ca="1">IF(TblConstr[[#This Row],[Hour]:[Hour]]&gt;12,OFFSET(TblConstr[[#This Row],[Shr]],-12,0),0)+OFFSET(TblConstr[[#This Row],[Tot Shr]],-1,0)-TblConstr[[#This Row],[Dest Shr]]</f>
        <v>0</v>
      </c>
      <c r="BL93" s="394" cm="1">
        <f t="array" aca="1" ref="BL93" ca="1">IF(TblConstr[[#This Row],[Hour]:[Hour]]&gt;12,OFFSET(TblConstr[[#This Row],[Tow]],-12,0),0)+OFFSET(TblConstr[[#This Row],[Tot Tow]],-1,0)-TblConstr[[#This Row],[Dest Tow]]</f>
        <v>0</v>
      </c>
      <c r="BM93" s="394" cm="1">
        <f t="array" aca="1" ref="BM93" ca="1">IF(TblConstr[[#This Row],[Hour]:[Hour]]&gt;12,OFFSET(TblConstr[[#This Row],[Tem]],-12,0),0)+OFFSET(TblConstr[[#This Row],[Tot Tem]],-1,0)-TblConstr[[#This Row],[Dest Tem]]</f>
        <v>0</v>
      </c>
      <c r="BN93" s="394"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250</v>
      </c>
      <c r="BU93" s="161">
        <f ca="1">TblImps[[#This Row],[Time]]</f>
        <v>45735.708333333117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84">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100</v>
      </c>
      <c r="DA93" s="96">
        <f t="shared" ca="1" si="24"/>
        <v>40</v>
      </c>
      <c r="DB93" s="45">
        <f t="shared" ca="1" si="25"/>
        <v>20</v>
      </c>
      <c r="DC93" s="96">
        <f t="shared" ca="1" si="26"/>
        <v>20</v>
      </c>
      <c r="DD93" s="96">
        <f t="shared" ca="1" si="27"/>
        <v>20</v>
      </c>
      <c r="DE93" s="45">
        <f t="shared" ca="1" si="28"/>
        <v>20</v>
      </c>
      <c r="DF93" s="96">
        <f t="shared" ca="1" si="29"/>
        <v>20</v>
      </c>
      <c r="DG93" s="96"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7">
        <f>TblRezone[[#This Row],[Hour]]</f>
        <v>91</v>
      </c>
      <c r="B94" s="178">
        <f ca="1">SUM(TblConstr[[#This Row],[Plain]:[Water]])</f>
        <v>160</v>
      </c>
      <c r="C94" s="179">
        <f ca="1">SUM(TblConstr[[#This Row],[Tot Hom]:[Tot Doc]])</f>
        <v>90</v>
      </c>
      <c r="D94" s="179">
        <f t="shared" si="21"/>
        <v>0</v>
      </c>
      <c r="E94" s="180"/>
      <c r="F94" s="61">
        <f ca="1">TblConstr[[#This Row],[Barren]]+TblConstr[[#This Row],[Buildings]]+TblConstr[[#This Row],[Incoming]]</f>
        <v>250</v>
      </c>
      <c r="G94" s="189">
        <f ca="1">OFFSET(TblConstr[[#This Row],[Plain]],-1,0)+TblConstr[[#This Row],[Ch_Plain]]</f>
        <v>40</v>
      </c>
      <c r="H94" s="184">
        <f ca="1">OFFSET(TblConstr[[#This Row],[Forest]],-1,0)+TblConstr[[#This Row],[Ch_Forest]]</f>
        <v>20</v>
      </c>
      <c r="I94" s="384">
        <f ca="1">OFFSET(TblConstr[[#This Row],[Mountain]],-1,0)+TblConstr[[#This Row],[Ch_Mountain]]</f>
        <v>20</v>
      </c>
      <c r="J94" s="388">
        <f ca="1">OFFSET(TblConstr[[#This Row],[Hill]],-1,0)+TblConstr[[#This Row],[Ch_Hill]]</f>
        <v>20</v>
      </c>
      <c r="K94" s="392">
        <f ca="1">OFFSET(TblConstr[[#This Row],[Swamp]],-1,0)+TblConstr[[#This Row],[Ch_Swamp]]</f>
        <v>20</v>
      </c>
      <c r="L94" s="187">
        <f ca="1">OFFSET(TblConstr[[#This Row],[Cavern]],-1,0)+TblConstr[[#This Row],[Ch_Cavern]]</f>
        <v>20</v>
      </c>
      <c r="M94" s="188">
        <f ca="1">OFFSET(TblConstr[[#This Row],[Water]],-1,0)+TblConstr[[#This Row],[Ch_Water]]</f>
        <v>20</v>
      </c>
      <c r="N94" s="382">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45735.749999999782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614618</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6">
        <f ca="1">ROUNDDOWN( MAX(1 - MIN(facs_constr_factor*TblConstr[[#This Row],[Facs -DB]],facs_constr_max) + tech_1_11*TblTech[[#This Row],[11-1]] + tech_6_3_2*TblTech[[#This Row],[6-3]] + tech_5_2_3*TblTech[[#This Row],[5-2]], 1-global_constr_cap) * TblConstr[[#This Row],[RCPA Lumber]],0)</f>
        <v>88</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6">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ROUND((TblConstr[[#This Row],[Land]]-250 - IF(TblExplore[[#This Row],[Land Bonus]]&lt;&gt;0,20,0))*1.25 + 850 + 0,0)</f>
        <v>850</v>
      </c>
      <c r="AW94" s="96">
        <f ca="1">ROUND((TblConstr[[#This Row],[Land]]-250 - IF(TblExplore[[#This Row],[Land Bonus]]&lt;&gt;0,20,0))*0.285 + 87.5 + 0/4.25,0)</f>
        <v>88</v>
      </c>
      <c r="AX94" s="156"/>
      <c r="AY94" s="190" cm="1">
        <f t="array" aca="1" ref="AY94" ca="1">IF(TblConstr[[#This Row],[Hour]:[Hour]]&gt;12,OFFSET(TblConstr[[#This Row],[Hom]],-12,0),0)+OFFSET(TblConstr[[#This Row],[Tot Hom]],-1,0)-TblConstr[[#This Row],[Dest Hom]]</f>
        <v>10</v>
      </c>
      <c r="AZ94" s="191" cm="1">
        <f t="array" aca="1" ref="AZ94" ca="1">IF(TblConstr[[#This Row],[Hour]:[Hour]]&gt;12,OFFSET(TblConstr[[#This Row],[Alc]],-12,0),0)+OFFSET(TblConstr[[#This Row],[Tot Alc]],-1,0)-TblConstr[[#This Row],[Dest Alc]]</f>
        <v>30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86" cm="1">
        <f t="array" aca="1" ref="BF94" ca="1">IF(TblConstr[[#This Row],[Hour]:[Hour]]&gt;12,OFFSET(TblConstr[[#This Row],[OM]],-12,0),0)+OFFSET(TblConstr[[#This Row],[Tot OM]],-1,0)-TblConstr[[#This Row],[Dest OM]]</f>
        <v>0</v>
      </c>
      <c r="BG94" s="386" cm="1">
        <f t="array" aca="1" ref="BG94" ca="1">IF(TblConstr[[#This Row],[Hour]:[Hour]]&gt;12,OFFSET(TblConstr[[#This Row],[GN]],-12,0),0)+OFFSET(TblConstr[[#This Row],[Tot GN]],-1,0)-TblConstr[[#This Row],[Dest GN]]</f>
        <v>0</v>
      </c>
      <c r="BH94" s="390" cm="1">
        <f t="array" aca="1" ref="BH94" ca="1">IF(TblConstr[[#This Row],[Hour]:[Hour]]&gt;12,OFFSET(TblConstr[[#This Row],[Fac]],-12,0),0)+OFFSET(TblConstr[[#This Row],[Tot Fac]],-1,0)-TblConstr[[#This Row],[Dest Fac]]</f>
        <v>0</v>
      </c>
      <c r="BI94" s="390" cm="1">
        <f t="array" aca="1" ref="BI94" ca="1">IF(TblConstr[[#This Row],[Hour]:[Hour]]&gt;12,OFFSET(TblConstr[[#This Row],[GT]],-12,0),0)+OFFSET(TblConstr[[#This Row],[Tot GT]],-1,0)-TblConstr[[#This Row],[Dest GT]]</f>
        <v>0</v>
      </c>
      <c r="BJ94" s="390" cm="1">
        <f t="array" aca="1" ref="BJ94" ca="1">IF(TblConstr[[#This Row],[Hour]:[Hour]]&gt;12,OFFSET(TblConstr[[#This Row],[Bar]],-12,0),0)+OFFSET(TblConstr[[#This Row],[Tot Bar]],-1,0)-TblConstr[[#This Row],[Dest Bar]]</f>
        <v>0</v>
      </c>
      <c r="BK94" s="390" cm="1">
        <f t="array" aca="1" ref="BK94" ca="1">IF(TblConstr[[#This Row],[Hour]:[Hour]]&gt;12,OFFSET(TblConstr[[#This Row],[Shr]],-12,0),0)+OFFSET(TblConstr[[#This Row],[Tot Shr]],-1,0)-TblConstr[[#This Row],[Dest Shr]]</f>
        <v>0</v>
      </c>
      <c r="BL94" s="394" cm="1">
        <f t="array" aca="1" ref="BL94" ca="1">IF(TblConstr[[#This Row],[Hour]:[Hour]]&gt;12,OFFSET(TblConstr[[#This Row],[Tow]],-12,0),0)+OFFSET(TblConstr[[#This Row],[Tot Tow]],-1,0)-TblConstr[[#This Row],[Dest Tow]]</f>
        <v>0</v>
      </c>
      <c r="BM94" s="394" cm="1">
        <f t="array" aca="1" ref="BM94" ca="1">IF(TblConstr[[#This Row],[Hour]:[Hour]]&gt;12,OFFSET(TblConstr[[#This Row],[Tem]],-12,0),0)+OFFSET(TblConstr[[#This Row],[Tot Tem]],-1,0)-TblConstr[[#This Row],[Dest Tem]]</f>
        <v>0</v>
      </c>
      <c r="BN94" s="394"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250</v>
      </c>
      <c r="BU94" s="161">
        <f ca="1">TblImps[[#This Row],[Time]]</f>
        <v>45735.749999999782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84">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100</v>
      </c>
      <c r="DA94" s="96">
        <f t="shared" ca="1" si="24"/>
        <v>40</v>
      </c>
      <c r="DB94" s="45">
        <f t="shared" ca="1" si="25"/>
        <v>20</v>
      </c>
      <c r="DC94" s="96">
        <f t="shared" ca="1" si="26"/>
        <v>20</v>
      </c>
      <c r="DD94" s="96">
        <f t="shared" ca="1" si="27"/>
        <v>20</v>
      </c>
      <c r="DE94" s="45">
        <f t="shared" ca="1" si="28"/>
        <v>20</v>
      </c>
      <c r="DF94" s="96">
        <f t="shared" ca="1" si="29"/>
        <v>20</v>
      </c>
      <c r="DG94" s="96"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7">
        <f>TblRezone[[#This Row],[Hour]]</f>
        <v>92</v>
      </c>
      <c r="B95" s="178">
        <f ca="1">SUM(TblConstr[[#This Row],[Plain]:[Water]])</f>
        <v>160</v>
      </c>
      <c r="C95" s="179">
        <f ca="1">SUM(TblConstr[[#This Row],[Tot Hom]:[Tot Doc]])</f>
        <v>90</v>
      </c>
      <c r="D95" s="179">
        <f t="shared" si="21"/>
        <v>0</v>
      </c>
      <c r="E95" s="180"/>
      <c r="F95" s="61">
        <f ca="1">TblConstr[[#This Row],[Barren]]+TblConstr[[#This Row],[Buildings]]+TblConstr[[#This Row],[Incoming]]</f>
        <v>250</v>
      </c>
      <c r="G95" s="189">
        <f ca="1">OFFSET(TblConstr[[#This Row],[Plain]],-1,0)+TblConstr[[#This Row],[Ch_Plain]]</f>
        <v>40</v>
      </c>
      <c r="H95" s="184">
        <f ca="1">OFFSET(TblConstr[[#This Row],[Forest]],-1,0)+TblConstr[[#This Row],[Ch_Forest]]</f>
        <v>20</v>
      </c>
      <c r="I95" s="384">
        <f ca="1">OFFSET(TblConstr[[#This Row],[Mountain]],-1,0)+TblConstr[[#This Row],[Ch_Mountain]]</f>
        <v>20</v>
      </c>
      <c r="J95" s="388">
        <f ca="1">OFFSET(TblConstr[[#This Row],[Hill]],-1,0)+TblConstr[[#This Row],[Ch_Hill]]</f>
        <v>20</v>
      </c>
      <c r="K95" s="392">
        <f ca="1">OFFSET(TblConstr[[#This Row],[Swamp]],-1,0)+TblConstr[[#This Row],[Ch_Swamp]]</f>
        <v>20</v>
      </c>
      <c r="L95" s="187">
        <f ca="1">OFFSET(TblConstr[[#This Row],[Cavern]],-1,0)+TblConstr[[#This Row],[Ch_Cavern]]</f>
        <v>20</v>
      </c>
      <c r="M95" s="188">
        <f ca="1">OFFSET(TblConstr[[#This Row],[Water]],-1,0)+TblConstr[[#This Row],[Ch_Water]]</f>
        <v>20</v>
      </c>
      <c r="N95" s="382">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45735.791666666446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620104</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6">
        <f ca="1">ROUNDDOWN( MAX(1 - MIN(facs_constr_factor*TblConstr[[#This Row],[Facs -DB]],facs_constr_max) + tech_1_11*TblTech[[#This Row],[11-1]] + tech_6_3_2*TblTech[[#This Row],[6-3]] + tech_5_2_3*TblTech[[#This Row],[5-2]], 1-global_constr_cap) * TblConstr[[#This Row],[RCPA Lumber]],0)</f>
        <v>88</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6">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ROUND((TblConstr[[#This Row],[Land]]-250 - IF(TblExplore[[#This Row],[Land Bonus]]&lt;&gt;0,20,0))*1.25 + 850 + 0,0)</f>
        <v>850</v>
      </c>
      <c r="AW95" s="96">
        <f ca="1">ROUND((TblConstr[[#This Row],[Land]]-250 - IF(TblExplore[[#This Row],[Land Bonus]]&lt;&gt;0,20,0))*0.285 + 87.5 + 0/4.25,0)</f>
        <v>88</v>
      </c>
      <c r="AX95" s="156"/>
      <c r="AY95" s="190" cm="1">
        <f t="array" aca="1" ref="AY95" ca="1">IF(TblConstr[[#This Row],[Hour]:[Hour]]&gt;12,OFFSET(TblConstr[[#This Row],[Hom]],-12,0),0)+OFFSET(TblConstr[[#This Row],[Tot Hom]],-1,0)-TblConstr[[#This Row],[Dest Hom]]</f>
        <v>10</v>
      </c>
      <c r="AZ95" s="191" cm="1">
        <f t="array" aca="1" ref="AZ95" ca="1">IF(TblConstr[[#This Row],[Hour]:[Hour]]&gt;12,OFFSET(TblConstr[[#This Row],[Alc]],-12,0),0)+OFFSET(TblConstr[[#This Row],[Tot Alc]],-1,0)-TblConstr[[#This Row],[Dest Alc]]</f>
        <v>30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86" cm="1">
        <f t="array" aca="1" ref="BF95" ca="1">IF(TblConstr[[#This Row],[Hour]:[Hour]]&gt;12,OFFSET(TblConstr[[#This Row],[OM]],-12,0),0)+OFFSET(TblConstr[[#This Row],[Tot OM]],-1,0)-TblConstr[[#This Row],[Dest OM]]</f>
        <v>0</v>
      </c>
      <c r="BG95" s="386" cm="1">
        <f t="array" aca="1" ref="BG95" ca="1">IF(TblConstr[[#This Row],[Hour]:[Hour]]&gt;12,OFFSET(TblConstr[[#This Row],[GN]],-12,0),0)+OFFSET(TblConstr[[#This Row],[Tot GN]],-1,0)-TblConstr[[#This Row],[Dest GN]]</f>
        <v>0</v>
      </c>
      <c r="BH95" s="390" cm="1">
        <f t="array" aca="1" ref="BH95" ca="1">IF(TblConstr[[#This Row],[Hour]:[Hour]]&gt;12,OFFSET(TblConstr[[#This Row],[Fac]],-12,0),0)+OFFSET(TblConstr[[#This Row],[Tot Fac]],-1,0)-TblConstr[[#This Row],[Dest Fac]]</f>
        <v>0</v>
      </c>
      <c r="BI95" s="390" cm="1">
        <f t="array" aca="1" ref="BI95" ca="1">IF(TblConstr[[#This Row],[Hour]:[Hour]]&gt;12,OFFSET(TblConstr[[#This Row],[GT]],-12,0),0)+OFFSET(TblConstr[[#This Row],[Tot GT]],-1,0)-TblConstr[[#This Row],[Dest GT]]</f>
        <v>0</v>
      </c>
      <c r="BJ95" s="390" cm="1">
        <f t="array" aca="1" ref="BJ95" ca="1">IF(TblConstr[[#This Row],[Hour]:[Hour]]&gt;12,OFFSET(TblConstr[[#This Row],[Bar]],-12,0),0)+OFFSET(TblConstr[[#This Row],[Tot Bar]],-1,0)-TblConstr[[#This Row],[Dest Bar]]</f>
        <v>0</v>
      </c>
      <c r="BK95" s="390" cm="1">
        <f t="array" aca="1" ref="BK95" ca="1">IF(TblConstr[[#This Row],[Hour]:[Hour]]&gt;12,OFFSET(TblConstr[[#This Row],[Shr]],-12,0),0)+OFFSET(TblConstr[[#This Row],[Tot Shr]],-1,0)-TblConstr[[#This Row],[Dest Shr]]</f>
        <v>0</v>
      </c>
      <c r="BL95" s="394" cm="1">
        <f t="array" aca="1" ref="BL95" ca="1">IF(TblConstr[[#This Row],[Hour]:[Hour]]&gt;12,OFFSET(TblConstr[[#This Row],[Tow]],-12,0),0)+OFFSET(TblConstr[[#This Row],[Tot Tow]],-1,0)-TblConstr[[#This Row],[Dest Tow]]</f>
        <v>0</v>
      </c>
      <c r="BM95" s="394" cm="1">
        <f t="array" aca="1" ref="BM95" ca="1">IF(TblConstr[[#This Row],[Hour]:[Hour]]&gt;12,OFFSET(TblConstr[[#This Row],[Tem]],-12,0),0)+OFFSET(TblConstr[[#This Row],[Tot Tem]],-1,0)-TblConstr[[#This Row],[Dest Tem]]</f>
        <v>0</v>
      </c>
      <c r="BN95" s="394"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250</v>
      </c>
      <c r="BU95" s="161">
        <f ca="1">TblImps[[#This Row],[Time]]</f>
        <v>45735.791666666446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84">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100</v>
      </c>
      <c r="DA95" s="96">
        <f t="shared" ca="1" si="24"/>
        <v>40</v>
      </c>
      <c r="DB95" s="45">
        <f t="shared" ca="1" si="25"/>
        <v>20</v>
      </c>
      <c r="DC95" s="96">
        <f t="shared" ca="1" si="26"/>
        <v>20</v>
      </c>
      <c r="DD95" s="96">
        <f t="shared" ca="1" si="27"/>
        <v>20</v>
      </c>
      <c r="DE95" s="45">
        <f t="shared" ca="1" si="28"/>
        <v>20</v>
      </c>
      <c r="DF95" s="96">
        <f t="shared" ca="1" si="29"/>
        <v>20</v>
      </c>
      <c r="DG95" s="96"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7">
        <f>TblRezone[[#This Row],[Hour]]</f>
        <v>93</v>
      </c>
      <c r="B96" s="178">
        <f ca="1">SUM(TblConstr[[#This Row],[Plain]:[Water]])</f>
        <v>160</v>
      </c>
      <c r="C96" s="179">
        <f ca="1">SUM(TblConstr[[#This Row],[Tot Hom]:[Tot Doc]])</f>
        <v>90</v>
      </c>
      <c r="D96" s="179">
        <f t="shared" si="21"/>
        <v>0</v>
      </c>
      <c r="E96" s="180"/>
      <c r="F96" s="61">
        <f ca="1">TblConstr[[#This Row],[Barren]]+TblConstr[[#This Row],[Buildings]]+TblConstr[[#This Row],[Incoming]]</f>
        <v>250</v>
      </c>
      <c r="G96" s="189">
        <f ca="1">OFFSET(TblConstr[[#This Row],[Plain]],-1,0)+TblConstr[[#This Row],[Ch_Plain]]</f>
        <v>40</v>
      </c>
      <c r="H96" s="184">
        <f ca="1">OFFSET(TblConstr[[#This Row],[Forest]],-1,0)+TblConstr[[#This Row],[Ch_Forest]]</f>
        <v>20</v>
      </c>
      <c r="I96" s="384">
        <f ca="1">OFFSET(TblConstr[[#This Row],[Mountain]],-1,0)+TblConstr[[#This Row],[Ch_Mountain]]</f>
        <v>20</v>
      </c>
      <c r="J96" s="388">
        <f ca="1">OFFSET(TblConstr[[#This Row],[Hill]],-1,0)+TblConstr[[#This Row],[Ch_Hill]]</f>
        <v>20</v>
      </c>
      <c r="K96" s="392">
        <f ca="1">OFFSET(TblConstr[[#This Row],[Swamp]],-1,0)+TblConstr[[#This Row],[Ch_Swamp]]</f>
        <v>20</v>
      </c>
      <c r="L96" s="187">
        <f ca="1">OFFSET(TblConstr[[#This Row],[Cavern]],-1,0)+TblConstr[[#This Row],[Ch_Cavern]]</f>
        <v>20</v>
      </c>
      <c r="M96" s="188">
        <f ca="1">OFFSET(TblConstr[[#This Row],[Water]],-1,0)+TblConstr[[#This Row],[Ch_Water]]</f>
        <v>20</v>
      </c>
      <c r="N96" s="382">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45735.83333333311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625590</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6">
        <f ca="1">ROUNDDOWN( MAX(1 - MIN(facs_constr_factor*TblConstr[[#This Row],[Facs -DB]],facs_constr_max) + tech_1_11*TblTech[[#This Row],[11-1]] + tech_6_3_2*TblTech[[#This Row],[6-3]] + tech_5_2_3*TblTech[[#This Row],[5-2]], 1-global_constr_cap) * TblConstr[[#This Row],[RCPA Lumber]],0)</f>
        <v>88</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6">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ROUND((TblConstr[[#This Row],[Land]]-250 - IF(TblExplore[[#This Row],[Land Bonus]]&lt;&gt;0,20,0))*1.25 + 850 + 0,0)</f>
        <v>850</v>
      </c>
      <c r="AW96" s="96">
        <f ca="1">ROUND((TblConstr[[#This Row],[Land]]-250 - IF(TblExplore[[#This Row],[Land Bonus]]&lt;&gt;0,20,0))*0.285 + 87.5 + 0/4.25,0)</f>
        <v>88</v>
      </c>
      <c r="AX96" s="156"/>
      <c r="AY96" s="190" cm="1">
        <f t="array" aca="1" ref="AY96" ca="1">IF(TblConstr[[#This Row],[Hour]:[Hour]]&gt;12,OFFSET(TblConstr[[#This Row],[Hom]],-12,0),0)+OFFSET(TblConstr[[#This Row],[Tot Hom]],-1,0)-TblConstr[[#This Row],[Dest Hom]]</f>
        <v>10</v>
      </c>
      <c r="AZ96" s="191" cm="1">
        <f t="array" aca="1" ref="AZ96" ca="1">IF(TblConstr[[#This Row],[Hour]:[Hour]]&gt;12,OFFSET(TblConstr[[#This Row],[Alc]],-12,0),0)+OFFSET(TblConstr[[#This Row],[Tot Alc]],-1,0)-TblConstr[[#This Row],[Dest Alc]]</f>
        <v>30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86" cm="1">
        <f t="array" aca="1" ref="BF96" ca="1">IF(TblConstr[[#This Row],[Hour]:[Hour]]&gt;12,OFFSET(TblConstr[[#This Row],[OM]],-12,0),0)+OFFSET(TblConstr[[#This Row],[Tot OM]],-1,0)-TblConstr[[#This Row],[Dest OM]]</f>
        <v>0</v>
      </c>
      <c r="BG96" s="386" cm="1">
        <f t="array" aca="1" ref="BG96" ca="1">IF(TblConstr[[#This Row],[Hour]:[Hour]]&gt;12,OFFSET(TblConstr[[#This Row],[GN]],-12,0),0)+OFFSET(TblConstr[[#This Row],[Tot GN]],-1,0)-TblConstr[[#This Row],[Dest GN]]</f>
        <v>0</v>
      </c>
      <c r="BH96" s="390" cm="1">
        <f t="array" aca="1" ref="BH96" ca="1">IF(TblConstr[[#This Row],[Hour]:[Hour]]&gt;12,OFFSET(TblConstr[[#This Row],[Fac]],-12,0),0)+OFFSET(TblConstr[[#This Row],[Tot Fac]],-1,0)-TblConstr[[#This Row],[Dest Fac]]</f>
        <v>0</v>
      </c>
      <c r="BI96" s="390" cm="1">
        <f t="array" aca="1" ref="BI96" ca="1">IF(TblConstr[[#This Row],[Hour]:[Hour]]&gt;12,OFFSET(TblConstr[[#This Row],[GT]],-12,0),0)+OFFSET(TblConstr[[#This Row],[Tot GT]],-1,0)-TblConstr[[#This Row],[Dest GT]]</f>
        <v>0</v>
      </c>
      <c r="BJ96" s="390" cm="1">
        <f t="array" aca="1" ref="BJ96" ca="1">IF(TblConstr[[#This Row],[Hour]:[Hour]]&gt;12,OFFSET(TblConstr[[#This Row],[Bar]],-12,0),0)+OFFSET(TblConstr[[#This Row],[Tot Bar]],-1,0)-TblConstr[[#This Row],[Dest Bar]]</f>
        <v>0</v>
      </c>
      <c r="BK96" s="390" cm="1">
        <f t="array" aca="1" ref="BK96" ca="1">IF(TblConstr[[#This Row],[Hour]:[Hour]]&gt;12,OFFSET(TblConstr[[#This Row],[Shr]],-12,0),0)+OFFSET(TblConstr[[#This Row],[Tot Shr]],-1,0)-TblConstr[[#This Row],[Dest Shr]]</f>
        <v>0</v>
      </c>
      <c r="BL96" s="394" cm="1">
        <f t="array" aca="1" ref="BL96" ca="1">IF(TblConstr[[#This Row],[Hour]:[Hour]]&gt;12,OFFSET(TblConstr[[#This Row],[Tow]],-12,0),0)+OFFSET(TblConstr[[#This Row],[Tot Tow]],-1,0)-TblConstr[[#This Row],[Dest Tow]]</f>
        <v>0</v>
      </c>
      <c r="BM96" s="394" cm="1">
        <f t="array" aca="1" ref="BM96" ca="1">IF(TblConstr[[#This Row],[Hour]:[Hour]]&gt;12,OFFSET(TblConstr[[#This Row],[Tem]],-12,0),0)+OFFSET(TblConstr[[#This Row],[Tot Tem]],-1,0)-TblConstr[[#This Row],[Dest Tem]]</f>
        <v>0</v>
      </c>
      <c r="BN96" s="394"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250</v>
      </c>
      <c r="BU96" s="161">
        <f ca="1">TblImps[[#This Row],[Time]]</f>
        <v>45735.83333333311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84">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100</v>
      </c>
      <c r="DA96" s="96">
        <f t="shared" ca="1" si="24"/>
        <v>40</v>
      </c>
      <c r="DB96" s="45">
        <f t="shared" ca="1" si="25"/>
        <v>20</v>
      </c>
      <c r="DC96" s="96">
        <f t="shared" ca="1" si="26"/>
        <v>20</v>
      </c>
      <c r="DD96" s="96">
        <f t="shared" ca="1" si="27"/>
        <v>20</v>
      </c>
      <c r="DE96" s="45">
        <f t="shared" ca="1" si="28"/>
        <v>20</v>
      </c>
      <c r="DF96" s="96">
        <f t="shared" ca="1" si="29"/>
        <v>20</v>
      </c>
      <c r="DG96" s="96"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7">
        <f>TblRezone[[#This Row],[Hour]]</f>
        <v>94</v>
      </c>
      <c r="B97" s="178">
        <f ca="1">SUM(TblConstr[[#This Row],[Plain]:[Water]])</f>
        <v>160</v>
      </c>
      <c r="C97" s="179">
        <f ca="1">SUM(TblConstr[[#This Row],[Tot Hom]:[Tot Doc]])</f>
        <v>90</v>
      </c>
      <c r="D97" s="179">
        <f t="shared" si="21"/>
        <v>0</v>
      </c>
      <c r="E97" s="180"/>
      <c r="F97" s="61">
        <f ca="1">TblConstr[[#This Row],[Barren]]+TblConstr[[#This Row],[Buildings]]+TblConstr[[#This Row],[Incoming]]</f>
        <v>250</v>
      </c>
      <c r="G97" s="189">
        <f ca="1">OFFSET(TblConstr[[#This Row],[Plain]],-1,0)+TblConstr[[#This Row],[Ch_Plain]]</f>
        <v>40</v>
      </c>
      <c r="H97" s="184">
        <f ca="1">OFFSET(TblConstr[[#This Row],[Forest]],-1,0)+TblConstr[[#This Row],[Ch_Forest]]</f>
        <v>20</v>
      </c>
      <c r="I97" s="384">
        <f ca="1">OFFSET(TblConstr[[#This Row],[Mountain]],-1,0)+TblConstr[[#This Row],[Ch_Mountain]]</f>
        <v>20</v>
      </c>
      <c r="J97" s="388">
        <f ca="1">OFFSET(TblConstr[[#This Row],[Hill]],-1,0)+TblConstr[[#This Row],[Ch_Hill]]</f>
        <v>20</v>
      </c>
      <c r="K97" s="392">
        <f ca="1">OFFSET(TblConstr[[#This Row],[Swamp]],-1,0)+TblConstr[[#This Row],[Ch_Swamp]]</f>
        <v>20</v>
      </c>
      <c r="L97" s="187">
        <f ca="1">OFFSET(TblConstr[[#This Row],[Cavern]],-1,0)+TblConstr[[#This Row],[Ch_Cavern]]</f>
        <v>20</v>
      </c>
      <c r="M97" s="188">
        <f ca="1">OFFSET(TblConstr[[#This Row],[Water]],-1,0)+TblConstr[[#This Row],[Ch_Water]]</f>
        <v>20</v>
      </c>
      <c r="N97" s="382">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45735.874999999774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631076</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6">
        <f ca="1">ROUNDDOWN( MAX(1 - MIN(facs_constr_factor*TblConstr[[#This Row],[Facs -DB]],facs_constr_max) + tech_1_11*TblTech[[#This Row],[11-1]] + tech_6_3_2*TblTech[[#This Row],[6-3]] + tech_5_2_3*TblTech[[#This Row],[5-2]], 1-global_constr_cap) * TblConstr[[#This Row],[RCPA Lumber]],0)</f>
        <v>88</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6">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ROUND((TblConstr[[#This Row],[Land]]-250 - IF(TblExplore[[#This Row],[Land Bonus]]&lt;&gt;0,20,0))*1.25 + 850 + 0,0)</f>
        <v>850</v>
      </c>
      <c r="AW97" s="96">
        <f ca="1">ROUND((TblConstr[[#This Row],[Land]]-250 - IF(TblExplore[[#This Row],[Land Bonus]]&lt;&gt;0,20,0))*0.285 + 87.5 + 0/4.25,0)</f>
        <v>88</v>
      </c>
      <c r="AX97" s="156"/>
      <c r="AY97" s="190" cm="1">
        <f t="array" aca="1" ref="AY97" ca="1">IF(TblConstr[[#This Row],[Hour]:[Hour]]&gt;12,OFFSET(TblConstr[[#This Row],[Hom]],-12,0),0)+OFFSET(TblConstr[[#This Row],[Tot Hom]],-1,0)-TblConstr[[#This Row],[Dest Hom]]</f>
        <v>10</v>
      </c>
      <c r="AZ97" s="191" cm="1">
        <f t="array" aca="1" ref="AZ97" ca="1">IF(TblConstr[[#This Row],[Hour]:[Hour]]&gt;12,OFFSET(TblConstr[[#This Row],[Alc]],-12,0),0)+OFFSET(TblConstr[[#This Row],[Tot Alc]],-1,0)-TblConstr[[#This Row],[Dest Alc]]</f>
        <v>30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86" cm="1">
        <f t="array" aca="1" ref="BF97" ca="1">IF(TblConstr[[#This Row],[Hour]:[Hour]]&gt;12,OFFSET(TblConstr[[#This Row],[OM]],-12,0),0)+OFFSET(TblConstr[[#This Row],[Tot OM]],-1,0)-TblConstr[[#This Row],[Dest OM]]</f>
        <v>0</v>
      </c>
      <c r="BG97" s="386" cm="1">
        <f t="array" aca="1" ref="BG97" ca="1">IF(TblConstr[[#This Row],[Hour]:[Hour]]&gt;12,OFFSET(TblConstr[[#This Row],[GN]],-12,0),0)+OFFSET(TblConstr[[#This Row],[Tot GN]],-1,0)-TblConstr[[#This Row],[Dest GN]]</f>
        <v>0</v>
      </c>
      <c r="BH97" s="390" cm="1">
        <f t="array" aca="1" ref="BH97" ca="1">IF(TblConstr[[#This Row],[Hour]:[Hour]]&gt;12,OFFSET(TblConstr[[#This Row],[Fac]],-12,0),0)+OFFSET(TblConstr[[#This Row],[Tot Fac]],-1,0)-TblConstr[[#This Row],[Dest Fac]]</f>
        <v>0</v>
      </c>
      <c r="BI97" s="390" cm="1">
        <f t="array" aca="1" ref="BI97" ca="1">IF(TblConstr[[#This Row],[Hour]:[Hour]]&gt;12,OFFSET(TblConstr[[#This Row],[GT]],-12,0),0)+OFFSET(TblConstr[[#This Row],[Tot GT]],-1,0)-TblConstr[[#This Row],[Dest GT]]</f>
        <v>0</v>
      </c>
      <c r="BJ97" s="390" cm="1">
        <f t="array" aca="1" ref="BJ97" ca="1">IF(TblConstr[[#This Row],[Hour]:[Hour]]&gt;12,OFFSET(TblConstr[[#This Row],[Bar]],-12,0),0)+OFFSET(TblConstr[[#This Row],[Tot Bar]],-1,0)-TblConstr[[#This Row],[Dest Bar]]</f>
        <v>0</v>
      </c>
      <c r="BK97" s="390" cm="1">
        <f t="array" aca="1" ref="BK97" ca="1">IF(TblConstr[[#This Row],[Hour]:[Hour]]&gt;12,OFFSET(TblConstr[[#This Row],[Shr]],-12,0),0)+OFFSET(TblConstr[[#This Row],[Tot Shr]],-1,0)-TblConstr[[#This Row],[Dest Shr]]</f>
        <v>0</v>
      </c>
      <c r="BL97" s="394" cm="1">
        <f t="array" aca="1" ref="BL97" ca="1">IF(TblConstr[[#This Row],[Hour]:[Hour]]&gt;12,OFFSET(TblConstr[[#This Row],[Tow]],-12,0),0)+OFFSET(TblConstr[[#This Row],[Tot Tow]],-1,0)-TblConstr[[#This Row],[Dest Tow]]</f>
        <v>0</v>
      </c>
      <c r="BM97" s="394" cm="1">
        <f t="array" aca="1" ref="BM97" ca="1">IF(TblConstr[[#This Row],[Hour]:[Hour]]&gt;12,OFFSET(TblConstr[[#This Row],[Tem]],-12,0),0)+OFFSET(TblConstr[[#This Row],[Tot Tem]],-1,0)-TblConstr[[#This Row],[Dest Tem]]</f>
        <v>0</v>
      </c>
      <c r="BN97" s="394"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250</v>
      </c>
      <c r="BU97" s="161">
        <f ca="1">TblImps[[#This Row],[Time]]</f>
        <v>45735.874999999774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84">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100</v>
      </c>
      <c r="DA97" s="96">
        <f t="shared" ca="1" si="24"/>
        <v>40</v>
      </c>
      <c r="DB97" s="45">
        <f t="shared" ca="1" si="25"/>
        <v>20</v>
      </c>
      <c r="DC97" s="96">
        <f t="shared" ca="1" si="26"/>
        <v>20</v>
      </c>
      <c r="DD97" s="96">
        <f t="shared" ca="1" si="27"/>
        <v>20</v>
      </c>
      <c r="DE97" s="45">
        <f t="shared" ca="1" si="28"/>
        <v>20</v>
      </c>
      <c r="DF97" s="96">
        <f t="shared" ca="1" si="29"/>
        <v>20</v>
      </c>
      <c r="DG97" s="96"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7">
        <f>TblRezone[[#This Row],[Hour]]</f>
        <v>95</v>
      </c>
      <c r="B98" s="178">
        <f ca="1">SUM(TblConstr[[#This Row],[Plain]:[Water]])</f>
        <v>160</v>
      </c>
      <c r="C98" s="179">
        <f ca="1">SUM(TblConstr[[#This Row],[Tot Hom]:[Tot Doc]])</f>
        <v>90</v>
      </c>
      <c r="D98" s="179">
        <f t="shared" si="21"/>
        <v>0</v>
      </c>
      <c r="E98" s="180"/>
      <c r="F98" s="61">
        <f ca="1">TblConstr[[#This Row],[Barren]]+TblConstr[[#This Row],[Buildings]]+TblConstr[[#This Row],[Incoming]]</f>
        <v>250</v>
      </c>
      <c r="G98" s="189">
        <f ca="1">OFFSET(TblConstr[[#This Row],[Plain]],-1,0)+TblConstr[[#This Row],[Ch_Plain]]</f>
        <v>40</v>
      </c>
      <c r="H98" s="184">
        <f ca="1">OFFSET(TblConstr[[#This Row],[Forest]],-1,0)+TblConstr[[#This Row],[Ch_Forest]]</f>
        <v>20</v>
      </c>
      <c r="I98" s="384">
        <f ca="1">OFFSET(TblConstr[[#This Row],[Mountain]],-1,0)+TblConstr[[#This Row],[Ch_Mountain]]</f>
        <v>20</v>
      </c>
      <c r="J98" s="388">
        <f ca="1">OFFSET(TblConstr[[#This Row],[Hill]],-1,0)+TblConstr[[#This Row],[Ch_Hill]]</f>
        <v>20</v>
      </c>
      <c r="K98" s="392">
        <f ca="1">OFFSET(TblConstr[[#This Row],[Swamp]],-1,0)+TblConstr[[#This Row],[Ch_Swamp]]</f>
        <v>20</v>
      </c>
      <c r="L98" s="187">
        <f ca="1">OFFSET(TblConstr[[#This Row],[Cavern]],-1,0)+TblConstr[[#This Row],[Ch_Cavern]]</f>
        <v>20</v>
      </c>
      <c r="M98" s="188">
        <f ca="1">OFFSET(TblConstr[[#This Row],[Water]],-1,0)+TblConstr[[#This Row],[Ch_Water]]</f>
        <v>20</v>
      </c>
      <c r="N98" s="382">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45735.916666666439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636562</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6">
        <f ca="1">ROUNDDOWN( MAX(1 - MIN(facs_constr_factor*TblConstr[[#This Row],[Facs -DB]],facs_constr_max) + tech_1_11*TblTech[[#This Row],[11-1]] + tech_6_3_2*TblTech[[#This Row],[6-3]] + tech_5_2_3*TblTech[[#This Row],[5-2]], 1-global_constr_cap) * TblConstr[[#This Row],[RCPA Lumber]],0)</f>
        <v>88</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6">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ROUND((TblConstr[[#This Row],[Land]]-250 - IF(TblExplore[[#This Row],[Land Bonus]]&lt;&gt;0,20,0))*1.25 + 850 + 0,0)</f>
        <v>850</v>
      </c>
      <c r="AW98" s="96">
        <f ca="1">ROUND((TblConstr[[#This Row],[Land]]-250 - IF(TblExplore[[#This Row],[Land Bonus]]&lt;&gt;0,20,0))*0.285 + 87.5 + 0/4.25,0)</f>
        <v>88</v>
      </c>
      <c r="AX98" s="156"/>
      <c r="AY98" s="190" cm="1">
        <f t="array" aca="1" ref="AY98" ca="1">IF(TblConstr[[#This Row],[Hour]:[Hour]]&gt;12,OFFSET(TblConstr[[#This Row],[Hom]],-12,0),0)+OFFSET(TblConstr[[#This Row],[Tot Hom]],-1,0)-TblConstr[[#This Row],[Dest Hom]]</f>
        <v>10</v>
      </c>
      <c r="AZ98" s="191" cm="1">
        <f t="array" aca="1" ref="AZ98" ca="1">IF(TblConstr[[#This Row],[Hour]:[Hour]]&gt;12,OFFSET(TblConstr[[#This Row],[Alc]],-12,0),0)+OFFSET(TblConstr[[#This Row],[Tot Alc]],-1,0)-TblConstr[[#This Row],[Dest Alc]]</f>
        <v>30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86" cm="1">
        <f t="array" aca="1" ref="BF98" ca="1">IF(TblConstr[[#This Row],[Hour]:[Hour]]&gt;12,OFFSET(TblConstr[[#This Row],[OM]],-12,0),0)+OFFSET(TblConstr[[#This Row],[Tot OM]],-1,0)-TblConstr[[#This Row],[Dest OM]]</f>
        <v>0</v>
      </c>
      <c r="BG98" s="386" cm="1">
        <f t="array" aca="1" ref="BG98" ca="1">IF(TblConstr[[#This Row],[Hour]:[Hour]]&gt;12,OFFSET(TblConstr[[#This Row],[GN]],-12,0),0)+OFFSET(TblConstr[[#This Row],[Tot GN]],-1,0)-TblConstr[[#This Row],[Dest GN]]</f>
        <v>0</v>
      </c>
      <c r="BH98" s="390" cm="1">
        <f t="array" aca="1" ref="BH98" ca="1">IF(TblConstr[[#This Row],[Hour]:[Hour]]&gt;12,OFFSET(TblConstr[[#This Row],[Fac]],-12,0),0)+OFFSET(TblConstr[[#This Row],[Tot Fac]],-1,0)-TblConstr[[#This Row],[Dest Fac]]</f>
        <v>0</v>
      </c>
      <c r="BI98" s="390" cm="1">
        <f t="array" aca="1" ref="BI98" ca="1">IF(TblConstr[[#This Row],[Hour]:[Hour]]&gt;12,OFFSET(TblConstr[[#This Row],[GT]],-12,0),0)+OFFSET(TblConstr[[#This Row],[Tot GT]],-1,0)-TblConstr[[#This Row],[Dest GT]]</f>
        <v>0</v>
      </c>
      <c r="BJ98" s="390" cm="1">
        <f t="array" aca="1" ref="BJ98" ca="1">IF(TblConstr[[#This Row],[Hour]:[Hour]]&gt;12,OFFSET(TblConstr[[#This Row],[Bar]],-12,0),0)+OFFSET(TblConstr[[#This Row],[Tot Bar]],-1,0)-TblConstr[[#This Row],[Dest Bar]]</f>
        <v>0</v>
      </c>
      <c r="BK98" s="390" cm="1">
        <f t="array" aca="1" ref="BK98" ca="1">IF(TblConstr[[#This Row],[Hour]:[Hour]]&gt;12,OFFSET(TblConstr[[#This Row],[Shr]],-12,0),0)+OFFSET(TblConstr[[#This Row],[Tot Shr]],-1,0)-TblConstr[[#This Row],[Dest Shr]]</f>
        <v>0</v>
      </c>
      <c r="BL98" s="394" cm="1">
        <f t="array" aca="1" ref="BL98" ca="1">IF(TblConstr[[#This Row],[Hour]:[Hour]]&gt;12,OFFSET(TblConstr[[#This Row],[Tow]],-12,0),0)+OFFSET(TblConstr[[#This Row],[Tot Tow]],-1,0)-TblConstr[[#This Row],[Dest Tow]]</f>
        <v>0</v>
      </c>
      <c r="BM98" s="394" cm="1">
        <f t="array" aca="1" ref="BM98" ca="1">IF(TblConstr[[#This Row],[Hour]:[Hour]]&gt;12,OFFSET(TblConstr[[#This Row],[Tem]],-12,0),0)+OFFSET(TblConstr[[#This Row],[Tot Tem]],-1,0)-TblConstr[[#This Row],[Dest Tem]]</f>
        <v>0</v>
      </c>
      <c r="BN98" s="394"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250</v>
      </c>
      <c r="BU98" s="161">
        <f ca="1">TblImps[[#This Row],[Time]]</f>
        <v>45735.916666666439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84">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100</v>
      </c>
      <c r="DA98" s="96">
        <f t="shared" ca="1" si="24"/>
        <v>40</v>
      </c>
      <c r="DB98" s="45">
        <f t="shared" ca="1" si="25"/>
        <v>20</v>
      </c>
      <c r="DC98" s="96">
        <f t="shared" ca="1" si="26"/>
        <v>20</v>
      </c>
      <c r="DD98" s="96">
        <f t="shared" ca="1" si="27"/>
        <v>20</v>
      </c>
      <c r="DE98" s="45">
        <f t="shared" ca="1" si="28"/>
        <v>20</v>
      </c>
      <c r="DF98" s="96">
        <f t="shared" ca="1" si="29"/>
        <v>20</v>
      </c>
      <c r="DG98" s="96"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7">
        <f>TblRezone[[#This Row],[Hour]]</f>
        <v>96</v>
      </c>
      <c r="B99" s="178">
        <f ca="1">SUM(TblConstr[[#This Row],[Plain]:[Water]])</f>
        <v>160</v>
      </c>
      <c r="C99" s="179">
        <f ca="1">SUM(TblConstr[[#This Row],[Tot Hom]:[Tot Doc]])</f>
        <v>90</v>
      </c>
      <c r="D99" s="179">
        <f t="shared" si="21"/>
        <v>0</v>
      </c>
      <c r="E99" s="180"/>
      <c r="F99" s="61">
        <f ca="1">TblConstr[[#This Row],[Barren]]+TblConstr[[#This Row],[Buildings]]+TblConstr[[#This Row],[Incoming]]</f>
        <v>250</v>
      </c>
      <c r="G99" s="189">
        <f ca="1">OFFSET(TblConstr[[#This Row],[Plain]],-1,0)+TblConstr[[#This Row],[Ch_Plain]]</f>
        <v>40</v>
      </c>
      <c r="H99" s="184">
        <f ca="1">OFFSET(TblConstr[[#This Row],[Forest]],-1,0)+TblConstr[[#This Row],[Ch_Forest]]</f>
        <v>20</v>
      </c>
      <c r="I99" s="384">
        <f ca="1">OFFSET(TblConstr[[#This Row],[Mountain]],-1,0)+TblConstr[[#This Row],[Ch_Mountain]]</f>
        <v>20</v>
      </c>
      <c r="J99" s="388">
        <f ca="1">OFFSET(TblConstr[[#This Row],[Hill]],-1,0)+TblConstr[[#This Row],[Ch_Hill]]</f>
        <v>20</v>
      </c>
      <c r="K99" s="392">
        <f ca="1">OFFSET(TblConstr[[#This Row],[Swamp]],-1,0)+TblConstr[[#This Row],[Ch_Swamp]]</f>
        <v>20</v>
      </c>
      <c r="L99" s="187">
        <f ca="1">OFFSET(TblConstr[[#This Row],[Cavern]],-1,0)+TblConstr[[#This Row],[Ch_Cavern]]</f>
        <v>20</v>
      </c>
      <c r="M99" s="188">
        <f ca="1">OFFSET(TblConstr[[#This Row],[Water]],-1,0)+TblConstr[[#This Row],[Ch_Water]]</f>
        <v>20</v>
      </c>
      <c r="N99" s="382">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45735.958333333103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642048</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6">
        <f ca="1">ROUNDDOWN( MAX(1 - MIN(facs_constr_factor*TblConstr[[#This Row],[Facs -DB]],facs_constr_max) + tech_1_11*TblTech[[#This Row],[11-1]] + tech_6_3_2*TblTech[[#This Row],[6-3]] + tech_5_2_3*TblTech[[#This Row],[5-2]], 1-global_constr_cap) * TblConstr[[#This Row],[RCPA Lumber]],0)</f>
        <v>88</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6">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ROUND((TblConstr[[#This Row],[Land]]-250 - IF(TblExplore[[#This Row],[Land Bonus]]&lt;&gt;0,20,0))*1.25 + 850 + 0,0)</f>
        <v>850</v>
      </c>
      <c r="AW99" s="96">
        <f ca="1">ROUND((TblConstr[[#This Row],[Land]]-250 - IF(TblExplore[[#This Row],[Land Bonus]]&lt;&gt;0,20,0))*0.285 + 87.5 + 0/4.25,0)</f>
        <v>88</v>
      </c>
      <c r="AX99" s="156"/>
      <c r="AY99" s="190" cm="1">
        <f t="array" aca="1" ref="AY99" ca="1">IF(TblConstr[[#This Row],[Hour]:[Hour]]&gt;12,OFFSET(TblConstr[[#This Row],[Hom]],-12,0),0)+OFFSET(TblConstr[[#This Row],[Tot Hom]],-1,0)-TblConstr[[#This Row],[Dest Hom]]</f>
        <v>10</v>
      </c>
      <c r="AZ99" s="191" cm="1">
        <f t="array" aca="1" ref="AZ99" ca="1">IF(TblConstr[[#This Row],[Hour]:[Hour]]&gt;12,OFFSET(TblConstr[[#This Row],[Alc]],-12,0),0)+OFFSET(TblConstr[[#This Row],[Tot Alc]],-1,0)-TblConstr[[#This Row],[Dest Alc]]</f>
        <v>30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86" cm="1">
        <f t="array" aca="1" ref="BF99" ca="1">IF(TblConstr[[#This Row],[Hour]:[Hour]]&gt;12,OFFSET(TblConstr[[#This Row],[OM]],-12,0),0)+OFFSET(TblConstr[[#This Row],[Tot OM]],-1,0)-TblConstr[[#This Row],[Dest OM]]</f>
        <v>0</v>
      </c>
      <c r="BG99" s="386" cm="1">
        <f t="array" aca="1" ref="BG99" ca="1">IF(TblConstr[[#This Row],[Hour]:[Hour]]&gt;12,OFFSET(TblConstr[[#This Row],[GN]],-12,0),0)+OFFSET(TblConstr[[#This Row],[Tot GN]],-1,0)-TblConstr[[#This Row],[Dest GN]]</f>
        <v>0</v>
      </c>
      <c r="BH99" s="390" cm="1">
        <f t="array" aca="1" ref="BH99" ca="1">IF(TblConstr[[#This Row],[Hour]:[Hour]]&gt;12,OFFSET(TblConstr[[#This Row],[Fac]],-12,0),0)+OFFSET(TblConstr[[#This Row],[Tot Fac]],-1,0)-TblConstr[[#This Row],[Dest Fac]]</f>
        <v>0</v>
      </c>
      <c r="BI99" s="390" cm="1">
        <f t="array" aca="1" ref="BI99" ca="1">IF(TblConstr[[#This Row],[Hour]:[Hour]]&gt;12,OFFSET(TblConstr[[#This Row],[GT]],-12,0),0)+OFFSET(TblConstr[[#This Row],[Tot GT]],-1,0)-TblConstr[[#This Row],[Dest GT]]</f>
        <v>0</v>
      </c>
      <c r="BJ99" s="390" cm="1">
        <f t="array" aca="1" ref="BJ99" ca="1">IF(TblConstr[[#This Row],[Hour]:[Hour]]&gt;12,OFFSET(TblConstr[[#This Row],[Bar]],-12,0),0)+OFFSET(TblConstr[[#This Row],[Tot Bar]],-1,0)-TblConstr[[#This Row],[Dest Bar]]</f>
        <v>0</v>
      </c>
      <c r="BK99" s="390" cm="1">
        <f t="array" aca="1" ref="BK99" ca="1">IF(TblConstr[[#This Row],[Hour]:[Hour]]&gt;12,OFFSET(TblConstr[[#This Row],[Shr]],-12,0),0)+OFFSET(TblConstr[[#This Row],[Tot Shr]],-1,0)-TblConstr[[#This Row],[Dest Shr]]</f>
        <v>0</v>
      </c>
      <c r="BL99" s="394" cm="1">
        <f t="array" aca="1" ref="BL99" ca="1">IF(TblConstr[[#This Row],[Hour]:[Hour]]&gt;12,OFFSET(TblConstr[[#This Row],[Tow]],-12,0),0)+OFFSET(TblConstr[[#This Row],[Tot Tow]],-1,0)-TblConstr[[#This Row],[Dest Tow]]</f>
        <v>0</v>
      </c>
      <c r="BM99" s="394" cm="1">
        <f t="array" aca="1" ref="BM99" ca="1">IF(TblConstr[[#This Row],[Hour]:[Hour]]&gt;12,OFFSET(TblConstr[[#This Row],[Tem]],-12,0),0)+OFFSET(TblConstr[[#This Row],[Tot Tem]],-1,0)-TblConstr[[#This Row],[Dest Tem]]</f>
        <v>0</v>
      </c>
      <c r="BN99" s="394"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250</v>
      </c>
      <c r="BU99" s="161">
        <f ca="1">TblImps[[#This Row],[Time]]</f>
        <v>45735.958333333103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84">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100</v>
      </c>
      <c r="DA99" s="96">
        <f t="shared" ca="1" si="24"/>
        <v>40</v>
      </c>
      <c r="DB99" s="45">
        <f t="shared" ca="1" si="25"/>
        <v>20</v>
      </c>
      <c r="DC99" s="96">
        <f t="shared" ca="1" si="26"/>
        <v>20</v>
      </c>
      <c r="DD99" s="96">
        <f t="shared" ca="1" si="27"/>
        <v>20</v>
      </c>
      <c r="DE99" s="45">
        <f t="shared" ca="1" si="28"/>
        <v>20</v>
      </c>
      <c r="DF99" s="96">
        <f t="shared" ca="1" si="29"/>
        <v>20</v>
      </c>
      <c r="DG99" s="96"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7">
        <f>TblRezone[[#This Row],[Hour]]</f>
        <v>97</v>
      </c>
      <c r="B100" s="178">
        <f ca="1">SUM(TblConstr[[#This Row],[Plain]:[Water]])</f>
        <v>160</v>
      </c>
      <c r="C100" s="179">
        <f ca="1">SUM(TblConstr[[#This Row],[Tot Hom]:[Tot Doc]])</f>
        <v>90</v>
      </c>
      <c r="D100" s="179">
        <f t="shared" si="21"/>
        <v>0</v>
      </c>
      <c r="E100" s="180"/>
      <c r="F100" s="61">
        <f ca="1">TblConstr[[#This Row],[Barren]]+TblConstr[[#This Row],[Buildings]]+TblConstr[[#This Row],[Incoming]]</f>
        <v>250</v>
      </c>
      <c r="G100" s="189">
        <f ca="1">OFFSET(TblConstr[[#This Row],[Plain]],-1,0)+TblConstr[[#This Row],[Ch_Plain]]</f>
        <v>40</v>
      </c>
      <c r="H100" s="184">
        <f ca="1">OFFSET(TblConstr[[#This Row],[Forest]],-1,0)+TblConstr[[#This Row],[Ch_Forest]]</f>
        <v>20</v>
      </c>
      <c r="I100" s="384">
        <f ca="1">OFFSET(TblConstr[[#This Row],[Mountain]],-1,0)+TblConstr[[#This Row],[Ch_Mountain]]</f>
        <v>20</v>
      </c>
      <c r="J100" s="388">
        <f ca="1">OFFSET(TblConstr[[#This Row],[Hill]],-1,0)+TblConstr[[#This Row],[Ch_Hill]]</f>
        <v>20</v>
      </c>
      <c r="K100" s="392">
        <f ca="1">OFFSET(TblConstr[[#This Row],[Swamp]],-1,0)+TblConstr[[#This Row],[Ch_Swamp]]</f>
        <v>20</v>
      </c>
      <c r="L100" s="187">
        <f ca="1">OFFSET(TblConstr[[#This Row],[Cavern]],-1,0)+TblConstr[[#This Row],[Ch_Cavern]]</f>
        <v>20</v>
      </c>
      <c r="M100" s="188">
        <f ca="1">OFFSET(TblConstr[[#This Row],[Water]],-1,0)+TblConstr[[#This Row],[Ch_Water]]</f>
        <v>20</v>
      </c>
      <c r="N100" s="382">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45735.999999999767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647534</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6">
        <f ca="1">ROUNDDOWN( MAX(1 - MIN(facs_constr_factor*TblConstr[[#This Row],[Facs -DB]],facs_constr_max) + tech_1_11*TblTech[[#This Row],[11-1]] + tech_6_3_2*TblTech[[#This Row],[6-3]] + tech_5_2_3*TblTech[[#This Row],[5-2]], 1-global_constr_cap) * TblConstr[[#This Row],[RCPA Lumber]],0)</f>
        <v>88</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6">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ROUND((TblConstr[[#This Row],[Land]]-250 - IF(TblExplore[[#This Row],[Land Bonus]]&lt;&gt;0,20,0))*1.25 + 850 + 0,0)</f>
        <v>850</v>
      </c>
      <c r="AW100" s="96">
        <f ca="1">ROUND((TblConstr[[#This Row],[Land]]-250 - IF(TblExplore[[#This Row],[Land Bonus]]&lt;&gt;0,20,0))*0.285 + 87.5 + 0/4.25,0)</f>
        <v>88</v>
      </c>
      <c r="AX100" s="156"/>
      <c r="AY100" s="190" cm="1">
        <f t="array" aca="1" ref="AY100" ca="1">IF(TblConstr[[#This Row],[Hour]:[Hour]]&gt;12,OFFSET(TblConstr[[#This Row],[Hom]],-12,0),0)+OFFSET(TblConstr[[#This Row],[Tot Hom]],-1,0)-TblConstr[[#This Row],[Dest Hom]]</f>
        <v>10</v>
      </c>
      <c r="AZ100" s="191" cm="1">
        <f t="array" aca="1" ref="AZ100" ca="1">IF(TblConstr[[#This Row],[Hour]:[Hour]]&gt;12,OFFSET(TblConstr[[#This Row],[Alc]],-12,0),0)+OFFSET(TblConstr[[#This Row],[Tot Alc]],-1,0)-TblConstr[[#This Row],[Dest Alc]]</f>
        <v>30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86" cm="1">
        <f t="array" aca="1" ref="BF100" ca="1">IF(TblConstr[[#This Row],[Hour]:[Hour]]&gt;12,OFFSET(TblConstr[[#This Row],[OM]],-12,0),0)+OFFSET(TblConstr[[#This Row],[Tot OM]],-1,0)-TblConstr[[#This Row],[Dest OM]]</f>
        <v>0</v>
      </c>
      <c r="BG100" s="386" cm="1">
        <f t="array" aca="1" ref="BG100" ca="1">IF(TblConstr[[#This Row],[Hour]:[Hour]]&gt;12,OFFSET(TblConstr[[#This Row],[GN]],-12,0),0)+OFFSET(TblConstr[[#This Row],[Tot GN]],-1,0)-TblConstr[[#This Row],[Dest GN]]</f>
        <v>0</v>
      </c>
      <c r="BH100" s="390" cm="1">
        <f t="array" aca="1" ref="BH100" ca="1">IF(TblConstr[[#This Row],[Hour]:[Hour]]&gt;12,OFFSET(TblConstr[[#This Row],[Fac]],-12,0),0)+OFFSET(TblConstr[[#This Row],[Tot Fac]],-1,0)-TblConstr[[#This Row],[Dest Fac]]</f>
        <v>0</v>
      </c>
      <c r="BI100" s="390" cm="1">
        <f t="array" aca="1" ref="BI100" ca="1">IF(TblConstr[[#This Row],[Hour]:[Hour]]&gt;12,OFFSET(TblConstr[[#This Row],[GT]],-12,0),0)+OFFSET(TblConstr[[#This Row],[Tot GT]],-1,0)-TblConstr[[#This Row],[Dest GT]]</f>
        <v>0</v>
      </c>
      <c r="BJ100" s="390" cm="1">
        <f t="array" aca="1" ref="BJ100" ca="1">IF(TblConstr[[#This Row],[Hour]:[Hour]]&gt;12,OFFSET(TblConstr[[#This Row],[Bar]],-12,0),0)+OFFSET(TblConstr[[#This Row],[Tot Bar]],-1,0)-TblConstr[[#This Row],[Dest Bar]]</f>
        <v>0</v>
      </c>
      <c r="BK100" s="390" cm="1">
        <f t="array" aca="1" ref="BK100" ca="1">IF(TblConstr[[#This Row],[Hour]:[Hour]]&gt;12,OFFSET(TblConstr[[#This Row],[Shr]],-12,0),0)+OFFSET(TblConstr[[#This Row],[Tot Shr]],-1,0)-TblConstr[[#This Row],[Dest Shr]]</f>
        <v>0</v>
      </c>
      <c r="BL100" s="394" cm="1">
        <f t="array" aca="1" ref="BL100" ca="1">IF(TblConstr[[#This Row],[Hour]:[Hour]]&gt;12,OFFSET(TblConstr[[#This Row],[Tow]],-12,0),0)+OFFSET(TblConstr[[#This Row],[Tot Tow]],-1,0)-TblConstr[[#This Row],[Dest Tow]]</f>
        <v>0</v>
      </c>
      <c r="BM100" s="394" cm="1">
        <f t="array" aca="1" ref="BM100" ca="1">IF(TblConstr[[#This Row],[Hour]:[Hour]]&gt;12,OFFSET(TblConstr[[#This Row],[Tem]],-12,0),0)+OFFSET(TblConstr[[#This Row],[Tot Tem]],-1,0)-TblConstr[[#This Row],[Dest Tem]]</f>
        <v>0</v>
      </c>
      <c r="BN100" s="394"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250</v>
      </c>
      <c r="BU100" s="161">
        <f ca="1">TblImps[[#This Row],[Time]]</f>
        <v>45735.999999999767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84">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100</v>
      </c>
      <c r="DA100" s="96">
        <f t="shared" ca="1" si="24"/>
        <v>40</v>
      </c>
      <c r="DB100" s="45">
        <f t="shared" ca="1" si="25"/>
        <v>20</v>
      </c>
      <c r="DC100" s="96">
        <f t="shared" ca="1" si="26"/>
        <v>20</v>
      </c>
      <c r="DD100" s="96">
        <f t="shared" ca="1" si="27"/>
        <v>20</v>
      </c>
      <c r="DE100" s="45">
        <f t="shared" ca="1" si="28"/>
        <v>20</v>
      </c>
      <c r="DF100" s="96">
        <f t="shared" ca="1" si="29"/>
        <v>20</v>
      </c>
      <c r="DG100" s="96"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7">
        <f>TblRezone[[#This Row],[Hour]]</f>
        <v>98</v>
      </c>
      <c r="B101" s="178">
        <f ca="1">SUM(TblConstr[[#This Row],[Plain]:[Water]])</f>
        <v>160</v>
      </c>
      <c r="C101" s="179">
        <f ca="1">SUM(TblConstr[[#This Row],[Tot Hom]:[Tot Doc]])</f>
        <v>90</v>
      </c>
      <c r="D101" s="179">
        <f t="shared" si="21"/>
        <v>0</v>
      </c>
      <c r="E101" s="180"/>
      <c r="F101" s="61">
        <f ca="1">TblConstr[[#This Row],[Barren]]+TblConstr[[#This Row],[Buildings]]+TblConstr[[#This Row],[Incoming]]</f>
        <v>250</v>
      </c>
      <c r="G101" s="189">
        <f ca="1">OFFSET(TblConstr[[#This Row],[Plain]],-1,0)+TblConstr[[#This Row],[Ch_Plain]]</f>
        <v>40</v>
      </c>
      <c r="H101" s="184">
        <f ca="1">OFFSET(TblConstr[[#This Row],[Forest]],-1,0)+TblConstr[[#This Row],[Ch_Forest]]</f>
        <v>20</v>
      </c>
      <c r="I101" s="384">
        <f ca="1">OFFSET(TblConstr[[#This Row],[Mountain]],-1,0)+TblConstr[[#This Row],[Ch_Mountain]]</f>
        <v>20</v>
      </c>
      <c r="J101" s="388">
        <f ca="1">OFFSET(TblConstr[[#This Row],[Hill]],-1,0)+TblConstr[[#This Row],[Ch_Hill]]</f>
        <v>20</v>
      </c>
      <c r="K101" s="392">
        <f ca="1">OFFSET(TblConstr[[#This Row],[Swamp]],-1,0)+TblConstr[[#This Row],[Ch_Swamp]]</f>
        <v>20</v>
      </c>
      <c r="L101" s="187">
        <f ca="1">OFFSET(TblConstr[[#This Row],[Cavern]],-1,0)+TblConstr[[#This Row],[Ch_Cavern]]</f>
        <v>20</v>
      </c>
      <c r="M101" s="188">
        <f ca="1">OFFSET(TblConstr[[#This Row],[Water]],-1,0)+TblConstr[[#This Row],[Ch_Water]]</f>
        <v>20</v>
      </c>
      <c r="N101" s="382">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45736.041666666431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653020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6">
        <f ca="1">ROUNDDOWN( MAX(1 - MIN(facs_constr_factor*TblConstr[[#This Row],[Facs -DB]],facs_constr_max) + tech_1_11*TblTech[[#This Row],[11-1]] + tech_6_3_2*TblTech[[#This Row],[6-3]] + tech_5_2_3*TblTech[[#This Row],[5-2]], 1-global_constr_cap) * TblConstr[[#This Row],[RCPA Lumber]],0)</f>
        <v>88</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6">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ROUND((TblConstr[[#This Row],[Land]]-250 - IF(TblExplore[[#This Row],[Land Bonus]]&lt;&gt;0,20,0))*1.25 + 850 + 0,0)</f>
        <v>850</v>
      </c>
      <c r="AW101" s="96">
        <f ca="1">ROUND((TblConstr[[#This Row],[Land]]-250 - IF(TblExplore[[#This Row],[Land Bonus]]&lt;&gt;0,20,0))*0.285 + 87.5 + 0/4.25,0)</f>
        <v>88</v>
      </c>
      <c r="AX101" s="156"/>
      <c r="AY101" s="190" cm="1">
        <f t="array" aca="1" ref="AY101" ca="1">IF(TblConstr[[#This Row],[Hour]:[Hour]]&gt;12,OFFSET(TblConstr[[#This Row],[Hom]],-12,0),0)+OFFSET(TblConstr[[#This Row],[Tot Hom]],-1,0)-TblConstr[[#This Row],[Dest Hom]]</f>
        <v>10</v>
      </c>
      <c r="AZ101" s="191" cm="1">
        <f t="array" aca="1" ref="AZ101" ca="1">IF(TblConstr[[#This Row],[Hour]:[Hour]]&gt;12,OFFSET(TblConstr[[#This Row],[Alc]],-12,0),0)+OFFSET(TblConstr[[#This Row],[Tot Alc]],-1,0)-TblConstr[[#This Row],[Dest Alc]]</f>
        <v>30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86" cm="1">
        <f t="array" aca="1" ref="BF101" ca="1">IF(TblConstr[[#This Row],[Hour]:[Hour]]&gt;12,OFFSET(TblConstr[[#This Row],[OM]],-12,0),0)+OFFSET(TblConstr[[#This Row],[Tot OM]],-1,0)-TblConstr[[#This Row],[Dest OM]]</f>
        <v>0</v>
      </c>
      <c r="BG101" s="386" cm="1">
        <f t="array" aca="1" ref="BG101" ca="1">IF(TblConstr[[#This Row],[Hour]:[Hour]]&gt;12,OFFSET(TblConstr[[#This Row],[GN]],-12,0),0)+OFFSET(TblConstr[[#This Row],[Tot GN]],-1,0)-TblConstr[[#This Row],[Dest GN]]</f>
        <v>0</v>
      </c>
      <c r="BH101" s="390" cm="1">
        <f t="array" aca="1" ref="BH101" ca="1">IF(TblConstr[[#This Row],[Hour]:[Hour]]&gt;12,OFFSET(TblConstr[[#This Row],[Fac]],-12,0),0)+OFFSET(TblConstr[[#This Row],[Tot Fac]],-1,0)-TblConstr[[#This Row],[Dest Fac]]</f>
        <v>0</v>
      </c>
      <c r="BI101" s="390" cm="1">
        <f t="array" aca="1" ref="BI101" ca="1">IF(TblConstr[[#This Row],[Hour]:[Hour]]&gt;12,OFFSET(TblConstr[[#This Row],[GT]],-12,0),0)+OFFSET(TblConstr[[#This Row],[Tot GT]],-1,0)-TblConstr[[#This Row],[Dest GT]]</f>
        <v>0</v>
      </c>
      <c r="BJ101" s="390" cm="1">
        <f t="array" aca="1" ref="BJ101" ca="1">IF(TblConstr[[#This Row],[Hour]:[Hour]]&gt;12,OFFSET(TblConstr[[#This Row],[Bar]],-12,0),0)+OFFSET(TblConstr[[#This Row],[Tot Bar]],-1,0)-TblConstr[[#This Row],[Dest Bar]]</f>
        <v>0</v>
      </c>
      <c r="BK101" s="390" cm="1">
        <f t="array" aca="1" ref="BK101" ca="1">IF(TblConstr[[#This Row],[Hour]:[Hour]]&gt;12,OFFSET(TblConstr[[#This Row],[Shr]],-12,0),0)+OFFSET(TblConstr[[#This Row],[Tot Shr]],-1,0)-TblConstr[[#This Row],[Dest Shr]]</f>
        <v>0</v>
      </c>
      <c r="BL101" s="394" cm="1">
        <f t="array" aca="1" ref="BL101" ca="1">IF(TblConstr[[#This Row],[Hour]:[Hour]]&gt;12,OFFSET(TblConstr[[#This Row],[Tow]],-12,0),0)+OFFSET(TblConstr[[#This Row],[Tot Tow]],-1,0)-TblConstr[[#This Row],[Dest Tow]]</f>
        <v>0</v>
      </c>
      <c r="BM101" s="394" cm="1">
        <f t="array" aca="1" ref="BM101" ca="1">IF(TblConstr[[#This Row],[Hour]:[Hour]]&gt;12,OFFSET(TblConstr[[#This Row],[Tem]],-12,0),0)+OFFSET(TblConstr[[#This Row],[Tot Tem]],-1,0)-TblConstr[[#This Row],[Dest Tem]]</f>
        <v>0</v>
      </c>
      <c r="BN101" s="394"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250</v>
      </c>
      <c r="BU101" s="161">
        <f ca="1">TblImps[[#This Row],[Time]]</f>
        <v>45736.041666666431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84">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100</v>
      </c>
      <c r="DA101" s="96">
        <f t="shared" ca="1" si="24"/>
        <v>40</v>
      </c>
      <c r="DB101" s="45">
        <f t="shared" ca="1" si="25"/>
        <v>20</v>
      </c>
      <c r="DC101" s="96">
        <f t="shared" ca="1" si="26"/>
        <v>20</v>
      </c>
      <c r="DD101" s="96">
        <f t="shared" ca="1" si="27"/>
        <v>20</v>
      </c>
      <c r="DE101" s="45">
        <f t="shared" ca="1" si="28"/>
        <v>20</v>
      </c>
      <c r="DF101" s="96">
        <f t="shared" ca="1" si="29"/>
        <v>20</v>
      </c>
      <c r="DG101" s="96"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7">
        <f>TblRezone[[#This Row],[Hour]]</f>
        <v>99</v>
      </c>
      <c r="B102" s="178">
        <f ca="1">SUM(TblConstr[[#This Row],[Plain]:[Water]])</f>
        <v>160</v>
      </c>
      <c r="C102" s="179">
        <f ca="1">SUM(TblConstr[[#This Row],[Tot Hom]:[Tot Doc]])</f>
        <v>90</v>
      </c>
      <c r="D102" s="179">
        <f t="shared" si="21"/>
        <v>0</v>
      </c>
      <c r="E102" s="180"/>
      <c r="F102" s="61">
        <f ca="1">TblConstr[[#This Row],[Barren]]+TblConstr[[#This Row],[Buildings]]+TblConstr[[#This Row],[Incoming]]</f>
        <v>250</v>
      </c>
      <c r="G102" s="189">
        <f ca="1">OFFSET(TblConstr[[#This Row],[Plain]],-1,0)+TblConstr[[#This Row],[Ch_Plain]]</f>
        <v>40</v>
      </c>
      <c r="H102" s="184">
        <f ca="1">OFFSET(TblConstr[[#This Row],[Forest]],-1,0)+TblConstr[[#This Row],[Ch_Forest]]</f>
        <v>20</v>
      </c>
      <c r="I102" s="384">
        <f ca="1">OFFSET(TblConstr[[#This Row],[Mountain]],-1,0)+TblConstr[[#This Row],[Ch_Mountain]]</f>
        <v>20</v>
      </c>
      <c r="J102" s="388">
        <f ca="1">OFFSET(TblConstr[[#This Row],[Hill]],-1,0)+TblConstr[[#This Row],[Ch_Hill]]</f>
        <v>20</v>
      </c>
      <c r="K102" s="392">
        <f ca="1">OFFSET(TblConstr[[#This Row],[Swamp]],-1,0)+TblConstr[[#This Row],[Ch_Swamp]]</f>
        <v>20</v>
      </c>
      <c r="L102" s="187">
        <f ca="1">OFFSET(TblConstr[[#This Row],[Cavern]],-1,0)+TblConstr[[#This Row],[Ch_Cavern]]</f>
        <v>20</v>
      </c>
      <c r="M102" s="188">
        <f ca="1">OFFSET(TblConstr[[#This Row],[Water]],-1,0)+TblConstr[[#This Row],[Ch_Water]]</f>
        <v>20</v>
      </c>
      <c r="N102" s="382">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45736.083333333096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658506</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6">
        <f ca="1">ROUNDDOWN( MAX(1 - MIN(facs_constr_factor*TblConstr[[#This Row],[Facs -DB]],facs_constr_max) + tech_1_11*TblTech[[#This Row],[11-1]] + tech_6_3_2*TblTech[[#This Row],[6-3]] + tech_5_2_3*TblTech[[#This Row],[5-2]], 1-global_constr_cap) * TblConstr[[#This Row],[RCPA Lumber]],0)</f>
        <v>88</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6">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ROUND((TblConstr[[#This Row],[Land]]-250 - IF(TblExplore[[#This Row],[Land Bonus]]&lt;&gt;0,20,0))*1.25 + 850 + 0,0)</f>
        <v>850</v>
      </c>
      <c r="AW102" s="96">
        <f ca="1">ROUND((TblConstr[[#This Row],[Land]]-250 - IF(TblExplore[[#This Row],[Land Bonus]]&lt;&gt;0,20,0))*0.285 + 87.5 + 0/4.25,0)</f>
        <v>88</v>
      </c>
      <c r="AX102" s="156"/>
      <c r="AY102" s="190" cm="1">
        <f t="array" aca="1" ref="AY102" ca="1">IF(TblConstr[[#This Row],[Hour]:[Hour]]&gt;12,OFFSET(TblConstr[[#This Row],[Hom]],-12,0),0)+OFFSET(TblConstr[[#This Row],[Tot Hom]],-1,0)-TblConstr[[#This Row],[Dest Hom]]</f>
        <v>10</v>
      </c>
      <c r="AZ102" s="191" cm="1">
        <f t="array" aca="1" ref="AZ102" ca="1">IF(TblConstr[[#This Row],[Hour]:[Hour]]&gt;12,OFFSET(TblConstr[[#This Row],[Alc]],-12,0),0)+OFFSET(TblConstr[[#This Row],[Tot Alc]],-1,0)-TblConstr[[#This Row],[Dest Alc]]</f>
        <v>30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86" cm="1">
        <f t="array" aca="1" ref="BF102" ca="1">IF(TblConstr[[#This Row],[Hour]:[Hour]]&gt;12,OFFSET(TblConstr[[#This Row],[OM]],-12,0),0)+OFFSET(TblConstr[[#This Row],[Tot OM]],-1,0)-TblConstr[[#This Row],[Dest OM]]</f>
        <v>0</v>
      </c>
      <c r="BG102" s="386" cm="1">
        <f t="array" aca="1" ref="BG102" ca="1">IF(TblConstr[[#This Row],[Hour]:[Hour]]&gt;12,OFFSET(TblConstr[[#This Row],[GN]],-12,0),0)+OFFSET(TblConstr[[#This Row],[Tot GN]],-1,0)-TblConstr[[#This Row],[Dest GN]]</f>
        <v>0</v>
      </c>
      <c r="BH102" s="390" cm="1">
        <f t="array" aca="1" ref="BH102" ca="1">IF(TblConstr[[#This Row],[Hour]:[Hour]]&gt;12,OFFSET(TblConstr[[#This Row],[Fac]],-12,0),0)+OFFSET(TblConstr[[#This Row],[Tot Fac]],-1,0)-TblConstr[[#This Row],[Dest Fac]]</f>
        <v>0</v>
      </c>
      <c r="BI102" s="390" cm="1">
        <f t="array" aca="1" ref="BI102" ca="1">IF(TblConstr[[#This Row],[Hour]:[Hour]]&gt;12,OFFSET(TblConstr[[#This Row],[GT]],-12,0),0)+OFFSET(TblConstr[[#This Row],[Tot GT]],-1,0)-TblConstr[[#This Row],[Dest GT]]</f>
        <v>0</v>
      </c>
      <c r="BJ102" s="390" cm="1">
        <f t="array" aca="1" ref="BJ102" ca="1">IF(TblConstr[[#This Row],[Hour]:[Hour]]&gt;12,OFFSET(TblConstr[[#This Row],[Bar]],-12,0),0)+OFFSET(TblConstr[[#This Row],[Tot Bar]],-1,0)-TblConstr[[#This Row],[Dest Bar]]</f>
        <v>0</v>
      </c>
      <c r="BK102" s="390" cm="1">
        <f t="array" aca="1" ref="BK102" ca="1">IF(TblConstr[[#This Row],[Hour]:[Hour]]&gt;12,OFFSET(TblConstr[[#This Row],[Shr]],-12,0),0)+OFFSET(TblConstr[[#This Row],[Tot Shr]],-1,0)-TblConstr[[#This Row],[Dest Shr]]</f>
        <v>0</v>
      </c>
      <c r="BL102" s="394" cm="1">
        <f t="array" aca="1" ref="BL102" ca="1">IF(TblConstr[[#This Row],[Hour]:[Hour]]&gt;12,OFFSET(TblConstr[[#This Row],[Tow]],-12,0),0)+OFFSET(TblConstr[[#This Row],[Tot Tow]],-1,0)-TblConstr[[#This Row],[Dest Tow]]</f>
        <v>0</v>
      </c>
      <c r="BM102" s="394" cm="1">
        <f t="array" aca="1" ref="BM102" ca="1">IF(TblConstr[[#This Row],[Hour]:[Hour]]&gt;12,OFFSET(TblConstr[[#This Row],[Tem]],-12,0),0)+OFFSET(TblConstr[[#This Row],[Tot Tem]],-1,0)-TblConstr[[#This Row],[Dest Tem]]</f>
        <v>0</v>
      </c>
      <c r="BN102" s="394"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250</v>
      </c>
      <c r="BU102" s="161">
        <f ca="1">TblImps[[#This Row],[Time]]</f>
        <v>45736.083333333096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84">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100</v>
      </c>
      <c r="DA102" s="96">
        <f t="shared" ca="1" si="24"/>
        <v>40</v>
      </c>
      <c r="DB102" s="45">
        <f t="shared" ca="1" si="25"/>
        <v>20</v>
      </c>
      <c r="DC102" s="96">
        <f t="shared" ca="1" si="26"/>
        <v>20</v>
      </c>
      <c r="DD102" s="96">
        <f t="shared" ca="1" si="27"/>
        <v>20</v>
      </c>
      <c r="DE102" s="45">
        <f t="shared" ca="1" si="28"/>
        <v>20</v>
      </c>
      <c r="DF102" s="96">
        <f t="shared" ca="1" si="29"/>
        <v>20</v>
      </c>
      <c r="DG102" s="96"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7">
        <f>TblRezone[[#This Row],[Hour]]</f>
        <v>100</v>
      </c>
      <c r="B103" s="178">
        <f ca="1">SUM(TblConstr[[#This Row],[Plain]:[Water]])</f>
        <v>160</v>
      </c>
      <c r="C103" s="179">
        <f ca="1">SUM(TblConstr[[#This Row],[Tot Hom]:[Tot Doc]])</f>
        <v>90</v>
      </c>
      <c r="D103" s="179">
        <f t="shared" si="21"/>
        <v>0</v>
      </c>
      <c r="E103" s="180"/>
      <c r="F103" s="61">
        <f ca="1">TblConstr[[#This Row],[Barren]]+TblConstr[[#This Row],[Buildings]]+TblConstr[[#This Row],[Incoming]]</f>
        <v>250</v>
      </c>
      <c r="G103" s="189">
        <f ca="1">OFFSET(TblConstr[[#This Row],[Plain]],-1,0)+TblConstr[[#This Row],[Ch_Plain]]</f>
        <v>40</v>
      </c>
      <c r="H103" s="184">
        <f ca="1">OFFSET(TblConstr[[#This Row],[Forest]],-1,0)+TblConstr[[#This Row],[Ch_Forest]]</f>
        <v>20</v>
      </c>
      <c r="I103" s="384">
        <f ca="1">OFFSET(TblConstr[[#This Row],[Mountain]],-1,0)+TblConstr[[#This Row],[Ch_Mountain]]</f>
        <v>20</v>
      </c>
      <c r="J103" s="388">
        <f ca="1">OFFSET(TblConstr[[#This Row],[Hill]],-1,0)+TblConstr[[#This Row],[Ch_Hill]]</f>
        <v>20</v>
      </c>
      <c r="K103" s="392">
        <f ca="1">OFFSET(TblConstr[[#This Row],[Swamp]],-1,0)+TblConstr[[#This Row],[Ch_Swamp]]</f>
        <v>20</v>
      </c>
      <c r="L103" s="187">
        <f ca="1">OFFSET(TblConstr[[#This Row],[Cavern]],-1,0)+TblConstr[[#This Row],[Ch_Cavern]]</f>
        <v>20</v>
      </c>
      <c r="M103" s="188">
        <f ca="1">OFFSET(TblConstr[[#This Row],[Water]],-1,0)+TblConstr[[#This Row],[Ch_Water]]</f>
        <v>20</v>
      </c>
      <c r="N103" s="382">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45736.12499999976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663992</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6">
        <f ca="1">ROUNDDOWN( MAX(1 - MIN(facs_constr_factor*TblConstr[[#This Row],[Facs -DB]],facs_constr_max) + tech_1_11*TblTech[[#This Row],[11-1]] + tech_6_3_2*TblTech[[#This Row],[6-3]] + tech_5_2_3*TblTech[[#This Row],[5-2]], 1-global_constr_cap) * TblConstr[[#This Row],[RCPA Lumber]],0)</f>
        <v>88</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6">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ROUND((TblConstr[[#This Row],[Land]]-250 - IF(TblExplore[[#This Row],[Land Bonus]]&lt;&gt;0,20,0))*1.25 + 850 + 0,0)</f>
        <v>850</v>
      </c>
      <c r="AW103" s="96">
        <f ca="1">ROUND((TblConstr[[#This Row],[Land]]-250 - IF(TblExplore[[#This Row],[Land Bonus]]&lt;&gt;0,20,0))*0.285 + 87.5 + 0/4.25,0)</f>
        <v>88</v>
      </c>
      <c r="AX103" s="156"/>
      <c r="AY103" s="190" cm="1">
        <f t="array" aca="1" ref="AY103" ca="1">IF(TblConstr[[#This Row],[Hour]:[Hour]]&gt;12,OFFSET(TblConstr[[#This Row],[Hom]],-12,0),0)+OFFSET(TblConstr[[#This Row],[Tot Hom]],-1,0)-TblConstr[[#This Row],[Dest Hom]]</f>
        <v>10</v>
      </c>
      <c r="AZ103" s="191" cm="1">
        <f t="array" aca="1" ref="AZ103" ca="1">IF(TblConstr[[#This Row],[Hour]:[Hour]]&gt;12,OFFSET(TblConstr[[#This Row],[Alc]],-12,0),0)+OFFSET(TblConstr[[#This Row],[Tot Alc]],-1,0)-TblConstr[[#This Row],[Dest Alc]]</f>
        <v>30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86" cm="1">
        <f t="array" aca="1" ref="BF103" ca="1">IF(TblConstr[[#This Row],[Hour]:[Hour]]&gt;12,OFFSET(TblConstr[[#This Row],[OM]],-12,0),0)+OFFSET(TblConstr[[#This Row],[Tot OM]],-1,0)-TblConstr[[#This Row],[Dest OM]]</f>
        <v>0</v>
      </c>
      <c r="BG103" s="386" cm="1">
        <f t="array" aca="1" ref="BG103" ca="1">IF(TblConstr[[#This Row],[Hour]:[Hour]]&gt;12,OFFSET(TblConstr[[#This Row],[GN]],-12,0),0)+OFFSET(TblConstr[[#This Row],[Tot GN]],-1,0)-TblConstr[[#This Row],[Dest GN]]</f>
        <v>0</v>
      </c>
      <c r="BH103" s="390" cm="1">
        <f t="array" aca="1" ref="BH103" ca="1">IF(TblConstr[[#This Row],[Hour]:[Hour]]&gt;12,OFFSET(TblConstr[[#This Row],[Fac]],-12,0),0)+OFFSET(TblConstr[[#This Row],[Tot Fac]],-1,0)-TblConstr[[#This Row],[Dest Fac]]</f>
        <v>0</v>
      </c>
      <c r="BI103" s="390" cm="1">
        <f t="array" aca="1" ref="BI103" ca="1">IF(TblConstr[[#This Row],[Hour]:[Hour]]&gt;12,OFFSET(TblConstr[[#This Row],[GT]],-12,0),0)+OFFSET(TblConstr[[#This Row],[Tot GT]],-1,0)-TblConstr[[#This Row],[Dest GT]]</f>
        <v>0</v>
      </c>
      <c r="BJ103" s="390" cm="1">
        <f t="array" aca="1" ref="BJ103" ca="1">IF(TblConstr[[#This Row],[Hour]:[Hour]]&gt;12,OFFSET(TblConstr[[#This Row],[Bar]],-12,0),0)+OFFSET(TblConstr[[#This Row],[Tot Bar]],-1,0)-TblConstr[[#This Row],[Dest Bar]]</f>
        <v>0</v>
      </c>
      <c r="BK103" s="390" cm="1">
        <f t="array" aca="1" ref="BK103" ca="1">IF(TblConstr[[#This Row],[Hour]:[Hour]]&gt;12,OFFSET(TblConstr[[#This Row],[Shr]],-12,0),0)+OFFSET(TblConstr[[#This Row],[Tot Shr]],-1,0)-TblConstr[[#This Row],[Dest Shr]]</f>
        <v>0</v>
      </c>
      <c r="BL103" s="394" cm="1">
        <f t="array" aca="1" ref="BL103" ca="1">IF(TblConstr[[#This Row],[Hour]:[Hour]]&gt;12,OFFSET(TblConstr[[#This Row],[Tow]],-12,0),0)+OFFSET(TblConstr[[#This Row],[Tot Tow]],-1,0)-TblConstr[[#This Row],[Dest Tow]]</f>
        <v>0</v>
      </c>
      <c r="BM103" s="394" cm="1">
        <f t="array" aca="1" ref="BM103" ca="1">IF(TblConstr[[#This Row],[Hour]:[Hour]]&gt;12,OFFSET(TblConstr[[#This Row],[Tem]],-12,0),0)+OFFSET(TblConstr[[#This Row],[Tot Tem]],-1,0)-TblConstr[[#This Row],[Dest Tem]]</f>
        <v>0</v>
      </c>
      <c r="BN103" s="394"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250</v>
      </c>
      <c r="BU103" s="161">
        <f ca="1">TblImps[[#This Row],[Time]]</f>
        <v>45736.12499999976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84">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100</v>
      </c>
      <c r="DA103" s="96">
        <f t="shared" ca="1" si="24"/>
        <v>40</v>
      </c>
      <c r="DB103" s="45">
        <f t="shared" ca="1" si="25"/>
        <v>20</v>
      </c>
      <c r="DC103" s="96">
        <f t="shared" ca="1" si="26"/>
        <v>20</v>
      </c>
      <c r="DD103" s="96">
        <f t="shared" ca="1" si="27"/>
        <v>20</v>
      </c>
      <c r="DE103" s="45">
        <f t="shared" ca="1" si="28"/>
        <v>20</v>
      </c>
      <c r="DF103" s="96">
        <f t="shared" ca="1" si="29"/>
        <v>20</v>
      </c>
      <c r="DG103" s="96"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7">
        <f>TblRezone[[#This Row],[Hour]]</f>
        <v>101</v>
      </c>
      <c r="B104" s="178">
        <f ca="1">SUM(TblConstr[[#This Row],[Plain]:[Water]])</f>
        <v>160</v>
      </c>
      <c r="C104" s="179">
        <f ca="1">SUM(TblConstr[[#This Row],[Tot Hom]:[Tot Doc]])</f>
        <v>90</v>
      </c>
      <c r="D104" s="179">
        <f t="shared" si="21"/>
        <v>0</v>
      </c>
      <c r="E104" s="180"/>
      <c r="F104" s="61">
        <f ca="1">TblConstr[[#This Row],[Barren]]+TblConstr[[#This Row],[Buildings]]+TblConstr[[#This Row],[Incoming]]</f>
        <v>250</v>
      </c>
      <c r="G104" s="189">
        <f ca="1">OFFSET(TblConstr[[#This Row],[Plain]],-1,0)+TblConstr[[#This Row],[Ch_Plain]]</f>
        <v>40</v>
      </c>
      <c r="H104" s="184">
        <f ca="1">OFFSET(TblConstr[[#This Row],[Forest]],-1,0)+TblConstr[[#This Row],[Ch_Forest]]</f>
        <v>20</v>
      </c>
      <c r="I104" s="384">
        <f ca="1">OFFSET(TblConstr[[#This Row],[Mountain]],-1,0)+TblConstr[[#This Row],[Ch_Mountain]]</f>
        <v>20</v>
      </c>
      <c r="J104" s="388">
        <f ca="1">OFFSET(TblConstr[[#This Row],[Hill]],-1,0)+TblConstr[[#This Row],[Ch_Hill]]</f>
        <v>20</v>
      </c>
      <c r="K104" s="392">
        <f ca="1">OFFSET(TblConstr[[#This Row],[Swamp]],-1,0)+TblConstr[[#This Row],[Ch_Swamp]]</f>
        <v>20</v>
      </c>
      <c r="L104" s="187">
        <f ca="1">OFFSET(TblConstr[[#This Row],[Cavern]],-1,0)+TblConstr[[#This Row],[Ch_Cavern]]</f>
        <v>20</v>
      </c>
      <c r="M104" s="188">
        <f ca="1">OFFSET(TblConstr[[#This Row],[Water]],-1,0)+TblConstr[[#This Row],[Ch_Water]]</f>
        <v>20</v>
      </c>
      <c r="N104" s="382">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45736.166666666424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669478</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6">
        <f ca="1">ROUNDDOWN( MAX(1 - MIN(facs_constr_factor*TblConstr[[#This Row],[Facs -DB]],facs_constr_max) + tech_1_11*TblTech[[#This Row],[11-1]] + tech_6_3_2*TblTech[[#This Row],[6-3]] + tech_5_2_3*TblTech[[#This Row],[5-2]], 1-global_constr_cap) * TblConstr[[#This Row],[RCPA Lumber]],0)</f>
        <v>88</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6">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ROUND((TblConstr[[#This Row],[Land]]-250 - IF(TblExplore[[#This Row],[Land Bonus]]&lt;&gt;0,20,0))*1.25 + 850 + 0,0)</f>
        <v>850</v>
      </c>
      <c r="AW104" s="96">
        <f ca="1">ROUND((TblConstr[[#This Row],[Land]]-250 - IF(TblExplore[[#This Row],[Land Bonus]]&lt;&gt;0,20,0))*0.285 + 87.5 + 0/4.25,0)</f>
        <v>88</v>
      </c>
      <c r="AX104" s="156"/>
      <c r="AY104" s="190" cm="1">
        <f t="array" aca="1" ref="AY104" ca="1">IF(TblConstr[[#This Row],[Hour]:[Hour]]&gt;12,OFFSET(TblConstr[[#This Row],[Hom]],-12,0),0)+OFFSET(TblConstr[[#This Row],[Tot Hom]],-1,0)-TblConstr[[#This Row],[Dest Hom]]</f>
        <v>10</v>
      </c>
      <c r="AZ104" s="191" cm="1">
        <f t="array" aca="1" ref="AZ104" ca="1">IF(TblConstr[[#This Row],[Hour]:[Hour]]&gt;12,OFFSET(TblConstr[[#This Row],[Alc]],-12,0),0)+OFFSET(TblConstr[[#This Row],[Tot Alc]],-1,0)-TblConstr[[#This Row],[Dest Alc]]</f>
        <v>30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86" cm="1">
        <f t="array" aca="1" ref="BF104" ca="1">IF(TblConstr[[#This Row],[Hour]:[Hour]]&gt;12,OFFSET(TblConstr[[#This Row],[OM]],-12,0),0)+OFFSET(TblConstr[[#This Row],[Tot OM]],-1,0)-TblConstr[[#This Row],[Dest OM]]</f>
        <v>0</v>
      </c>
      <c r="BG104" s="386" cm="1">
        <f t="array" aca="1" ref="BG104" ca="1">IF(TblConstr[[#This Row],[Hour]:[Hour]]&gt;12,OFFSET(TblConstr[[#This Row],[GN]],-12,0),0)+OFFSET(TblConstr[[#This Row],[Tot GN]],-1,0)-TblConstr[[#This Row],[Dest GN]]</f>
        <v>0</v>
      </c>
      <c r="BH104" s="390" cm="1">
        <f t="array" aca="1" ref="BH104" ca="1">IF(TblConstr[[#This Row],[Hour]:[Hour]]&gt;12,OFFSET(TblConstr[[#This Row],[Fac]],-12,0),0)+OFFSET(TblConstr[[#This Row],[Tot Fac]],-1,0)-TblConstr[[#This Row],[Dest Fac]]</f>
        <v>0</v>
      </c>
      <c r="BI104" s="390" cm="1">
        <f t="array" aca="1" ref="BI104" ca="1">IF(TblConstr[[#This Row],[Hour]:[Hour]]&gt;12,OFFSET(TblConstr[[#This Row],[GT]],-12,0),0)+OFFSET(TblConstr[[#This Row],[Tot GT]],-1,0)-TblConstr[[#This Row],[Dest GT]]</f>
        <v>0</v>
      </c>
      <c r="BJ104" s="390" cm="1">
        <f t="array" aca="1" ref="BJ104" ca="1">IF(TblConstr[[#This Row],[Hour]:[Hour]]&gt;12,OFFSET(TblConstr[[#This Row],[Bar]],-12,0),0)+OFFSET(TblConstr[[#This Row],[Tot Bar]],-1,0)-TblConstr[[#This Row],[Dest Bar]]</f>
        <v>0</v>
      </c>
      <c r="BK104" s="390" cm="1">
        <f t="array" aca="1" ref="BK104" ca="1">IF(TblConstr[[#This Row],[Hour]:[Hour]]&gt;12,OFFSET(TblConstr[[#This Row],[Shr]],-12,0),0)+OFFSET(TblConstr[[#This Row],[Tot Shr]],-1,0)-TblConstr[[#This Row],[Dest Shr]]</f>
        <v>0</v>
      </c>
      <c r="BL104" s="394" cm="1">
        <f t="array" aca="1" ref="BL104" ca="1">IF(TblConstr[[#This Row],[Hour]:[Hour]]&gt;12,OFFSET(TblConstr[[#This Row],[Tow]],-12,0),0)+OFFSET(TblConstr[[#This Row],[Tot Tow]],-1,0)-TblConstr[[#This Row],[Dest Tow]]</f>
        <v>0</v>
      </c>
      <c r="BM104" s="394" cm="1">
        <f t="array" aca="1" ref="BM104" ca="1">IF(TblConstr[[#This Row],[Hour]:[Hour]]&gt;12,OFFSET(TblConstr[[#This Row],[Tem]],-12,0),0)+OFFSET(TblConstr[[#This Row],[Tot Tem]],-1,0)-TblConstr[[#This Row],[Dest Tem]]</f>
        <v>0</v>
      </c>
      <c r="BN104" s="394"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250</v>
      </c>
      <c r="BU104" s="161">
        <f ca="1">TblImps[[#This Row],[Time]]</f>
        <v>45736.166666666424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84">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100</v>
      </c>
      <c r="DA104" s="96">
        <f t="shared" ca="1" si="24"/>
        <v>40</v>
      </c>
      <c r="DB104" s="45">
        <f t="shared" ca="1" si="25"/>
        <v>20</v>
      </c>
      <c r="DC104" s="96">
        <f t="shared" ca="1" si="26"/>
        <v>20</v>
      </c>
      <c r="DD104" s="96">
        <f t="shared" ca="1" si="27"/>
        <v>20</v>
      </c>
      <c r="DE104" s="45">
        <f t="shared" ca="1" si="28"/>
        <v>20</v>
      </c>
      <c r="DF104" s="96">
        <f t="shared" ca="1" si="29"/>
        <v>20</v>
      </c>
      <c r="DG104" s="96"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7">
        <f>TblRezone[[#This Row],[Hour]]</f>
        <v>102</v>
      </c>
      <c r="B105" s="178">
        <f ca="1">SUM(TblConstr[[#This Row],[Plain]:[Water]])</f>
        <v>160</v>
      </c>
      <c r="C105" s="179">
        <f ca="1">SUM(TblConstr[[#This Row],[Tot Hom]:[Tot Doc]])</f>
        <v>90</v>
      </c>
      <c r="D105" s="179">
        <f t="shared" si="21"/>
        <v>0</v>
      </c>
      <c r="E105" s="180"/>
      <c r="F105" s="61">
        <f ca="1">TblConstr[[#This Row],[Barren]]+TblConstr[[#This Row],[Buildings]]+TblConstr[[#This Row],[Incoming]]</f>
        <v>250</v>
      </c>
      <c r="G105" s="189">
        <f ca="1">OFFSET(TblConstr[[#This Row],[Plain]],-1,0)+TblConstr[[#This Row],[Ch_Plain]]</f>
        <v>40</v>
      </c>
      <c r="H105" s="184">
        <f ca="1">OFFSET(TblConstr[[#This Row],[Forest]],-1,0)+TblConstr[[#This Row],[Ch_Forest]]</f>
        <v>20</v>
      </c>
      <c r="I105" s="384">
        <f ca="1">OFFSET(TblConstr[[#This Row],[Mountain]],-1,0)+TblConstr[[#This Row],[Ch_Mountain]]</f>
        <v>20</v>
      </c>
      <c r="J105" s="388">
        <f ca="1">OFFSET(TblConstr[[#This Row],[Hill]],-1,0)+TblConstr[[#This Row],[Ch_Hill]]</f>
        <v>20</v>
      </c>
      <c r="K105" s="392">
        <f ca="1">OFFSET(TblConstr[[#This Row],[Swamp]],-1,0)+TblConstr[[#This Row],[Ch_Swamp]]</f>
        <v>20</v>
      </c>
      <c r="L105" s="187">
        <f ca="1">OFFSET(TblConstr[[#This Row],[Cavern]],-1,0)+TblConstr[[#This Row],[Ch_Cavern]]</f>
        <v>20</v>
      </c>
      <c r="M105" s="188">
        <f ca="1">OFFSET(TblConstr[[#This Row],[Water]],-1,0)+TblConstr[[#This Row],[Ch_Water]]</f>
        <v>20</v>
      </c>
      <c r="N105" s="382">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45736.208333333088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674964</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6">
        <f ca="1">ROUNDDOWN( MAX(1 - MIN(facs_constr_factor*TblConstr[[#This Row],[Facs -DB]],facs_constr_max) + tech_1_11*TblTech[[#This Row],[11-1]] + tech_6_3_2*TblTech[[#This Row],[6-3]] + tech_5_2_3*TblTech[[#This Row],[5-2]], 1-global_constr_cap) * TblConstr[[#This Row],[RCPA Lumber]],0)</f>
        <v>88</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6">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ROUND((TblConstr[[#This Row],[Land]]-250 - IF(TblExplore[[#This Row],[Land Bonus]]&lt;&gt;0,20,0))*1.25 + 850 + 0,0)</f>
        <v>850</v>
      </c>
      <c r="AW105" s="96">
        <f ca="1">ROUND((TblConstr[[#This Row],[Land]]-250 - IF(TblExplore[[#This Row],[Land Bonus]]&lt;&gt;0,20,0))*0.285 + 87.5 + 0/4.25,0)</f>
        <v>88</v>
      </c>
      <c r="AX105" s="156"/>
      <c r="AY105" s="190" cm="1">
        <f t="array" aca="1" ref="AY105" ca="1">IF(TblConstr[[#This Row],[Hour]:[Hour]]&gt;12,OFFSET(TblConstr[[#This Row],[Hom]],-12,0),0)+OFFSET(TblConstr[[#This Row],[Tot Hom]],-1,0)-TblConstr[[#This Row],[Dest Hom]]</f>
        <v>10</v>
      </c>
      <c r="AZ105" s="191" cm="1">
        <f t="array" aca="1" ref="AZ105" ca="1">IF(TblConstr[[#This Row],[Hour]:[Hour]]&gt;12,OFFSET(TblConstr[[#This Row],[Alc]],-12,0),0)+OFFSET(TblConstr[[#This Row],[Tot Alc]],-1,0)-TblConstr[[#This Row],[Dest Alc]]</f>
        <v>30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86" cm="1">
        <f t="array" aca="1" ref="BF105" ca="1">IF(TblConstr[[#This Row],[Hour]:[Hour]]&gt;12,OFFSET(TblConstr[[#This Row],[OM]],-12,0),0)+OFFSET(TblConstr[[#This Row],[Tot OM]],-1,0)-TblConstr[[#This Row],[Dest OM]]</f>
        <v>0</v>
      </c>
      <c r="BG105" s="386" cm="1">
        <f t="array" aca="1" ref="BG105" ca="1">IF(TblConstr[[#This Row],[Hour]:[Hour]]&gt;12,OFFSET(TblConstr[[#This Row],[GN]],-12,0),0)+OFFSET(TblConstr[[#This Row],[Tot GN]],-1,0)-TblConstr[[#This Row],[Dest GN]]</f>
        <v>0</v>
      </c>
      <c r="BH105" s="390" cm="1">
        <f t="array" aca="1" ref="BH105" ca="1">IF(TblConstr[[#This Row],[Hour]:[Hour]]&gt;12,OFFSET(TblConstr[[#This Row],[Fac]],-12,0),0)+OFFSET(TblConstr[[#This Row],[Tot Fac]],-1,0)-TblConstr[[#This Row],[Dest Fac]]</f>
        <v>0</v>
      </c>
      <c r="BI105" s="390" cm="1">
        <f t="array" aca="1" ref="BI105" ca="1">IF(TblConstr[[#This Row],[Hour]:[Hour]]&gt;12,OFFSET(TblConstr[[#This Row],[GT]],-12,0),0)+OFFSET(TblConstr[[#This Row],[Tot GT]],-1,0)-TblConstr[[#This Row],[Dest GT]]</f>
        <v>0</v>
      </c>
      <c r="BJ105" s="390" cm="1">
        <f t="array" aca="1" ref="BJ105" ca="1">IF(TblConstr[[#This Row],[Hour]:[Hour]]&gt;12,OFFSET(TblConstr[[#This Row],[Bar]],-12,0),0)+OFFSET(TblConstr[[#This Row],[Tot Bar]],-1,0)-TblConstr[[#This Row],[Dest Bar]]</f>
        <v>0</v>
      </c>
      <c r="BK105" s="390" cm="1">
        <f t="array" aca="1" ref="BK105" ca="1">IF(TblConstr[[#This Row],[Hour]:[Hour]]&gt;12,OFFSET(TblConstr[[#This Row],[Shr]],-12,0),0)+OFFSET(TblConstr[[#This Row],[Tot Shr]],-1,0)-TblConstr[[#This Row],[Dest Shr]]</f>
        <v>0</v>
      </c>
      <c r="BL105" s="394" cm="1">
        <f t="array" aca="1" ref="BL105" ca="1">IF(TblConstr[[#This Row],[Hour]:[Hour]]&gt;12,OFFSET(TblConstr[[#This Row],[Tow]],-12,0),0)+OFFSET(TblConstr[[#This Row],[Tot Tow]],-1,0)-TblConstr[[#This Row],[Dest Tow]]</f>
        <v>0</v>
      </c>
      <c r="BM105" s="394" cm="1">
        <f t="array" aca="1" ref="BM105" ca="1">IF(TblConstr[[#This Row],[Hour]:[Hour]]&gt;12,OFFSET(TblConstr[[#This Row],[Tem]],-12,0),0)+OFFSET(TblConstr[[#This Row],[Tot Tem]],-1,0)-TblConstr[[#This Row],[Dest Tem]]</f>
        <v>0</v>
      </c>
      <c r="BN105" s="394"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250</v>
      </c>
      <c r="BU105" s="161">
        <f ca="1">TblImps[[#This Row],[Time]]</f>
        <v>45736.208333333088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84">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100</v>
      </c>
      <c r="DA105" s="96">
        <f t="shared" ca="1" si="24"/>
        <v>40</v>
      </c>
      <c r="DB105" s="45">
        <f t="shared" ca="1" si="25"/>
        <v>20</v>
      </c>
      <c r="DC105" s="96">
        <f t="shared" ca="1" si="26"/>
        <v>20</v>
      </c>
      <c r="DD105" s="96">
        <f t="shared" ca="1" si="27"/>
        <v>20</v>
      </c>
      <c r="DE105" s="45">
        <f t="shared" ca="1" si="28"/>
        <v>20</v>
      </c>
      <c r="DF105" s="96">
        <f t="shared" ca="1" si="29"/>
        <v>20</v>
      </c>
      <c r="DG105" s="96"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7">
        <f>TblRezone[[#This Row],[Hour]]</f>
        <v>103</v>
      </c>
      <c r="B106" s="178">
        <f ca="1">SUM(TblConstr[[#This Row],[Plain]:[Water]])</f>
        <v>160</v>
      </c>
      <c r="C106" s="179">
        <f ca="1">SUM(TblConstr[[#This Row],[Tot Hom]:[Tot Doc]])</f>
        <v>90</v>
      </c>
      <c r="D106" s="179">
        <f t="shared" si="21"/>
        <v>0</v>
      </c>
      <c r="E106" s="180"/>
      <c r="F106" s="61">
        <f ca="1">TblConstr[[#This Row],[Barren]]+TblConstr[[#This Row],[Buildings]]+TblConstr[[#This Row],[Incoming]]</f>
        <v>250</v>
      </c>
      <c r="G106" s="189">
        <f ca="1">OFFSET(TblConstr[[#This Row],[Plain]],-1,0)+TblConstr[[#This Row],[Ch_Plain]]</f>
        <v>40</v>
      </c>
      <c r="H106" s="184">
        <f ca="1">OFFSET(TblConstr[[#This Row],[Forest]],-1,0)+TblConstr[[#This Row],[Ch_Forest]]</f>
        <v>20</v>
      </c>
      <c r="I106" s="384">
        <f ca="1">OFFSET(TblConstr[[#This Row],[Mountain]],-1,0)+TblConstr[[#This Row],[Ch_Mountain]]</f>
        <v>20</v>
      </c>
      <c r="J106" s="388">
        <f ca="1">OFFSET(TblConstr[[#This Row],[Hill]],-1,0)+TblConstr[[#This Row],[Ch_Hill]]</f>
        <v>20</v>
      </c>
      <c r="K106" s="392">
        <f ca="1">OFFSET(TblConstr[[#This Row],[Swamp]],-1,0)+TblConstr[[#This Row],[Ch_Swamp]]</f>
        <v>20</v>
      </c>
      <c r="L106" s="187">
        <f ca="1">OFFSET(TblConstr[[#This Row],[Cavern]],-1,0)+TblConstr[[#This Row],[Ch_Cavern]]</f>
        <v>20</v>
      </c>
      <c r="M106" s="188">
        <f ca="1">OFFSET(TblConstr[[#This Row],[Water]],-1,0)+TblConstr[[#This Row],[Ch_Water]]</f>
        <v>20</v>
      </c>
      <c r="N106" s="382">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45736.249999999753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680450</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6">
        <f ca="1">ROUNDDOWN( MAX(1 - MIN(facs_constr_factor*TblConstr[[#This Row],[Facs -DB]],facs_constr_max) + tech_1_11*TblTech[[#This Row],[11-1]] + tech_6_3_2*TblTech[[#This Row],[6-3]] + tech_5_2_3*TblTech[[#This Row],[5-2]], 1-global_constr_cap) * TblConstr[[#This Row],[RCPA Lumber]],0)</f>
        <v>88</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6">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ROUND((TblConstr[[#This Row],[Land]]-250 - IF(TblExplore[[#This Row],[Land Bonus]]&lt;&gt;0,20,0))*1.25 + 850 + 0,0)</f>
        <v>850</v>
      </c>
      <c r="AW106" s="96">
        <f ca="1">ROUND((TblConstr[[#This Row],[Land]]-250 - IF(TblExplore[[#This Row],[Land Bonus]]&lt;&gt;0,20,0))*0.285 + 87.5 + 0/4.25,0)</f>
        <v>88</v>
      </c>
      <c r="AX106" s="156"/>
      <c r="AY106" s="190" cm="1">
        <f t="array" aca="1" ref="AY106" ca="1">IF(TblConstr[[#This Row],[Hour]:[Hour]]&gt;12,OFFSET(TblConstr[[#This Row],[Hom]],-12,0),0)+OFFSET(TblConstr[[#This Row],[Tot Hom]],-1,0)-TblConstr[[#This Row],[Dest Hom]]</f>
        <v>10</v>
      </c>
      <c r="AZ106" s="191" cm="1">
        <f t="array" aca="1" ref="AZ106" ca="1">IF(TblConstr[[#This Row],[Hour]:[Hour]]&gt;12,OFFSET(TblConstr[[#This Row],[Alc]],-12,0),0)+OFFSET(TblConstr[[#This Row],[Tot Alc]],-1,0)-TblConstr[[#This Row],[Dest Alc]]</f>
        <v>30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86" cm="1">
        <f t="array" aca="1" ref="BF106" ca="1">IF(TblConstr[[#This Row],[Hour]:[Hour]]&gt;12,OFFSET(TblConstr[[#This Row],[OM]],-12,0),0)+OFFSET(TblConstr[[#This Row],[Tot OM]],-1,0)-TblConstr[[#This Row],[Dest OM]]</f>
        <v>0</v>
      </c>
      <c r="BG106" s="386" cm="1">
        <f t="array" aca="1" ref="BG106" ca="1">IF(TblConstr[[#This Row],[Hour]:[Hour]]&gt;12,OFFSET(TblConstr[[#This Row],[GN]],-12,0),0)+OFFSET(TblConstr[[#This Row],[Tot GN]],-1,0)-TblConstr[[#This Row],[Dest GN]]</f>
        <v>0</v>
      </c>
      <c r="BH106" s="390" cm="1">
        <f t="array" aca="1" ref="BH106" ca="1">IF(TblConstr[[#This Row],[Hour]:[Hour]]&gt;12,OFFSET(TblConstr[[#This Row],[Fac]],-12,0),0)+OFFSET(TblConstr[[#This Row],[Tot Fac]],-1,0)-TblConstr[[#This Row],[Dest Fac]]</f>
        <v>0</v>
      </c>
      <c r="BI106" s="390" cm="1">
        <f t="array" aca="1" ref="BI106" ca="1">IF(TblConstr[[#This Row],[Hour]:[Hour]]&gt;12,OFFSET(TblConstr[[#This Row],[GT]],-12,0),0)+OFFSET(TblConstr[[#This Row],[Tot GT]],-1,0)-TblConstr[[#This Row],[Dest GT]]</f>
        <v>0</v>
      </c>
      <c r="BJ106" s="390" cm="1">
        <f t="array" aca="1" ref="BJ106" ca="1">IF(TblConstr[[#This Row],[Hour]:[Hour]]&gt;12,OFFSET(TblConstr[[#This Row],[Bar]],-12,0),0)+OFFSET(TblConstr[[#This Row],[Tot Bar]],-1,0)-TblConstr[[#This Row],[Dest Bar]]</f>
        <v>0</v>
      </c>
      <c r="BK106" s="390" cm="1">
        <f t="array" aca="1" ref="BK106" ca="1">IF(TblConstr[[#This Row],[Hour]:[Hour]]&gt;12,OFFSET(TblConstr[[#This Row],[Shr]],-12,0),0)+OFFSET(TblConstr[[#This Row],[Tot Shr]],-1,0)-TblConstr[[#This Row],[Dest Shr]]</f>
        <v>0</v>
      </c>
      <c r="BL106" s="394" cm="1">
        <f t="array" aca="1" ref="BL106" ca="1">IF(TblConstr[[#This Row],[Hour]:[Hour]]&gt;12,OFFSET(TblConstr[[#This Row],[Tow]],-12,0),0)+OFFSET(TblConstr[[#This Row],[Tot Tow]],-1,0)-TblConstr[[#This Row],[Dest Tow]]</f>
        <v>0</v>
      </c>
      <c r="BM106" s="394" cm="1">
        <f t="array" aca="1" ref="BM106" ca="1">IF(TblConstr[[#This Row],[Hour]:[Hour]]&gt;12,OFFSET(TblConstr[[#This Row],[Tem]],-12,0),0)+OFFSET(TblConstr[[#This Row],[Tot Tem]],-1,0)-TblConstr[[#This Row],[Dest Tem]]</f>
        <v>0</v>
      </c>
      <c r="BN106" s="394"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250</v>
      </c>
      <c r="BU106" s="161">
        <f ca="1">TblImps[[#This Row],[Time]]</f>
        <v>45736.249999999753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84">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100</v>
      </c>
      <c r="DA106" s="96">
        <f t="shared" ca="1" si="24"/>
        <v>40</v>
      </c>
      <c r="DB106" s="45">
        <f t="shared" ca="1" si="25"/>
        <v>20</v>
      </c>
      <c r="DC106" s="96">
        <f t="shared" ca="1" si="26"/>
        <v>20</v>
      </c>
      <c r="DD106" s="96">
        <f t="shared" ca="1" si="27"/>
        <v>20</v>
      </c>
      <c r="DE106" s="45">
        <f t="shared" ca="1" si="28"/>
        <v>20</v>
      </c>
      <c r="DF106" s="96">
        <f t="shared" ca="1" si="29"/>
        <v>20</v>
      </c>
      <c r="DG106" s="96"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7">
        <f>TblRezone[[#This Row],[Hour]]</f>
        <v>104</v>
      </c>
      <c r="B107" s="178">
        <f ca="1">SUM(TblConstr[[#This Row],[Plain]:[Water]])</f>
        <v>160</v>
      </c>
      <c r="C107" s="179">
        <f ca="1">SUM(TblConstr[[#This Row],[Tot Hom]:[Tot Doc]])</f>
        <v>90</v>
      </c>
      <c r="D107" s="179">
        <f t="shared" si="21"/>
        <v>0</v>
      </c>
      <c r="E107" s="180"/>
      <c r="F107" s="61">
        <f ca="1">TblConstr[[#This Row],[Barren]]+TblConstr[[#This Row],[Buildings]]+TblConstr[[#This Row],[Incoming]]</f>
        <v>250</v>
      </c>
      <c r="G107" s="189">
        <f ca="1">OFFSET(TblConstr[[#This Row],[Plain]],-1,0)+TblConstr[[#This Row],[Ch_Plain]]</f>
        <v>40</v>
      </c>
      <c r="H107" s="184">
        <f ca="1">OFFSET(TblConstr[[#This Row],[Forest]],-1,0)+TblConstr[[#This Row],[Ch_Forest]]</f>
        <v>20</v>
      </c>
      <c r="I107" s="384">
        <f ca="1">OFFSET(TblConstr[[#This Row],[Mountain]],-1,0)+TblConstr[[#This Row],[Ch_Mountain]]</f>
        <v>20</v>
      </c>
      <c r="J107" s="388">
        <f ca="1">OFFSET(TblConstr[[#This Row],[Hill]],-1,0)+TblConstr[[#This Row],[Ch_Hill]]</f>
        <v>20</v>
      </c>
      <c r="K107" s="392">
        <f ca="1">OFFSET(TblConstr[[#This Row],[Swamp]],-1,0)+TblConstr[[#This Row],[Ch_Swamp]]</f>
        <v>20</v>
      </c>
      <c r="L107" s="187">
        <f ca="1">OFFSET(TblConstr[[#This Row],[Cavern]],-1,0)+TblConstr[[#This Row],[Ch_Cavern]]</f>
        <v>20</v>
      </c>
      <c r="M107" s="188">
        <f ca="1">OFFSET(TblConstr[[#This Row],[Water]],-1,0)+TblConstr[[#This Row],[Ch_Water]]</f>
        <v>20</v>
      </c>
      <c r="N107" s="382">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45736.291666666417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685936</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6">
        <f ca="1">ROUNDDOWN( MAX(1 - MIN(facs_constr_factor*TblConstr[[#This Row],[Facs -DB]],facs_constr_max) + tech_1_11*TblTech[[#This Row],[11-1]] + tech_6_3_2*TblTech[[#This Row],[6-3]] + tech_5_2_3*TblTech[[#This Row],[5-2]], 1-global_constr_cap) * TblConstr[[#This Row],[RCPA Lumber]],0)</f>
        <v>88</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6">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ROUND((TblConstr[[#This Row],[Land]]-250 - IF(TblExplore[[#This Row],[Land Bonus]]&lt;&gt;0,20,0))*1.25 + 850 + 0,0)</f>
        <v>850</v>
      </c>
      <c r="AW107" s="96">
        <f ca="1">ROUND((TblConstr[[#This Row],[Land]]-250 - IF(TblExplore[[#This Row],[Land Bonus]]&lt;&gt;0,20,0))*0.285 + 87.5 + 0/4.25,0)</f>
        <v>88</v>
      </c>
      <c r="AX107" s="156"/>
      <c r="AY107" s="190" cm="1">
        <f t="array" aca="1" ref="AY107" ca="1">IF(TblConstr[[#This Row],[Hour]:[Hour]]&gt;12,OFFSET(TblConstr[[#This Row],[Hom]],-12,0),0)+OFFSET(TblConstr[[#This Row],[Tot Hom]],-1,0)-TblConstr[[#This Row],[Dest Hom]]</f>
        <v>10</v>
      </c>
      <c r="AZ107" s="191" cm="1">
        <f t="array" aca="1" ref="AZ107" ca="1">IF(TblConstr[[#This Row],[Hour]:[Hour]]&gt;12,OFFSET(TblConstr[[#This Row],[Alc]],-12,0),0)+OFFSET(TblConstr[[#This Row],[Tot Alc]],-1,0)-TblConstr[[#This Row],[Dest Alc]]</f>
        <v>30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86" cm="1">
        <f t="array" aca="1" ref="BF107" ca="1">IF(TblConstr[[#This Row],[Hour]:[Hour]]&gt;12,OFFSET(TblConstr[[#This Row],[OM]],-12,0),0)+OFFSET(TblConstr[[#This Row],[Tot OM]],-1,0)-TblConstr[[#This Row],[Dest OM]]</f>
        <v>0</v>
      </c>
      <c r="BG107" s="386" cm="1">
        <f t="array" aca="1" ref="BG107" ca="1">IF(TblConstr[[#This Row],[Hour]:[Hour]]&gt;12,OFFSET(TblConstr[[#This Row],[GN]],-12,0),0)+OFFSET(TblConstr[[#This Row],[Tot GN]],-1,0)-TblConstr[[#This Row],[Dest GN]]</f>
        <v>0</v>
      </c>
      <c r="BH107" s="390" cm="1">
        <f t="array" aca="1" ref="BH107" ca="1">IF(TblConstr[[#This Row],[Hour]:[Hour]]&gt;12,OFFSET(TblConstr[[#This Row],[Fac]],-12,0),0)+OFFSET(TblConstr[[#This Row],[Tot Fac]],-1,0)-TblConstr[[#This Row],[Dest Fac]]</f>
        <v>0</v>
      </c>
      <c r="BI107" s="390" cm="1">
        <f t="array" aca="1" ref="BI107" ca="1">IF(TblConstr[[#This Row],[Hour]:[Hour]]&gt;12,OFFSET(TblConstr[[#This Row],[GT]],-12,0),0)+OFFSET(TblConstr[[#This Row],[Tot GT]],-1,0)-TblConstr[[#This Row],[Dest GT]]</f>
        <v>0</v>
      </c>
      <c r="BJ107" s="390" cm="1">
        <f t="array" aca="1" ref="BJ107" ca="1">IF(TblConstr[[#This Row],[Hour]:[Hour]]&gt;12,OFFSET(TblConstr[[#This Row],[Bar]],-12,0),0)+OFFSET(TblConstr[[#This Row],[Tot Bar]],-1,0)-TblConstr[[#This Row],[Dest Bar]]</f>
        <v>0</v>
      </c>
      <c r="BK107" s="390" cm="1">
        <f t="array" aca="1" ref="BK107" ca="1">IF(TblConstr[[#This Row],[Hour]:[Hour]]&gt;12,OFFSET(TblConstr[[#This Row],[Shr]],-12,0),0)+OFFSET(TblConstr[[#This Row],[Tot Shr]],-1,0)-TblConstr[[#This Row],[Dest Shr]]</f>
        <v>0</v>
      </c>
      <c r="BL107" s="394" cm="1">
        <f t="array" aca="1" ref="BL107" ca="1">IF(TblConstr[[#This Row],[Hour]:[Hour]]&gt;12,OFFSET(TblConstr[[#This Row],[Tow]],-12,0),0)+OFFSET(TblConstr[[#This Row],[Tot Tow]],-1,0)-TblConstr[[#This Row],[Dest Tow]]</f>
        <v>0</v>
      </c>
      <c r="BM107" s="394" cm="1">
        <f t="array" aca="1" ref="BM107" ca="1">IF(TblConstr[[#This Row],[Hour]:[Hour]]&gt;12,OFFSET(TblConstr[[#This Row],[Tem]],-12,0),0)+OFFSET(TblConstr[[#This Row],[Tot Tem]],-1,0)-TblConstr[[#This Row],[Dest Tem]]</f>
        <v>0</v>
      </c>
      <c r="BN107" s="394"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250</v>
      </c>
      <c r="BU107" s="161">
        <f ca="1">TblImps[[#This Row],[Time]]</f>
        <v>45736.291666666417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84">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100</v>
      </c>
      <c r="DA107" s="96">
        <f t="shared" ca="1" si="24"/>
        <v>40</v>
      </c>
      <c r="DB107" s="45">
        <f t="shared" ca="1" si="25"/>
        <v>20</v>
      </c>
      <c r="DC107" s="96">
        <f t="shared" ca="1" si="26"/>
        <v>20</v>
      </c>
      <c r="DD107" s="96">
        <f t="shared" ca="1" si="27"/>
        <v>20</v>
      </c>
      <c r="DE107" s="45">
        <f t="shared" ca="1" si="28"/>
        <v>20</v>
      </c>
      <c r="DF107" s="96">
        <f t="shared" ca="1" si="29"/>
        <v>20</v>
      </c>
      <c r="DG107" s="96"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7">
        <f>TblRezone[[#This Row],[Hour]]</f>
        <v>105</v>
      </c>
      <c r="B108" s="178">
        <f ca="1">SUM(TblConstr[[#This Row],[Plain]:[Water]])</f>
        <v>160</v>
      </c>
      <c r="C108" s="179">
        <f ca="1">SUM(TblConstr[[#This Row],[Tot Hom]:[Tot Doc]])</f>
        <v>90</v>
      </c>
      <c r="D108" s="179">
        <f t="shared" si="21"/>
        <v>0</v>
      </c>
      <c r="E108" s="180"/>
      <c r="F108" s="61">
        <f ca="1">TblConstr[[#This Row],[Barren]]+TblConstr[[#This Row],[Buildings]]+TblConstr[[#This Row],[Incoming]]</f>
        <v>250</v>
      </c>
      <c r="G108" s="189">
        <f ca="1">OFFSET(TblConstr[[#This Row],[Plain]],-1,0)+TblConstr[[#This Row],[Ch_Plain]]</f>
        <v>40</v>
      </c>
      <c r="H108" s="184">
        <f ca="1">OFFSET(TblConstr[[#This Row],[Forest]],-1,0)+TblConstr[[#This Row],[Ch_Forest]]</f>
        <v>20</v>
      </c>
      <c r="I108" s="384">
        <f ca="1">OFFSET(TblConstr[[#This Row],[Mountain]],-1,0)+TblConstr[[#This Row],[Ch_Mountain]]</f>
        <v>20</v>
      </c>
      <c r="J108" s="388">
        <f ca="1">OFFSET(TblConstr[[#This Row],[Hill]],-1,0)+TblConstr[[#This Row],[Ch_Hill]]</f>
        <v>20</v>
      </c>
      <c r="K108" s="392">
        <f ca="1">OFFSET(TblConstr[[#This Row],[Swamp]],-1,0)+TblConstr[[#This Row],[Ch_Swamp]]</f>
        <v>20</v>
      </c>
      <c r="L108" s="187">
        <f ca="1">OFFSET(TblConstr[[#This Row],[Cavern]],-1,0)+TblConstr[[#This Row],[Ch_Cavern]]</f>
        <v>20</v>
      </c>
      <c r="M108" s="188">
        <f ca="1">OFFSET(TblConstr[[#This Row],[Water]],-1,0)+TblConstr[[#This Row],[Ch_Water]]</f>
        <v>20</v>
      </c>
      <c r="N108" s="382">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45736.333333333081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691422</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6">
        <f ca="1">ROUNDDOWN( MAX(1 - MIN(facs_constr_factor*TblConstr[[#This Row],[Facs -DB]],facs_constr_max) + tech_1_11*TblTech[[#This Row],[11-1]] + tech_6_3_2*TblTech[[#This Row],[6-3]] + tech_5_2_3*TblTech[[#This Row],[5-2]], 1-global_constr_cap) * TblConstr[[#This Row],[RCPA Lumber]],0)</f>
        <v>88</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6">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ROUND((TblConstr[[#This Row],[Land]]-250 - IF(TblExplore[[#This Row],[Land Bonus]]&lt;&gt;0,20,0))*1.25 + 850 + 0,0)</f>
        <v>850</v>
      </c>
      <c r="AW108" s="96">
        <f ca="1">ROUND((TblConstr[[#This Row],[Land]]-250 - IF(TblExplore[[#This Row],[Land Bonus]]&lt;&gt;0,20,0))*0.285 + 87.5 + 0/4.25,0)</f>
        <v>88</v>
      </c>
      <c r="AX108" s="156"/>
      <c r="AY108" s="190" cm="1">
        <f t="array" aca="1" ref="AY108" ca="1">IF(TblConstr[[#This Row],[Hour]:[Hour]]&gt;12,OFFSET(TblConstr[[#This Row],[Hom]],-12,0),0)+OFFSET(TblConstr[[#This Row],[Tot Hom]],-1,0)-TblConstr[[#This Row],[Dest Hom]]</f>
        <v>10</v>
      </c>
      <c r="AZ108" s="191" cm="1">
        <f t="array" aca="1" ref="AZ108" ca="1">IF(TblConstr[[#This Row],[Hour]:[Hour]]&gt;12,OFFSET(TblConstr[[#This Row],[Alc]],-12,0),0)+OFFSET(TblConstr[[#This Row],[Tot Alc]],-1,0)-TblConstr[[#This Row],[Dest Alc]]</f>
        <v>30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86" cm="1">
        <f t="array" aca="1" ref="BF108" ca="1">IF(TblConstr[[#This Row],[Hour]:[Hour]]&gt;12,OFFSET(TblConstr[[#This Row],[OM]],-12,0),0)+OFFSET(TblConstr[[#This Row],[Tot OM]],-1,0)-TblConstr[[#This Row],[Dest OM]]</f>
        <v>0</v>
      </c>
      <c r="BG108" s="386" cm="1">
        <f t="array" aca="1" ref="BG108" ca="1">IF(TblConstr[[#This Row],[Hour]:[Hour]]&gt;12,OFFSET(TblConstr[[#This Row],[GN]],-12,0),0)+OFFSET(TblConstr[[#This Row],[Tot GN]],-1,0)-TblConstr[[#This Row],[Dest GN]]</f>
        <v>0</v>
      </c>
      <c r="BH108" s="390" cm="1">
        <f t="array" aca="1" ref="BH108" ca="1">IF(TblConstr[[#This Row],[Hour]:[Hour]]&gt;12,OFFSET(TblConstr[[#This Row],[Fac]],-12,0),0)+OFFSET(TblConstr[[#This Row],[Tot Fac]],-1,0)-TblConstr[[#This Row],[Dest Fac]]</f>
        <v>0</v>
      </c>
      <c r="BI108" s="390" cm="1">
        <f t="array" aca="1" ref="BI108" ca="1">IF(TblConstr[[#This Row],[Hour]:[Hour]]&gt;12,OFFSET(TblConstr[[#This Row],[GT]],-12,0),0)+OFFSET(TblConstr[[#This Row],[Tot GT]],-1,0)-TblConstr[[#This Row],[Dest GT]]</f>
        <v>0</v>
      </c>
      <c r="BJ108" s="390" cm="1">
        <f t="array" aca="1" ref="BJ108" ca="1">IF(TblConstr[[#This Row],[Hour]:[Hour]]&gt;12,OFFSET(TblConstr[[#This Row],[Bar]],-12,0),0)+OFFSET(TblConstr[[#This Row],[Tot Bar]],-1,0)-TblConstr[[#This Row],[Dest Bar]]</f>
        <v>0</v>
      </c>
      <c r="BK108" s="390" cm="1">
        <f t="array" aca="1" ref="BK108" ca="1">IF(TblConstr[[#This Row],[Hour]:[Hour]]&gt;12,OFFSET(TblConstr[[#This Row],[Shr]],-12,0),0)+OFFSET(TblConstr[[#This Row],[Tot Shr]],-1,0)-TblConstr[[#This Row],[Dest Shr]]</f>
        <v>0</v>
      </c>
      <c r="BL108" s="394" cm="1">
        <f t="array" aca="1" ref="BL108" ca="1">IF(TblConstr[[#This Row],[Hour]:[Hour]]&gt;12,OFFSET(TblConstr[[#This Row],[Tow]],-12,0),0)+OFFSET(TblConstr[[#This Row],[Tot Tow]],-1,0)-TblConstr[[#This Row],[Dest Tow]]</f>
        <v>0</v>
      </c>
      <c r="BM108" s="394" cm="1">
        <f t="array" aca="1" ref="BM108" ca="1">IF(TblConstr[[#This Row],[Hour]:[Hour]]&gt;12,OFFSET(TblConstr[[#This Row],[Tem]],-12,0),0)+OFFSET(TblConstr[[#This Row],[Tot Tem]],-1,0)-TblConstr[[#This Row],[Dest Tem]]</f>
        <v>0</v>
      </c>
      <c r="BN108" s="394"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250</v>
      </c>
      <c r="BU108" s="161">
        <f ca="1">TblImps[[#This Row],[Time]]</f>
        <v>45736.333333333081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84">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100</v>
      </c>
      <c r="DA108" s="96">
        <f t="shared" ca="1" si="24"/>
        <v>40</v>
      </c>
      <c r="DB108" s="45">
        <f t="shared" ca="1" si="25"/>
        <v>20</v>
      </c>
      <c r="DC108" s="96">
        <f t="shared" ca="1" si="26"/>
        <v>20</v>
      </c>
      <c r="DD108" s="96">
        <f t="shared" ca="1" si="27"/>
        <v>20</v>
      </c>
      <c r="DE108" s="45">
        <f t="shared" ca="1" si="28"/>
        <v>20</v>
      </c>
      <c r="DF108" s="96">
        <f t="shared" ca="1" si="29"/>
        <v>20</v>
      </c>
      <c r="DG108" s="96"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7">
        <f>TblRezone[[#This Row],[Hour]]</f>
        <v>106</v>
      </c>
      <c r="B109" s="178">
        <f ca="1">SUM(TblConstr[[#This Row],[Plain]:[Water]])</f>
        <v>160</v>
      </c>
      <c r="C109" s="179">
        <f ca="1">SUM(TblConstr[[#This Row],[Tot Hom]:[Tot Doc]])</f>
        <v>90</v>
      </c>
      <c r="D109" s="179">
        <f t="shared" si="21"/>
        <v>0</v>
      </c>
      <c r="E109" s="180"/>
      <c r="F109" s="61">
        <f ca="1">TblConstr[[#This Row],[Barren]]+TblConstr[[#This Row],[Buildings]]+TblConstr[[#This Row],[Incoming]]</f>
        <v>250</v>
      </c>
      <c r="G109" s="189">
        <f ca="1">OFFSET(TblConstr[[#This Row],[Plain]],-1,0)+TblConstr[[#This Row],[Ch_Plain]]</f>
        <v>40</v>
      </c>
      <c r="H109" s="184">
        <f ca="1">OFFSET(TblConstr[[#This Row],[Forest]],-1,0)+TblConstr[[#This Row],[Ch_Forest]]</f>
        <v>20</v>
      </c>
      <c r="I109" s="384">
        <f ca="1">OFFSET(TblConstr[[#This Row],[Mountain]],-1,0)+TblConstr[[#This Row],[Ch_Mountain]]</f>
        <v>20</v>
      </c>
      <c r="J109" s="388">
        <f ca="1">OFFSET(TblConstr[[#This Row],[Hill]],-1,0)+TblConstr[[#This Row],[Ch_Hill]]</f>
        <v>20</v>
      </c>
      <c r="K109" s="392">
        <f ca="1">OFFSET(TblConstr[[#This Row],[Swamp]],-1,0)+TblConstr[[#This Row],[Ch_Swamp]]</f>
        <v>20</v>
      </c>
      <c r="L109" s="187">
        <f ca="1">OFFSET(TblConstr[[#This Row],[Cavern]],-1,0)+TblConstr[[#This Row],[Ch_Cavern]]</f>
        <v>20</v>
      </c>
      <c r="M109" s="188">
        <f ca="1">OFFSET(TblConstr[[#This Row],[Water]],-1,0)+TblConstr[[#This Row],[Ch_Water]]</f>
        <v>20</v>
      </c>
      <c r="N109" s="382">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45736.374999999745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696908</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6">
        <f ca="1">ROUNDDOWN( MAX(1 - MIN(facs_constr_factor*TblConstr[[#This Row],[Facs -DB]],facs_constr_max) + tech_1_11*TblTech[[#This Row],[11-1]] + tech_6_3_2*TblTech[[#This Row],[6-3]] + tech_5_2_3*TblTech[[#This Row],[5-2]], 1-global_constr_cap) * TblConstr[[#This Row],[RCPA Lumber]],0)</f>
        <v>88</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6">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ROUND((TblConstr[[#This Row],[Land]]-250 - IF(TblExplore[[#This Row],[Land Bonus]]&lt;&gt;0,20,0))*1.25 + 850 + 0,0)</f>
        <v>850</v>
      </c>
      <c r="AW109" s="96">
        <f ca="1">ROUND((TblConstr[[#This Row],[Land]]-250 - IF(TblExplore[[#This Row],[Land Bonus]]&lt;&gt;0,20,0))*0.285 + 87.5 + 0/4.25,0)</f>
        <v>88</v>
      </c>
      <c r="AX109" s="156"/>
      <c r="AY109" s="190" cm="1">
        <f t="array" aca="1" ref="AY109" ca="1">IF(TblConstr[[#This Row],[Hour]:[Hour]]&gt;12,OFFSET(TblConstr[[#This Row],[Hom]],-12,0),0)+OFFSET(TblConstr[[#This Row],[Tot Hom]],-1,0)-TblConstr[[#This Row],[Dest Hom]]</f>
        <v>10</v>
      </c>
      <c r="AZ109" s="191" cm="1">
        <f t="array" aca="1" ref="AZ109" ca="1">IF(TblConstr[[#This Row],[Hour]:[Hour]]&gt;12,OFFSET(TblConstr[[#This Row],[Alc]],-12,0),0)+OFFSET(TblConstr[[#This Row],[Tot Alc]],-1,0)-TblConstr[[#This Row],[Dest Alc]]</f>
        <v>30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86" cm="1">
        <f t="array" aca="1" ref="BF109" ca="1">IF(TblConstr[[#This Row],[Hour]:[Hour]]&gt;12,OFFSET(TblConstr[[#This Row],[OM]],-12,0),0)+OFFSET(TblConstr[[#This Row],[Tot OM]],-1,0)-TblConstr[[#This Row],[Dest OM]]</f>
        <v>0</v>
      </c>
      <c r="BG109" s="386" cm="1">
        <f t="array" aca="1" ref="BG109" ca="1">IF(TblConstr[[#This Row],[Hour]:[Hour]]&gt;12,OFFSET(TblConstr[[#This Row],[GN]],-12,0),0)+OFFSET(TblConstr[[#This Row],[Tot GN]],-1,0)-TblConstr[[#This Row],[Dest GN]]</f>
        <v>0</v>
      </c>
      <c r="BH109" s="390" cm="1">
        <f t="array" aca="1" ref="BH109" ca="1">IF(TblConstr[[#This Row],[Hour]:[Hour]]&gt;12,OFFSET(TblConstr[[#This Row],[Fac]],-12,0),0)+OFFSET(TblConstr[[#This Row],[Tot Fac]],-1,0)-TblConstr[[#This Row],[Dest Fac]]</f>
        <v>0</v>
      </c>
      <c r="BI109" s="390" cm="1">
        <f t="array" aca="1" ref="BI109" ca="1">IF(TblConstr[[#This Row],[Hour]:[Hour]]&gt;12,OFFSET(TblConstr[[#This Row],[GT]],-12,0),0)+OFFSET(TblConstr[[#This Row],[Tot GT]],-1,0)-TblConstr[[#This Row],[Dest GT]]</f>
        <v>0</v>
      </c>
      <c r="BJ109" s="390" cm="1">
        <f t="array" aca="1" ref="BJ109" ca="1">IF(TblConstr[[#This Row],[Hour]:[Hour]]&gt;12,OFFSET(TblConstr[[#This Row],[Bar]],-12,0),0)+OFFSET(TblConstr[[#This Row],[Tot Bar]],-1,0)-TblConstr[[#This Row],[Dest Bar]]</f>
        <v>0</v>
      </c>
      <c r="BK109" s="390" cm="1">
        <f t="array" aca="1" ref="BK109" ca="1">IF(TblConstr[[#This Row],[Hour]:[Hour]]&gt;12,OFFSET(TblConstr[[#This Row],[Shr]],-12,0),0)+OFFSET(TblConstr[[#This Row],[Tot Shr]],-1,0)-TblConstr[[#This Row],[Dest Shr]]</f>
        <v>0</v>
      </c>
      <c r="BL109" s="394" cm="1">
        <f t="array" aca="1" ref="BL109" ca="1">IF(TblConstr[[#This Row],[Hour]:[Hour]]&gt;12,OFFSET(TblConstr[[#This Row],[Tow]],-12,0),0)+OFFSET(TblConstr[[#This Row],[Tot Tow]],-1,0)-TblConstr[[#This Row],[Dest Tow]]</f>
        <v>0</v>
      </c>
      <c r="BM109" s="394" cm="1">
        <f t="array" aca="1" ref="BM109" ca="1">IF(TblConstr[[#This Row],[Hour]:[Hour]]&gt;12,OFFSET(TblConstr[[#This Row],[Tem]],-12,0),0)+OFFSET(TblConstr[[#This Row],[Tot Tem]],-1,0)-TblConstr[[#This Row],[Dest Tem]]</f>
        <v>0</v>
      </c>
      <c r="BN109" s="394"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250</v>
      </c>
      <c r="BU109" s="161">
        <f ca="1">TblImps[[#This Row],[Time]]</f>
        <v>45736.374999999745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84">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100</v>
      </c>
      <c r="DA109" s="96">
        <f t="shared" ca="1" si="24"/>
        <v>40</v>
      </c>
      <c r="DB109" s="45">
        <f t="shared" ca="1" si="25"/>
        <v>20</v>
      </c>
      <c r="DC109" s="96">
        <f t="shared" ca="1" si="26"/>
        <v>20</v>
      </c>
      <c r="DD109" s="96">
        <f t="shared" ca="1" si="27"/>
        <v>20</v>
      </c>
      <c r="DE109" s="45">
        <f t="shared" ca="1" si="28"/>
        <v>20</v>
      </c>
      <c r="DF109" s="96">
        <f t="shared" ca="1" si="29"/>
        <v>20</v>
      </c>
      <c r="DG109" s="96"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7">
        <f>TblRezone[[#This Row],[Hour]]</f>
        <v>107</v>
      </c>
      <c r="B110" s="178">
        <f ca="1">SUM(TblConstr[[#This Row],[Plain]:[Water]])</f>
        <v>160</v>
      </c>
      <c r="C110" s="179">
        <f ca="1">SUM(TblConstr[[#This Row],[Tot Hom]:[Tot Doc]])</f>
        <v>90</v>
      </c>
      <c r="D110" s="179">
        <f t="shared" si="21"/>
        <v>0</v>
      </c>
      <c r="E110" s="180"/>
      <c r="F110" s="61">
        <f ca="1">TblConstr[[#This Row],[Barren]]+TblConstr[[#This Row],[Buildings]]+TblConstr[[#This Row],[Incoming]]</f>
        <v>250</v>
      </c>
      <c r="G110" s="189">
        <f ca="1">OFFSET(TblConstr[[#This Row],[Plain]],-1,0)+TblConstr[[#This Row],[Ch_Plain]]</f>
        <v>40</v>
      </c>
      <c r="H110" s="184">
        <f ca="1">OFFSET(TblConstr[[#This Row],[Forest]],-1,0)+TblConstr[[#This Row],[Ch_Forest]]</f>
        <v>20</v>
      </c>
      <c r="I110" s="384">
        <f ca="1">OFFSET(TblConstr[[#This Row],[Mountain]],-1,0)+TblConstr[[#This Row],[Ch_Mountain]]</f>
        <v>20</v>
      </c>
      <c r="J110" s="388">
        <f ca="1">OFFSET(TblConstr[[#This Row],[Hill]],-1,0)+TblConstr[[#This Row],[Ch_Hill]]</f>
        <v>20</v>
      </c>
      <c r="K110" s="392">
        <f ca="1">OFFSET(TblConstr[[#This Row],[Swamp]],-1,0)+TblConstr[[#This Row],[Ch_Swamp]]</f>
        <v>20</v>
      </c>
      <c r="L110" s="187">
        <f ca="1">OFFSET(TblConstr[[#This Row],[Cavern]],-1,0)+TblConstr[[#This Row],[Ch_Cavern]]</f>
        <v>20</v>
      </c>
      <c r="M110" s="188">
        <f ca="1">OFFSET(TblConstr[[#This Row],[Water]],-1,0)+TblConstr[[#This Row],[Ch_Water]]</f>
        <v>20</v>
      </c>
      <c r="N110" s="382">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45736.41666666641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702394</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6">
        <f ca="1">ROUNDDOWN( MAX(1 - MIN(facs_constr_factor*TblConstr[[#This Row],[Facs -DB]],facs_constr_max) + tech_1_11*TblTech[[#This Row],[11-1]] + tech_6_3_2*TblTech[[#This Row],[6-3]] + tech_5_2_3*TblTech[[#This Row],[5-2]], 1-global_constr_cap) * TblConstr[[#This Row],[RCPA Lumber]],0)</f>
        <v>88</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6">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ROUND((TblConstr[[#This Row],[Land]]-250 - IF(TblExplore[[#This Row],[Land Bonus]]&lt;&gt;0,20,0))*1.25 + 850 + 0,0)</f>
        <v>850</v>
      </c>
      <c r="AW110" s="96">
        <f ca="1">ROUND((TblConstr[[#This Row],[Land]]-250 - IF(TblExplore[[#This Row],[Land Bonus]]&lt;&gt;0,20,0))*0.285 + 87.5 + 0/4.25,0)</f>
        <v>88</v>
      </c>
      <c r="AX110" s="156"/>
      <c r="AY110" s="190" cm="1">
        <f t="array" aca="1" ref="AY110" ca="1">IF(TblConstr[[#This Row],[Hour]:[Hour]]&gt;12,OFFSET(TblConstr[[#This Row],[Hom]],-12,0),0)+OFFSET(TblConstr[[#This Row],[Tot Hom]],-1,0)-TblConstr[[#This Row],[Dest Hom]]</f>
        <v>10</v>
      </c>
      <c r="AZ110" s="191" cm="1">
        <f t="array" aca="1" ref="AZ110" ca="1">IF(TblConstr[[#This Row],[Hour]:[Hour]]&gt;12,OFFSET(TblConstr[[#This Row],[Alc]],-12,0),0)+OFFSET(TblConstr[[#This Row],[Tot Alc]],-1,0)-TblConstr[[#This Row],[Dest Alc]]</f>
        <v>30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86" cm="1">
        <f t="array" aca="1" ref="BF110" ca="1">IF(TblConstr[[#This Row],[Hour]:[Hour]]&gt;12,OFFSET(TblConstr[[#This Row],[OM]],-12,0),0)+OFFSET(TblConstr[[#This Row],[Tot OM]],-1,0)-TblConstr[[#This Row],[Dest OM]]</f>
        <v>0</v>
      </c>
      <c r="BG110" s="386" cm="1">
        <f t="array" aca="1" ref="BG110" ca="1">IF(TblConstr[[#This Row],[Hour]:[Hour]]&gt;12,OFFSET(TblConstr[[#This Row],[GN]],-12,0),0)+OFFSET(TblConstr[[#This Row],[Tot GN]],-1,0)-TblConstr[[#This Row],[Dest GN]]</f>
        <v>0</v>
      </c>
      <c r="BH110" s="390" cm="1">
        <f t="array" aca="1" ref="BH110" ca="1">IF(TblConstr[[#This Row],[Hour]:[Hour]]&gt;12,OFFSET(TblConstr[[#This Row],[Fac]],-12,0),0)+OFFSET(TblConstr[[#This Row],[Tot Fac]],-1,0)-TblConstr[[#This Row],[Dest Fac]]</f>
        <v>0</v>
      </c>
      <c r="BI110" s="390" cm="1">
        <f t="array" aca="1" ref="BI110" ca="1">IF(TblConstr[[#This Row],[Hour]:[Hour]]&gt;12,OFFSET(TblConstr[[#This Row],[GT]],-12,0),0)+OFFSET(TblConstr[[#This Row],[Tot GT]],-1,0)-TblConstr[[#This Row],[Dest GT]]</f>
        <v>0</v>
      </c>
      <c r="BJ110" s="390" cm="1">
        <f t="array" aca="1" ref="BJ110" ca="1">IF(TblConstr[[#This Row],[Hour]:[Hour]]&gt;12,OFFSET(TblConstr[[#This Row],[Bar]],-12,0),0)+OFFSET(TblConstr[[#This Row],[Tot Bar]],-1,0)-TblConstr[[#This Row],[Dest Bar]]</f>
        <v>0</v>
      </c>
      <c r="BK110" s="390" cm="1">
        <f t="array" aca="1" ref="BK110" ca="1">IF(TblConstr[[#This Row],[Hour]:[Hour]]&gt;12,OFFSET(TblConstr[[#This Row],[Shr]],-12,0),0)+OFFSET(TblConstr[[#This Row],[Tot Shr]],-1,0)-TblConstr[[#This Row],[Dest Shr]]</f>
        <v>0</v>
      </c>
      <c r="BL110" s="394" cm="1">
        <f t="array" aca="1" ref="BL110" ca="1">IF(TblConstr[[#This Row],[Hour]:[Hour]]&gt;12,OFFSET(TblConstr[[#This Row],[Tow]],-12,0),0)+OFFSET(TblConstr[[#This Row],[Tot Tow]],-1,0)-TblConstr[[#This Row],[Dest Tow]]</f>
        <v>0</v>
      </c>
      <c r="BM110" s="394" cm="1">
        <f t="array" aca="1" ref="BM110" ca="1">IF(TblConstr[[#This Row],[Hour]:[Hour]]&gt;12,OFFSET(TblConstr[[#This Row],[Tem]],-12,0),0)+OFFSET(TblConstr[[#This Row],[Tot Tem]],-1,0)-TblConstr[[#This Row],[Dest Tem]]</f>
        <v>0</v>
      </c>
      <c r="BN110" s="394"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250</v>
      </c>
      <c r="BU110" s="161">
        <f ca="1">TblImps[[#This Row],[Time]]</f>
        <v>45736.41666666641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84">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100</v>
      </c>
      <c r="DA110" s="96">
        <f t="shared" ca="1" si="24"/>
        <v>40</v>
      </c>
      <c r="DB110" s="45">
        <f t="shared" ca="1" si="25"/>
        <v>20</v>
      </c>
      <c r="DC110" s="96">
        <f t="shared" ca="1" si="26"/>
        <v>20</v>
      </c>
      <c r="DD110" s="96">
        <f t="shared" ca="1" si="27"/>
        <v>20</v>
      </c>
      <c r="DE110" s="45">
        <f t="shared" ca="1" si="28"/>
        <v>20</v>
      </c>
      <c r="DF110" s="96">
        <f t="shared" ca="1" si="29"/>
        <v>20</v>
      </c>
      <c r="DG110" s="96"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7">
        <f>TblRezone[[#This Row],[Hour]]</f>
        <v>108</v>
      </c>
      <c r="B111" s="178">
        <f ca="1">SUM(TblConstr[[#This Row],[Plain]:[Water]])</f>
        <v>160</v>
      </c>
      <c r="C111" s="179">
        <f ca="1">SUM(TblConstr[[#This Row],[Tot Hom]:[Tot Doc]])</f>
        <v>90</v>
      </c>
      <c r="D111" s="179">
        <f t="shared" si="21"/>
        <v>0</v>
      </c>
      <c r="E111" s="180"/>
      <c r="F111" s="61">
        <f ca="1">TblConstr[[#This Row],[Barren]]+TblConstr[[#This Row],[Buildings]]+TblConstr[[#This Row],[Incoming]]</f>
        <v>250</v>
      </c>
      <c r="G111" s="189">
        <f ca="1">OFFSET(TblConstr[[#This Row],[Plain]],-1,0)+TblConstr[[#This Row],[Ch_Plain]]</f>
        <v>40</v>
      </c>
      <c r="H111" s="184">
        <f ca="1">OFFSET(TblConstr[[#This Row],[Forest]],-1,0)+TblConstr[[#This Row],[Ch_Forest]]</f>
        <v>20</v>
      </c>
      <c r="I111" s="384">
        <f ca="1">OFFSET(TblConstr[[#This Row],[Mountain]],-1,0)+TblConstr[[#This Row],[Ch_Mountain]]</f>
        <v>20</v>
      </c>
      <c r="J111" s="388">
        <f ca="1">OFFSET(TblConstr[[#This Row],[Hill]],-1,0)+TblConstr[[#This Row],[Ch_Hill]]</f>
        <v>20</v>
      </c>
      <c r="K111" s="392">
        <f ca="1">OFFSET(TblConstr[[#This Row],[Swamp]],-1,0)+TblConstr[[#This Row],[Ch_Swamp]]</f>
        <v>20</v>
      </c>
      <c r="L111" s="187">
        <f ca="1">OFFSET(TblConstr[[#This Row],[Cavern]],-1,0)+TblConstr[[#This Row],[Ch_Cavern]]</f>
        <v>20</v>
      </c>
      <c r="M111" s="188">
        <f ca="1">OFFSET(TblConstr[[#This Row],[Water]],-1,0)+TblConstr[[#This Row],[Ch_Water]]</f>
        <v>20</v>
      </c>
      <c r="N111" s="382">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45736.458333333074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707880</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6">
        <f ca="1">ROUNDDOWN( MAX(1 - MIN(facs_constr_factor*TblConstr[[#This Row],[Facs -DB]],facs_constr_max) + tech_1_11*TblTech[[#This Row],[11-1]] + tech_6_3_2*TblTech[[#This Row],[6-3]] + tech_5_2_3*TblTech[[#This Row],[5-2]], 1-global_constr_cap) * TblConstr[[#This Row],[RCPA Lumber]],0)</f>
        <v>88</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6">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ROUND((TblConstr[[#This Row],[Land]]-250 - IF(TblExplore[[#This Row],[Land Bonus]]&lt;&gt;0,20,0))*1.25 + 850 + 0,0)</f>
        <v>850</v>
      </c>
      <c r="AW111" s="96">
        <f ca="1">ROUND((TblConstr[[#This Row],[Land]]-250 - IF(TblExplore[[#This Row],[Land Bonus]]&lt;&gt;0,20,0))*0.285 + 87.5 + 0/4.25,0)</f>
        <v>88</v>
      </c>
      <c r="AX111" s="156"/>
      <c r="AY111" s="190" cm="1">
        <f t="array" aca="1" ref="AY111" ca="1">IF(TblConstr[[#This Row],[Hour]:[Hour]]&gt;12,OFFSET(TblConstr[[#This Row],[Hom]],-12,0),0)+OFFSET(TblConstr[[#This Row],[Tot Hom]],-1,0)-TblConstr[[#This Row],[Dest Hom]]</f>
        <v>10</v>
      </c>
      <c r="AZ111" s="191" cm="1">
        <f t="array" aca="1" ref="AZ111" ca="1">IF(TblConstr[[#This Row],[Hour]:[Hour]]&gt;12,OFFSET(TblConstr[[#This Row],[Alc]],-12,0),0)+OFFSET(TblConstr[[#This Row],[Tot Alc]],-1,0)-TblConstr[[#This Row],[Dest Alc]]</f>
        <v>30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86" cm="1">
        <f t="array" aca="1" ref="BF111" ca="1">IF(TblConstr[[#This Row],[Hour]:[Hour]]&gt;12,OFFSET(TblConstr[[#This Row],[OM]],-12,0),0)+OFFSET(TblConstr[[#This Row],[Tot OM]],-1,0)-TblConstr[[#This Row],[Dest OM]]</f>
        <v>0</v>
      </c>
      <c r="BG111" s="386" cm="1">
        <f t="array" aca="1" ref="BG111" ca="1">IF(TblConstr[[#This Row],[Hour]:[Hour]]&gt;12,OFFSET(TblConstr[[#This Row],[GN]],-12,0),0)+OFFSET(TblConstr[[#This Row],[Tot GN]],-1,0)-TblConstr[[#This Row],[Dest GN]]</f>
        <v>0</v>
      </c>
      <c r="BH111" s="390" cm="1">
        <f t="array" aca="1" ref="BH111" ca="1">IF(TblConstr[[#This Row],[Hour]:[Hour]]&gt;12,OFFSET(TblConstr[[#This Row],[Fac]],-12,0),0)+OFFSET(TblConstr[[#This Row],[Tot Fac]],-1,0)-TblConstr[[#This Row],[Dest Fac]]</f>
        <v>0</v>
      </c>
      <c r="BI111" s="390" cm="1">
        <f t="array" aca="1" ref="BI111" ca="1">IF(TblConstr[[#This Row],[Hour]:[Hour]]&gt;12,OFFSET(TblConstr[[#This Row],[GT]],-12,0),0)+OFFSET(TblConstr[[#This Row],[Tot GT]],-1,0)-TblConstr[[#This Row],[Dest GT]]</f>
        <v>0</v>
      </c>
      <c r="BJ111" s="390" cm="1">
        <f t="array" aca="1" ref="BJ111" ca="1">IF(TblConstr[[#This Row],[Hour]:[Hour]]&gt;12,OFFSET(TblConstr[[#This Row],[Bar]],-12,0),0)+OFFSET(TblConstr[[#This Row],[Tot Bar]],-1,0)-TblConstr[[#This Row],[Dest Bar]]</f>
        <v>0</v>
      </c>
      <c r="BK111" s="390" cm="1">
        <f t="array" aca="1" ref="BK111" ca="1">IF(TblConstr[[#This Row],[Hour]:[Hour]]&gt;12,OFFSET(TblConstr[[#This Row],[Shr]],-12,0),0)+OFFSET(TblConstr[[#This Row],[Tot Shr]],-1,0)-TblConstr[[#This Row],[Dest Shr]]</f>
        <v>0</v>
      </c>
      <c r="BL111" s="394" cm="1">
        <f t="array" aca="1" ref="BL111" ca="1">IF(TblConstr[[#This Row],[Hour]:[Hour]]&gt;12,OFFSET(TblConstr[[#This Row],[Tow]],-12,0),0)+OFFSET(TblConstr[[#This Row],[Tot Tow]],-1,0)-TblConstr[[#This Row],[Dest Tow]]</f>
        <v>0</v>
      </c>
      <c r="BM111" s="394" cm="1">
        <f t="array" aca="1" ref="BM111" ca="1">IF(TblConstr[[#This Row],[Hour]:[Hour]]&gt;12,OFFSET(TblConstr[[#This Row],[Tem]],-12,0),0)+OFFSET(TblConstr[[#This Row],[Tot Tem]],-1,0)-TblConstr[[#This Row],[Dest Tem]]</f>
        <v>0</v>
      </c>
      <c r="BN111" s="394"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250</v>
      </c>
      <c r="BU111" s="161">
        <f ca="1">TblImps[[#This Row],[Time]]</f>
        <v>45736.458333333074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84">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100</v>
      </c>
      <c r="DA111" s="96">
        <f t="shared" ca="1" si="24"/>
        <v>40</v>
      </c>
      <c r="DB111" s="45">
        <f t="shared" ca="1" si="25"/>
        <v>20</v>
      </c>
      <c r="DC111" s="96">
        <f t="shared" ca="1" si="26"/>
        <v>20</v>
      </c>
      <c r="DD111" s="96">
        <f t="shared" ca="1" si="27"/>
        <v>20</v>
      </c>
      <c r="DE111" s="45">
        <f t="shared" ca="1" si="28"/>
        <v>20</v>
      </c>
      <c r="DF111" s="96">
        <f t="shared" ca="1" si="29"/>
        <v>20</v>
      </c>
      <c r="DG111" s="96"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7">
        <f>TblRezone[[#This Row],[Hour]]</f>
        <v>109</v>
      </c>
      <c r="B112" s="178">
        <f ca="1">SUM(TblConstr[[#This Row],[Plain]:[Water]])</f>
        <v>160</v>
      </c>
      <c r="C112" s="179">
        <f ca="1">SUM(TblConstr[[#This Row],[Tot Hom]:[Tot Doc]])</f>
        <v>90</v>
      </c>
      <c r="D112" s="179">
        <f t="shared" si="21"/>
        <v>0</v>
      </c>
      <c r="E112" s="180"/>
      <c r="F112" s="61">
        <f ca="1">TblConstr[[#This Row],[Barren]]+TblConstr[[#This Row],[Buildings]]+TblConstr[[#This Row],[Incoming]]</f>
        <v>250</v>
      </c>
      <c r="G112" s="189">
        <f ca="1">OFFSET(TblConstr[[#This Row],[Plain]],-1,0)+TblConstr[[#This Row],[Ch_Plain]]</f>
        <v>40</v>
      </c>
      <c r="H112" s="184">
        <f ca="1">OFFSET(TblConstr[[#This Row],[Forest]],-1,0)+TblConstr[[#This Row],[Ch_Forest]]</f>
        <v>20</v>
      </c>
      <c r="I112" s="384">
        <f ca="1">OFFSET(TblConstr[[#This Row],[Mountain]],-1,0)+TblConstr[[#This Row],[Ch_Mountain]]</f>
        <v>20</v>
      </c>
      <c r="J112" s="388">
        <f ca="1">OFFSET(TblConstr[[#This Row],[Hill]],-1,0)+TblConstr[[#This Row],[Ch_Hill]]</f>
        <v>20</v>
      </c>
      <c r="K112" s="392">
        <f ca="1">OFFSET(TblConstr[[#This Row],[Swamp]],-1,0)+TblConstr[[#This Row],[Ch_Swamp]]</f>
        <v>20</v>
      </c>
      <c r="L112" s="187">
        <f ca="1">OFFSET(TblConstr[[#This Row],[Cavern]],-1,0)+TblConstr[[#This Row],[Ch_Cavern]]</f>
        <v>20</v>
      </c>
      <c r="M112" s="188">
        <f ca="1">OFFSET(TblConstr[[#This Row],[Water]],-1,0)+TblConstr[[#This Row],[Ch_Water]]</f>
        <v>20</v>
      </c>
      <c r="N112" s="382">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45736.499999999738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713366</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6">
        <f ca="1">ROUNDDOWN( MAX(1 - MIN(facs_constr_factor*TblConstr[[#This Row],[Facs -DB]],facs_constr_max) + tech_1_11*TblTech[[#This Row],[11-1]] + tech_6_3_2*TblTech[[#This Row],[6-3]] + tech_5_2_3*TblTech[[#This Row],[5-2]], 1-global_constr_cap) * TblConstr[[#This Row],[RCPA Lumber]],0)</f>
        <v>88</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6">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ROUND((TblConstr[[#This Row],[Land]]-250 - IF(TblExplore[[#This Row],[Land Bonus]]&lt;&gt;0,20,0))*1.25 + 850 + 0,0)</f>
        <v>850</v>
      </c>
      <c r="AW112" s="96">
        <f ca="1">ROUND((TblConstr[[#This Row],[Land]]-250 - IF(TblExplore[[#This Row],[Land Bonus]]&lt;&gt;0,20,0))*0.285 + 87.5 + 0/4.25,0)</f>
        <v>88</v>
      </c>
      <c r="AX112" s="156"/>
      <c r="AY112" s="190" cm="1">
        <f t="array" aca="1" ref="AY112" ca="1">IF(TblConstr[[#This Row],[Hour]:[Hour]]&gt;12,OFFSET(TblConstr[[#This Row],[Hom]],-12,0),0)+OFFSET(TblConstr[[#This Row],[Tot Hom]],-1,0)-TblConstr[[#This Row],[Dest Hom]]</f>
        <v>10</v>
      </c>
      <c r="AZ112" s="191" cm="1">
        <f t="array" aca="1" ref="AZ112" ca="1">IF(TblConstr[[#This Row],[Hour]:[Hour]]&gt;12,OFFSET(TblConstr[[#This Row],[Alc]],-12,0),0)+OFFSET(TblConstr[[#This Row],[Tot Alc]],-1,0)-TblConstr[[#This Row],[Dest Alc]]</f>
        <v>30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86" cm="1">
        <f t="array" aca="1" ref="BF112" ca="1">IF(TblConstr[[#This Row],[Hour]:[Hour]]&gt;12,OFFSET(TblConstr[[#This Row],[OM]],-12,0),0)+OFFSET(TblConstr[[#This Row],[Tot OM]],-1,0)-TblConstr[[#This Row],[Dest OM]]</f>
        <v>0</v>
      </c>
      <c r="BG112" s="386" cm="1">
        <f t="array" aca="1" ref="BG112" ca="1">IF(TblConstr[[#This Row],[Hour]:[Hour]]&gt;12,OFFSET(TblConstr[[#This Row],[GN]],-12,0),0)+OFFSET(TblConstr[[#This Row],[Tot GN]],-1,0)-TblConstr[[#This Row],[Dest GN]]</f>
        <v>0</v>
      </c>
      <c r="BH112" s="390" cm="1">
        <f t="array" aca="1" ref="BH112" ca="1">IF(TblConstr[[#This Row],[Hour]:[Hour]]&gt;12,OFFSET(TblConstr[[#This Row],[Fac]],-12,0),0)+OFFSET(TblConstr[[#This Row],[Tot Fac]],-1,0)-TblConstr[[#This Row],[Dest Fac]]</f>
        <v>0</v>
      </c>
      <c r="BI112" s="390" cm="1">
        <f t="array" aca="1" ref="BI112" ca="1">IF(TblConstr[[#This Row],[Hour]:[Hour]]&gt;12,OFFSET(TblConstr[[#This Row],[GT]],-12,0),0)+OFFSET(TblConstr[[#This Row],[Tot GT]],-1,0)-TblConstr[[#This Row],[Dest GT]]</f>
        <v>0</v>
      </c>
      <c r="BJ112" s="390" cm="1">
        <f t="array" aca="1" ref="BJ112" ca="1">IF(TblConstr[[#This Row],[Hour]:[Hour]]&gt;12,OFFSET(TblConstr[[#This Row],[Bar]],-12,0),0)+OFFSET(TblConstr[[#This Row],[Tot Bar]],-1,0)-TblConstr[[#This Row],[Dest Bar]]</f>
        <v>0</v>
      </c>
      <c r="BK112" s="390" cm="1">
        <f t="array" aca="1" ref="BK112" ca="1">IF(TblConstr[[#This Row],[Hour]:[Hour]]&gt;12,OFFSET(TblConstr[[#This Row],[Shr]],-12,0),0)+OFFSET(TblConstr[[#This Row],[Tot Shr]],-1,0)-TblConstr[[#This Row],[Dest Shr]]</f>
        <v>0</v>
      </c>
      <c r="BL112" s="394" cm="1">
        <f t="array" aca="1" ref="BL112" ca="1">IF(TblConstr[[#This Row],[Hour]:[Hour]]&gt;12,OFFSET(TblConstr[[#This Row],[Tow]],-12,0),0)+OFFSET(TblConstr[[#This Row],[Tot Tow]],-1,0)-TblConstr[[#This Row],[Dest Tow]]</f>
        <v>0</v>
      </c>
      <c r="BM112" s="394" cm="1">
        <f t="array" aca="1" ref="BM112" ca="1">IF(TblConstr[[#This Row],[Hour]:[Hour]]&gt;12,OFFSET(TblConstr[[#This Row],[Tem]],-12,0),0)+OFFSET(TblConstr[[#This Row],[Tot Tem]],-1,0)-TblConstr[[#This Row],[Dest Tem]]</f>
        <v>0</v>
      </c>
      <c r="BN112" s="394"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250</v>
      </c>
      <c r="BU112" s="161">
        <f ca="1">TblImps[[#This Row],[Time]]</f>
        <v>45736.499999999738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84">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100</v>
      </c>
      <c r="DA112" s="96">
        <f t="shared" ref="DA112:DA131" ca="1" si="31">H112+SUM(T101:U112)+SUM(BD112:BE112)</f>
        <v>40</v>
      </c>
      <c r="DB112" s="45">
        <f t="shared" ref="DB112:DB131" ca="1" si="32">I112+SUM(V101:W112)+SUM(BF112:BG112)</f>
        <v>20</v>
      </c>
      <c r="DC112" s="96">
        <f t="shared" ref="DC112:DC131" ca="1" si="33">J112+SUM(X101:Y112)+SUM(BH112:BI112)</f>
        <v>20</v>
      </c>
      <c r="DD112" s="96">
        <f t="shared" ref="DD112:DD131" ca="1" si="34">K112+SUM(AB101:AD112)+SUM(BL112:BN112)</f>
        <v>20</v>
      </c>
      <c r="DE112" s="45">
        <f t="shared" ref="DE112:DE131" ca="1" si="35">L112+SUM(AE101:AE112)+BO112</f>
        <v>20</v>
      </c>
      <c r="DF112" s="96">
        <f t="shared" ref="DF112:DF131" ca="1" si="36">M112+SUM(AG101:AG112)+BQ112</f>
        <v>20</v>
      </c>
      <c r="DG112" s="96"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7">
        <f>TblRezone[[#This Row],[Hour]]</f>
        <v>110</v>
      </c>
      <c r="B113" s="178">
        <f ca="1">SUM(TblConstr[[#This Row],[Plain]:[Water]])</f>
        <v>160</v>
      </c>
      <c r="C113" s="179">
        <f ca="1">SUM(TblConstr[[#This Row],[Tot Hom]:[Tot Doc]])</f>
        <v>90</v>
      </c>
      <c r="D113" s="179">
        <f t="shared" si="21"/>
        <v>0</v>
      </c>
      <c r="E113" s="180"/>
      <c r="F113" s="61">
        <f ca="1">TblConstr[[#This Row],[Barren]]+TblConstr[[#This Row],[Buildings]]+TblConstr[[#This Row],[Incoming]]</f>
        <v>250</v>
      </c>
      <c r="G113" s="189">
        <f ca="1">OFFSET(TblConstr[[#This Row],[Plain]],-1,0)+TblConstr[[#This Row],[Ch_Plain]]</f>
        <v>40</v>
      </c>
      <c r="H113" s="184">
        <f ca="1">OFFSET(TblConstr[[#This Row],[Forest]],-1,0)+TblConstr[[#This Row],[Ch_Forest]]</f>
        <v>20</v>
      </c>
      <c r="I113" s="384">
        <f ca="1">OFFSET(TblConstr[[#This Row],[Mountain]],-1,0)+TblConstr[[#This Row],[Ch_Mountain]]</f>
        <v>20</v>
      </c>
      <c r="J113" s="388">
        <f ca="1">OFFSET(TblConstr[[#This Row],[Hill]],-1,0)+TblConstr[[#This Row],[Ch_Hill]]</f>
        <v>20</v>
      </c>
      <c r="K113" s="392">
        <f ca="1">OFFSET(TblConstr[[#This Row],[Swamp]],-1,0)+TblConstr[[#This Row],[Ch_Swamp]]</f>
        <v>20</v>
      </c>
      <c r="L113" s="187">
        <f ca="1">OFFSET(TblConstr[[#This Row],[Cavern]],-1,0)+TblConstr[[#This Row],[Ch_Cavern]]</f>
        <v>20</v>
      </c>
      <c r="M113" s="188">
        <f ca="1">OFFSET(TblConstr[[#This Row],[Water]],-1,0)+TblConstr[[#This Row],[Ch_Water]]</f>
        <v>20</v>
      </c>
      <c r="N113" s="382">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45736.541666666402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718852</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6">
        <f ca="1">ROUNDDOWN( MAX(1 - MIN(facs_constr_factor*TblConstr[[#This Row],[Facs -DB]],facs_constr_max) + tech_1_11*TblTech[[#This Row],[11-1]] + tech_6_3_2*TblTech[[#This Row],[6-3]] + tech_5_2_3*TblTech[[#This Row],[5-2]], 1-global_constr_cap) * TblConstr[[#This Row],[RCPA Lumber]],0)</f>
        <v>88</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6">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ROUND((TblConstr[[#This Row],[Land]]-250 - IF(TblExplore[[#This Row],[Land Bonus]]&lt;&gt;0,20,0))*1.25 + 850 + 0,0)</f>
        <v>850</v>
      </c>
      <c r="AW113" s="96">
        <f ca="1">ROUND((TblConstr[[#This Row],[Land]]-250 - IF(TblExplore[[#This Row],[Land Bonus]]&lt;&gt;0,20,0))*0.285 + 87.5 + 0/4.25,0)</f>
        <v>88</v>
      </c>
      <c r="AX113" s="156"/>
      <c r="AY113" s="190" cm="1">
        <f t="array" aca="1" ref="AY113" ca="1">IF(TblConstr[[#This Row],[Hour]:[Hour]]&gt;12,OFFSET(TblConstr[[#This Row],[Hom]],-12,0),0)+OFFSET(TblConstr[[#This Row],[Tot Hom]],-1,0)-TblConstr[[#This Row],[Dest Hom]]</f>
        <v>10</v>
      </c>
      <c r="AZ113" s="191" cm="1">
        <f t="array" aca="1" ref="AZ113" ca="1">IF(TblConstr[[#This Row],[Hour]:[Hour]]&gt;12,OFFSET(TblConstr[[#This Row],[Alc]],-12,0),0)+OFFSET(TblConstr[[#This Row],[Tot Alc]],-1,0)-TblConstr[[#This Row],[Dest Alc]]</f>
        <v>30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86" cm="1">
        <f t="array" aca="1" ref="BF113" ca="1">IF(TblConstr[[#This Row],[Hour]:[Hour]]&gt;12,OFFSET(TblConstr[[#This Row],[OM]],-12,0),0)+OFFSET(TblConstr[[#This Row],[Tot OM]],-1,0)-TblConstr[[#This Row],[Dest OM]]</f>
        <v>0</v>
      </c>
      <c r="BG113" s="386" cm="1">
        <f t="array" aca="1" ref="BG113" ca="1">IF(TblConstr[[#This Row],[Hour]:[Hour]]&gt;12,OFFSET(TblConstr[[#This Row],[GN]],-12,0),0)+OFFSET(TblConstr[[#This Row],[Tot GN]],-1,0)-TblConstr[[#This Row],[Dest GN]]</f>
        <v>0</v>
      </c>
      <c r="BH113" s="390" cm="1">
        <f t="array" aca="1" ref="BH113" ca="1">IF(TblConstr[[#This Row],[Hour]:[Hour]]&gt;12,OFFSET(TblConstr[[#This Row],[Fac]],-12,0),0)+OFFSET(TblConstr[[#This Row],[Tot Fac]],-1,0)-TblConstr[[#This Row],[Dest Fac]]</f>
        <v>0</v>
      </c>
      <c r="BI113" s="390" cm="1">
        <f t="array" aca="1" ref="BI113" ca="1">IF(TblConstr[[#This Row],[Hour]:[Hour]]&gt;12,OFFSET(TblConstr[[#This Row],[GT]],-12,0),0)+OFFSET(TblConstr[[#This Row],[Tot GT]],-1,0)-TblConstr[[#This Row],[Dest GT]]</f>
        <v>0</v>
      </c>
      <c r="BJ113" s="390" cm="1">
        <f t="array" aca="1" ref="BJ113" ca="1">IF(TblConstr[[#This Row],[Hour]:[Hour]]&gt;12,OFFSET(TblConstr[[#This Row],[Bar]],-12,0),0)+OFFSET(TblConstr[[#This Row],[Tot Bar]],-1,0)-TblConstr[[#This Row],[Dest Bar]]</f>
        <v>0</v>
      </c>
      <c r="BK113" s="390" cm="1">
        <f t="array" aca="1" ref="BK113" ca="1">IF(TblConstr[[#This Row],[Hour]:[Hour]]&gt;12,OFFSET(TblConstr[[#This Row],[Shr]],-12,0),0)+OFFSET(TblConstr[[#This Row],[Tot Shr]],-1,0)-TblConstr[[#This Row],[Dest Shr]]</f>
        <v>0</v>
      </c>
      <c r="BL113" s="394" cm="1">
        <f t="array" aca="1" ref="BL113" ca="1">IF(TblConstr[[#This Row],[Hour]:[Hour]]&gt;12,OFFSET(TblConstr[[#This Row],[Tow]],-12,0),0)+OFFSET(TblConstr[[#This Row],[Tot Tow]],-1,0)-TblConstr[[#This Row],[Dest Tow]]</f>
        <v>0</v>
      </c>
      <c r="BM113" s="394" cm="1">
        <f t="array" aca="1" ref="BM113" ca="1">IF(TblConstr[[#This Row],[Hour]:[Hour]]&gt;12,OFFSET(TblConstr[[#This Row],[Tem]],-12,0),0)+OFFSET(TblConstr[[#This Row],[Tot Tem]],-1,0)-TblConstr[[#This Row],[Dest Tem]]</f>
        <v>0</v>
      </c>
      <c r="BN113" s="394"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250</v>
      </c>
      <c r="BU113" s="161">
        <f ca="1">TblImps[[#This Row],[Time]]</f>
        <v>45736.541666666402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84">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100</v>
      </c>
      <c r="DA113" s="96">
        <f t="shared" ca="1" si="31"/>
        <v>40</v>
      </c>
      <c r="DB113" s="45">
        <f t="shared" ca="1" si="32"/>
        <v>20</v>
      </c>
      <c r="DC113" s="96">
        <f t="shared" ca="1" si="33"/>
        <v>20</v>
      </c>
      <c r="DD113" s="96">
        <f t="shared" ca="1" si="34"/>
        <v>20</v>
      </c>
      <c r="DE113" s="45">
        <f t="shared" ca="1" si="35"/>
        <v>20</v>
      </c>
      <c r="DF113" s="96">
        <f t="shared" ca="1" si="36"/>
        <v>20</v>
      </c>
      <c r="DG113" s="96"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7">
        <f>TblRezone[[#This Row],[Hour]]</f>
        <v>111</v>
      </c>
      <c r="B114" s="178">
        <f ca="1">SUM(TblConstr[[#This Row],[Plain]:[Water]])</f>
        <v>160</v>
      </c>
      <c r="C114" s="179">
        <f ca="1">SUM(TblConstr[[#This Row],[Tot Hom]:[Tot Doc]])</f>
        <v>90</v>
      </c>
      <c r="D114" s="179">
        <f t="shared" si="21"/>
        <v>0</v>
      </c>
      <c r="E114" s="180"/>
      <c r="F114" s="61">
        <f ca="1">TblConstr[[#This Row],[Barren]]+TblConstr[[#This Row],[Buildings]]+TblConstr[[#This Row],[Incoming]]</f>
        <v>250</v>
      </c>
      <c r="G114" s="189">
        <f ca="1">OFFSET(TblConstr[[#This Row],[Plain]],-1,0)+TblConstr[[#This Row],[Ch_Plain]]</f>
        <v>40</v>
      </c>
      <c r="H114" s="184">
        <f ca="1">OFFSET(TblConstr[[#This Row],[Forest]],-1,0)+TblConstr[[#This Row],[Ch_Forest]]</f>
        <v>20</v>
      </c>
      <c r="I114" s="384">
        <f ca="1">OFFSET(TblConstr[[#This Row],[Mountain]],-1,0)+TblConstr[[#This Row],[Ch_Mountain]]</f>
        <v>20</v>
      </c>
      <c r="J114" s="388">
        <f ca="1">OFFSET(TblConstr[[#This Row],[Hill]],-1,0)+TblConstr[[#This Row],[Ch_Hill]]</f>
        <v>20</v>
      </c>
      <c r="K114" s="392">
        <f ca="1">OFFSET(TblConstr[[#This Row],[Swamp]],-1,0)+TblConstr[[#This Row],[Ch_Swamp]]</f>
        <v>20</v>
      </c>
      <c r="L114" s="187">
        <f ca="1">OFFSET(TblConstr[[#This Row],[Cavern]],-1,0)+TblConstr[[#This Row],[Ch_Cavern]]</f>
        <v>20</v>
      </c>
      <c r="M114" s="188">
        <f ca="1">OFFSET(TblConstr[[#This Row],[Water]],-1,0)+TblConstr[[#This Row],[Ch_Water]]</f>
        <v>20</v>
      </c>
      <c r="N114" s="382">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45736.583333333067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724338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6">
        <f ca="1">ROUNDDOWN( MAX(1 - MIN(facs_constr_factor*TblConstr[[#This Row],[Facs -DB]],facs_constr_max) + tech_1_11*TblTech[[#This Row],[11-1]] + tech_6_3_2*TblTech[[#This Row],[6-3]] + tech_5_2_3*TblTech[[#This Row],[5-2]], 1-global_constr_cap) * TblConstr[[#This Row],[RCPA Lumber]],0)</f>
        <v>88</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6">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ROUND((TblConstr[[#This Row],[Land]]-250 - IF(TblExplore[[#This Row],[Land Bonus]]&lt;&gt;0,20,0))*1.25 + 850 + 0,0)</f>
        <v>850</v>
      </c>
      <c r="AW114" s="96">
        <f ca="1">ROUND((TblConstr[[#This Row],[Land]]-250 - IF(TblExplore[[#This Row],[Land Bonus]]&lt;&gt;0,20,0))*0.285 + 87.5 + 0/4.25,0)</f>
        <v>88</v>
      </c>
      <c r="AX114" s="156"/>
      <c r="AY114" s="190" cm="1">
        <f t="array" aca="1" ref="AY114" ca="1">IF(TblConstr[[#This Row],[Hour]:[Hour]]&gt;12,OFFSET(TblConstr[[#This Row],[Hom]],-12,0),0)+OFFSET(TblConstr[[#This Row],[Tot Hom]],-1,0)-TblConstr[[#This Row],[Dest Hom]]</f>
        <v>10</v>
      </c>
      <c r="AZ114" s="191" cm="1">
        <f t="array" aca="1" ref="AZ114" ca="1">IF(TblConstr[[#This Row],[Hour]:[Hour]]&gt;12,OFFSET(TblConstr[[#This Row],[Alc]],-12,0),0)+OFFSET(TblConstr[[#This Row],[Tot Alc]],-1,0)-TblConstr[[#This Row],[Dest Alc]]</f>
        <v>30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86" cm="1">
        <f t="array" aca="1" ref="BF114" ca="1">IF(TblConstr[[#This Row],[Hour]:[Hour]]&gt;12,OFFSET(TblConstr[[#This Row],[OM]],-12,0),0)+OFFSET(TblConstr[[#This Row],[Tot OM]],-1,0)-TblConstr[[#This Row],[Dest OM]]</f>
        <v>0</v>
      </c>
      <c r="BG114" s="386" cm="1">
        <f t="array" aca="1" ref="BG114" ca="1">IF(TblConstr[[#This Row],[Hour]:[Hour]]&gt;12,OFFSET(TblConstr[[#This Row],[GN]],-12,0),0)+OFFSET(TblConstr[[#This Row],[Tot GN]],-1,0)-TblConstr[[#This Row],[Dest GN]]</f>
        <v>0</v>
      </c>
      <c r="BH114" s="390" cm="1">
        <f t="array" aca="1" ref="BH114" ca="1">IF(TblConstr[[#This Row],[Hour]:[Hour]]&gt;12,OFFSET(TblConstr[[#This Row],[Fac]],-12,0),0)+OFFSET(TblConstr[[#This Row],[Tot Fac]],-1,0)-TblConstr[[#This Row],[Dest Fac]]</f>
        <v>0</v>
      </c>
      <c r="BI114" s="390" cm="1">
        <f t="array" aca="1" ref="BI114" ca="1">IF(TblConstr[[#This Row],[Hour]:[Hour]]&gt;12,OFFSET(TblConstr[[#This Row],[GT]],-12,0),0)+OFFSET(TblConstr[[#This Row],[Tot GT]],-1,0)-TblConstr[[#This Row],[Dest GT]]</f>
        <v>0</v>
      </c>
      <c r="BJ114" s="390" cm="1">
        <f t="array" aca="1" ref="BJ114" ca="1">IF(TblConstr[[#This Row],[Hour]:[Hour]]&gt;12,OFFSET(TblConstr[[#This Row],[Bar]],-12,0),0)+OFFSET(TblConstr[[#This Row],[Tot Bar]],-1,0)-TblConstr[[#This Row],[Dest Bar]]</f>
        <v>0</v>
      </c>
      <c r="BK114" s="390" cm="1">
        <f t="array" aca="1" ref="BK114" ca="1">IF(TblConstr[[#This Row],[Hour]:[Hour]]&gt;12,OFFSET(TblConstr[[#This Row],[Shr]],-12,0),0)+OFFSET(TblConstr[[#This Row],[Tot Shr]],-1,0)-TblConstr[[#This Row],[Dest Shr]]</f>
        <v>0</v>
      </c>
      <c r="BL114" s="394" cm="1">
        <f t="array" aca="1" ref="BL114" ca="1">IF(TblConstr[[#This Row],[Hour]:[Hour]]&gt;12,OFFSET(TblConstr[[#This Row],[Tow]],-12,0),0)+OFFSET(TblConstr[[#This Row],[Tot Tow]],-1,0)-TblConstr[[#This Row],[Dest Tow]]</f>
        <v>0</v>
      </c>
      <c r="BM114" s="394" cm="1">
        <f t="array" aca="1" ref="BM114" ca="1">IF(TblConstr[[#This Row],[Hour]:[Hour]]&gt;12,OFFSET(TblConstr[[#This Row],[Tem]],-12,0),0)+OFFSET(TblConstr[[#This Row],[Tot Tem]],-1,0)-TblConstr[[#This Row],[Dest Tem]]</f>
        <v>0</v>
      </c>
      <c r="BN114" s="394"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250</v>
      </c>
      <c r="BU114" s="161">
        <f ca="1">TblImps[[#This Row],[Time]]</f>
        <v>45736.583333333067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84">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100</v>
      </c>
      <c r="DA114" s="96">
        <f t="shared" ca="1" si="31"/>
        <v>40</v>
      </c>
      <c r="DB114" s="45">
        <f t="shared" ca="1" si="32"/>
        <v>20</v>
      </c>
      <c r="DC114" s="96">
        <f t="shared" ca="1" si="33"/>
        <v>20</v>
      </c>
      <c r="DD114" s="96">
        <f t="shared" ca="1" si="34"/>
        <v>20</v>
      </c>
      <c r="DE114" s="45">
        <f t="shared" ca="1" si="35"/>
        <v>20</v>
      </c>
      <c r="DF114" s="96">
        <f t="shared" ca="1" si="36"/>
        <v>20</v>
      </c>
      <c r="DG114" s="96"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7">
        <f>TblRezone[[#This Row],[Hour]]</f>
        <v>112</v>
      </c>
      <c r="B115" s="178">
        <f ca="1">SUM(TblConstr[[#This Row],[Plain]:[Water]])</f>
        <v>160</v>
      </c>
      <c r="C115" s="179">
        <f ca="1">SUM(TblConstr[[#This Row],[Tot Hom]:[Tot Doc]])</f>
        <v>90</v>
      </c>
      <c r="D115" s="179">
        <f t="shared" si="21"/>
        <v>0</v>
      </c>
      <c r="E115" s="180"/>
      <c r="F115" s="61">
        <f ca="1">TblConstr[[#This Row],[Barren]]+TblConstr[[#This Row],[Buildings]]+TblConstr[[#This Row],[Incoming]]</f>
        <v>250</v>
      </c>
      <c r="G115" s="189">
        <f ca="1">OFFSET(TblConstr[[#This Row],[Plain]],-1,0)+TblConstr[[#This Row],[Ch_Plain]]</f>
        <v>40</v>
      </c>
      <c r="H115" s="184">
        <f ca="1">OFFSET(TblConstr[[#This Row],[Forest]],-1,0)+TblConstr[[#This Row],[Ch_Forest]]</f>
        <v>20</v>
      </c>
      <c r="I115" s="384">
        <f ca="1">OFFSET(TblConstr[[#This Row],[Mountain]],-1,0)+TblConstr[[#This Row],[Ch_Mountain]]</f>
        <v>20</v>
      </c>
      <c r="J115" s="388">
        <f ca="1">OFFSET(TblConstr[[#This Row],[Hill]],-1,0)+TblConstr[[#This Row],[Ch_Hill]]</f>
        <v>20</v>
      </c>
      <c r="K115" s="392">
        <f ca="1">OFFSET(TblConstr[[#This Row],[Swamp]],-1,0)+TblConstr[[#This Row],[Ch_Swamp]]</f>
        <v>20</v>
      </c>
      <c r="L115" s="187">
        <f ca="1">OFFSET(TblConstr[[#This Row],[Cavern]],-1,0)+TblConstr[[#This Row],[Ch_Cavern]]</f>
        <v>20</v>
      </c>
      <c r="M115" s="188">
        <f ca="1">OFFSET(TblConstr[[#This Row],[Water]],-1,0)+TblConstr[[#This Row],[Ch_Water]]</f>
        <v>20</v>
      </c>
      <c r="N115" s="382">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45736.624999999731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729824</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6">
        <f ca="1">ROUNDDOWN( MAX(1 - MIN(facs_constr_factor*TblConstr[[#This Row],[Facs -DB]],facs_constr_max) + tech_1_11*TblTech[[#This Row],[11-1]] + tech_6_3_2*TblTech[[#This Row],[6-3]] + tech_5_2_3*TblTech[[#This Row],[5-2]], 1-global_constr_cap) * TblConstr[[#This Row],[RCPA Lumber]],0)</f>
        <v>88</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6">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ROUND((TblConstr[[#This Row],[Land]]-250 - IF(TblExplore[[#This Row],[Land Bonus]]&lt;&gt;0,20,0))*1.25 + 850 + 0,0)</f>
        <v>850</v>
      </c>
      <c r="AW115" s="96">
        <f ca="1">ROUND((TblConstr[[#This Row],[Land]]-250 - IF(TblExplore[[#This Row],[Land Bonus]]&lt;&gt;0,20,0))*0.285 + 87.5 + 0/4.25,0)</f>
        <v>88</v>
      </c>
      <c r="AX115" s="156"/>
      <c r="AY115" s="190" cm="1">
        <f t="array" aca="1" ref="AY115" ca="1">IF(TblConstr[[#This Row],[Hour]:[Hour]]&gt;12,OFFSET(TblConstr[[#This Row],[Hom]],-12,0),0)+OFFSET(TblConstr[[#This Row],[Tot Hom]],-1,0)-TblConstr[[#This Row],[Dest Hom]]</f>
        <v>10</v>
      </c>
      <c r="AZ115" s="191" cm="1">
        <f t="array" aca="1" ref="AZ115" ca="1">IF(TblConstr[[#This Row],[Hour]:[Hour]]&gt;12,OFFSET(TblConstr[[#This Row],[Alc]],-12,0),0)+OFFSET(TblConstr[[#This Row],[Tot Alc]],-1,0)-TblConstr[[#This Row],[Dest Alc]]</f>
        <v>30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86" cm="1">
        <f t="array" aca="1" ref="BF115" ca="1">IF(TblConstr[[#This Row],[Hour]:[Hour]]&gt;12,OFFSET(TblConstr[[#This Row],[OM]],-12,0),0)+OFFSET(TblConstr[[#This Row],[Tot OM]],-1,0)-TblConstr[[#This Row],[Dest OM]]</f>
        <v>0</v>
      </c>
      <c r="BG115" s="386" cm="1">
        <f t="array" aca="1" ref="BG115" ca="1">IF(TblConstr[[#This Row],[Hour]:[Hour]]&gt;12,OFFSET(TblConstr[[#This Row],[GN]],-12,0),0)+OFFSET(TblConstr[[#This Row],[Tot GN]],-1,0)-TblConstr[[#This Row],[Dest GN]]</f>
        <v>0</v>
      </c>
      <c r="BH115" s="390" cm="1">
        <f t="array" aca="1" ref="BH115" ca="1">IF(TblConstr[[#This Row],[Hour]:[Hour]]&gt;12,OFFSET(TblConstr[[#This Row],[Fac]],-12,0),0)+OFFSET(TblConstr[[#This Row],[Tot Fac]],-1,0)-TblConstr[[#This Row],[Dest Fac]]</f>
        <v>0</v>
      </c>
      <c r="BI115" s="390" cm="1">
        <f t="array" aca="1" ref="BI115" ca="1">IF(TblConstr[[#This Row],[Hour]:[Hour]]&gt;12,OFFSET(TblConstr[[#This Row],[GT]],-12,0),0)+OFFSET(TblConstr[[#This Row],[Tot GT]],-1,0)-TblConstr[[#This Row],[Dest GT]]</f>
        <v>0</v>
      </c>
      <c r="BJ115" s="390" cm="1">
        <f t="array" aca="1" ref="BJ115" ca="1">IF(TblConstr[[#This Row],[Hour]:[Hour]]&gt;12,OFFSET(TblConstr[[#This Row],[Bar]],-12,0),0)+OFFSET(TblConstr[[#This Row],[Tot Bar]],-1,0)-TblConstr[[#This Row],[Dest Bar]]</f>
        <v>0</v>
      </c>
      <c r="BK115" s="390" cm="1">
        <f t="array" aca="1" ref="BK115" ca="1">IF(TblConstr[[#This Row],[Hour]:[Hour]]&gt;12,OFFSET(TblConstr[[#This Row],[Shr]],-12,0),0)+OFFSET(TblConstr[[#This Row],[Tot Shr]],-1,0)-TblConstr[[#This Row],[Dest Shr]]</f>
        <v>0</v>
      </c>
      <c r="BL115" s="394" cm="1">
        <f t="array" aca="1" ref="BL115" ca="1">IF(TblConstr[[#This Row],[Hour]:[Hour]]&gt;12,OFFSET(TblConstr[[#This Row],[Tow]],-12,0),0)+OFFSET(TblConstr[[#This Row],[Tot Tow]],-1,0)-TblConstr[[#This Row],[Dest Tow]]</f>
        <v>0</v>
      </c>
      <c r="BM115" s="394" cm="1">
        <f t="array" aca="1" ref="BM115" ca="1">IF(TblConstr[[#This Row],[Hour]:[Hour]]&gt;12,OFFSET(TblConstr[[#This Row],[Tem]],-12,0),0)+OFFSET(TblConstr[[#This Row],[Tot Tem]],-1,0)-TblConstr[[#This Row],[Dest Tem]]</f>
        <v>0</v>
      </c>
      <c r="BN115" s="394"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250</v>
      </c>
      <c r="BU115" s="161">
        <f ca="1">TblImps[[#This Row],[Time]]</f>
        <v>45736.624999999731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84">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100</v>
      </c>
      <c r="DA115" s="96">
        <f t="shared" ca="1" si="31"/>
        <v>40</v>
      </c>
      <c r="DB115" s="45">
        <f t="shared" ca="1" si="32"/>
        <v>20</v>
      </c>
      <c r="DC115" s="96">
        <f t="shared" ca="1" si="33"/>
        <v>20</v>
      </c>
      <c r="DD115" s="96">
        <f t="shared" ca="1" si="34"/>
        <v>20</v>
      </c>
      <c r="DE115" s="45">
        <f t="shared" ca="1" si="35"/>
        <v>20</v>
      </c>
      <c r="DF115" s="96">
        <f t="shared" ca="1" si="36"/>
        <v>20</v>
      </c>
      <c r="DG115" s="96"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7">
        <f>TblRezone[[#This Row],[Hour]]</f>
        <v>113</v>
      </c>
      <c r="B116" s="178">
        <f ca="1">SUM(TblConstr[[#This Row],[Plain]:[Water]])</f>
        <v>160</v>
      </c>
      <c r="C116" s="179">
        <f ca="1">SUM(TblConstr[[#This Row],[Tot Hom]:[Tot Doc]])</f>
        <v>90</v>
      </c>
      <c r="D116" s="179">
        <f t="shared" si="21"/>
        <v>0</v>
      </c>
      <c r="E116" s="180"/>
      <c r="F116" s="61">
        <f ca="1">TblConstr[[#This Row],[Barren]]+TblConstr[[#This Row],[Buildings]]+TblConstr[[#This Row],[Incoming]]</f>
        <v>250</v>
      </c>
      <c r="G116" s="189">
        <f ca="1">OFFSET(TblConstr[[#This Row],[Plain]],-1,0)+TblConstr[[#This Row],[Ch_Plain]]</f>
        <v>40</v>
      </c>
      <c r="H116" s="184">
        <f ca="1">OFFSET(TblConstr[[#This Row],[Forest]],-1,0)+TblConstr[[#This Row],[Ch_Forest]]</f>
        <v>20</v>
      </c>
      <c r="I116" s="384">
        <f ca="1">OFFSET(TblConstr[[#This Row],[Mountain]],-1,0)+TblConstr[[#This Row],[Ch_Mountain]]</f>
        <v>20</v>
      </c>
      <c r="J116" s="388">
        <f ca="1">OFFSET(TblConstr[[#This Row],[Hill]],-1,0)+TblConstr[[#This Row],[Ch_Hill]]</f>
        <v>20</v>
      </c>
      <c r="K116" s="392">
        <f ca="1">OFFSET(TblConstr[[#This Row],[Swamp]],-1,0)+TblConstr[[#This Row],[Ch_Swamp]]</f>
        <v>20</v>
      </c>
      <c r="L116" s="187">
        <f ca="1">OFFSET(TblConstr[[#This Row],[Cavern]],-1,0)+TblConstr[[#This Row],[Ch_Cavern]]</f>
        <v>20</v>
      </c>
      <c r="M116" s="188">
        <f ca="1">OFFSET(TblConstr[[#This Row],[Water]],-1,0)+TblConstr[[#This Row],[Ch_Water]]</f>
        <v>20</v>
      </c>
      <c r="N116" s="382">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45736.666666666395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735310</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6">
        <f ca="1">ROUNDDOWN( MAX(1 - MIN(facs_constr_factor*TblConstr[[#This Row],[Facs -DB]],facs_constr_max) + tech_1_11*TblTech[[#This Row],[11-1]] + tech_6_3_2*TblTech[[#This Row],[6-3]] + tech_5_2_3*TblTech[[#This Row],[5-2]], 1-global_constr_cap) * TblConstr[[#This Row],[RCPA Lumber]],0)</f>
        <v>88</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6">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ROUND((TblConstr[[#This Row],[Land]]-250 - IF(TblExplore[[#This Row],[Land Bonus]]&lt;&gt;0,20,0))*1.25 + 850 + 0,0)</f>
        <v>850</v>
      </c>
      <c r="AW116" s="96">
        <f ca="1">ROUND((TblConstr[[#This Row],[Land]]-250 - IF(TblExplore[[#This Row],[Land Bonus]]&lt;&gt;0,20,0))*0.285 + 87.5 + 0/4.25,0)</f>
        <v>88</v>
      </c>
      <c r="AX116" s="156"/>
      <c r="AY116" s="190" cm="1">
        <f t="array" aca="1" ref="AY116" ca="1">IF(TblConstr[[#This Row],[Hour]:[Hour]]&gt;12,OFFSET(TblConstr[[#This Row],[Hom]],-12,0),0)+OFFSET(TblConstr[[#This Row],[Tot Hom]],-1,0)-TblConstr[[#This Row],[Dest Hom]]</f>
        <v>10</v>
      </c>
      <c r="AZ116" s="191" cm="1">
        <f t="array" aca="1" ref="AZ116" ca="1">IF(TblConstr[[#This Row],[Hour]:[Hour]]&gt;12,OFFSET(TblConstr[[#This Row],[Alc]],-12,0),0)+OFFSET(TblConstr[[#This Row],[Tot Alc]],-1,0)-TblConstr[[#This Row],[Dest Alc]]</f>
        <v>30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86" cm="1">
        <f t="array" aca="1" ref="BF116" ca="1">IF(TblConstr[[#This Row],[Hour]:[Hour]]&gt;12,OFFSET(TblConstr[[#This Row],[OM]],-12,0),0)+OFFSET(TblConstr[[#This Row],[Tot OM]],-1,0)-TblConstr[[#This Row],[Dest OM]]</f>
        <v>0</v>
      </c>
      <c r="BG116" s="386" cm="1">
        <f t="array" aca="1" ref="BG116" ca="1">IF(TblConstr[[#This Row],[Hour]:[Hour]]&gt;12,OFFSET(TblConstr[[#This Row],[GN]],-12,0),0)+OFFSET(TblConstr[[#This Row],[Tot GN]],-1,0)-TblConstr[[#This Row],[Dest GN]]</f>
        <v>0</v>
      </c>
      <c r="BH116" s="390" cm="1">
        <f t="array" aca="1" ref="BH116" ca="1">IF(TblConstr[[#This Row],[Hour]:[Hour]]&gt;12,OFFSET(TblConstr[[#This Row],[Fac]],-12,0),0)+OFFSET(TblConstr[[#This Row],[Tot Fac]],-1,0)-TblConstr[[#This Row],[Dest Fac]]</f>
        <v>0</v>
      </c>
      <c r="BI116" s="390" cm="1">
        <f t="array" aca="1" ref="BI116" ca="1">IF(TblConstr[[#This Row],[Hour]:[Hour]]&gt;12,OFFSET(TblConstr[[#This Row],[GT]],-12,0),0)+OFFSET(TblConstr[[#This Row],[Tot GT]],-1,0)-TblConstr[[#This Row],[Dest GT]]</f>
        <v>0</v>
      </c>
      <c r="BJ116" s="390" cm="1">
        <f t="array" aca="1" ref="BJ116" ca="1">IF(TblConstr[[#This Row],[Hour]:[Hour]]&gt;12,OFFSET(TblConstr[[#This Row],[Bar]],-12,0),0)+OFFSET(TblConstr[[#This Row],[Tot Bar]],-1,0)-TblConstr[[#This Row],[Dest Bar]]</f>
        <v>0</v>
      </c>
      <c r="BK116" s="390" cm="1">
        <f t="array" aca="1" ref="BK116" ca="1">IF(TblConstr[[#This Row],[Hour]:[Hour]]&gt;12,OFFSET(TblConstr[[#This Row],[Shr]],-12,0),0)+OFFSET(TblConstr[[#This Row],[Tot Shr]],-1,0)-TblConstr[[#This Row],[Dest Shr]]</f>
        <v>0</v>
      </c>
      <c r="BL116" s="394" cm="1">
        <f t="array" aca="1" ref="BL116" ca="1">IF(TblConstr[[#This Row],[Hour]:[Hour]]&gt;12,OFFSET(TblConstr[[#This Row],[Tow]],-12,0),0)+OFFSET(TblConstr[[#This Row],[Tot Tow]],-1,0)-TblConstr[[#This Row],[Dest Tow]]</f>
        <v>0</v>
      </c>
      <c r="BM116" s="394" cm="1">
        <f t="array" aca="1" ref="BM116" ca="1">IF(TblConstr[[#This Row],[Hour]:[Hour]]&gt;12,OFFSET(TblConstr[[#This Row],[Tem]],-12,0),0)+OFFSET(TblConstr[[#This Row],[Tot Tem]],-1,0)-TblConstr[[#This Row],[Dest Tem]]</f>
        <v>0</v>
      </c>
      <c r="BN116" s="394"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250</v>
      </c>
      <c r="BU116" s="161">
        <f ca="1">TblImps[[#This Row],[Time]]</f>
        <v>45736.666666666395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84">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100</v>
      </c>
      <c r="DA116" s="96">
        <f t="shared" ca="1" si="31"/>
        <v>40</v>
      </c>
      <c r="DB116" s="45">
        <f t="shared" ca="1" si="32"/>
        <v>20</v>
      </c>
      <c r="DC116" s="96">
        <f t="shared" ca="1" si="33"/>
        <v>20</v>
      </c>
      <c r="DD116" s="96">
        <f t="shared" ca="1" si="34"/>
        <v>20</v>
      </c>
      <c r="DE116" s="45">
        <f t="shared" ca="1" si="35"/>
        <v>20</v>
      </c>
      <c r="DF116" s="96">
        <f t="shared" ca="1" si="36"/>
        <v>20</v>
      </c>
      <c r="DG116" s="96"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7">
        <f>TblRezone[[#This Row],[Hour]]</f>
        <v>114</v>
      </c>
      <c r="B117" s="178">
        <f ca="1">SUM(TblConstr[[#This Row],[Plain]:[Water]])</f>
        <v>160</v>
      </c>
      <c r="C117" s="179">
        <f ca="1">SUM(TblConstr[[#This Row],[Tot Hom]:[Tot Doc]])</f>
        <v>90</v>
      </c>
      <c r="D117" s="179">
        <f t="shared" si="21"/>
        <v>0</v>
      </c>
      <c r="E117" s="180"/>
      <c r="F117" s="61">
        <f ca="1">TblConstr[[#This Row],[Barren]]+TblConstr[[#This Row],[Buildings]]+TblConstr[[#This Row],[Incoming]]</f>
        <v>250</v>
      </c>
      <c r="G117" s="189">
        <f ca="1">OFFSET(TblConstr[[#This Row],[Plain]],-1,0)+TblConstr[[#This Row],[Ch_Plain]]</f>
        <v>40</v>
      </c>
      <c r="H117" s="184">
        <f ca="1">OFFSET(TblConstr[[#This Row],[Forest]],-1,0)+TblConstr[[#This Row],[Ch_Forest]]</f>
        <v>20</v>
      </c>
      <c r="I117" s="384">
        <f ca="1">OFFSET(TblConstr[[#This Row],[Mountain]],-1,0)+TblConstr[[#This Row],[Ch_Mountain]]</f>
        <v>20</v>
      </c>
      <c r="J117" s="388">
        <f ca="1">OFFSET(TblConstr[[#This Row],[Hill]],-1,0)+TblConstr[[#This Row],[Ch_Hill]]</f>
        <v>20</v>
      </c>
      <c r="K117" s="392">
        <f ca="1">OFFSET(TblConstr[[#This Row],[Swamp]],-1,0)+TblConstr[[#This Row],[Ch_Swamp]]</f>
        <v>20</v>
      </c>
      <c r="L117" s="187">
        <f ca="1">OFFSET(TblConstr[[#This Row],[Cavern]],-1,0)+TblConstr[[#This Row],[Ch_Cavern]]</f>
        <v>20</v>
      </c>
      <c r="M117" s="188">
        <f ca="1">OFFSET(TblConstr[[#This Row],[Water]],-1,0)+TblConstr[[#This Row],[Ch_Water]]</f>
        <v>20</v>
      </c>
      <c r="N117" s="382">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45736.708333333059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740796</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6">
        <f ca="1">ROUNDDOWN( MAX(1 - MIN(facs_constr_factor*TblConstr[[#This Row],[Facs -DB]],facs_constr_max) + tech_1_11*TblTech[[#This Row],[11-1]] + tech_6_3_2*TblTech[[#This Row],[6-3]] + tech_5_2_3*TblTech[[#This Row],[5-2]], 1-global_constr_cap) * TblConstr[[#This Row],[RCPA Lumber]],0)</f>
        <v>88</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6">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ROUND((TblConstr[[#This Row],[Land]]-250 - IF(TblExplore[[#This Row],[Land Bonus]]&lt;&gt;0,20,0))*1.25 + 850 + 0,0)</f>
        <v>850</v>
      </c>
      <c r="AW117" s="96">
        <f ca="1">ROUND((TblConstr[[#This Row],[Land]]-250 - IF(TblExplore[[#This Row],[Land Bonus]]&lt;&gt;0,20,0))*0.285 + 87.5 + 0/4.25,0)</f>
        <v>88</v>
      </c>
      <c r="AX117" s="156"/>
      <c r="AY117" s="190" cm="1">
        <f t="array" aca="1" ref="AY117" ca="1">IF(TblConstr[[#This Row],[Hour]:[Hour]]&gt;12,OFFSET(TblConstr[[#This Row],[Hom]],-12,0),0)+OFFSET(TblConstr[[#This Row],[Tot Hom]],-1,0)-TblConstr[[#This Row],[Dest Hom]]</f>
        <v>10</v>
      </c>
      <c r="AZ117" s="191" cm="1">
        <f t="array" aca="1" ref="AZ117" ca="1">IF(TblConstr[[#This Row],[Hour]:[Hour]]&gt;12,OFFSET(TblConstr[[#This Row],[Alc]],-12,0),0)+OFFSET(TblConstr[[#This Row],[Tot Alc]],-1,0)-TblConstr[[#This Row],[Dest Alc]]</f>
        <v>30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86" cm="1">
        <f t="array" aca="1" ref="BF117" ca="1">IF(TblConstr[[#This Row],[Hour]:[Hour]]&gt;12,OFFSET(TblConstr[[#This Row],[OM]],-12,0),0)+OFFSET(TblConstr[[#This Row],[Tot OM]],-1,0)-TblConstr[[#This Row],[Dest OM]]</f>
        <v>0</v>
      </c>
      <c r="BG117" s="386" cm="1">
        <f t="array" aca="1" ref="BG117" ca="1">IF(TblConstr[[#This Row],[Hour]:[Hour]]&gt;12,OFFSET(TblConstr[[#This Row],[GN]],-12,0),0)+OFFSET(TblConstr[[#This Row],[Tot GN]],-1,0)-TblConstr[[#This Row],[Dest GN]]</f>
        <v>0</v>
      </c>
      <c r="BH117" s="390" cm="1">
        <f t="array" aca="1" ref="BH117" ca="1">IF(TblConstr[[#This Row],[Hour]:[Hour]]&gt;12,OFFSET(TblConstr[[#This Row],[Fac]],-12,0),0)+OFFSET(TblConstr[[#This Row],[Tot Fac]],-1,0)-TblConstr[[#This Row],[Dest Fac]]</f>
        <v>0</v>
      </c>
      <c r="BI117" s="390" cm="1">
        <f t="array" aca="1" ref="BI117" ca="1">IF(TblConstr[[#This Row],[Hour]:[Hour]]&gt;12,OFFSET(TblConstr[[#This Row],[GT]],-12,0),0)+OFFSET(TblConstr[[#This Row],[Tot GT]],-1,0)-TblConstr[[#This Row],[Dest GT]]</f>
        <v>0</v>
      </c>
      <c r="BJ117" s="390" cm="1">
        <f t="array" aca="1" ref="BJ117" ca="1">IF(TblConstr[[#This Row],[Hour]:[Hour]]&gt;12,OFFSET(TblConstr[[#This Row],[Bar]],-12,0),0)+OFFSET(TblConstr[[#This Row],[Tot Bar]],-1,0)-TblConstr[[#This Row],[Dest Bar]]</f>
        <v>0</v>
      </c>
      <c r="BK117" s="390" cm="1">
        <f t="array" aca="1" ref="BK117" ca="1">IF(TblConstr[[#This Row],[Hour]:[Hour]]&gt;12,OFFSET(TblConstr[[#This Row],[Shr]],-12,0),0)+OFFSET(TblConstr[[#This Row],[Tot Shr]],-1,0)-TblConstr[[#This Row],[Dest Shr]]</f>
        <v>0</v>
      </c>
      <c r="BL117" s="394" cm="1">
        <f t="array" aca="1" ref="BL117" ca="1">IF(TblConstr[[#This Row],[Hour]:[Hour]]&gt;12,OFFSET(TblConstr[[#This Row],[Tow]],-12,0),0)+OFFSET(TblConstr[[#This Row],[Tot Tow]],-1,0)-TblConstr[[#This Row],[Dest Tow]]</f>
        <v>0</v>
      </c>
      <c r="BM117" s="394" cm="1">
        <f t="array" aca="1" ref="BM117" ca="1">IF(TblConstr[[#This Row],[Hour]:[Hour]]&gt;12,OFFSET(TblConstr[[#This Row],[Tem]],-12,0),0)+OFFSET(TblConstr[[#This Row],[Tot Tem]],-1,0)-TblConstr[[#This Row],[Dest Tem]]</f>
        <v>0</v>
      </c>
      <c r="BN117" s="394"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250</v>
      </c>
      <c r="BU117" s="161">
        <f ca="1">TblImps[[#This Row],[Time]]</f>
        <v>45736.708333333059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84">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100</v>
      </c>
      <c r="DA117" s="96">
        <f t="shared" ca="1" si="31"/>
        <v>40</v>
      </c>
      <c r="DB117" s="45">
        <f t="shared" ca="1" si="32"/>
        <v>20</v>
      </c>
      <c r="DC117" s="96">
        <f t="shared" ca="1" si="33"/>
        <v>20</v>
      </c>
      <c r="DD117" s="96">
        <f t="shared" ca="1" si="34"/>
        <v>20</v>
      </c>
      <c r="DE117" s="45">
        <f t="shared" ca="1" si="35"/>
        <v>20</v>
      </c>
      <c r="DF117" s="96">
        <f t="shared" ca="1" si="36"/>
        <v>20</v>
      </c>
      <c r="DG117" s="96"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7">
        <f>TblRezone[[#This Row],[Hour]]</f>
        <v>115</v>
      </c>
      <c r="B118" s="178">
        <f ca="1">SUM(TblConstr[[#This Row],[Plain]:[Water]])</f>
        <v>160</v>
      </c>
      <c r="C118" s="179">
        <f ca="1">SUM(TblConstr[[#This Row],[Tot Hom]:[Tot Doc]])</f>
        <v>90</v>
      </c>
      <c r="D118" s="179">
        <f t="shared" si="21"/>
        <v>0</v>
      </c>
      <c r="E118" s="180"/>
      <c r="F118" s="61">
        <f ca="1">TblConstr[[#This Row],[Barren]]+TblConstr[[#This Row],[Buildings]]+TblConstr[[#This Row],[Incoming]]</f>
        <v>250</v>
      </c>
      <c r="G118" s="189">
        <f ca="1">OFFSET(TblConstr[[#This Row],[Plain]],-1,0)+TblConstr[[#This Row],[Ch_Plain]]</f>
        <v>40</v>
      </c>
      <c r="H118" s="184">
        <f ca="1">OFFSET(TblConstr[[#This Row],[Forest]],-1,0)+TblConstr[[#This Row],[Ch_Forest]]</f>
        <v>20</v>
      </c>
      <c r="I118" s="384">
        <f ca="1">OFFSET(TblConstr[[#This Row],[Mountain]],-1,0)+TblConstr[[#This Row],[Ch_Mountain]]</f>
        <v>20</v>
      </c>
      <c r="J118" s="388">
        <f ca="1">OFFSET(TblConstr[[#This Row],[Hill]],-1,0)+TblConstr[[#This Row],[Ch_Hill]]</f>
        <v>20</v>
      </c>
      <c r="K118" s="392">
        <f ca="1">OFFSET(TblConstr[[#This Row],[Swamp]],-1,0)+TblConstr[[#This Row],[Ch_Swamp]]</f>
        <v>20</v>
      </c>
      <c r="L118" s="187">
        <f ca="1">OFFSET(TblConstr[[#This Row],[Cavern]],-1,0)+TblConstr[[#This Row],[Ch_Cavern]]</f>
        <v>20</v>
      </c>
      <c r="M118" s="188">
        <f ca="1">OFFSET(TblConstr[[#This Row],[Water]],-1,0)+TblConstr[[#This Row],[Ch_Water]]</f>
        <v>20</v>
      </c>
      <c r="N118" s="382">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45736.749999999724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746282</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6">
        <f ca="1">ROUNDDOWN( MAX(1 - MIN(facs_constr_factor*TblConstr[[#This Row],[Facs -DB]],facs_constr_max) + tech_1_11*TblTech[[#This Row],[11-1]] + tech_6_3_2*TblTech[[#This Row],[6-3]] + tech_5_2_3*TblTech[[#This Row],[5-2]], 1-global_constr_cap) * TblConstr[[#This Row],[RCPA Lumber]],0)</f>
        <v>88</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6">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ROUND((TblConstr[[#This Row],[Land]]-250 - IF(TblExplore[[#This Row],[Land Bonus]]&lt;&gt;0,20,0))*1.25 + 850 + 0,0)</f>
        <v>850</v>
      </c>
      <c r="AW118" s="96">
        <f ca="1">ROUND((TblConstr[[#This Row],[Land]]-250 - IF(TblExplore[[#This Row],[Land Bonus]]&lt;&gt;0,20,0))*0.285 + 87.5 + 0/4.25,0)</f>
        <v>88</v>
      </c>
      <c r="AX118" s="156"/>
      <c r="AY118" s="190" cm="1">
        <f t="array" aca="1" ref="AY118" ca="1">IF(TblConstr[[#This Row],[Hour]:[Hour]]&gt;12,OFFSET(TblConstr[[#This Row],[Hom]],-12,0),0)+OFFSET(TblConstr[[#This Row],[Tot Hom]],-1,0)-TblConstr[[#This Row],[Dest Hom]]</f>
        <v>10</v>
      </c>
      <c r="AZ118" s="191" cm="1">
        <f t="array" aca="1" ref="AZ118" ca="1">IF(TblConstr[[#This Row],[Hour]:[Hour]]&gt;12,OFFSET(TblConstr[[#This Row],[Alc]],-12,0),0)+OFFSET(TblConstr[[#This Row],[Tot Alc]],-1,0)-TblConstr[[#This Row],[Dest Alc]]</f>
        <v>30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86" cm="1">
        <f t="array" aca="1" ref="BF118" ca="1">IF(TblConstr[[#This Row],[Hour]:[Hour]]&gt;12,OFFSET(TblConstr[[#This Row],[OM]],-12,0),0)+OFFSET(TblConstr[[#This Row],[Tot OM]],-1,0)-TblConstr[[#This Row],[Dest OM]]</f>
        <v>0</v>
      </c>
      <c r="BG118" s="386" cm="1">
        <f t="array" aca="1" ref="BG118" ca="1">IF(TblConstr[[#This Row],[Hour]:[Hour]]&gt;12,OFFSET(TblConstr[[#This Row],[GN]],-12,0),0)+OFFSET(TblConstr[[#This Row],[Tot GN]],-1,0)-TblConstr[[#This Row],[Dest GN]]</f>
        <v>0</v>
      </c>
      <c r="BH118" s="390" cm="1">
        <f t="array" aca="1" ref="BH118" ca="1">IF(TblConstr[[#This Row],[Hour]:[Hour]]&gt;12,OFFSET(TblConstr[[#This Row],[Fac]],-12,0),0)+OFFSET(TblConstr[[#This Row],[Tot Fac]],-1,0)-TblConstr[[#This Row],[Dest Fac]]</f>
        <v>0</v>
      </c>
      <c r="BI118" s="390" cm="1">
        <f t="array" aca="1" ref="BI118" ca="1">IF(TblConstr[[#This Row],[Hour]:[Hour]]&gt;12,OFFSET(TblConstr[[#This Row],[GT]],-12,0),0)+OFFSET(TblConstr[[#This Row],[Tot GT]],-1,0)-TblConstr[[#This Row],[Dest GT]]</f>
        <v>0</v>
      </c>
      <c r="BJ118" s="390" cm="1">
        <f t="array" aca="1" ref="BJ118" ca="1">IF(TblConstr[[#This Row],[Hour]:[Hour]]&gt;12,OFFSET(TblConstr[[#This Row],[Bar]],-12,0),0)+OFFSET(TblConstr[[#This Row],[Tot Bar]],-1,0)-TblConstr[[#This Row],[Dest Bar]]</f>
        <v>0</v>
      </c>
      <c r="BK118" s="390" cm="1">
        <f t="array" aca="1" ref="BK118" ca="1">IF(TblConstr[[#This Row],[Hour]:[Hour]]&gt;12,OFFSET(TblConstr[[#This Row],[Shr]],-12,0),0)+OFFSET(TblConstr[[#This Row],[Tot Shr]],-1,0)-TblConstr[[#This Row],[Dest Shr]]</f>
        <v>0</v>
      </c>
      <c r="BL118" s="394" cm="1">
        <f t="array" aca="1" ref="BL118" ca="1">IF(TblConstr[[#This Row],[Hour]:[Hour]]&gt;12,OFFSET(TblConstr[[#This Row],[Tow]],-12,0),0)+OFFSET(TblConstr[[#This Row],[Tot Tow]],-1,0)-TblConstr[[#This Row],[Dest Tow]]</f>
        <v>0</v>
      </c>
      <c r="BM118" s="394" cm="1">
        <f t="array" aca="1" ref="BM118" ca="1">IF(TblConstr[[#This Row],[Hour]:[Hour]]&gt;12,OFFSET(TblConstr[[#This Row],[Tem]],-12,0),0)+OFFSET(TblConstr[[#This Row],[Tot Tem]],-1,0)-TblConstr[[#This Row],[Dest Tem]]</f>
        <v>0</v>
      </c>
      <c r="BN118" s="394"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250</v>
      </c>
      <c r="BU118" s="161">
        <f ca="1">TblImps[[#This Row],[Time]]</f>
        <v>45736.749999999724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84">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100</v>
      </c>
      <c r="DA118" s="96">
        <f t="shared" ca="1" si="31"/>
        <v>40</v>
      </c>
      <c r="DB118" s="45">
        <f t="shared" ca="1" si="32"/>
        <v>20</v>
      </c>
      <c r="DC118" s="96">
        <f t="shared" ca="1" si="33"/>
        <v>20</v>
      </c>
      <c r="DD118" s="96">
        <f t="shared" ca="1" si="34"/>
        <v>20</v>
      </c>
      <c r="DE118" s="45">
        <f t="shared" ca="1" si="35"/>
        <v>20</v>
      </c>
      <c r="DF118" s="96">
        <f t="shared" ca="1" si="36"/>
        <v>20</v>
      </c>
      <c r="DG118" s="96"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7">
        <f>TblRezone[[#This Row],[Hour]]</f>
        <v>116</v>
      </c>
      <c r="B119" s="178">
        <f ca="1">SUM(TblConstr[[#This Row],[Plain]:[Water]])</f>
        <v>160</v>
      </c>
      <c r="C119" s="179">
        <f ca="1">SUM(TblConstr[[#This Row],[Tot Hom]:[Tot Doc]])</f>
        <v>90</v>
      </c>
      <c r="D119" s="179">
        <f t="shared" si="21"/>
        <v>0</v>
      </c>
      <c r="E119" s="180"/>
      <c r="F119" s="61">
        <f ca="1">TblConstr[[#This Row],[Barren]]+TblConstr[[#This Row],[Buildings]]+TblConstr[[#This Row],[Incoming]]</f>
        <v>250</v>
      </c>
      <c r="G119" s="189">
        <f ca="1">OFFSET(TblConstr[[#This Row],[Plain]],-1,0)+TblConstr[[#This Row],[Ch_Plain]]</f>
        <v>40</v>
      </c>
      <c r="H119" s="184">
        <f ca="1">OFFSET(TblConstr[[#This Row],[Forest]],-1,0)+TblConstr[[#This Row],[Ch_Forest]]</f>
        <v>20</v>
      </c>
      <c r="I119" s="384">
        <f ca="1">OFFSET(TblConstr[[#This Row],[Mountain]],-1,0)+TblConstr[[#This Row],[Ch_Mountain]]</f>
        <v>20</v>
      </c>
      <c r="J119" s="388">
        <f ca="1">OFFSET(TblConstr[[#This Row],[Hill]],-1,0)+TblConstr[[#This Row],[Ch_Hill]]</f>
        <v>20</v>
      </c>
      <c r="K119" s="392">
        <f ca="1">OFFSET(TblConstr[[#This Row],[Swamp]],-1,0)+TblConstr[[#This Row],[Ch_Swamp]]</f>
        <v>20</v>
      </c>
      <c r="L119" s="187">
        <f ca="1">OFFSET(TblConstr[[#This Row],[Cavern]],-1,0)+TblConstr[[#This Row],[Ch_Cavern]]</f>
        <v>20</v>
      </c>
      <c r="M119" s="188">
        <f ca="1">OFFSET(TblConstr[[#This Row],[Water]],-1,0)+TblConstr[[#This Row],[Ch_Water]]</f>
        <v>20</v>
      </c>
      <c r="N119" s="382">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45736.791666666388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751768</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6">
        <f ca="1">ROUNDDOWN( MAX(1 - MIN(facs_constr_factor*TblConstr[[#This Row],[Facs -DB]],facs_constr_max) + tech_1_11*TblTech[[#This Row],[11-1]] + tech_6_3_2*TblTech[[#This Row],[6-3]] + tech_5_2_3*TblTech[[#This Row],[5-2]], 1-global_constr_cap) * TblConstr[[#This Row],[RCPA Lumber]],0)</f>
        <v>88</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6">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ROUND((TblConstr[[#This Row],[Land]]-250 - IF(TblExplore[[#This Row],[Land Bonus]]&lt;&gt;0,20,0))*1.25 + 850 + 0,0)</f>
        <v>850</v>
      </c>
      <c r="AW119" s="96">
        <f ca="1">ROUND((TblConstr[[#This Row],[Land]]-250 - IF(TblExplore[[#This Row],[Land Bonus]]&lt;&gt;0,20,0))*0.285 + 87.5 + 0/4.25,0)</f>
        <v>88</v>
      </c>
      <c r="AX119" s="156"/>
      <c r="AY119" s="190" cm="1">
        <f t="array" aca="1" ref="AY119" ca="1">IF(TblConstr[[#This Row],[Hour]:[Hour]]&gt;12,OFFSET(TblConstr[[#This Row],[Hom]],-12,0),0)+OFFSET(TblConstr[[#This Row],[Tot Hom]],-1,0)-TblConstr[[#This Row],[Dest Hom]]</f>
        <v>10</v>
      </c>
      <c r="AZ119" s="191" cm="1">
        <f t="array" aca="1" ref="AZ119" ca="1">IF(TblConstr[[#This Row],[Hour]:[Hour]]&gt;12,OFFSET(TblConstr[[#This Row],[Alc]],-12,0),0)+OFFSET(TblConstr[[#This Row],[Tot Alc]],-1,0)-TblConstr[[#This Row],[Dest Alc]]</f>
        <v>30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86" cm="1">
        <f t="array" aca="1" ref="BF119" ca="1">IF(TblConstr[[#This Row],[Hour]:[Hour]]&gt;12,OFFSET(TblConstr[[#This Row],[OM]],-12,0),0)+OFFSET(TblConstr[[#This Row],[Tot OM]],-1,0)-TblConstr[[#This Row],[Dest OM]]</f>
        <v>0</v>
      </c>
      <c r="BG119" s="386" cm="1">
        <f t="array" aca="1" ref="BG119" ca="1">IF(TblConstr[[#This Row],[Hour]:[Hour]]&gt;12,OFFSET(TblConstr[[#This Row],[GN]],-12,0),0)+OFFSET(TblConstr[[#This Row],[Tot GN]],-1,0)-TblConstr[[#This Row],[Dest GN]]</f>
        <v>0</v>
      </c>
      <c r="BH119" s="390" cm="1">
        <f t="array" aca="1" ref="BH119" ca="1">IF(TblConstr[[#This Row],[Hour]:[Hour]]&gt;12,OFFSET(TblConstr[[#This Row],[Fac]],-12,0),0)+OFFSET(TblConstr[[#This Row],[Tot Fac]],-1,0)-TblConstr[[#This Row],[Dest Fac]]</f>
        <v>0</v>
      </c>
      <c r="BI119" s="390" cm="1">
        <f t="array" aca="1" ref="BI119" ca="1">IF(TblConstr[[#This Row],[Hour]:[Hour]]&gt;12,OFFSET(TblConstr[[#This Row],[GT]],-12,0),0)+OFFSET(TblConstr[[#This Row],[Tot GT]],-1,0)-TblConstr[[#This Row],[Dest GT]]</f>
        <v>0</v>
      </c>
      <c r="BJ119" s="390" cm="1">
        <f t="array" aca="1" ref="BJ119" ca="1">IF(TblConstr[[#This Row],[Hour]:[Hour]]&gt;12,OFFSET(TblConstr[[#This Row],[Bar]],-12,0),0)+OFFSET(TblConstr[[#This Row],[Tot Bar]],-1,0)-TblConstr[[#This Row],[Dest Bar]]</f>
        <v>0</v>
      </c>
      <c r="BK119" s="390" cm="1">
        <f t="array" aca="1" ref="BK119" ca="1">IF(TblConstr[[#This Row],[Hour]:[Hour]]&gt;12,OFFSET(TblConstr[[#This Row],[Shr]],-12,0),0)+OFFSET(TblConstr[[#This Row],[Tot Shr]],-1,0)-TblConstr[[#This Row],[Dest Shr]]</f>
        <v>0</v>
      </c>
      <c r="BL119" s="394" cm="1">
        <f t="array" aca="1" ref="BL119" ca="1">IF(TblConstr[[#This Row],[Hour]:[Hour]]&gt;12,OFFSET(TblConstr[[#This Row],[Tow]],-12,0),0)+OFFSET(TblConstr[[#This Row],[Tot Tow]],-1,0)-TblConstr[[#This Row],[Dest Tow]]</f>
        <v>0</v>
      </c>
      <c r="BM119" s="394" cm="1">
        <f t="array" aca="1" ref="BM119" ca="1">IF(TblConstr[[#This Row],[Hour]:[Hour]]&gt;12,OFFSET(TblConstr[[#This Row],[Tem]],-12,0),0)+OFFSET(TblConstr[[#This Row],[Tot Tem]],-1,0)-TblConstr[[#This Row],[Dest Tem]]</f>
        <v>0</v>
      </c>
      <c r="BN119" s="394"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250</v>
      </c>
      <c r="BU119" s="161">
        <f ca="1">TblImps[[#This Row],[Time]]</f>
        <v>45736.791666666388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84">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100</v>
      </c>
      <c r="DA119" s="96">
        <f t="shared" ca="1" si="31"/>
        <v>40</v>
      </c>
      <c r="DB119" s="45">
        <f t="shared" ca="1" si="32"/>
        <v>20</v>
      </c>
      <c r="DC119" s="96">
        <f t="shared" ca="1" si="33"/>
        <v>20</v>
      </c>
      <c r="DD119" s="96">
        <f t="shared" ca="1" si="34"/>
        <v>20</v>
      </c>
      <c r="DE119" s="45">
        <f t="shared" ca="1" si="35"/>
        <v>20</v>
      </c>
      <c r="DF119" s="96">
        <f t="shared" ca="1" si="36"/>
        <v>20</v>
      </c>
      <c r="DG119" s="96"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7">
        <f>TblRezone[[#This Row],[Hour]]</f>
        <v>117</v>
      </c>
      <c r="B120" s="178">
        <f ca="1">SUM(TblConstr[[#This Row],[Plain]:[Water]])</f>
        <v>160</v>
      </c>
      <c r="C120" s="179">
        <f ca="1">SUM(TblConstr[[#This Row],[Tot Hom]:[Tot Doc]])</f>
        <v>90</v>
      </c>
      <c r="D120" s="179">
        <f t="shared" si="21"/>
        <v>0</v>
      </c>
      <c r="E120" s="180"/>
      <c r="F120" s="61">
        <f ca="1">TblConstr[[#This Row],[Barren]]+TblConstr[[#This Row],[Buildings]]+TblConstr[[#This Row],[Incoming]]</f>
        <v>250</v>
      </c>
      <c r="G120" s="189">
        <f ca="1">OFFSET(TblConstr[[#This Row],[Plain]],-1,0)+TblConstr[[#This Row],[Ch_Plain]]</f>
        <v>40</v>
      </c>
      <c r="H120" s="184">
        <f ca="1">OFFSET(TblConstr[[#This Row],[Forest]],-1,0)+TblConstr[[#This Row],[Ch_Forest]]</f>
        <v>20</v>
      </c>
      <c r="I120" s="384">
        <f ca="1">OFFSET(TblConstr[[#This Row],[Mountain]],-1,0)+TblConstr[[#This Row],[Ch_Mountain]]</f>
        <v>20</v>
      </c>
      <c r="J120" s="388">
        <f ca="1">OFFSET(TblConstr[[#This Row],[Hill]],-1,0)+TblConstr[[#This Row],[Ch_Hill]]</f>
        <v>20</v>
      </c>
      <c r="K120" s="392">
        <f ca="1">OFFSET(TblConstr[[#This Row],[Swamp]],-1,0)+TblConstr[[#This Row],[Ch_Swamp]]</f>
        <v>20</v>
      </c>
      <c r="L120" s="187">
        <f ca="1">OFFSET(TblConstr[[#This Row],[Cavern]],-1,0)+TblConstr[[#This Row],[Ch_Cavern]]</f>
        <v>20</v>
      </c>
      <c r="M120" s="188">
        <f ca="1">OFFSET(TblConstr[[#This Row],[Water]],-1,0)+TblConstr[[#This Row],[Ch_Water]]</f>
        <v>20</v>
      </c>
      <c r="N120" s="382">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45736.833333333052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757254</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6">
        <f ca="1">ROUNDDOWN( MAX(1 - MIN(facs_constr_factor*TblConstr[[#This Row],[Facs -DB]],facs_constr_max) + tech_1_11*TblTech[[#This Row],[11-1]] + tech_6_3_2*TblTech[[#This Row],[6-3]] + tech_5_2_3*TblTech[[#This Row],[5-2]], 1-global_constr_cap) * TblConstr[[#This Row],[RCPA Lumber]],0)</f>
        <v>88</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6">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ROUND((TblConstr[[#This Row],[Land]]-250 - IF(TblExplore[[#This Row],[Land Bonus]]&lt;&gt;0,20,0))*1.25 + 850 + 0,0)</f>
        <v>850</v>
      </c>
      <c r="AW120" s="96">
        <f ca="1">ROUND((TblConstr[[#This Row],[Land]]-250 - IF(TblExplore[[#This Row],[Land Bonus]]&lt;&gt;0,20,0))*0.285 + 87.5 + 0/4.25,0)</f>
        <v>88</v>
      </c>
      <c r="AX120" s="156"/>
      <c r="AY120" s="190" cm="1">
        <f t="array" aca="1" ref="AY120" ca="1">IF(TblConstr[[#This Row],[Hour]:[Hour]]&gt;12,OFFSET(TblConstr[[#This Row],[Hom]],-12,0),0)+OFFSET(TblConstr[[#This Row],[Tot Hom]],-1,0)-TblConstr[[#This Row],[Dest Hom]]</f>
        <v>10</v>
      </c>
      <c r="AZ120" s="191" cm="1">
        <f t="array" aca="1" ref="AZ120" ca="1">IF(TblConstr[[#This Row],[Hour]:[Hour]]&gt;12,OFFSET(TblConstr[[#This Row],[Alc]],-12,0),0)+OFFSET(TblConstr[[#This Row],[Tot Alc]],-1,0)-TblConstr[[#This Row],[Dest Alc]]</f>
        <v>30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86" cm="1">
        <f t="array" aca="1" ref="BF120" ca="1">IF(TblConstr[[#This Row],[Hour]:[Hour]]&gt;12,OFFSET(TblConstr[[#This Row],[OM]],-12,0),0)+OFFSET(TblConstr[[#This Row],[Tot OM]],-1,0)-TblConstr[[#This Row],[Dest OM]]</f>
        <v>0</v>
      </c>
      <c r="BG120" s="386" cm="1">
        <f t="array" aca="1" ref="BG120" ca="1">IF(TblConstr[[#This Row],[Hour]:[Hour]]&gt;12,OFFSET(TblConstr[[#This Row],[GN]],-12,0),0)+OFFSET(TblConstr[[#This Row],[Tot GN]],-1,0)-TblConstr[[#This Row],[Dest GN]]</f>
        <v>0</v>
      </c>
      <c r="BH120" s="390" cm="1">
        <f t="array" aca="1" ref="BH120" ca="1">IF(TblConstr[[#This Row],[Hour]:[Hour]]&gt;12,OFFSET(TblConstr[[#This Row],[Fac]],-12,0),0)+OFFSET(TblConstr[[#This Row],[Tot Fac]],-1,0)-TblConstr[[#This Row],[Dest Fac]]</f>
        <v>0</v>
      </c>
      <c r="BI120" s="390" cm="1">
        <f t="array" aca="1" ref="BI120" ca="1">IF(TblConstr[[#This Row],[Hour]:[Hour]]&gt;12,OFFSET(TblConstr[[#This Row],[GT]],-12,0),0)+OFFSET(TblConstr[[#This Row],[Tot GT]],-1,0)-TblConstr[[#This Row],[Dest GT]]</f>
        <v>0</v>
      </c>
      <c r="BJ120" s="390" cm="1">
        <f t="array" aca="1" ref="BJ120" ca="1">IF(TblConstr[[#This Row],[Hour]:[Hour]]&gt;12,OFFSET(TblConstr[[#This Row],[Bar]],-12,0),0)+OFFSET(TblConstr[[#This Row],[Tot Bar]],-1,0)-TblConstr[[#This Row],[Dest Bar]]</f>
        <v>0</v>
      </c>
      <c r="BK120" s="390" cm="1">
        <f t="array" aca="1" ref="BK120" ca="1">IF(TblConstr[[#This Row],[Hour]:[Hour]]&gt;12,OFFSET(TblConstr[[#This Row],[Shr]],-12,0),0)+OFFSET(TblConstr[[#This Row],[Tot Shr]],-1,0)-TblConstr[[#This Row],[Dest Shr]]</f>
        <v>0</v>
      </c>
      <c r="BL120" s="394" cm="1">
        <f t="array" aca="1" ref="BL120" ca="1">IF(TblConstr[[#This Row],[Hour]:[Hour]]&gt;12,OFFSET(TblConstr[[#This Row],[Tow]],-12,0),0)+OFFSET(TblConstr[[#This Row],[Tot Tow]],-1,0)-TblConstr[[#This Row],[Dest Tow]]</f>
        <v>0</v>
      </c>
      <c r="BM120" s="394" cm="1">
        <f t="array" aca="1" ref="BM120" ca="1">IF(TblConstr[[#This Row],[Hour]:[Hour]]&gt;12,OFFSET(TblConstr[[#This Row],[Tem]],-12,0),0)+OFFSET(TblConstr[[#This Row],[Tot Tem]],-1,0)-TblConstr[[#This Row],[Dest Tem]]</f>
        <v>0</v>
      </c>
      <c r="BN120" s="394"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250</v>
      </c>
      <c r="BU120" s="161">
        <f ca="1">TblImps[[#This Row],[Time]]</f>
        <v>45736.833333333052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84">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100</v>
      </c>
      <c r="DA120" s="96">
        <f t="shared" ca="1" si="31"/>
        <v>40</v>
      </c>
      <c r="DB120" s="45">
        <f t="shared" ca="1" si="32"/>
        <v>20</v>
      </c>
      <c r="DC120" s="96">
        <f t="shared" ca="1" si="33"/>
        <v>20</v>
      </c>
      <c r="DD120" s="96">
        <f t="shared" ca="1" si="34"/>
        <v>20</v>
      </c>
      <c r="DE120" s="45">
        <f t="shared" ca="1" si="35"/>
        <v>20</v>
      </c>
      <c r="DF120" s="96">
        <f t="shared" ca="1" si="36"/>
        <v>20</v>
      </c>
      <c r="DG120" s="96"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7">
        <f>TblRezone[[#This Row],[Hour]]</f>
        <v>118</v>
      </c>
      <c r="B121" s="178">
        <f ca="1">SUM(TblConstr[[#This Row],[Plain]:[Water]])</f>
        <v>160</v>
      </c>
      <c r="C121" s="179">
        <f ca="1">SUM(TblConstr[[#This Row],[Tot Hom]:[Tot Doc]])</f>
        <v>90</v>
      </c>
      <c r="D121" s="179">
        <f t="shared" si="21"/>
        <v>0</v>
      </c>
      <c r="E121" s="180"/>
      <c r="F121" s="61">
        <f ca="1">TblConstr[[#This Row],[Barren]]+TblConstr[[#This Row],[Buildings]]+TblConstr[[#This Row],[Incoming]]</f>
        <v>250</v>
      </c>
      <c r="G121" s="189">
        <f ca="1">OFFSET(TblConstr[[#This Row],[Plain]],-1,0)+TblConstr[[#This Row],[Ch_Plain]]</f>
        <v>40</v>
      </c>
      <c r="H121" s="184">
        <f ca="1">OFFSET(TblConstr[[#This Row],[Forest]],-1,0)+TblConstr[[#This Row],[Ch_Forest]]</f>
        <v>20</v>
      </c>
      <c r="I121" s="384">
        <f ca="1">OFFSET(TblConstr[[#This Row],[Mountain]],-1,0)+TblConstr[[#This Row],[Ch_Mountain]]</f>
        <v>20</v>
      </c>
      <c r="J121" s="388">
        <f ca="1">OFFSET(TblConstr[[#This Row],[Hill]],-1,0)+TblConstr[[#This Row],[Ch_Hill]]</f>
        <v>20</v>
      </c>
      <c r="K121" s="392">
        <f ca="1">OFFSET(TblConstr[[#This Row],[Swamp]],-1,0)+TblConstr[[#This Row],[Ch_Swamp]]</f>
        <v>20</v>
      </c>
      <c r="L121" s="187">
        <f ca="1">OFFSET(TblConstr[[#This Row],[Cavern]],-1,0)+TblConstr[[#This Row],[Ch_Cavern]]</f>
        <v>20</v>
      </c>
      <c r="M121" s="188">
        <f ca="1">OFFSET(TblConstr[[#This Row],[Water]],-1,0)+TblConstr[[#This Row],[Ch_Water]]</f>
        <v>20</v>
      </c>
      <c r="N121" s="382">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45736.874999999716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762740</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6">
        <f ca="1">ROUNDDOWN( MAX(1 - MIN(facs_constr_factor*TblConstr[[#This Row],[Facs -DB]],facs_constr_max) + tech_1_11*TblTech[[#This Row],[11-1]] + tech_6_3_2*TblTech[[#This Row],[6-3]] + tech_5_2_3*TblTech[[#This Row],[5-2]], 1-global_constr_cap) * TblConstr[[#This Row],[RCPA Lumber]],0)</f>
        <v>88</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6">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ROUND((TblConstr[[#This Row],[Land]]-250 - IF(TblExplore[[#This Row],[Land Bonus]]&lt;&gt;0,20,0))*1.25 + 850 + 0,0)</f>
        <v>850</v>
      </c>
      <c r="AW121" s="96">
        <f ca="1">ROUND((TblConstr[[#This Row],[Land]]-250 - IF(TblExplore[[#This Row],[Land Bonus]]&lt;&gt;0,20,0))*0.285 + 87.5 + 0/4.25,0)</f>
        <v>88</v>
      </c>
      <c r="AX121" s="156"/>
      <c r="AY121" s="190" cm="1">
        <f t="array" aca="1" ref="AY121" ca="1">IF(TblConstr[[#This Row],[Hour]:[Hour]]&gt;12,OFFSET(TblConstr[[#This Row],[Hom]],-12,0),0)+OFFSET(TblConstr[[#This Row],[Tot Hom]],-1,0)-TblConstr[[#This Row],[Dest Hom]]</f>
        <v>10</v>
      </c>
      <c r="AZ121" s="191" cm="1">
        <f t="array" aca="1" ref="AZ121" ca="1">IF(TblConstr[[#This Row],[Hour]:[Hour]]&gt;12,OFFSET(TblConstr[[#This Row],[Alc]],-12,0),0)+OFFSET(TblConstr[[#This Row],[Tot Alc]],-1,0)-TblConstr[[#This Row],[Dest Alc]]</f>
        <v>30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86" cm="1">
        <f t="array" aca="1" ref="BF121" ca="1">IF(TblConstr[[#This Row],[Hour]:[Hour]]&gt;12,OFFSET(TblConstr[[#This Row],[OM]],-12,0),0)+OFFSET(TblConstr[[#This Row],[Tot OM]],-1,0)-TblConstr[[#This Row],[Dest OM]]</f>
        <v>0</v>
      </c>
      <c r="BG121" s="386" cm="1">
        <f t="array" aca="1" ref="BG121" ca="1">IF(TblConstr[[#This Row],[Hour]:[Hour]]&gt;12,OFFSET(TblConstr[[#This Row],[GN]],-12,0),0)+OFFSET(TblConstr[[#This Row],[Tot GN]],-1,0)-TblConstr[[#This Row],[Dest GN]]</f>
        <v>0</v>
      </c>
      <c r="BH121" s="390" cm="1">
        <f t="array" aca="1" ref="BH121" ca="1">IF(TblConstr[[#This Row],[Hour]:[Hour]]&gt;12,OFFSET(TblConstr[[#This Row],[Fac]],-12,0),0)+OFFSET(TblConstr[[#This Row],[Tot Fac]],-1,0)-TblConstr[[#This Row],[Dest Fac]]</f>
        <v>0</v>
      </c>
      <c r="BI121" s="390" cm="1">
        <f t="array" aca="1" ref="BI121" ca="1">IF(TblConstr[[#This Row],[Hour]:[Hour]]&gt;12,OFFSET(TblConstr[[#This Row],[GT]],-12,0),0)+OFFSET(TblConstr[[#This Row],[Tot GT]],-1,0)-TblConstr[[#This Row],[Dest GT]]</f>
        <v>0</v>
      </c>
      <c r="BJ121" s="390" cm="1">
        <f t="array" aca="1" ref="BJ121" ca="1">IF(TblConstr[[#This Row],[Hour]:[Hour]]&gt;12,OFFSET(TblConstr[[#This Row],[Bar]],-12,0),0)+OFFSET(TblConstr[[#This Row],[Tot Bar]],-1,0)-TblConstr[[#This Row],[Dest Bar]]</f>
        <v>0</v>
      </c>
      <c r="BK121" s="390" cm="1">
        <f t="array" aca="1" ref="BK121" ca="1">IF(TblConstr[[#This Row],[Hour]:[Hour]]&gt;12,OFFSET(TblConstr[[#This Row],[Shr]],-12,0),0)+OFFSET(TblConstr[[#This Row],[Tot Shr]],-1,0)-TblConstr[[#This Row],[Dest Shr]]</f>
        <v>0</v>
      </c>
      <c r="BL121" s="394" cm="1">
        <f t="array" aca="1" ref="BL121" ca="1">IF(TblConstr[[#This Row],[Hour]:[Hour]]&gt;12,OFFSET(TblConstr[[#This Row],[Tow]],-12,0),0)+OFFSET(TblConstr[[#This Row],[Tot Tow]],-1,0)-TblConstr[[#This Row],[Dest Tow]]</f>
        <v>0</v>
      </c>
      <c r="BM121" s="394" cm="1">
        <f t="array" aca="1" ref="BM121" ca="1">IF(TblConstr[[#This Row],[Hour]:[Hour]]&gt;12,OFFSET(TblConstr[[#This Row],[Tem]],-12,0),0)+OFFSET(TblConstr[[#This Row],[Tot Tem]],-1,0)-TblConstr[[#This Row],[Dest Tem]]</f>
        <v>0</v>
      </c>
      <c r="BN121" s="394"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250</v>
      </c>
      <c r="BU121" s="161">
        <f ca="1">TblImps[[#This Row],[Time]]</f>
        <v>45736.874999999716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84">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100</v>
      </c>
      <c r="DA121" s="96">
        <f t="shared" ca="1" si="31"/>
        <v>40</v>
      </c>
      <c r="DB121" s="45">
        <f t="shared" ca="1" si="32"/>
        <v>20</v>
      </c>
      <c r="DC121" s="96">
        <f t="shared" ca="1" si="33"/>
        <v>20</v>
      </c>
      <c r="DD121" s="96">
        <f t="shared" ca="1" si="34"/>
        <v>20</v>
      </c>
      <c r="DE121" s="45">
        <f t="shared" ca="1" si="35"/>
        <v>20</v>
      </c>
      <c r="DF121" s="96">
        <f t="shared" ca="1" si="36"/>
        <v>20</v>
      </c>
      <c r="DG121" s="96"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7">
        <f>TblRezone[[#This Row],[Hour]]</f>
        <v>119</v>
      </c>
      <c r="B122" s="178">
        <f ca="1">SUM(TblConstr[[#This Row],[Plain]:[Water]])</f>
        <v>160</v>
      </c>
      <c r="C122" s="179">
        <f ca="1">SUM(TblConstr[[#This Row],[Tot Hom]:[Tot Doc]])</f>
        <v>90</v>
      </c>
      <c r="D122" s="179">
        <f t="shared" si="21"/>
        <v>0</v>
      </c>
      <c r="E122" s="180"/>
      <c r="F122" s="61">
        <f ca="1">TblConstr[[#This Row],[Barren]]+TblConstr[[#This Row],[Buildings]]+TblConstr[[#This Row],[Incoming]]</f>
        <v>250</v>
      </c>
      <c r="G122" s="189">
        <f ca="1">OFFSET(TblConstr[[#This Row],[Plain]],-1,0)+TblConstr[[#This Row],[Ch_Plain]]</f>
        <v>40</v>
      </c>
      <c r="H122" s="184">
        <f ca="1">OFFSET(TblConstr[[#This Row],[Forest]],-1,0)+TblConstr[[#This Row],[Ch_Forest]]</f>
        <v>20</v>
      </c>
      <c r="I122" s="384">
        <f ca="1">OFFSET(TblConstr[[#This Row],[Mountain]],-1,0)+TblConstr[[#This Row],[Ch_Mountain]]</f>
        <v>20</v>
      </c>
      <c r="J122" s="388">
        <f ca="1">OFFSET(TblConstr[[#This Row],[Hill]],-1,0)+TblConstr[[#This Row],[Ch_Hill]]</f>
        <v>20</v>
      </c>
      <c r="K122" s="392">
        <f ca="1">OFFSET(TblConstr[[#This Row],[Swamp]],-1,0)+TblConstr[[#This Row],[Ch_Swamp]]</f>
        <v>20</v>
      </c>
      <c r="L122" s="187">
        <f ca="1">OFFSET(TblConstr[[#This Row],[Cavern]],-1,0)+TblConstr[[#This Row],[Ch_Cavern]]</f>
        <v>20</v>
      </c>
      <c r="M122" s="188">
        <f ca="1">OFFSET(TblConstr[[#This Row],[Water]],-1,0)+TblConstr[[#This Row],[Ch_Water]]</f>
        <v>20</v>
      </c>
      <c r="N122" s="382">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45736.91666666638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768226</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6">
        <f ca="1">ROUNDDOWN( MAX(1 - MIN(facs_constr_factor*TblConstr[[#This Row],[Facs -DB]],facs_constr_max) + tech_1_11*TblTech[[#This Row],[11-1]] + tech_6_3_2*TblTech[[#This Row],[6-3]] + tech_5_2_3*TblTech[[#This Row],[5-2]], 1-global_constr_cap) * TblConstr[[#This Row],[RCPA Lumber]],0)</f>
        <v>88</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6">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ROUND((TblConstr[[#This Row],[Land]]-250 - IF(TblExplore[[#This Row],[Land Bonus]]&lt;&gt;0,20,0))*1.25 + 850 + 0,0)</f>
        <v>850</v>
      </c>
      <c r="AW122" s="96">
        <f ca="1">ROUND((TblConstr[[#This Row],[Land]]-250 - IF(TblExplore[[#This Row],[Land Bonus]]&lt;&gt;0,20,0))*0.285 + 87.5 + 0/4.25,0)</f>
        <v>88</v>
      </c>
      <c r="AX122" s="156"/>
      <c r="AY122" s="190" cm="1">
        <f t="array" aca="1" ref="AY122" ca="1">IF(TblConstr[[#This Row],[Hour]:[Hour]]&gt;12,OFFSET(TblConstr[[#This Row],[Hom]],-12,0),0)+OFFSET(TblConstr[[#This Row],[Tot Hom]],-1,0)-TblConstr[[#This Row],[Dest Hom]]</f>
        <v>10</v>
      </c>
      <c r="AZ122" s="191" cm="1">
        <f t="array" aca="1" ref="AZ122" ca="1">IF(TblConstr[[#This Row],[Hour]:[Hour]]&gt;12,OFFSET(TblConstr[[#This Row],[Alc]],-12,0),0)+OFFSET(TblConstr[[#This Row],[Tot Alc]],-1,0)-TblConstr[[#This Row],[Dest Alc]]</f>
        <v>30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86" cm="1">
        <f t="array" aca="1" ref="BF122" ca="1">IF(TblConstr[[#This Row],[Hour]:[Hour]]&gt;12,OFFSET(TblConstr[[#This Row],[OM]],-12,0),0)+OFFSET(TblConstr[[#This Row],[Tot OM]],-1,0)-TblConstr[[#This Row],[Dest OM]]</f>
        <v>0</v>
      </c>
      <c r="BG122" s="386" cm="1">
        <f t="array" aca="1" ref="BG122" ca="1">IF(TblConstr[[#This Row],[Hour]:[Hour]]&gt;12,OFFSET(TblConstr[[#This Row],[GN]],-12,0),0)+OFFSET(TblConstr[[#This Row],[Tot GN]],-1,0)-TblConstr[[#This Row],[Dest GN]]</f>
        <v>0</v>
      </c>
      <c r="BH122" s="390" cm="1">
        <f t="array" aca="1" ref="BH122" ca="1">IF(TblConstr[[#This Row],[Hour]:[Hour]]&gt;12,OFFSET(TblConstr[[#This Row],[Fac]],-12,0),0)+OFFSET(TblConstr[[#This Row],[Tot Fac]],-1,0)-TblConstr[[#This Row],[Dest Fac]]</f>
        <v>0</v>
      </c>
      <c r="BI122" s="390" cm="1">
        <f t="array" aca="1" ref="BI122" ca="1">IF(TblConstr[[#This Row],[Hour]:[Hour]]&gt;12,OFFSET(TblConstr[[#This Row],[GT]],-12,0),0)+OFFSET(TblConstr[[#This Row],[Tot GT]],-1,0)-TblConstr[[#This Row],[Dest GT]]</f>
        <v>0</v>
      </c>
      <c r="BJ122" s="390" cm="1">
        <f t="array" aca="1" ref="BJ122" ca="1">IF(TblConstr[[#This Row],[Hour]:[Hour]]&gt;12,OFFSET(TblConstr[[#This Row],[Bar]],-12,0),0)+OFFSET(TblConstr[[#This Row],[Tot Bar]],-1,0)-TblConstr[[#This Row],[Dest Bar]]</f>
        <v>0</v>
      </c>
      <c r="BK122" s="390" cm="1">
        <f t="array" aca="1" ref="BK122" ca="1">IF(TblConstr[[#This Row],[Hour]:[Hour]]&gt;12,OFFSET(TblConstr[[#This Row],[Shr]],-12,0),0)+OFFSET(TblConstr[[#This Row],[Tot Shr]],-1,0)-TblConstr[[#This Row],[Dest Shr]]</f>
        <v>0</v>
      </c>
      <c r="BL122" s="394" cm="1">
        <f t="array" aca="1" ref="BL122" ca="1">IF(TblConstr[[#This Row],[Hour]:[Hour]]&gt;12,OFFSET(TblConstr[[#This Row],[Tow]],-12,0),0)+OFFSET(TblConstr[[#This Row],[Tot Tow]],-1,0)-TblConstr[[#This Row],[Dest Tow]]</f>
        <v>0</v>
      </c>
      <c r="BM122" s="394" cm="1">
        <f t="array" aca="1" ref="BM122" ca="1">IF(TblConstr[[#This Row],[Hour]:[Hour]]&gt;12,OFFSET(TblConstr[[#This Row],[Tem]],-12,0),0)+OFFSET(TblConstr[[#This Row],[Tot Tem]],-1,0)-TblConstr[[#This Row],[Dest Tem]]</f>
        <v>0</v>
      </c>
      <c r="BN122" s="394"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250</v>
      </c>
      <c r="BU122" s="161">
        <f ca="1">TblImps[[#This Row],[Time]]</f>
        <v>45736.91666666638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84">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100</v>
      </c>
      <c r="DA122" s="96">
        <f t="shared" ca="1" si="31"/>
        <v>40</v>
      </c>
      <c r="DB122" s="45">
        <f t="shared" ca="1" si="32"/>
        <v>20</v>
      </c>
      <c r="DC122" s="96">
        <f t="shared" ca="1" si="33"/>
        <v>20</v>
      </c>
      <c r="DD122" s="96">
        <f t="shared" ca="1" si="34"/>
        <v>20</v>
      </c>
      <c r="DE122" s="45">
        <f t="shared" ca="1" si="35"/>
        <v>20</v>
      </c>
      <c r="DF122" s="96">
        <f t="shared" ca="1" si="36"/>
        <v>20</v>
      </c>
      <c r="DG122" s="96"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7">
        <f>TblRezone[[#This Row],[Hour]]</f>
        <v>120</v>
      </c>
      <c r="B123" s="178">
        <f ca="1">SUM(TblConstr[[#This Row],[Plain]:[Water]])</f>
        <v>160</v>
      </c>
      <c r="C123" s="179">
        <f ca="1">SUM(TblConstr[[#This Row],[Tot Hom]:[Tot Doc]])</f>
        <v>90</v>
      </c>
      <c r="D123" s="179">
        <f t="shared" si="21"/>
        <v>0</v>
      </c>
      <c r="E123" s="180"/>
      <c r="F123" s="61">
        <f ca="1">TblConstr[[#This Row],[Barren]]+TblConstr[[#This Row],[Buildings]]+TblConstr[[#This Row],[Incoming]]</f>
        <v>250</v>
      </c>
      <c r="G123" s="189">
        <f ca="1">OFFSET(TblConstr[[#This Row],[Plain]],-1,0)+TblConstr[[#This Row],[Ch_Plain]]</f>
        <v>40</v>
      </c>
      <c r="H123" s="184">
        <f ca="1">OFFSET(TblConstr[[#This Row],[Forest]],-1,0)+TblConstr[[#This Row],[Ch_Forest]]</f>
        <v>20</v>
      </c>
      <c r="I123" s="384">
        <f ca="1">OFFSET(TblConstr[[#This Row],[Mountain]],-1,0)+TblConstr[[#This Row],[Ch_Mountain]]</f>
        <v>20</v>
      </c>
      <c r="J123" s="388">
        <f ca="1">OFFSET(TblConstr[[#This Row],[Hill]],-1,0)+TblConstr[[#This Row],[Ch_Hill]]</f>
        <v>20</v>
      </c>
      <c r="K123" s="392">
        <f ca="1">OFFSET(TblConstr[[#This Row],[Swamp]],-1,0)+TblConstr[[#This Row],[Ch_Swamp]]</f>
        <v>20</v>
      </c>
      <c r="L123" s="187">
        <f ca="1">OFFSET(TblConstr[[#This Row],[Cavern]],-1,0)+TblConstr[[#This Row],[Ch_Cavern]]</f>
        <v>20</v>
      </c>
      <c r="M123" s="188">
        <f ca="1">OFFSET(TblConstr[[#This Row],[Water]],-1,0)+TblConstr[[#This Row],[Ch_Water]]</f>
        <v>20</v>
      </c>
      <c r="N123" s="382">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45736.958333333045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773712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6">
        <f ca="1">ROUNDDOWN( MAX(1 - MIN(facs_constr_factor*TblConstr[[#This Row],[Facs -DB]],facs_constr_max) + tech_1_11*TblTech[[#This Row],[11-1]] + tech_6_3_2*TblTech[[#This Row],[6-3]] + tech_5_2_3*TblTech[[#This Row],[5-2]], 1-global_constr_cap) * TblConstr[[#This Row],[RCPA Lumber]],0)</f>
        <v>88</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6">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ROUND((TblConstr[[#This Row],[Land]]-250 - IF(TblExplore[[#This Row],[Land Bonus]]&lt;&gt;0,20,0))*1.25 + 850 + 0,0)</f>
        <v>850</v>
      </c>
      <c r="AW123" s="96">
        <f ca="1">ROUND((TblConstr[[#This Row],[Land]]-250 - IF(TblExplore[[#This Row],[Land Bonus]]&lt;&gt;0,20,0))*0.285 + 87.5 + 0/4.25,0)</f>
        <v>88</v>
      </c>
      <c r="AX123" s="156"/>
      <c r="AY123" s="190" cm="1">
        <f t="array" aca="1" ref="AY123" ca="1">IF(TblConstr[[#This Row],[Hour]:[Hour]]&gt;12,OFFSET(TblConstr[[#This Row],[Hom]],-12,0),0)+OFFSET(TblConstr[[#This Row],[Tot Hom]],-1,0)-TblConstr[[#This Row],[Dest Hom]]</f>
        <v>10</v>
      </c>
      <c r="AZ123" s="191" cm="1">
        <f t="array" aca="1" ref="AZ123" ca="1">IF(TblConstr[[#This Row],[Hour]:[Hour]]&gt;12,OFFSET(TblConstr[[#This Row],[Alc]],-12,0),0)+OFFSET(TblConstr[[#This Row],[Tot Alc]],-1,0)-TblConstr[[#This Row],[Dest Alc]]</f>
        <v>30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86" cm="1">
        <f t="array" aca="1" ref="BF123" ca="1">IF(TblConstr[[#This Row],[Hour]:[Hour]]&gt;12,OFFSET(TblConstr[[#This Row],[OM]],-12,0),0)+OFFSET(TblConstr[[#This Row],[Tot OM]],-1,0)-TblConstr[[#This Row],[Dest OM]]</f>
        <v>0</v>
      </c>
      <c r="BG123" s="386" cm="1">
        <f t="array" aca="1" ref="BG123" ca="1">IF(TblConstr[[#This Row],[Hour]:[Hour]]&gt;12,OFFSET(TblConstr[[#This Row],[GN]],-12,0),0)+OFFSET(TblConstr[[#This Row],[Tot GN]],-1,0)-TblConstr[[#This Row],[Dest GN]]</f>
        <v>0</v>
      </c>
      <c r="BH123" s="390" cm="1">
        <f t="array" aca="1" ref="BH123" ca="1">IF(TblConstr[[#This Row],[Hour]:[Hour]]&gt;12,OFFSET(TblConstr[[#This Row],[Fac]],-12,0),0)+OFFSET(TblConstr[[#This Row],[Tot Fac]],-1,0)-TblConstr[[#This Row],[Dest Fac]]</f>
        <v>0</v>
      </c>
      <c r="BI123" s="390" cm="1">
        <f t="array" aca="1" ref="BI123" ca="1">IF(TblConstr[[#This Row],[Hour]:[Hour]]&gt;12,OFFSET(TblConstr[[#This Row],[GT]],-12,0),0)+OFFSET(TblConstr[[#This Row],[Tot GT]],-1,0)-TblConstr[[#This Row],[Dest GT]]</f>
        <v>0</v>
      </c>
      <c r="BJ123" s="390" cm="1">
        <f t="array" aca="1" ref="BJ123" ca="1">IF(TblConstr[[#This Row],[Hour]:[Hour]]&gt;12,OFFSET(TblConstr[[#This Row],[Bar]],-12,0),0)+OFFSET(TblConstr[[#This Row],[Tot Bar]],-1,0)-TblConstr[[#This Row],[Dest Bar]]</f>
        <v>0</v>
      </c>
      <c r="BK123" s="390" cm="1">
        <f t="array" aca="1" ref="BK123" ca="1">IF(TblConstr[[#This Row],[Hour]:[Hour]]&gt;12,OFFSET(TblConstr[[#This Row],[Shr]],-12,0),0)+OFFSET(TblConstr[[#This Row],[Tot Shr]],-1,0)-TblConstr[[#This Row],[Dest Shr]]</f>
        <v>0</v>
      </c>
      <c r="BL123" s="394" cm="1">
        <f t="array" aca="1" ref="BL123" ca="1">IF(TblConstr[[#This Row],[Hour]:[Hour]]&gt;12,OFFSET(TblConstr[[#This Row],[Tow]],-12,0),0)+OFFSET(TblConstr[[#This Row],[Tot Tow]],-1,0)-TblConstr[[#This Row],[Dest Tow]]</f>
        <v>0</v>
      </c>
      <c r="BM123" s="394" cm="1">
        <f t="array" aca="1" ref="BM123" ca="1">IF(TblConstr[[#This Row],[Hour]:[Hour]]&gt;12,OFFSET(TblConstr[[#This Row],[Tem]],-12,0),0)+OFFSET(TblConstr[[#This Row],[Tot Tem]],-1,0)-TblConstr[[#This Row],[Dest Tem]]</f>
        <v>0</v>
      </c>
      <c r="BN123" s="394"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250</v>
      </c>
      <c r="BU123" s="161">
        <f ca="1">TblImps[[#This Row],[Time]]</f>
        <v>45736.958333333045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84">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100</v>
      </c>
      <c r="DA123" s="96">
        <f t="shared" ca="1" si="31"/>
        <v>40</v>
      </c>
      <c r="DB123" s="45">
        <f t="shared" ca="1" si="32"/>
        <v>20</v>
      </c>
      <c r="DC123" s="96">
        <f t="shared" ca="1" si="33"/>
        <v>20</v>
      </c>
      <c r="DD123" s="96">
        <f t="shared" ca="1" si="34"/>
        <v>20</v>
      </c>
      <c r="DE123" s="45">
        <f t="shared" ca="1" si="35"/>
        <v>20</v>
      </c>
      <c r="DF123" s="96">
        <f t="shared" ca="1" si="36"/>
        <v>20</v>
      </c>
      <c r="DG123" s="96"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7">
        <f>TblRezone[[#This Row],[Hour]]</f>
        <v>121</v>
      </c>
      <c r="B124" s="178">
        <f ca="1">SUM(TblConstr[[#This Row],[Plain]:[Water]])</f>
        <v>160</v>
      </c>
      <c r="C124" s="179">
        <f ca="1">SUM(TblConstr[[#This Row],[Tot Hom]:[Tot Doc]])</f>
        <v>90</v>
      </c>
      <c r="D124" s="179">
        <f t="shared" si="21"/>
        <v>0</v>
      </c>
      <c r="E124" s="180"/>
      <c r="F124" s="61">
        <f ca="1">TblConstr[[#This Row],[Barren]]+TblConstr[[#This Row],[Buildings]]+TblConstr[[#This Row],[Incoming]]</f>
        <v>250</v>
      </c>
      <c r="G124" s="189">
        <f ca="1">OFFSET(TblConstr[[#This Row],[Plain]],-1,0)+TblConstr[[#This Row],[Ch_Plain]]</f>
        <v>40</v>
      </c>
      <c r="H124" s="184">
        <f ca="1">OFFSET(TblConstr[[#This Row],[Forest]],-1,0)+TblConstr[[#This Row],[Ch_Forest]]</f>
        <v>20</v>
      </c>
      <c r="I124" s="384">
        <f ca="1">OFFSET(TblConstr[[#This Row],[Mountain]],-1,0)+TblConstr[[#This Row],[Ch_Mountain]]</f>
        <v>20</v>
      </c>
      <c r="J124" s="388">
        <f ca="1">OFFSET(TblConstr[[#This Row],[Hill]],-1,0)+TblConstr[[#This Row],[Ch_Hill]]</f>
        <v>20</v>
      </c>
      <c r="K124" s="392">
        <f ca="1">OFFSET(TblConstr[[#This Row],[Swamp]],-1,0)+TblConstr[[#This Row],[Ch_Swamp]]</f>
        <v>20</v>
      </c>
      <c r="L124" s="187">
        <f ca="1">OFFSET(TblConstr[[#This Row],[Cavern]],-1,0)+TblConstr[[#This Row],[Ch_Cavern]]</f>
        <v>20</v>
      </c>
      <c r="M124" s="188">
        <f ca="1">OFFSET(TblConstr[[#This Row],[Water]],-1,0)+TblConstr[[#This Row],[Ch_Water]]</f>
        <v>20</v>
      </c>
      <c r="N124" s="382">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45736.999999999709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779198</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6">
        <f ca="1">ROUNDDOWN( MAX(1 - MIN(facs_constr_factor*TblConstr[[#This Row],[Facs -DB]],facs_constr_max) + tech_1_11*TblTech[[#This Row],[11-1]] + tech_6_3_2*TblTech[[#This Row],[6-3]] + tech_5_2_3*TblTech[[#This Row],[5-2]], 1-global_constr_cap) * TblConstr[[#This Row],[RCPA Lumber]],0)</f>
        <v>88</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6">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ROUND((TblConstr[[#This Row],[Land]]-250 - IF(TblExplore[[#This Row],[Land Bonus]]&lt;&gt;0,20,0))*1.25 + 850 + 0,0)</f>
        <v>850</v>
      </c>
      <c r="AW124" s="96">
        <f ca="1">ROUND((TblConstr[[#This Row],[Land]]-250 - IF(TblExplore[[#This Row],[Land Bonus]]&lt;&gt;0,20,0))*0.285 + 87.5 + 0/4.25,0)</f>
        <v>88</v>
      </c>
      <c r="AX124" s="156"/>
      <c r="AY124" s="190" cm="1">
        <f t="array" aca="1" ref="AY124" ca="1">IF(TblConstr[[#This Row],[Hour]:[Hour]]&gt;12,OFFSET(TblConstr[[#This Row],[Hom]],-12,0),0)+OFFSET(TblConstr[[#This Row],[Tot Hom]],-1,0)-TblConstr[[#This Row],[Dest Hom]]</f>
        <v>10</v>
      </c>
      <c r="AZ124" s="191" cm="1">
        <f t="array" aca="1" ref="AZ124" ca="1">IF(TblConstr[[#This Row],[Hour]:[Hour]]&gt;12,OFFSET(TblConstr[[#This Row],[Alc]],-12,0),0)+OFFSET(TblConstr[[#This Row],[Tot Alc]],-1,0)-TblConstr[[#This Row],[Dest Alc]]</f>
        <v>30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86" cm="1">
        <f t="array" aca="1" ref="BF124" ca="1">IF(TblConstr[[#This Row],[Hour]:[Hour]]&gt;12,OFFSET(TblConstr[[#This Row],[OM]],-12,0),0)+OFFSET(TblConstr[[#This Row],[Tot OM]],-1,0)-TblConstr[[#This Row],[Dest OM]]</f>
        <v>0</v>
      </c>
      <c r="BG124" s="386" cm="1">
        <f t="array" aca="1" ref="BG124" ca="1">IF(TblConstr[[#This Row],[Hour]:[Hour]]&gt;12,OFFSET(TblConstr[[#This Row],[GN]],-12,0),0)+OFFSET(TblConstr[[#This Row],[Tot GN]],-1,0)-TblConstr[[#This Row],[Dest GN]]</f>
        <v>0</v>
      </c>
      <c r="BH124" s="390" cm="1">
        <f t="array" aca="1" ref="BH124" ca="1">IF(TblConstr[[#This Row],[Hour]:[Hour]]&gt;12,OFFSET(TblConstr[[#This Row],[Fac]],-12,0),0)+OFFSET(TblConstr[[#This Row],[Tot Fac]],-1,0)-TblConstr[[#This Row],[Dest Fac]]</f>
        <v>0</v>
      </c>
      <c r="BI124" s="390" cm="1">
        <f t="array" aca="1" ref="BI124" ca="1">IF(TblConstr[[#This Row],[Hour]:[Hour]]&gt;12,OFFSET(TblConstr[[#This Row],[GT]],-12,0),0)+OFFSET(TblConstr[[#This Row],[Tot GT]],-1,0)-TblConstr[[#This Row],[Dest GT]]</f>
        <v>0</v>
      </c>
      <c r="BJ124" s="390" cm="1">
        <f t="array" aca="1" ref="BJ124" ca="1">IF(TblConstr[[#This Row],[Hour]:[Hour]]&gt;12,OFFSET(TblConstr[[#This Row],[Bar]],-12,0),0)+OFFSET(TblConstr[[#This Row],[Tot Bar]],-1,0)-TblConstr[[#This Row],[Dest Bar]]</f>
        <v>0</v>
      </c>
      <c r="BK124" s="390" cm="1">
        <f t="array" aca="1" ref="BK124" ca="1">IF(TblConstr[[#This Row],[Hour]:[Hour]]&gt;12,OFFSET(TblConstr[[#This Row],[Shr]],-12,0),0)+OFFSET(TblConstr[[#This Row],[Tot Shr]],-1,0)-TblConstr[[#This Row],[Dest Shr]]</f>
        <v>0</v>
      </c>
      <c r="BL124" s="394" cm="1">
        <f t="array" aca="1" ref="BL124" ca="1">IF(TblConstr[[#This Row],[Hour]:[Hour]]&gt;12,OFFSET(TblConstr[[#This Row],[Tow]],-12,0),0)+OFFSET(TblConstr[[#This Row],[Tot Tow]],-1,0)-TblConstr[[#This Row],[Dest Tow]]</f>
        <v>0</v>
      </c>
      <c r="BM124" s="394" cm="1">
        <f t="array" aca="1" ref="BM124" ca="1">IF(TblConstr[[#This Row],[Hour]:[Hour]]&gt;12,OFFSET(TblConstr[[#This Row],[Tem]],-12,0),0)+OFFSET(TblConstr[[#This Row],[Tot Tem]],-1,0)-TblConstr[[#This Row],[Dest Tem]]</f>
        <v>0</v>
      </c>
      <c r="BN124" s="394"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250</v>
      </c>
      <c r="BU124" s="161">
        <f ca="1">TblImps[[#This Row],[Time]]</f>
        <v>45736.999999999709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84">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100</v>
      </c>
      <c r="DA124" s="96">
        <f t="shared" ca="1" si="31"/>
        <v>40</v>
      </c>
      <c r="DB124" s="45">
        <f t="shared" ca="1" si="32"/>
        <v>20</v>
      </c>
      <c r="DC124" s="96">
        <f t="shared" ca="1" si="33"/>
        <v>20</v>
      </c>
      <c r="DD124" s="96">
        <f t="shared" ca="1" si="34"/>
        <v>20</v>
      </c>
      <c r="DE124" s="45">
        <f t="shared" ca="1" si="35"/>
        <v>20</v>
      </c>
      <c r="DF124" s="96">
        <f t="shared" ca="1" si="36"/>
        <v>20</v>
      </c>
      <c r="DG124" s="96"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7">
        <f>TblRezone[[#This Row],[Hour]]</f>
        <v>122</v>
      </c>
      <c r="B125" s="178">
        <f ca="1">SUM(TblConstr[[#This Row],[Plain]:[Water]])</f>
        <v>160</v>
      </c>
      <c r="C125" s="179">
        <f ca="1">SUM(TblConstr[[#This Row],[Tot Hom]:[Tot Doc]])</f>
        <v>90</v>
      </c>
      <c r="D125" s="179">
        <f t="shared" si="21"/>
        <v>0</v>
      </c>
      <c r="E125" s="180"/>
      <c r="F125" s="61">
        <f ca="1">TblConstr[[#This Row],[Barren]]+TblConstr[[#This Row],[Buildings]]+TblConstr[[#This Row],[Incoming]]</f>
        <v>250</v>
      </c>
      <c r="G125" s="189">
        <f ca="1">OFFSET(TblConstr[[#This Row],[Plain]],-1,0)+TblConstr[[#This Row],[Ch_Plain]]</f>
        <v>40</v>
      </c>
      <c r="H125" s="184">
        <f ca="1">OFFSET(TblConstr[[#This Row],[Forest]],-1,0)+TblConstr[[#This Row],[Ch_Forest]]</f>
        <v>20</v>
      </c>
      <c r="I125" s="384">
        <f ca="1">OFFSET(TblConstr[[#This Row],[Mountain]],-1,0)+TblConstr[[#This Row],[Ch_Mountain]]</f>
        <v>20</v>
      </c>
      <c r="J125" s="388">
        <f ca="1">OFFSET(TblConstr[[#This Row],[Hill]],-1,0)+TblConstr[[#This Row],[Ch_Hill]]</f>
        <v>20</v>
      </c>
      <c r="K125" s="392">
        <f ca="1">OFFSET(TblConstr[[#This Row],[Swamp]],-1,0)+TblConstr[[#This Row],[Ch_Swamp]]</f>
        <v>20</v>
      </c>
      <c r="L125" s="187">
        <f ca="1">OFFSET(TblConstr[[#This Row],[Cavern]],-1,0)+TblConstr[[#This Row],[Ch_Cavern]]</f>
        <v>20</v>
      </c>
      <c r="M125" s="188">
        <f ca="1">OFFSET(TblConstr[[#This Row],[Water]],-1,0)+TblConstr[[#This Row],[Ch_Water]]</f>
        <v>20</v>
      </c>
      <c r="N125" s="382">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45737.041666666373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784684</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6">
        <f ca="1">ROUNDDOWN( MAX(1 - MIN(facs_constr_factor*TblConstr[[#This Row],[Facs -DB]],facs_constr_max) + tech_1_11*TblTech[[#This Row],[11-1]] + tech_6_3_2*TblTech[[#This Row],[6-3]] + tech_5_2_3*TblTech[[#This Row],[5-2]], 1-global_constr_cap) * TblConstr[[#This Row],[RCPA Lumber]],0)</f>
        <v>88</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6">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ROUND((TblConstr[[#This Row],[Land]]-250 - IF(TblExplore[[#This Row],[Land Bonus]]&lt;&gt;0,20,0))*1.25 + 850 + 0,0)</f>
        <v>850</v>
      </c>
      <c r="AW125" s="96">
        <f ca="1">ROUND((TblConstr[[#This Row],[Land]]-250 - IF(TblExplore[[#This Row],[Land Bonus]]&lt;&gt;0,20,0))*0.285 + 87.5 + 0/4.25,0)</f>
        <v>88</v>
      </c>
      <c r="AX125" s="156"/>
      <c r="AY125" s="190" cm="1">
        <f t="array" aca="1" ref="AY125" ca="1">IF(TblConstr[[#This Row],[Hour]:[Hour]]&gt;12,OFFSET(TblConstr[[#This Row],[Hom]],-12,0),0)+OFFSET(TblConstr[[#This Row],[Tot Hom]],-1,0)-TblConstr[[#This Row],[Dest Hom]]</f>
        <v>10</v>
      </c>
      <c r="AZ125" s="191" cm="1">
        <f t="array" aca="1" ref="AZ125" ca="1">IF(TblConstr[[#This Row],[Hour]:[Hour]]&gt;12,OFFSET(TblConstr[[#This Row],[Alc]],-12,0),0)+OFFSET(TblConstr[[#This Row],[Tot Alc]],-1,0)-TblConstr[[#This Row],[Dest Alc]]</f>
        <v>30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86" cm="1">
        <f t="array" aca="1" ref="BF125" ca="1">IF(TblConstr[[#This Row],[Hour]:[Hour]]&gt;12,OFFSET(TblConstr[[#This Row],[OM]],-12,0),0)+OFFSET(TblConstr[[#This Row],[Tot OM]],-1,0)-TblConstr[[#This Row],[Dest OM]]</f>
        <v>0</v>
      </c>
      <c r="BG125" s="386" cm="1">
        <f t="array" aca="1" ref="BG125" ca="1">IF(TblConstr[[#This Row],[Hour]:[Hour]]&gt;12,OFFSET(TblConstr[[#This Row],[GN]],-12,0),0)+OFFSET(TblConstr[[#This Row],[Tot GN]],-1,0)-TblConstr[[#This Row],[Dest GN]]</f>
        <v>0</v>
      </c>
      <c r="BH125" s="390" cm="1">
        <f t="array" aca="1" ref="BH125" ca="1">IF(TblConstr[[#This Row],[Hour]:[Hour]]&gt;12,OFFSET(TblConstr[[#This Row],[Fac]],-12,0),0)+OFFSET(TblConstr[[#This Row],[Tot Fac]],-1,0)-TblConstr[[#This Row],[Dest Fac]]</f>
        <v>0</v>
      </c>
      <c r="BI125" s="390" cm="1">
        <f t="array" aca="1" ref="BI125" ca="1">IF(TblConstr[[#This Row],[Hour]:[Hour]]&gt;12,OFFSET(TblConstr[[#This Row],[GT]],-12,0),0)+OFFSET(TblConstr[[#This Row],[Tot GT]],-1,0)-TblConstr[[#This Row],[Dest GT]]</f>
        <v>0</v>
      </c>
      <c r="BJ125" s="390" cm="1">
        <f t="array" aca="1" ref="BJ125" ca="1">IF(TblConstr[[#This Row],[Hour]:[Hour]]&gt;12,OFFSET(TblConstr[[#This Row],[Bar]],-12,0),0)+OFFSET(TblConstr[[#This Row],[Tot Bar]],-1,0)-TblConstr[[#This Row],[Dest Bar]]</f>
        <v>0</v>
      </c>
      <c r="BK125" s="390" cm="1">
        <f t="array" aca="1" ref="BK125" ca="1">IF(TblConstr[[#This Row],[Hour]:[Hour]]&gt;12,OFFSET(TblConstr[[#This Row],[Shr]],-12,0),0)+OFFSET(TblConstr[[#This Row],[Tot Shr]],-1,0)-TblConstr[[#This Row],[Dest Shr]]</f>
        <v>0</v>
      </c>
      <c r="BL125" s="394" cm="1">
        <f t="array" aca="1" ref="BL125" ca="1">IF(TblConstr[[#This Row],[Hour]:[Hour]]&gt;12,OFFSET(TblConstr[[#This Row],[Tow]],-12,0),0)+OFFSET(TblConstr[[#This Row],[Tot Tow]],-1,0)-TblConstr[[#This Row],[Dest Tow]]</f>
        <v>0</v>
      </c>
      <c r="BM125" s="394" cm="1">
        <f t="array" aca="1" ref="BM125" ca="1">IF(TblConstr[[#This Row],[Hour]:[Hour]]&gt;12,OFFSET(TblConstr[[#This Row],[Tem]],-12,0),0)+OFFSET(TblConstr[[#This Row],[Tot Tem]],-1,0)-TblConstr[[#This Row],[Dest Tem]]</f>
        <v>0</v>
      </c>
      <c r="BN125" s="394"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250</v>
      </c>
      <c r="BU125" s="161">
        <f ca="1">TblImps[[#This Row],[Time]]</f>
        <v>45737.041666666373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84">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100</v>
      </c>
      <c r="DA125" s="96">
        <f t="shared" ca="1" si="31"/>
        <v>40</v>
      </c>
      <c r="DB125" s="45">
        <f t="shared" ca="1" si="32"/>
        <v>20</v>
      </c>
      <c r="DC125" s="96">
        <f t="shared" ca="1" si="33"/>
        <v>20</v>
      </c>
      <c r="DD125" s="96">
        <f t="shared" ca="1" si="34"/>
        <v>20</v>
      </c>
      <c r="DE125" s="45">
        <f t="shared" ca="1" si="35"/>
        <v>20</v>
      </c>
      <c r="DF125" s="96">
        <f t="shared" ca="1" si="36"/>
        <v>20</v>
      </c>
      <c r="DG125" s="96"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7">
        <f>TblRezone[[#This Row],[Hour]]</f>
        <v>123</v>
      </c>
      <c r="B126" s="178">
        <f ca="1">SUM(TblConstr[[#This Row],[Plain]:[Water]])</f>
        <v>160</v>
      </c>
      <c r="C126" s="179">
        <f ca="1">SUM(TblConstr[[#This Row],[Tot Hom]:[Tot Doc]])</f>
        <v>90</v>
      </c>
      <c r="D126" s="179">
        <f t="shared" si="21"/>
        <v>0</v>
      </c>
      <c r="E126" s="180"/>
      <c r="F126" s="61">
        <f ca="1">TblConstr[[#This Row],[Barren]]+TblConstr[[#This Row],[Buildings]]+TblConstr[[#This Row],[Incoming]]</f>
        <v>250</v>
      </c>
      <c r="G126" s="189">
        <f ca="1">OFFSET(TblConstr[[#This Row],[Plain]],-1,0)+TblConstr[[#This Row],[Ch_Plain]]</f>
        <v>40</v>
      </c>
      <c r="H126" s="184">
        <f ca="1">OFFSET(TblConstr[[#This Row],[Forest]],-1,0)+TblConstr[[#This Row],[Ch_Forest]]</f>
        <v>20</v>
      </c>
      <c r="I126" s="384">
        <f ca="1">OFFSET(TblConstr[[#This Row],[Mountain]],-1,0)+TblConstr[[#This Row],[Ch_Mountain]]</f>
        <v>20</v>
      </c>
      <c r="J126" s="388">
        <f ca="1">OFFSET(TblConstr[[#This Row],[Hill]],-1,0)+TblConstr[[#This Row],[Ch_Hill]]</f>
        <v>20</v>
      </c>
      <c r="K126" s="392">
        <f ca="1">OFFSET(TblConstr[[#This Row],[Swamp]],-1,0)+TblConstr[[#This Row],[Ch_Swamp]]</f>
        <v>20</v>
      </c>
      <c r="L126" s="187">
        <f ca="1">OFFSET(TblConstr[[#This Row],[Cavern]],-1,0)+TblConstr[[#This Row],[Ch_Cavern]]</f>
        <v>20</v>
      </c>
      <c r="M126" s="188">
        <f ca="1">OFFSET(TblConstr[[#This Row],[Water]],-1,0)+TblConstr[[#This Row],[Ch_Water]]</f>
        <v>20</v>
      </c>
      <c r="N126" s="382">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45737.083333333037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790170</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6">
        <f ca="1">ROUNDDOWN( MAX(1 - MIN(facs_constr_factor*TblConstr[[#This Row],[Facs -DB]],facs_constr_max) + tech_1_11*TblTech[[#This Row],[11-1]] + tech_6_3_2*TblTech[[#This Row],[6-3]] + tech_5_2_3*TblTech[[#This Row],[5-2]], 1-global_constr_cap) * TblConstr[[#This Row],[RCPA Lumber]],0)</f>
        <v>88</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6">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ROUND((TblConstr[[#This Row],[Land]]-250 - IF(TblExplore[[#This Row],[Land Bonus]]&lt;&gt;0,20,0))*1.25 + 850 + 0,0)</f>
        <v>850</v>
      </c>
      <c r="AW126" s="96">
        <f ca="1">ROUND((TblConstr[[#This Row],[Land]]-250 - IF(TblExplore[[#This Row],[Land Bonus]]&lt;&gt;0,20,0))*0.285 + 87.5 + 0/4.25,0)</f>
        <v>88</v>
      </c>
      <c r="AX126" s="156"/>
      <c r="AY126" s="190" cm="1">
        <f t="array" aca="1" ref="AY126" ca="1">IF(TblConstr[[#This Row],[Hour]:[Hour]]&gt;12,OFFSET(TblConstr[[#This Row],[Hom]],-12,0),0)+OFFSET(TblConstr[[#This Row],[Tot Hom]],-1,0)-TblConstr[[#This Row],[Dest Hom]]</f>
        <v>10</v>
      </c>
      <c r="AZ126" s="191" cm="1">
        <f t="array" aca="1" ref="AZ126" ca="1">IF(TblConstr[[#This Row],[Hour]:[Hour]]&gt;12,OFFSET(TblConstr[[#This Row],[Alc]],-12,0),0)+OFFSET(TblConstr[[#This Row],[Tot Alc]],-1,0)-TblConstr[[#This Row],[Dest Alc]]</f>
        <v>30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86" cm="1">
        <f t="array" aca="1" ref="BF126" ca="1">IF(TblConstr[[#This Row],[Hour]:[Hour]]&gt;12,OFFSET(TblConstr[[#This Row],[OM]],-12,0),0)+OFFSET(TblConstr[[#This Row],[Tot OM]],-1,0)-TblConstr[[#This Row],[Dest OM]]</f>
        <v>0</v>
      </c>
      <c r="BG126" s="386" cm="1">
        <f t="array" aca="1" ref="BG126" ca="1">IF(TblConstr[[#This Row],[Hour]:[Hour]]&gt;12,OFFSET(TblConstr[[#This Row],[GN]],-12,0),0)+OFFSET(TblConstr[[#This Row],[Tot GN]],-1,0)-TblConstr[[#This Row],[Dest GN]]</f>
        <v>0</v>
      </c>
      <c r="BH126" s="390" cm="1">
        <f t="array" aca="1" ref="BH126" ca="1">IF(TblConstr[[#This Row],[Hour]:[Hour]]&gt;12,OFFSET(TblConstr[[#This Row],[Fac]],-12,0),0)+OFFSET(TblConstr[[#This Row],[Tot Fac]],-1,0)-TblConstr[[#This Row],[Dest Fac]]</f>
        <v>0</v>
      </c>
      <c r="BI126" s="390" cm="1">
        <f t="array" aca="1" ref="BI126" ca="1">IF(TblConstr[[#This Row],[Hour]:[Hour]]&gt;12,OFFSET(TblConstr[[#This Row],[GT]],-12,0),0)+OFFSET(TblConstr[[#This Row],[Tot GT]],-1,0)-TblConstr[[#This Row],[Dest GT]]</f>
        <v>0</v>
      </c>
      <c r="BJ126" s="390" cm="1">
        <f t="array" aca="1" ref="BJ126" ca="1">IF(TblConstr[[#This Row],[Hour]:[Hour]]&gt;12,OFFSET(TblConstr[[#This Row],[Bar]],-12,0),0)+OFFSET(TblConstr[[#This Row],[Tot Bar]],-1,0)-TblConstr[[#This Row],[Dest Bar]]</f>
        <v>0</v>
      </c>
      <c r="BK126" s="390" cm="1">
        <f t="array" aca="1" ref="BK126" ca="1">IF(TblConstr[[#This Row],[Hour]:[Hour]]&gt;12,OFFSET(TblConstr[[#This Row],[Shr]],-12,0),0)+OFFSET(TblConstr[[#This Row],[Tot Shr]],-1,0)-TblConstr[[#This Row],[Dest Shr]]</f>
        <v>0</v>
      </c>
      <c r="BL126" s="394" cm="1">
        <f t="array" aca="1" ref="BL126" ca="1">IF(TblConstr[[#This Row],[Hour]:[Hour]]&gt;12,OFFSET(TblConstr[[#This Row],[Tow]],-12,0),0)+OFFSET(TblConstr[[#This Row],[Tot Tow]],-1,0)-TblConstr[[#This Row],[Dest Tow]]</f>
        <v>0</v>
      </c>
      <c r="BM126" s="394" cm="1">
        <f t="array" aca="1" ref="BM126" ca="1">IF(TblConstr[[#This Row],[Hour]:[Hour]]&gt;12,OFFSET(TblConstr[[#This Row],[Tem]],-12,0),0)+OFFSET(TblConstr[[#This Row],[Tot Tem]],-1,0)-TblConstr[[#This Row],[Dest Tem]]</f>
        <v>0</v>
      </c>
      <c r="BN126" s="394"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250</v>
      </c>
      <c r="BU126" s="161">
        <f ca="1">TblImps[[#This Row],[Time]]</f>
        <v>45737.083333333037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84">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100</v>
      </c>
      <c r="DA126" s="96">
        <f t="shared" ca="1" si="31"/>
        <v>40</v>
      </c>
      <c r="DB126" s="45">
        <f t="shared" ca="1" si="32"/>
        <v>20</v>
      </c>
      <c r="DC126" s="96">
        <f t="shared" ca="1" si="33"/>
        <v>20</v>
      </c>
      <c r="DD126" s="96">
        <f t="shared" ca="1" si="34"/>
        <v>20</v>
      </c>
      <c r="DE126" s="45">
        <f t="shared" ca="1" si="35"/>
        <v>20</v>
      </c>
      <c r="DF126" s="96">
        <f t="shared" ca="1" si="36"/>
        <v>20</v>
      </c>
      <c r="DG126" s="96"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7">
        <f>TblRezone[[#This Row],[Hour]]</f>
        <v>124</v>
      </c>
      <c r="B127" s="178">
        <f ca="1">SUM(TblConstr[[#This Row],[Plain]:[Water]])</f>
        <v>160</v>
      </c>
      <c r="C127" s="179">
        <f ca="1">SUM(TblConstr[[#This Row],[Tot Hom]:[Tot Doc]])</f>
        <v>90</v>
      </c>
      <c r="D127" s="179">
        <f t="shared" si="21"/>
        <v>0</v>
      </c>
      <c r="E127" s="180"/>
      <c r="F127" s="61">
        <f ca="1">TblConstr[[#This Row],[Barren]]+TblConstr[[#This Row],[Buildings]]+TblConstr[[#This Row],[Incoming]]</f>
        <v>250</v>
      </c>
      <c r="G127" s="189">
        <f ca="1">OFFSET(TblConstr[[#This Row],[Plain]],-1,0)+TblConstr[[#This Row],[Ch_Plain]]</f>
        <v>40</v>
      </c>
      <c r="H127" s="184">
        <f ca="1">OFFSET(TblConstr[[#This Row],[Forest]],-1,0)+TblConstr[[#This Row],[Ch_Forest]]</f>
        <v>20</v>
      </c>
      <c r="I127" s="384">
        <f ca="1">OFFSET(TblConstr[[#This Row],[Mountain]],-1,0)+TblConstr[[#This Row],[Ch_Mountain]]</f>
        <v>20</v>
      </c>
      <c r="J127" s="388">
        <f ca="1">OFFSET(TblConstr[[#This Row],[Hill]],-1,0)+TblConstr[[#This Row],[Ch_Hill]]</f>
        <v>20</v>
      </c>
      <c r="K127" s="392">
        <f ca="1">OFFSET(TblConstr[[#This Row],[Swamp]],-1,0)+TblConstr[[#This Row],[Ch_Swamp]]</f>
        <v>20</v>
      </c>
      <c r="L127" s="187">
        <f ca="1">OFFSET(TblConstr[[#This Row],[Cavern]],-1,0)+TblConstr[[#This Row],[Ch_Cavern]]</f>
        <v>20</v>
      </c>
      <c r="M127" s="188">
        <f ca="1">OFFSET(TblConstr[[#This Row],[Water]],-1,0)+TblConstr[[#This Row],[Ch_Water]]</f>
        <v>20</v>
      </c>
      <c r="N127" s="382">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45737.124999999702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795656</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6">
        <f ca="1">ROUNDDOWN( MAX(1 - MIN(facs_constr_factor*TblConstr[[#This Row],[Facs -DB]],facs_constr_max) + tech_1_11*TblTech[[#This Row],[11-1]] + tech_6_3_2*TblTech[[#This Row],[6-3]] + tech_5_2_3*TblTech[[#This Row],[5-2]], 1-global_constr_cap) * TblConstr[[#This Row],[RCPA Lumber]],0)</f>
        <v>88</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6">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ROUND((TblConstr[[#This Row],[Land]]-250 - IF(TblExplore[[#This Row],[Land Bonus]]&lt;&gt;0,20,0))*1.25 + 850 + 0,0)</f>
        <v>850</v>
      </c>
      <c r="AW127" s="96">
        <f ca="1">ROUND((TblConstr[[#This Row],[Land]]-250 - IF(TblExplore[[#This Row],[Land Bonus]]&lt;&gt;0,20,0))*0.285 + 87.5 + 0/4.25,0)</f>
        <v>88</v>
      </c>
      <c r="AX127" s="156"/>
      <c r="AY127" s="190" cm="1">
        <f t="array" aca="1" ref="AY127" ca="1">IF(TblConstr[[#This Row],[Hour]:[Hour]]&gt;12,OFFSET(TblConstr[[#This Row],[Hom]],-12,0),0)+OFFSET(TblConstr[[#This Row],[Tot Hom]],-1,0)-TblConstr[[#This Row],[Dest Hom]]</f>
        <v>10</v>
      </c>
      <c r="AZ127" s="191" cm="1">
        <f t="array" aca="1" ref="AZ127" ca="1">IF(TblConstr[[#This Row],[Hour]:[Hour]]&gt;12,OFFSET(TblConstr[[#This Row],[Alc]],-12,0),0)+OFFSET(TblConstr[[#This Row],[Tot Alc]],-1,0)-TblConstr[[#This Row],[Dest Alc]]</f>
        <v>30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86" cm="1">
        <f t="array" aca="1" ref="BF127" ca="1">IF(TblConstr[[#This Row],[Hour]:[Hour]]&gt;12,OFFSET(TblConstr[[#This Row],[OM]],-12,0),0)+OFFSET(TblConstr[[#This Row],[Tot OM]],-1,0)-TblConstr[[#This Row],[Dest OM]]</f>
        <v>0</v>
      </c>
      <c r="BG127" s="386" cm="1">
        <f t="array" aca="1" ref="BG127" ca="1">IF(TblConstr[[#This Row],[Hour]:[Hour]]&gt;12,OFFSET(TblConstr[[#This Row],[GN]],-12,0),0)+OFFSET(TblConstr[[#This Row],[Tot GN]],-1,0)-TblConstr[[#This Row],[Dest GN]]</f>
        <v>0</v>
      </c>
      <c r="BH127" s="390" cm="1">
        <f t="array" aca="1" ref="BH127" ca="1">IF(TblConstr[[#This Row],[Hour]:[Hour]]&gt;12,OFFSET(TblConstr[[#This Row],[Fac]],-12,0),0)+OFFSET(TblConstr[[#This Row],[Tot Fac]],-1,0)-TblConstr[[#This Row],[Dest Fac]]</f>
        <v>0</v>
      </c>
      <c r="BI127" s="390" cm="1">
        <f t="array" aca="1" ref="BI127" ca="1">IF(TblConstr[[#This Row],[Hour]:[Hour]]&gt;12,OFFSET(TblConstr[[#This Row],[GT]],-12,0),0)+OFFSET(TblConstr[[#This Row],[Tot GT]],-1,0)-TblConstr[[#This Row],[Dest GT]]</f>
        <v>0</v>
      </c>
      <c r="BJ127" s="390" cm="1">
        <f t="array" aca="1" ref="BJ127" ca="1">IF(TblConstr[[#This Row],[Hour]:[Hour]]&gt;12,OFFSET(TblConstr[[#This Row],[Bar]],-12,0),0)+OFFSET(TblConstr[[#This Row],[Tot Bar]],-1,0)-TblConstr[[#This Row],[Dest Bar]]</f>
        <v>0</v>
      </c>
      <c r="BK127" s="390" cm="1">
        <f t="array" aca="1" ref="BK127" ca="1">IF(TblConstr[[#This Row],[Hour]:[Hour]]&gt;12,OFFSET(TblConstr[[#This Row],[Shr]],-12,0),0)+OFFSET(TblConstr[[#This Row],[Tot Shr]],-1,0)-TblConstr[[#This Row],[Dest Shr]]</f>
        <v>0</v>
      </c>
      <c r="BL127" s="394" cm="1">
        <f t="array" aca="1" ref="BL127" ca="1">IF(TblConstr[[#This Row],[Hour]:[Hour]]&gt;12,OFFSET(TblConstr[[#This Row],[Tow]],-12,0),0)+OFFSET(TblConstr[[#This Row],[Tot Tow]],-1,0)-TblConstr[[#This Row],[Dest Tow]]</f>
        <v>0</v>
      </c>
      <c r="BM127" s="394" cm="1">
        <f t="array" aca="1" ref="BM127" ca="1">IF(TblConstr[[#This Row],[Hour]:[Hour]]&gt;12,OFFSET(TblConstr[[#This Row],[Tem]],-12,0),0)+OFFSET(TblConstr[[#This Row],[Tot Tem]],-1,0)-TblConstr[[#This Row],[Dest Tem]]</f>
        <v>0</v>
      </c>
      <c r="BN127" s="394"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250</v>
      </c>
      <c r="BU127" s="161">
        <f ca="1">TblImps[[#This Row],[Time]]</f>
        <v>45737.124999999702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84">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100</v>
      </c>
      <c r="DA127" s="96">
        <f t="shared" ca="1" si="31"/>
        <v>40</v>
      </c>
      <c r="DB127" s="45">
        <f t="shared" ca="1" si="32"/>
        <v>20</v>
      </c>
      <c r="DC127" s="96">
        <f t="shared" ca="1" si="33"/>
        <v>20</v>
      </c>
      <c r="DD127" s="96">
        <f t="shared" ca="1" si="34"/>
        <v>20</v>
      </c>
      <c r="DE127" s="45">
        <f t="shared" ca="1" si="35"/>
        <v>20</v>
      </c>
      <c r="DF127" s="96">
        <f t="shared" ca="1" si="36"/>
        <v>20</v>
      </c>
      <c r="DG127" s="96"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7">
        <f>TblRezone[[#This Row],[Hour]]</f>
        <v>125</v>
      </c>
      <c r="B128" s="178">
        <f ca="1">SUM(TblConstr[[#This Row],[Plain]:[Water]])</f>
        <v>160</v>
      </c>
      <c r="C128" s="179">
        <f ca="1">SUM(TblConstr[[#This Row],[Tot Hom]:[Tot Doc]])</f>
        <v>90</v>
      </c>
      <c r="D128" s="179">
        <f t="shared" si="21"/>
        <v>0</v>
      </c>
      <c r="E128" s="180"/>
      <c r="F128" s="61">
        <f ca="1">TblConstr[[#This Row],[Barren]]+TblConstr[[#This Row],[Buildings]]+TblConstr[[#This Row],[Incoming]]</f>
        <v>250</v>
      </c>
      <c r="G128" s="189">
        <f ca="1">OFFSET(TblConstr[[#This Row],[Plain]],-1,0)+TblConstr[[#This Row],[Ch_Plain]]</f>
        <v>40</v>
      </c>
      <c r="H128" s="184">
        <f ca="1">OFFSET(TblConstr[[#This Row],[Forest]],-1,0)+TblConstr[[#This Row],[Ch_Forest]]</f>
        <v>20</v>
      </c>
      <c r="I128" s="384">
        <f ca="1">OFFSET(TblConstr[[#This Row],[Mountain]],-1,0)+TblConstr[[#This Row],[Ch_Mountain]]</f>
        <v>20</v>
      </c>
      <c r="J128" s="388">
        <f ca="1">OFFSET(TblConstr[[#This Row],[Hill]],-1,0)+TblConstr[[#This Row],[Ch_Hill]]</f>
        <v>20</v>
      </c>
      <c r="K128" s="392">
        <f ca="1">OFFSET(TblConstr[[#This Row],[Swamp]],-1,0)+TblConstr[[#This Row],[Ch_Swamp]]</f>
        <v>20</v>
      </c>
      <c r="L128" s="187">
        <f ca="1">OFFSET(TblConstr[[#This Row],[Cavern]],-1,0)+TblConstr[[#This Row],[Ch_Cavern]]</f>
        <v>20</v>
      </c>
      <c r="M128" s="188">
        <f ca="1">OFFSET(TblConstr[[#This Row],[Water]],-1,0)+TblConstr[[#This Row],[Ch_Water]]</f>
        <v>20</v>
      </c>
      <c r="N128" s="382">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45737.166666666366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801142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6">
        <f ca="1">ROUNDDOWN( MAX(1 - MIN(facs_constr_factor*TblConstr[[#This Row],[Facs -DB]],facs_constr_max) + tech_1_11*TblTech[[#This Row],[11-1]] + tech_6_3_2*TblTech[[#This Row],[6-3]] + tech_5_2_3*TblTech[[#This Row],[5-2]], 1-global_constr_cap) * TblConstr[[#This Row],[RCPA Lumber]],0)</f>
        <v>88</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6">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ROUND((TblConstr[[#This Row],[Land]]-250 - IF(TblExplore[[#This Row],[Land Bonus]]&lt;&gt;0,20,0))*1.25 + 850 + 0,0)</f>
        <v>850</v>
      </c>
      <c r="AW128" s="96">
        <f ca="1">ROUND((TblConstr[[#This Row],[Land]]-250 - IF(TblExplore[[#This Row],[Land Bonus]]&lt;&gt;0,20,0))*0.285 + 87.5 + 0/4.25,0)</f>
        <v>88</v>
      </c>
      <c r="AX128" s="156"/>
      <c r="AY128" s="190" cm="1">
        <f t="array" aca="1" ref="AY128" ca="1">IF(TblConstr[[#This Row],[Hour]:[Hour]]&gt;12,OFFSET(TblConstr[[#This Row],[Hom]],-12,0),0)+OFFSET(TblConstr[[#This Row],[Tot Hom]],-1,0)-TblConstr[[#This Row],[Dest Hom]]</f>
        <v>10</v>
      </c>
      <c r="AZ128" s="191" cm="1">
        <f t="array" aca="1" ref="AZ128" ca="1">IF(TblConstr[[#This Row],[Hour]:[Hour]]&gt;12,OFFSET(TblConstr[[#This Row],[Alc]],-12,0),0)+OFFSET(TblConstr[[#This Row],[Tot Alc]],-1,0)-TblConstr[[#This Row],[Dest Alc]]</f>
        <v>30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86" cm="1">
        <f t="array" aca="1" ref="BF128" ca="1">IF(TblConstr[[#This Row],[Hour]:[Hour]]&gt;12,OFFSET(TblConstr[[#This Row],[OM]],-12,0),0)+OFFSET(TblConstr[[#This Row],[Tot OM]],-1,0)-TblConstr[[#This Row],[Dest OM]]</f>
        <v>0</v>
      </c>
      <c r="BG128" s="386" cm="1">
        <f t="array" aca="1" ref="BG128" ca="1">IF(TblConstr[[#This Row],[Hour]:[Hour]]&gt;12,OFFSET(TblConstr[[#This Row],[GN]],-12,0),0)+OFFSET(TblConstr[[#This Row],[Tot GN]],-1,0)-TblConstr[[#This Row],[Dest GN]]</f>
        <v>0</v>
      </c>
      <c r="BH128" s="390" cm="1">
        <f t="array" aca="1" ref="BH128" ca="1">IF(TblConstr[[#This Row],[Hour]:[Hour]]&gt;12,OFFSET(TblConstr[[#This Row],[Fac]],-12,0),0)+OFFSET(TblConstr[[#This Row],[Tot Fac]],-1,0)-TblConstr[[#This Row],[Dest Fac]]</f>
        <v>0</v>
      </c>
      <c r="BI128" s="390" cm="1">
        <f t="array" aca="1" ref="BI128" ca="1">IF(TblConstr[[#This Row],[Hour]:[Hour]]&gt;12,OFFSET(TblConstr[[#This Row],[GT]],-12,0),0)+OFFSET(TblConstr[[#This Row],[Tot GT]],-1,0)-TblConstr[[#This Row],[Dest GT]]</f>
        <v>0</v>
      </c>
      <c r="BJ128" s="390" cm="1">
        <f t="array" aca="1" ref="BJ128" ca="1">IF(TblConstr[[#This Row],[Hour]:[Hour]]&gt;12,OFFSET(TblConstr[[#This Row],[Bar]],-12,0),0)+OFFSET(TblConstr[[#This Row],[Tot Bar]],-1,0)-TblConstr[[#This Row],[Dest Bar]]</f>
        <v>0</v>
      </c>
      <c r="BK128" s="390" cm="1">
        <f t="array" aca="1" ref="BK128" ca="1">IF(TblConstr[[#This Row],[Hour]:[Hour]]&gt;12,OFFSET(TblConstr[[#This Row],[Shr]],-12,0),0)+OFFSET(TblConstr[[#This Row],[Tot Shr]],-1,0)-TblConstr[[#This Row],[Dest Shr]]</f>
        <v>0</v>
      </c>
      <c r="BL128" s="394" cm="1">
        <f t="array" aca="1" ref="BL128" ca="1">IF(TblConstr[[#This Row],[Hour]:[Hour]]&gt;12,OFFSET(TblConstr[[#This Row],[Tow]],-12,0),0)+OFFSET(TblConstr[[#This Row],[Tot Tow]],-1,0)-TblConstr[[#This Row],[Dest Tow]]</f>
        <v>0</v>
      </c>
      <c r="BM128" s="394" cm="1">
        <f t="array" aca="1" ref="BM128" ca="1">IF(TblConstr[[#This Row],[Hour]:[Hour]]&gt;12,OFFSET(TblConstr[[#This Row],[Tem]],-12,0),0)+OFFSET(TblConstr[[#This Row],[Tot Tem]],-1,0)-TblConstr[[#This Row],[Dest Tem]]</f>
        <v>0</v>
      </c>
      <c r="BN128" s="394"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250</v>
      </c>
      <c r="BU128" s="161">
        <f ca="1">TblImps[[#This Row],[Time]]</f>
        <v>45737.166666666366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84">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100</v>
      </c>
      <c r="DA128" s="96">
        <f t="shared" ca="1" si="31"/>
        <v>40</v>
      </c>
      <c r="DB128" s="45">
        <f t="shared" ca="1" si="32"/>
        <v>20</v>
      </c>
      <c r="DC128" s="96">
        <f t="shared" ca="1" si="33"/>
        <v>20</v>
      </c>
      <c r="DD128" s="96">
        <f t="shared" ca="1" si="34"/>
        <v>20</v>
      </c>
      <c r="DE128" s="45">
        <f t="shared" ca="1" si="35"/>
        <v>20</v>
      </c>
      <c r="DF128" s="96">
        <f t="shared" ca="1" si="36"/>
        <v>20</v>
      </c>
      <c r="DG128" s="96"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7">
        <f>TblRezone[[#This Row],[Hour]]</f>
        <v>126</v>
      </c>
      <c r="B129" s="178">
        <f ca="1">SUM(TblConstr[[#This Row],[Plain]:[Water]])</f>
        <v>160</v>
      </c>
      <c r="C129" s="179">
        <f ca="1">SUM(TblConstr[[#This Row],[Tot Hom]:[Tot Doc]])</f>
        <v>90</v>
      </c>
      <c r="D129" s="179">
        <f t="shared" si="21"/>
        <v>0</v>
      </c>
      <c r="E129" s="180"/>
      <c r="F129" s="61">
        <f ca="1">TblConstr[[#This Row],[Barren]]+TblConstr[[#This Row],[Buildings]]+TblConstr[[#This Row],[Incoming]]</f>
        <v>250</v>
      </c>
      <c r="G129" s="189">
        <f ca="1">OFFSET(TblConstr[[#This Row],[Plain]],-1,0)+TblConstr[[#This Row],[Ch_Plain]]</f>
        <v>40</v>
      </c>
      <c r="H129" s="184">
        <f ca="1">OFFSET(TblConstr[[#This Row],[Forest]],-1,0)+TblConstr[[#This Row],[Ch_Forest]]</f>
        <v>20</v>
      </c>
      <c r="I129" s="384">
        <f ca="1">OFFSET(TblConstr[[#This Row],[Mountain]],-1,0)+TblConstr[[#This Row],[Ch_Mountain]]</f>
        <v>20</v>
      </c>
      <c r="J129" s="388">
        <f ca="1">OFFSET(TblConstr[[#This Row],[Hill]],-1,0)+TblConstr[[#This Row],[Ch_Hill]]</f>
        <v>20</v>
      </c>
      <c r="K129" s="392">
        <f ca="1">OFFSET(TblConstr[[#This Row],[Swamp]],-1,0)+TblConstr[[#This Row],[Ch_Swamp]]</f>
        <v>20</v>
      </c>
      <c r="L129" s="187">
        <f ca="1">OFFSET(TblConstr[[#This Row],[Cavern]],-1,0)+TblConstr[[#This Row],[Ch_Cavern]]</f>
        <v>20</v>
      </c>
      <c r="M129" s="188">
        <f ca="1">OFFSET(TblConstr[[#This Row],[Water]],-1,0)+TblConstr[[#This Row],[Ch_Water]]</f>
        <v>20</v>
      </c>
      <c r="N129" s="382">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45737.20833333303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806628</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6">
        <f ca="1">ROUNDDOWN( MAX(1 - MIN(facs_constr_factor*TblConstr[[#This Row],[Facs -DB]],facs_constr_max) + tech_1_11*TblTech[[#This Row],[11-1]] + tech_6_3_2*TblTech[[#This Row],[6-3]] + tech_5_2_3*TblTech[[#This Row],[5-2]], 1-global_constr_cap) * TblConstr[[#This Row],[RCPA Lumber]],0)</f>
        <v>88</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6">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ROUND((TblConstr[[#This Row],[Land]]-250 - IF(TblExplore[[#This Row],[Land Bonus]]&lt;&gt;0,20,0))*1.25 + 850 + 0,0)</f>
        <v>850</v>
      </c>
      <c r="AW129" s="96">
        <f ca="1">ROUND((TblConstr[[#This Row],[Land]]-250 - IF(TblExplore[[#This Row],[Land Bonus]]&lt;&gt;0,20,0))*0.285 + 87.5 + 0/4.25,0)</f>
        <v>88</v>
      </c>
      <c r="AX129" s="156"/>
      <c r="AY129" s="190" cm="1">
        <f t="array" aca="1" ref="AY129" ca="1">IF(TblConstr[[#This Row],[Hour]:[Hour]]&gt;12,OFFSET(TblConstr[[#This Row],[Hom]],-12,0),0)+OFFSET(TblConstr[[#This Row],[Tot Hom]],-1,0)-TblConstr[[#This Row],[Dest Hom]]</f>
        <v>10</v>
      </c>
      <c r="AZ129" s="191" cm="1">
        <f t="array" aca="1" ref="AZ129" ca="1">IF(TblConstr[[#This Row],[Hour]:[Hour]]&gt;12,OFFSET(TblConstr[[#This Row],[Alc]],-12,0),0)+OFFSET(TblConstr[[#This Row],[Tot Alc]],-1,0)-TblConstr[[#This Row],[Dest Alc]]</f>
        <v>30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86" cm="1">
        <f t="array" aca="1" ref="BF129" ca="1">IF(TblConstr[[#This Row],[Hour]:[Hour]]&gt;12,OFFSET(TblConstr[[#This Row],[OM]],-12,0),0)+OFFSET(TblConstr[[#This Row],[Tot OM]],-1,0)-TblConstr[[#This Row],[Dest OM]]</f>
        <v>0</v>
      </c>
      <c r="BG129" s="386" cm="1">
        <f t="array" aca="1" ref="BG129" ca="1">IF(TblConstr[[#This Row],[Hour]:[Hour]]&gt;12,OFFSET(TblConstr[[#This Row],[GN]],-12,0),0)+OFFSET(TblConstr[[#This Row],[Tot GN]],-1,0)-TblConstr[[#This Row],[Dest GN]]</f>
        <v>0</v>
      </c>
      <c r="BH129" s="390" cm="1">
        <f t="array" aca="1" ref="BH129" ca="1">IF(TblConstr[[#This Row],[Hour]:[Hour]]&gt;12,OFFSET(TblConstr[[#This Row],[Fac]],-12,0),0)+OFFSET(TblConstr[[#This Row],[Tot Fac]],-1,0)-TblConstr[[#This Row],[Dest Fac]]</f>
        <v>0</v>
      </c>
      <c r="BI129" s="390" cm="1">
        <f t="array" aca="1" ref="BI129" ca="1">IF(TblConstr[[#This Row],[Hour]:[Hour]]&gt;12,OFFSET(TblConstr[[#This Row],[GT]],-12,0),0)+OFFSET(TblConstr[[#This Row],[Tot GT]],-1,0)-TblConstr[[#This Row],[Dest GT]]</f>
        <v>0</v>
      </c>
      <c r="BJ129" s="390" cm="1">
        <f t="array" aca="1" ref="BJ129" ca="1">IF(TblConstr[[#This Row],[Hour]:[Hour]]&gt;12,OFFSET(TblConstr[[#This Row],[Bar]],-12,0),0)+OFFSET(TblConstr[[#This Row],[Tot Bar]],-1,0)-TblConstr[[#This Row],[Dest Bar]]</f>
        <v>0</v>
      </c>
      <c r="BK129" s="390" cm="1">
        <f t="array" aca="1" ref="BK129" ca="1">IF(TblConstr[[#This Row],[Hour]:[Hour]]&gt;12,OFFSET(TblConstr[[#This Row],[Shr]],-12,0),0)+OFFSET(TblConstr[[#This Row],[Tot Shr]],-1,0)-TblConstr[[#This Row],[Dest Shr]]</f>
        <v>0</v>
      </c>
      <c r="BL129" s="394" cm="1">
        <f t="array" aca="1" ref="BL129" ca="1">IF(TblConstr[[#This Row],[Hour]:[Hour]]&gt;12,OFFSET(TblConstr[[#This Row],[Tow]],-12,0),0)+OFFSET(TblConstr[[#This Row],[Tot Tow]],-1,0)-TblConstr[[#This Row],[Dest Tow]]</f>
        <v>0</v>
      </c>
      <c r="BM129" s="394" cm="1">
        <f t="array" aca="1" ref="BM129" ca="1">IF(TblConstr[[#This Row],[Hour]:[Hour]]&gt;12,OFFSET(TblConstr[[#This Row],[Tem]],-12,0),0)+OFFSET(TblConstr[[#This Row],[Tot Tem]],-1,0)-TblConstr[[#This Row],[Dest Tem]]</f>
        <v>0</v>
      </c>
      <c r="BN129" s="394"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250</v>
      </c>
      <c r="BU129" s="161">
        <f ca="1">TblImps[[#This Row],[Time]]</f>
        <v>45737.20833333303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84">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100</v>
      </c>
      <c r="DA129" s="96">
        <f t="shared" ca="1" si="31"/>
        <v>40</v>
      </c>
      <c r="DB129" s="45">
        <f t="shared" ca="1" si="32"/>
        <v>20</v>
      </c>
      <c r="DC129" s="96">
        <f t="shared" ca="1" si="33"/>
        <v>20</v>
      </c>
      <c r="DD129" s="96">
        <f t="shared" ca="1" si="34"/>
        <v>20</v>
      </c>
      <c r="DE129" s="45">
        <f t="shared" ca="1" si="35"/>
        <v>20</v>
      </c>
      <c r="DF129" s="96">
        <f t="shared" ca="1" si="36"/>
        <v>20</v>
      </c>
      <c r="DG129" s="96"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7">
        <f>TblRezone[[#This Row],[Hour]]</f>
        <v>127</v>
      </c>
      <c r="B130" s="178">
        <f ca="1">SUM(TblConstr[[#This Row],[Plain]:[Water]])</f>
        <v>160</v>
      </c>
      <c r="C130" s="179">
        <f ca="1">SUM(TblConstr[[#This Row],[Tot Hom]:[Tot Doc]])</f>
        <v>90</v>
      </c>
      <c r="D130" s="179">
        <f t="shared" si="21"/>
        <v>0</v>
      </c>
      <c r="E130" s="180"/>
      <c r="F130" s="61">
        <f ca="1">TblConstr[[#This Row],[Barren]]+TblConstr[[#This Row],[Buildings]]+TblConstr[[#This Row],[Incoming]]</f>
        <v>250</v>
      </c>
      <c r="G130" s="189">
        <f ca="1">OFFSET(TblConstr[[#This Row],[Plain]],-1,0)+TblConstr[[#This Row],[Ch_Plain]]</f>
        <v>40</v>
      </c>
      <c r="H130" s="184">
        <f ca="1">OFFSET(TblConstr[[#This Row],[Forest]],-1,0)+TblConstr[[#This Row],[Ch_Forest]]</f>
        <v>20</v>
      </c>
      <c r="I130" s="384">
        <f ca="1">OFFSET(TblConstr[[#This Row],[Mountain]],-1,0)+TblConstr[[#This Row],[Ch_Mountain]]</f>
        <v>20</v>
      </c>
      <c r="J130" s="388">
        <f ca="1">OFFSET(TblConstr[[#This Row],[Hill]],-1,0)+TblConstr[[#This Row],[Ch_Hill]]</f>
        <v>20</v>
      </c>
      <c r="K130" s="392">
        <f ca="1">OFFSET(TblConstr[[#This Row],[Swamp]],-1,0)+TblConstr[[#This Row],[Ch_Swamp]]</f>
        <v>20</v>
      </c>
      <c r="L130" s="187">
        <f ca="1">OFFSET(TblConstr[[#This Row],[Cavern]],-1,0)+TblConstr[[#This Row],[Ch_Cavern]]</f>
        <v>20</v>
      </c>
      <c r="M130" s="188">
        <f ca="1">OFFSET(TblConstr[[#This Row],[Water]],-1,0)+TblConstr[[#This Row],[Ch_Water]]</f>
        <v>20</v>
      </c>
      <c r="N130" s="382">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45737.249999999694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812114</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6">
        <f ca="1">ROUNDDOWN( MAX(1 - MIN(facs_constr_factor*TblConstr[[#This Row],[Facs -DB]],facs_constr_max) + tech_1_11*TblTech[[#This Row],[11-1]] + tech_6_3_2*TblTech[[#This Row],[6-3]] + tech_5_2_3*TblTech[[#This Row],[5-2]], 1-global_constr_cap) * TblConstr[[#This Row],[RCPA Lumber]],0)</f>
        <v>88</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6">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ROUND((TblConstr[[#This Row],[Land]]-250 - IF(TblExplore[[#This Row],[Land Bonus]]&lt;&gt;0,20,0))*1.25 + 850 + 0,0)</f>
        <v>850</v>
      </c>
      <c r="AW130" s="96">
        <f ca="1">ROUND((TblConstr[[#This Row],[Land]]-250 - IF(TblExplore[[#This Row],[Land Bonus]]&lt;&gt;0,20,0))*0.285 + 87.5 + 0/4.25,0)</f>
        <v>88</v>
      </c>
      <c r="AX130" s="156"/>
      <c r="AY130" s="190" cm="1">
        <f t="array" aca="1" ref="AY130" ca="1">IF(TblConstr[[#This Row],[Hour]:[Hour]]&gt;12,OFFSET(TblConstr[[#This Row],[Hom]],-12,0),0)+OFFSET(TblConstr[[#This Row],[Tot Hom]],-1,0)-TblConstr[[#This Row],[Dest Hom]]</f>
        <v>10</v>
      </c>
      <c r="AZ130" s="191" cm="1">
        <f t="array" aca="1" ref="AZ130" ca="1">IF(TblConstr[[#This Row],[Hour]:[Hour]]&gt;12,OFFSET(TblConstr[[#This Row],[Alc]],-12,0),0)+OFFSET(TblConstr[[#This Row],[Tot Alc]],-1,0)-TblConstr[[#This Row],[Dest Alc]]</f>
        <v>30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86" cm="1">
        <f t="array" aca="1" ref="BF130" ca="1">IF(TblConstr[[#This Row],[Hour]:[Hour]]&gt;12,OFFSET(TblConstr[[#This Row],[OM]],-12,0),0)+OFFSET(TblConstr[[#This Row],[Tot OM]],-1,0)-TblConstr[[#This Row],[Dest OM]]</f>
        <v>0</v>
      </c>
      <c r="BG130" s="386" cm="1">
        <f t="array" aca="1" ref="BG130" ca="1">IF(TblConstr[[#This Row],[Hour]:[Hour]]&gt;12,OFFSET(TblConstr[[#This Row],[GN]],-12,0),0)+OFFSET(TblConstr[[#This Row],[Tot GN]],-1,0)-TblConstr[[#This Row],[Dest GN]]</f>
        <v>0</v>
      </c>
      <c r="BH130" s="390" cm="1">
        <f t="array" aca="1" ref="BH130" ca="1">IF(TblConstr[[#This Row],[Hour]:[Hour]]&gt;12,OFFSET(TblConstr[[#This Row],[Fac]],-12,0),0)+OFFSET(TblConstr[[#This Row],[Tot Fac]],-1,0)-TblConstr[[#This Row],[Dest Fac]]</f>
        <v>0</v>
      </c>
      <c r="BI130" s="390" cm="1">
        <f t="array" aca="1" ref="BI130" ca="1">IF(TblConstr[[#This Row],[Hour]:[Hour]]&gt;12,OFFSET(TblConstr[[#This Row],[GT]],-12,0),0)+OFFSET(TblConstr[[#This Row],[Tot GT]],-1,0)-TblConstr[[#This Row],[Dest GT]]</f>
        <v>0</v>
      </c>
      <c r="BJ130" s="390" cm="1">
        <f t="array" aca="1" ref="BJ130" ca="1">IF(TblConstr[[#This Row],[Hour]:[Hour]]&gt;12,OFFSET(TblConstr[[#This Row],[Bar]],-12,0),0)+OFFSET(TblConstr[[#This Row],[Tot Bar]],-1,0)-TblConstr[[#This Row],[Dest Bar]]</f>
        <v>0</v>
      </c>
      <c r="BK130" s="390" cm="1">
        <f t="array" aca="1" ref="BK130" ca="1">IF(TblConstr[[#This Row],[Hour]:[Hour]]&gt;12,OFFSET(TblConstr[[#This Row],[Shr]],-12,0),0)+OFFSET(TblConstr[[#This Row],[Tot Shr]],-1,0)-TblConstr[[#This Row],[Dest Shr]]</f>
        <v>0</v>
      </c>
      <c r="BL130" s="394" cm="1">
        <f t="array" aca="1" ref="BL130" ca="1">IF(TblConstr[[#This Row],[Hour]:[Hour]]&gt;12,OFFSET(TblConstr[[#This Row],[Tow]],-12,0),0)+OFFSET(TblConstr[[#This Row],[Tot Tow]],-1,0)-TblConstr[[#This Row],[Dest Tow]]</f>
        <v>0</v>
      </c>
      <c r="BM130" s="394" cm="1">
        <f t="array" aca="1" ref="BM130" ca="1">IF(TblConstr[[#This Row],[Hour]:[Hour]]&gt;12,OFFSET(TblConstr[[#This Row],[Tem]],-12,0),0)+OFFSET(TblConstr[[#This Row],[Tot Tem]],-1,0)-TblConstr[[#This Row],[Dest Tem]]</f>
        <v>0</v>
      </c>
      <c r="BN130" s="394"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250</v>
      </c>
      <c r="BU130" s="161">
        <f ca="1">TblImps[[#This Row],[Time]]</f>
        <v>45737.249999999694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84">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100</v>
      </c>
      <c r="DA130" s="96">
        <f t="shared" ca="1" si="31"/>
        <v>40</v>
      </c>
      <c r="DB130" s="45">
        <f t="shared" ca="1" si="32"/>
        <v>20</v>
      </c>
      <c r="DC130" s="96">
        <f t="shared" ca="1" si="33"/>
        <v>20</v>
      </c>
      <c r="DD130" s="96">
        <f t="shared" ca="1" si="34"/>
        <v>20</v>
      </c>
      <c r="DE130" s="45">
        <f t="shared" ca="1" si="35"/>
        <v>20</v>
      </c>
      <c r="DF130" s="96">
        <f t="shared" ca="1" si="36"/>
        <v>20</v>
      </c>
      <c r="DG130" s="96"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7">
        <f>TblRezone[[#This Row],[Hour]]</f>
        <v>128</v>
      </c>
      <c r="B131" s="178">
        <f ca="1">SUM(TblConstr[[#This Row],[Plain]:[Water]])</f>
        <v>160</v>
      </c>
      <c r="C131" s="179">
        <f ca="1">SUM(TblConstr[[#This Row],[Tot Hom]:[Tot Doc]])</f>
        <v>90</v>
      </c>
      <c r="D131" s="179">
        <f t="shared" si="21"/>
        <v>0</v>
      </c>
      <c r="E131" s="180"/>
      <c r="F131" s="61">
        <f ca="1">TblConstr[[#This Row],[Barren]]+TblConstr[[#This Row],[Buildings]]+TblConstr[[#This Row],[Incoming]]</f>
        <v>250</v>
      </c>
      <c r="G131" s="189">
        <f ca="1">OFFSET(TblConstr[[#This Row],[Plain]],-1,0)+TblConstr[[#This Row],[Ch_Plain]]</f>
        <v>40</v>
      </c>
      <c r="H131" s="184">
        <f ca="1">OFFSET(TblConstr[[#This Row],[Forest]],-1,0)+TblConstr[[#This Row],[Ch_Forest]]</f>
        <v>20</v>
      </c>
      <c r="I131" s="384">
        <f ca="1">OFFSET(TblConstr[[#This Row],[Mountain]],-1,0)+TblConstr[[#This Row],[Ch_Mountain]]</f>
        <v>20</v>
      </c>
      <c r="J131" s="388">
        <f ca="1">OFFSET(TblConstr[[#This Row],[Hill]],-1,0)+TblConstr[[#This Row],[Ch_Hill]]</f>
        <v>20</v>
      </c>
      <c r="K131" s="392">
        <f ca="1">OFFSET(TblConstr[[#This Row],[Swamp]],-1,0)+TblConstr[[#This Row],[Ch_Swamp]]</f>
        <v>20</v>
      </c>
      <c r="L131" s="187">
        <f ca="1">OFFSET(TblConstr[[#This Row],[Cavern]],-1,0)+TblConstr[[#This Row],[Ch_Cavern]]</f>
        <v>20</v>
      </c>
      <c r="M131" s="188">
        <f ca="1">OFFSET(TblConstr[[#This Row],[Water]],-1,0)+TblConstr[[#This Row],[Ch_Water]]</f>
        <v>20</v>
      </c>
      <c r="N131" s="382">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45737.291666666359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817600</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6">
        <f ca="1">ROUNDDOWN( MAX(1 - MIN(facs_constr_factor*TblConstr[[#This Row],[Facs -DB]],facs_constr_max) + tech_1_11*TblTech[[#This Row],[11-1]] + tech_6_3_2*TblTech[[#This Row],[6-3]] + tech_5_2_3*TblTech[[#This Row],[5-2]], 1-global_constr_cap) * TblConstr[[#This Row],[RCPA Lumber]],0)</f>
        <v>88</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6">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ROUND((TblConstr[[#This Row],[Land]]-250 - IF(TblExplore[[#This Row],[Land Bonus]]&lt;&gt;0,20,0))*1.25 + 850 + 0,0)</f>
        <v>850</v>
      </c>
      <c r="AW131" s="96">
        <f ca="1">ROUND((TblConstr[[#This Row],[Land]]-250 - IF(TblExplore[[#This Row],[Land Bonus]]&lt;&gt;0,20,0))*0.285 + 87.5 + 0/4.25,0)</f>
        <v>88</v>
      </c>
      <c r="AX131" s="156"/>
      <c r="AY131" s="190" cm="1">
        <f t="array" aca="1" ref="AY131" ca="1">IF(TblConstr[[#This Row],[Hour]:[Hour]]&gt;12,OFFSET(TblConstr[[#This Row],[Hom]],-12,0),0)+OFFSET(TblConstr[[#This Row],[Tot Hom]],-1,0)-TblConstr[[#This Row],[Dest Hom]]</f>
        <v>10</v>
      </c>
      <c r="AZ131" s="191" cm="1">
        <f t="array" aca="1" ref="AZ131" ca="1">IF(TblConstr[[#This Row],[Hour]:[Hour]]&gt;12,OFFSET(TblConstr[[#This Row],[Alc]],-12,0),0)+OFFSET(TblConstr[[#This Row],[Tot Alc]],-1,0)-TblConstr[[#This Row],[Dest Alc]]</f>
        <v>30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86" cm="1">
        <f t="array" aca="1" ref="BF131" ca="1">IF(TblConstr[[#This Row],[Hour]:[Hour]]&gt;12,OFFSET(TblConstr[[#This Row],[OM]],-12,0),0)+OFFSET(TblConstr[[#This Row],[Tot OM]],-1,0)-TblConstr[[#This Row],[Dest OM]]</f>
        <v>0</v>
      </c>
      <c r="BG131" s="386" cm="1">
        <f t="array" aca="1" ref="BG131" ca="1">IF(TblConstr[[#This Row],[Hour]:[Hour]]&gt;12,OFFSET(TblConstr[[#This Row],[GN]],-12,0),0)+OFFSET(TblConstr[[#This Row],[Tot GN]],-1,0)-TblConstr[[#This Row],[Dest GN]]</f>
        <v>0</v>
      </c>
      <c r="BH131" s="390" cm="1">
        <f t="array" aca="1" ref="BH131" ca="1">IF(TblConstr[[#This Row],[Hour]:[Hour]]&gt;12,OFFSET(TblConstr[[#This Row],[Fac]],-12,0),0)+OFFSET(TblConstr[[#This Row],[Tot Fac]],-1,0)-TblConstr[[#This Row],[Dest Fac]]</f>
        <v>0</v>
      </c>
      <c r="BI131" s="390" cm="1">
        <f t="array" aca="1" ref="BI131" ca="1">IF(TblConstr[[#This Row],[Hour]:[Hour]]&gt;12,OFFSET(TblConstr[[#This Row],[GT]],-12,0),0)+OFFSET(TblConstr[[#This Row],[Tot GT]],-1,0)-TblConstr[[#This Row],[Dest GT]]</f>
        <v>0</v>
      </c>
      <c r="BJ131" s="390" cm="1">
        <f t="array" aca="1" ref="BJ131" ca="1">IF(TblConstr[[#This Row],[Hour]:[Hour]]&gt;12,OFFSET(TblConstr[[#This Row],[Bar]],-12,0),0)+OFFSET(TblConstr[[#This Row],[Tot Bar]],-1,0)-TblConstr[[#This Row],[Dest Bar]]</f>
        <v>0</v>
      </c>
      <c r="BK131" s="390" cm="1">
        <f t="array" aca="1" ref="BK131" ca="1">IF(TblConstr[[#This Row],[Hour]:[Hour]]&gt;12,OFFSET(TblConstr[[#This Row],[Shr]],-12,0),0)+OFFSET(TblConstr[[#This Row],[Tot Shr]],-1,0)-TblConstr[[#This Row],[Dest Shr]]</f>
        <v>0</v>
      </c>
      <c r="BL131" s="394" cm="1">
        <f t="array" aca="1" ref="BL131" ca="1">IF(TblConstr[[#This Row],[Hour]:[Hour]]&gt;12,OFFSET(TblConstr[[#This Row],[Tow]],-12,0),0)+OFFSET(TblConstr[[#This Row],[Tot Tow]],-1,0)-TblConstr[[#This Row],[Dest Tow]]</f>
        <v>0</v>
      </c>
      <c r="BM131" s="394" cm="1">
        <f t="array" aca="1" ref="BM131" ca="1">IF(TblConstr[[#This Row],[Hour]:[Hour]]&gt;12,OFFSET(TblConstr[[#This Row],[Tem]],-12,0),0)+OFFSET(TblConstr[[#This Row],[Tot Tem]],-1,0)-TblConstr[[#This Row],[Dest Tem]]</f>
        <v>0</v>
      </c>
      <c r="BN131" s="394"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250</v>
      </c>
      <c r="BU131" s="161">
        <f ca="1">TblImps[[#This Row],[Time]]</f>
        <v>45737.291666666359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84">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100</v>
      </c>
      <c r="DA131" s="96">
        <f t="shared" ca="1" si="31"/>
        <v>40</v>
      </c>
      <c r="DB131" s="45">
        <f t="shared" ca="1" si="32"/>
        <v>20</v>
      </c>
      <c r="DC131" s="96">
        <f t="shared" ca="1" si="33"/>
        <v>20</v>
      </c>
      <c r="DD131" s="96">
        <f t="shared" ca="1" si="34"/>
        <v>20</v>
      </c>
      <c r="DE131" s="45">
        <f t="shared" ca="1" si="35"/>
        <v>20</v>
      </c>
      <c r="DF131" s="96">
        <f t="shared" ca="1" si="36"/>
        <v>20</v>
      </c>
      <c r="DG131" s="96"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7">
        <f>TblRezone[[#This Row],[Hour]]</f>
        <v>129</v>
      </c>
      <c r="B132" s="178">
        <f ca="1">SUM(TblConstr[[#This Row],[Plain]:[Water]])</f>
        <v>160</v>
      </c>
      <c r="C132" s="179">
        <f ca="1">SUM(TblConstr[[#This Row],[Tot Hom]:[Tot Doc]])</f>
        <v>90</v>
      </c>
      <c r="D132" s="179">
        <f>SUM(O121:AG132)</f>
        <v>0</v>
      </c>
      <c r="E132" s="180"/>
      <c r="F132" s="61">
        <f ca="1">TblConstr[[#This Row],[Barren]]+TblConstr[[#This Row],[Buildings]]+TblConstr[[#This Row],[Incoming]]</f>
        <v>250</v>
      </c>
      <c r="G132" s="189">
        <f ca="1">OFFSET(TblConstr[[#This Row],[Plain]],-1,0)+TblConstr[[#This Row],[Ch_Plain]]</f>
        <v>40</v>
      </c>
      <c r="H132" s="184">
        <f ca="1">OFFSET(TblConstr[[#This Row],[Forest]],-1,0)+TblConstr[[#This Row],[Ch_Forest]]</f>
        <v>20</v>
      </c>
      <c r="I132" s="384">
        <f ca="1">OFFSET(TblConstr[[#This Row],[Mountain]],-1,0)+TblConstr[[#This Row],[Ch_Mountain]]</f>
        <v>20</v>
      </c>
      <c r="J132" s="388">
        <f ca="1">OFFSET(TblConstr[[#This Row],[Hill]],-1,0)+TblConstr[[#This Row],[Ch_Hill]]</f>
        <v>20</v>
      </c>
      <c r="K132" s="392">
        <f ca="1">OFFSET(TblConstr[[#This Row],[Swamp]],-1,0)+TblConstr[[#This Row],[Ch_Swamp]]</f>
        <v>20</v>
      </c>
      <c r="L132" s="187">
        <f ca="1">OFFSET(TblConstr[[#This Row],[Cavern]],-1,0)+TblConstr[[#This Row],[Ch_Cavern]]</f>
        <v>20</v>
      </c>
      <c r="M132" s="188">
        <f ca="1">OFFSET(TblConstr[[#This Row],[Water]],-1,0)+TblConstr[[#This Row],[Ch_Water]]</f>
        <v>20</v>
      </c>
      <c r="N132" s="382">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45737.333333333023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823086</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6">
        <f ca="1">ROUNDDOWN( MAX(1 - MIN(facs_constr_factor*TblConstr[[#This Row],[Facs -DB]],facs_constr_max) + tech_1_11*TblTech[[#This Row],[11-1]] + tech_6_3_2*TblTech[[#This Row],[6-3]] + tech_5_2_3*TblTech[[#This Row],[5-2]], 1-global_constr_cap) * TblConstr[[#This Row],[RCPA Lumber]],0)</f>
        <v>88</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6">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ROUND((TblConstr[[#This Row],[Land]]-250 - IF(TblExplore[[#This Row],[Land Bonus]]&lt;&gt;0,20,0))*1.25 + 850 + 0,0)</f>
        <v>850</v>
      </c>
      <c r="AW132" s="96">
        <f ca="1">ROUND((TblConstr[[#This Row],[Land]]-250 - IF(TblExplore[[#This Row],[Land Bonus]]&lt;&gt;0,20,0))*0.285 + 87.5 + 0/4.25,0)</f>
        <v>88</v>
      </c>
      <c r="AX132" s="156"/>
      <c r="AY132" s="190" cm="1">
        <f t="array" aca="1" ref="AY132" ca="1">IF(TblConstr[[#This Row],[Hour]:[Hour]]&gt;12,OFFSET(TblConstr[[#This Row],[Hom]],-12,0),0)+OFFSET(TblConstr[[#This Row],[Tot Hom]],-1,0)-TblConstr[[#This Row],[Dest Hom]]</f>
        <v>10</v>
      </c>
      <c r="AZ132" s="191" cm="1">
        <f t="array" aca="1" ref="AZ132" ca="1">IF(TblConstr[[#This Row],[Hour]:[Hour]]&gt;12,OFFSET(TblConstr[[#This Row],[Alc]],-12,0),0)+OFFSET(TblConstr[[#This Row],[Tot Alc]],-1,0)-TblConstr[[#This Row],[Dest Alc]]</f>
        <v>30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86" cm="1">
        <f t="array" aca="1" ref="BF132" ca="1">IF(TblConstr[[#This Row],[Hour]:[Hour]]&gt;12,OFFSET(TblConstr[[#This Row],[OM]],-12,0),0)+OFFSET(TblConstr[[#This Row],[Tot OM]],-1,0)-TblConstr[[#This Row],[Dest OM]]</f>
        <v>0</v>
      </c>
      <c r="BG132" s="386" cm="1">
        <f t="array" aca="1" ref="BG132" ca="1">IF(TblConstr[[#This Row],[Hour]:[Hour]]&gt;12,OFFSET(TblConstr[[#This Row],[GN]],-12,0),0)+OFFSET(TblConstr[[#This Row],[Tot GN]],-1,0)-TblConstr[[#This Row],[Dest GN]]</f>
        <v>0</v>
      </c>
      <c r="BH132" s="390" cm="1">
        <f t="array" aca="1" ref="BH132" ca="1">IF(TblConstr[[#This Row],[Hour]:[Hour]]&gt;12,OFFSET(TblConstr[[#This Row],[Fac]],-12,0),0)+OFFSET(TblConstr[[#This Row],[Tot Fac]],-1,0)-TblConstr[[#This Row],[Dest Fac]]</f>
        <v>0</v>
      </c>
      <c r="BI132" s="390" cm="1">
        <f t="array" aca="1" ref="BI132" ca="1">IF(TblConstr[[#This Row],[Hour]:[Hour]]&gt;12,OFFSET(TblConstr[[#This Row],[GT]],-12,0),0)+OFFSET(TblConstr[[#This Row],[Tot GT]],-1,0)-TblConstr[[#This Row],[Dest GT]]</f>
        <v>0</v>
      </c>
      <c r="BJ132" s="390" cm="1">
        <f t="array" aca="1" ref="BJ132" ca="1">IF(TblConstr[[#This Row],[Hour]:[Hour]]&gt;12,OFFSET(TblConstr[[#This Row],[Bar]],-12,0),0)+OFFSET(TblConstr[[#This Row],[Tot Bar]],-1,0)-TblConstr[[#This Row],[Dest Bar]]</f>
        <v>0</v>
      </c>
      <c r="BK132" s="390" cm="1">
        <f t="array" aca="1" ref="BK132" ca="1">IF(TblConstr[[#This Row],[Hour]:[Hour]]&gt;12,OFFSET(TblConstr[[#This Row],[Shr]],-12,0),0)+OFFSET(TblConstr[[#This Row],[Tot Shr]],-1,0)-TblConstr[[#This Row],[Dest Shr]]</f>
        <v>0</v>
      </c>
      <c r="BL132" s="394" cm="1">
        <f t="array" aca="1" ref="BL132" ca="1">IF(TblConstr[[#This Row],[Hour]:[Hour]]&gt;12,OFFSET(TblConstr[[#This Row],[Tow]],-12,0),0)+OFFSET(TblConstr[[#This Row],[Tot Tow]],-1,0)-TblConstr[[#This Row],[Dest Tow]]</f>
        <v>0</v>
      </c>
      <c r="BM132" s="394" cm="1">
        <f t="array" aca="1" ref="BM132" ca="1">IF(TblConstr[[#This Row],[Hour]:[Hour]]&gt;12,OFFSET(TblConstr[[#This Row],[Tem]],-12,0),0)+OFFSET(TblConstr[[#This Row],[Tot Tem]],-1,0)-TblConstr[[#This Row],[Dest Tem]]</f>
        <v>0</v>
      </c>
      <c r="BN132" s="394"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250</v>
      </c>
      <c r="BU132" s="161">
        <f ca="1">TblImps[[#This Row],[Time]]</f>
        <v>45737.333333333023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84">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100</v>
      </c>
      <c r="DA132" s="96">
        <f ca="1">H132+SUM(T121:U132)+SUM(BD132:BE132)</f>
        <v>40</v>
      </c>
      <c r="DB132" s="45">
        <f ca="1">I132+SUM(V121:W132)+SUM(BF132:BG132)</f>
        <v>20</v>
      </c>
      <c r="DC132" s="96">
        <f ca="1">J132+SUM(X121:Y132)+SUM(BH132:BI132)</f>
        <v>20</v>
      </c>
      <c r="DD132" s="96">
        <f ca="1">K132+SUM(AB121:AD132)+SUM(BL132:BN132)</f>
        <v>20</v>
      </c>
      <c r="DE132" s="45">
        <f ca="1">L132+SUM(AE121:AE132)+BO132</f>
        <v>20</v>
      </c>
      <c r="DF132" s="96">
        <f ca="1">M132+SUM(AG121:AG132)+BQ132</f>
        <v>20</v>
      </c>
      <c r="DG132" s="96"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7">
        <f>TblRezone[[#This Row],[Hour]]</f>
        <v>130</v>
      </c>
      <c r="B133" s="178">
        <f ca="1">SUM(TblConstr[[#This Row],[Plain]:[Water]])</f>
        <v>160</v>
      </c>
      <c r="C133" s="179">
        <f ca="1">SUM(TblConstr[[#This Row],[Tot Hom]:[Tot Doc]])</f>
        <v>90</v>
      </c>
      <c r="D133" s="179">
        <f>SUM(O122:AG133)</f>
        <v>0</v>
      </c>
      <c r="E133" s="180"/>
      <c r="F133" s="61">
        <f ca="1">TblConstr[[#This Row],[Barren]]+TblConstr[[#This Row],[Buildings]]+TblConstr[[#This Row],[Incoming]]</f>
        <v>250</v>
      </c>
      <c r="G133" s="189">
        <f ca="1">OFFSET(TblConstr[[#This Row],[Plain]],-1,0)+TblConstr[[#This Row],[Ch_Plain]]</f>
        <v>40</v>
      </c>
      <c r="H133" s="184">
        <f ca="1">OFFSET(TblConstr[[#This Row],[Forest]],-1,0)+TblConstr[[#This Row],[Ch_Forest]]</f>
        <v>20</v>
      </c>
      <c r="I133" s="384">
        <f ca="1">OFFSET(TblConstr[[#This Row],[Mountain]],-1,0)+TblConstr[[#This Row],[Ch_Mountain]]</f>
        <v>20</v>
      </c>
      <c r="J133" s="388">
        <f ca="1">OFFSET(TblConstr[[#This Row],[Hill]],-1,0)+TblConstr[[#This Row],[Ch_Hill]]</f>
        <v>20</v>
      </c>
      <c r="K133" s="392">
        <f ca="1">OFFSET(TblConstr[[#This Row],[Swamp]],-1,0)+TblConstr[[#This Row],[Ch_Swamp]]</f>
        <v>20</v>
      </c>
      <c r="L133" s="187">
        <f ca="1">OFFSET(TblConstr[[#This Row],[Cavern]],-1,0)+TblConstr[[#This Row],[Ch_Cavern]]</f>
        <v>20</v>
      </c>
      <c r="M133" s="188">
        <f ca="1">OFFSET(TblConstr[[#This Row],[Water]],-1,0)+TblConstr[[#This Row],[Ch_Water]]</f>
        <v>20</v>
      </c>
      <c r="N133" s="382">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45737.374999999687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828572</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6">
        <f ca="1">ROUNDDOWN( MAX(1 - MIN(facs_constr_factor*TblConstr[[#This Row],[Facs -DB]],facs_constr_max) + tech_1_11*TblTech[[#This Row],[11-1]] + tech_6_3_2*TblTech[[#This Row],[6-3]] + tech_5_2_3*TblTech[[#This Row],[5-2]], 1-global_constr_cap) * TblConstr[[#This Row],[RCPA Lumber]],0)</f>
        <v>88</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6">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ROUND((TblConstr[[#This Row],[Land]]-250 - IF(TblExplore[[#This Row],[Land Bonus]]&lt;&gt;0,20,0))*1.25 + 850 + 0,0)</f>
        <v>850</v>
      </c>
      <c r="AW133" s="96">
        <f ca="1">ROUND((TblConstr[[#This Row],[Land]]-250 - IF(TblExplore[[#This Row],[Land Bonus]]&lt;&gt;0,20,0))*0.285 + 87.5 + 0/4.25,0)</f>
        <v>88</v>
      </c>
      <c r="AX133" s="156"/>
      <c r="AY133" s="190" cm="1">
        <f t="array" aca="1" ref="AY133" ca="1">IF(TblConstr[[#This Row],[Hour]:[Hour]]&gt;12,OFFSET(TblConstr[[#This Row],[Hom]],-12,0),0)+OFFSET(TblConstr[[#This Row],[Tot Hom]],-1,0)-TblConstr[[#This Row],[Dest Hom]]</f>
        <v>10</v>
      </c>
      <c r="AZ133" s="191" cm="1">
        <f t="array" aca="1" ref="AZ133" ca="1">IF(TblConstr[[#This Row],[Hour]:[Hour]]&gt;12,OFFSET(TblConstr[[#This Row],[Alc]],-12,0),0)+OFFSET(TblConstr[[#This Row],[Tot Alc]],-1,0)-TblConstr[[#This Row],[Dest Alc]]</f>
        <v>30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86" cm="1">
        <f t="array" aca="1" ref="BF133" ca="1">IF(TblConstr[[#This Row],[Hour]:[Hour]]&gt;12,OFFSET(TblConstr[[#This Row],[OM]],-12,0),0)+OFFSET(TblConstr[[#This Row],[Tot OM]],-1,0)-TblConstr[[#This Row],[Dest OM]]</f>
        <v>0</v>
      </c>
      <c r="BG133" s="386" cm="1">
        <f t="array" aca="1" ref="BG133" ca="1">IF(TblConstr[[#This Row],[Hour]:[Hour]]&gt;12,OFFSET(TblConstr[[#This Row],[GN]],-12,0),0)+OFFSET(TblConstr[[#This Row],[Tot GN]],-1,0)-TblConstr[[#This Row],[Dest GN]]</f>
        <v>0</v>
      </c>
      <c r="BH133" s="390" cm="1">
        <f t="array" aca="1" ref="BH133" ca="1">IF(TblConstr[[#This Row],[Hour]:[Hour]]&gt;12,OFFSET(TblConstr[[#This Row],[Fac]],-12,0),0)+OFFSET(TblConstr[[#This Row],[Tot Fac]],-1,0)-TblConstr[[#This Row],[Dest Fac]]</f>
        <v>0</v>
      </c>
      <c r="BI133" s="390" cm="1">
        <f t="array" aca="1" ref="BI133" ca="1">IF(TblConstr[[#This Row],[Hour]:[Hour]]&gt;12,OFFSET(TblConstr[[#This Row],[GT]],-12,0),0)+OFFSET(TblConstr[[#This Row],[Tot GT]],-1,0)-TblConstr[[#This Row],[Dest GT]]</f>
        <v>0</v>
      </c>
      <c r="BJ133" s="390" cm="1">
        <f t="array" aca="1" ref="BJ133" ca="1">IF(TblConstr[[#This Row],[Hour]:[Hour]]&gt;12,OFFSET(TblConstr[[#This Row],[Bar]],-12,0),0)+OFFSET(TblConstr[[#This Row],[Tot Bar]],-1,0)-TblConstr[[#This Row],[Dest Bar]]</f>
        <v>0</v>
      </c>
      <c r="BK133" s="390" cm="1">
        <f t="array" aca="1" ref="BK133" ca="1">IF(TblConstr[[#This Row],[Hour]:[Hour]]&gt;12,OFFSET(TblConstr[[#This Row],[Shr]],-12,0),0)+OFFSET(TblConstr[[#This Row],[Tot Shr]],-1,0)-TblConstr[[#This Row],[Dest Shr]]</f>
        <v>0</v>
      </c>
      <c r="BL133" s="394" cm="1">
        <f t="array" aca="1" ref="BL133" ca="1">IF(TblConstr[[#This Row],[Hour]:[Hour]]&gt;12,OFFSET(TblConstr[[#This Row],[Tow]],-12,0),0)+OFFSET(TblConstr[[#This Row],[Tot Tow]],-1,0)-TblConstr[[#This Row],[Dest Tow]]</f>
        <v>0</v>
      </c>
      <c r="BM133" s="394" cm="1">
        <f t="array" aca="1" ref="BM133" ca="1">IF(TblConstr[[#This Row],[Hour]:[Hour]]&gt;12,OFFSET(TblConstr[[#This Row],[Tem]],-12,0),0)+OFFSET(TblConstr[[#This Row],[Tot Tem]],-1,0)-TblConstr[[#This Row],[Dest Tem]]</f>
        <v>0</v>
      </c>
      <c r="BN133" s="394"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250</v>
      </c>
      <c r="BU133" s="161">
        <f ca="1">TblImps[[#This Row],[Time]]</f>
        <v>45737.374999999687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84">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100</v>
      </c>
      <c r="DA133" s="96">
        <f ca="1">H133+SUM(T122:U133)+SUM(BD133:BE133)</f>
        <v>40</v>
      </c>
      <c r="DB133" s="45">
        <f ca="1">I133+SUM(V122:W133)+SUM(BF133:BG133)</f>
        <v>20</v>
      </c>
      <c r="DC133" s="96">
        <f ca="1">J133+SUM(X122:Y133)+SUM(BH133:BI133)</f>
        <v>20</v>
      </c>
      <c r="DD133" s="96">
        <f ca="1">K133+SUM(AB122:AD133)+SUM(BL133:BN133)</f>
        <v>20</v>
      </c>
      <c r="DE133" s="45">
        <f ca="1">L133+SUM(AE122:AE133)+BO133</f>
        <v>20</v>
      </c>
      <c r="DF133" s="96">
        <f ca="1">M133+SUM(AG122:AG133)+BQ133</f>
        <v>20</v>
      </c>
      <c r="DG133" s="96"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7">
        <f>TblRezone[[#This Row],[Hour]]</f>
        <v>131</v>
      </c>
      <c r="B134" s="178">
        <f ca="1">SUM(TblConstr[[#This Row],[Plain]:[Water]])</f>
        <v>160</v>
      </c>
      <c r="C134" s="179">
        <f ca="1">SUM(TblConstr[[#This Row],[Tot Hom]:[Tot Doc]])</f>
        <v>90</v>
      </c>
      <c r="D134" s="179">
        <f>SUM(O123:AG134)</f>
        <v>0</v>
      </c>
      <c r="E134" s="180"/>
      <c r="F134" s="61">
        <f ca="1">TblConstr[[#This Row],[Barren]]+TblConstr[[#This Row],[Buildings]]+TblConstr[[#This Row],[Incoming]]</f>
        <v>250</v>
      </c>
      <c r="G134" s="189">
        <f ca="1">OFFSET(TblConstr[[#This Row],[Plain]],-1,0)+TblConstr[[#This Row],[Ch_Plain]]</f>
        <v>40</v>
      </c>
      <c r="H134" s="184">
        <f ca="1">OFFSET(TblConstr[[#This Row],[Forest]],-1,0)+TblConstr[[#This Row],[Ch_Forest]]</f>
        <v>20</v>
      </c>
      <c r="I134" s="384">
        <f ca="1">OFFSET(TblConstr[[#This Row],[Mountain]],-1,0)+TblConstr[[#This Row],[Ch_Mountain]]</f>
        <v>20</v>
      </c>
      <c r="J134" s="388">
        <f ca="1">OFFSET(TblConstr[[#This Row],[Hill]],-1,0)+TblConstr[[#This Row],[Ch_Hill]]</f>
        <v>20</v>
      </c>
      <c r="K134" s="392">
        <f ca="1">OFFSET(TblConstr[[#This Row],[Swamp]],-1,0)+TblConstr[[#This Row],[Ch_Swamp]]</f>
        <v>20</v>
      </c>
      <c r="L134" s="187">
        <f ca="1">OFFSET(TblConstr[[#This Row],[Cavern]],-1,0)+TblConstr[[#This Row],[Ch_Cavern]]</f>
        <v>20</v>
      </c>
      <c r="M134" s="188">
        <f ca="1">OFFSET(TblConstr[[#This Row],[Water]],-1,0)+TblConstr[[#This Row],[Ch_Water]]</f>
        <v>20</v>
      </c>
      <c r="N134" s="382">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45737.416666666351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834058</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6">
        <f ca="1">ROUNDDOWN( MAX(1 - MIN(facs_constr_factor*TblConstr[[#This Row],[Facs -DB]],facs_constr_max) + tech_1_11*TblTech[[#This Row],[11-1]] + tech_6_3_2*TblTech[[#This Row],[6-3]] + tech_5_2_3*TblTech[[#This Row],[5-2]], 1-global_constr_cap) * TblConstr[[#This Row],[RCPA Lumber]],0)</f>
        <v>88</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6">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ROUND((TblConstr[[#This Row],[Land]]-250 - IF(TblExplore[[#This Row],[Land Bonus]]&lt;&gt;0,20,0))*1.25 + 850 + 0,0)</f>
        <v>850</v>
      </c>
      <c r="AW134" s="96">
        <f ca="1">ROUND((TblConstr[[#This Row],[Land]]-250 - IF(TblExplore[[#This Row],[Land Bonus]]&lt;&gt;0,20,0))*0.285 + 87.5 + 0/4.25,0)</f>
        <v>88</v>
      </c>
      <c r="AX134" s="156"/>
      <c r="AY134" s="190" cm="1">
        <f t="array" aca="1" ref="AY134" ca="1">IF(TblConstr[[#This Row],[Hour]:[Hour]]&gt;12,OFFSET(TblConstr[[#This Row],[Hom]],-12,0),0)+OFFSET(TblConstr[[#This Row],[Tot Hom]],-1,0)-TblConstr[[#This Row],[Dest Hom]]</f>
        <v>10</v>
      </c>
      <c r="AZ134" s="191" cm="1">
        <f t="array" aca="1" ref="AZ134" ca="1">IF(TblConstr[[#This Row],[Hour]:[Hour]]&gt;12,OFFSET(TblConstr[[#This Row],[Alc]],-12,0),0)+OFFSET(TblConstr[[#This Row],[Tot Alc]],-1,0)-TblConstr[[#This Row],[Dest Alc]]</f>
        <v>30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86" cm="1">
        <f t="array" aca="1" ref="BF134" ca="1">IF(TblConstr[[#This Row],[Hour]:[Hour]]&gt;12,OFFSET(TblConstr[[#This Row],[OM]],-12,0),0)+OFFSET(TblConstr[[#This Row],[Tot OM]],-1,0)-TblConstr[[#This Row],[Dest OM]]</f>
        <v>0</v>
      </c>
      <c r="BG134" s="386" cm="1">
        <f t="array" aca="1" ref="BG134" ca="1">IF(TblConstr[[#This Row],[Hour]:[Hour]]&gt;12,OFFSET(TblConstr[[#This Row],[GN]],-12,0),0)+OFFSET(TblConstr[[#This Row],[Tot GN]],-1,0)-TblConstr[[#This Row],[Dest GN]]</f>
        <v>0</v>
      </c>
      <c r="BH134" s="390" cm="1">
        <f t="array" aca="1" ref="BH134" ca="1">IF(TblConstr[[#This Row],[Hour]:[Hour]]&gt;12,OFFSET(TblConstr[[#This Row],[Fac]],-12,0),0)+OFFSET(TblConstr[[#This Row],[Tot Fac]],-1,0)-TblConstr[[#This Row],[Dest Fac]]</f>
        <v>0</v>
      </c>
      <c r="BI134" s="390" cm="1">
        <f t="array" aca="1" ref="BI134" ca="1">IF(TblConstr[[#This Row],[Hour]:[Hour]]&gt;12,OFFSET(TblConstr[[#This Row],[GT]],-12,0),0)+OFFSET(TblConstr[[#This Row],[Tot GT]],-1,0)-TblConstr[[#This Row],[Dest GT]]</f>
        <v>0</v>
      </c>
      <c r="BJ134" s="390" cm="1">
        <f t="array" aca="1" ref="BJ134" ca="1">IF(TblConstr[[#This Row],[Hour]:[Hour]]&gt;12,OFFSET(TblConstr[[#This Row],[Bar]],-12,0),0)+OFFSET(TblConstr[[#This Row],[Tot Bar]],-1,0)-TblConstr[[#This Row],[Dest Bar]]</f>
        <v>0</v>
      </c>
      <c r="BK134" s="390" cm="1">
        <f t="array" aca="1" ref="BK134" ca="1">IF(TblConstr[[#This Row],[Hour]:[Hour]]&gt;12,OFFSET(TblConstr[[#This Row],[Shr]],-12,0),0)+OFFSET(TblConstr[[#This Row],[Tot Shr]],-1,0)-TblConstr[[#This Row],[Dest Shr]]</f>
        <v>0</v>
      </c>
      <c r="BL134" s="394" cm="1">
        <f t="array" aca="1" ref="BL134" ca="1">IF(TblConstr[[#This Row],[Hour]:[Hour]]&gt;12,OFFSET(TblConstr[[#This Row],[Tow]],-12,0),0)+OFFSET(TblConstr[[#This Row],[Tot Tow]],-1,0)-TblConstr[[#This Row],[Dest Tow]]</f>
        <v>0</v>
      </c>
      <c r="BM134" s="394" cm="1">
        <f t="array" aca="1" ref="BM134" ca="1">IF(TblConstr[[#This Row],[Hour]:[Hour]]&gt;12,OFFSET(TblConstr[[#This Row],[Tem]],-12,0),0)+OFFSET(TblConstr[[#This Row],[Tot Tem]],-1,0)-TblConstr[[#This Row],[Dest Tem]]</f>
        <v>0</v>
      </c>
      <c r="BN134" s="394"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250</v>
      </c>
      <c r="BU134" s="161">
        <f ca="1">TblImps[[#This Row],[Time]]</f>
        <v>45737.416666666351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84">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100</v>
      </c>
      <c r="DA134" s="96">
        <f ca="1">H134+SUM(T123:U134)+SUM(BD134:BE134)</f>
        <v>40</v>
      </c>
      <c r="DB134" s="45">
        <f ca="1">I134+SUM(V123:W134)+SUM(BF134:BG134)</f>
        <v>20</v>
      </c>
      <c r="DC134" s="96">
        <f ca="1">J134+SUM(X123:Y134)+SUM(BH134:BI134)</f>
        <v>20</v>
      </c>
      <c r="DD134" s="96">
        <f ca="1">K134+SUM(AB123:AD134)+SUM(BL134:BN134)</f>
        <v>20</v>
      </c>
      <c r="DE134" s="45">
        <f ca="1">L134+SUM(AE123:AE134)+BO134</f>
        <v>20</v>
      </c>
      <c r="DF134" s="96">
        <f ca="1">M134+SUM(AG123:AG134)+BQ134</f>
        <v>20</v>
      </c>
      <c r="DG134" s="96"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7">
        <f>TblRezone[[#This Row],[Hour]]</f>
        <v>132</v>
      </c>
      <c r="B135" s="178">
        <f ca="1">SUM(TblConstr[[#This Row],[Plain]:[Water]])</f>
        <v>160</v>
      </c>
      <c r="C135" s="179">
        <f ca="1">SUM(TblConstr[[#This Row],[Tot Hom]:[Tot Doc]])</f>
        <v>90</v>
      </c>
      <c r="D135" s="179">
        <f>SUM(O124:AG135)</f>
        <v>0</v>
      </c>
      <c r="E135" s="180"/>
      <c r="F135" s="61">
        <f ca="1">TblConstr[[#This Row],[Barren]]+TblConstr[[#This Row],[Buildings]]+TblConstr[[#This Row],[Incoming]]</f>
        <v>250</v>
      </c>
      <c r="G135" s="189">
        <f ca="1">OFFSET(TblConstr[[#This Row],[Plain]],-1,0)+TblConstr[[#This Row],[Ch_Plain]]</f>
        <v>40</v>
      </c>
      <c r="H135" s="184">
        <f ca="1">OFFSET(TblConstr[[#This Row],[Forest]],-1,0)+TblConstr[[#This Row],[Ch_Forest]]</f>
        <v>20</v>
      </c>
      <c r="I135" s="384">
        <f ca="1">OFFSET(TblConstr[[#This Row],[Mountain]],-1,0)+TblConstr[[#This Row],[Ch_Mountain]]</f>
        <v>20</v>
      </c>
      <c r="J135" s="388">
        <f ca="1">OFFSET(TblConstr[[#This Row],[Hill]],-1,0)+TblConstr[[#This Row],[Ch_Hill]]</f>
        <v>20</v>
      </c>
      <c r="K135" s="392">
        <f ca="1">OFFSET(TblConstr[[#This Row],[Swamp]],-1,0)+TblConstr[[#This Row],[Ch_Swamp]]</f>
        <v>20</v>
      </c>
      <c r="L135" s="187">
        <f ca="1">OFFSET(TblConstr[[#This Row],[Cavern]],-1,0)+TblConstr[[#This Row],[Ch_Cavern]]</f>
        <v>20</v>
      </c>
      <c r="M135" s="188">
        <f ca="1">OFFSET(TblConstr[[#This Row],[Water]],-1,0)+TblConstr[[#This Row],[Ch_Water]]</f>
        <v>20</v>
      </c>
      <c r="N135" s="382">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45737.458333333016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839544</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6">
        <f ca="1">ROUNDDOWN( MAX(1 - MIN(facs_constr_factor*TblConstr[[#This Row],[Facs -DB]],facs_constr_max) + tech_1_11*TblTech[[#This Row],[11-1]] + tech_6_3_2*TblTech[[#This Row],[6-3]] + tech_5_2_3*TblTech[[#This Row],[5-2]], 1-global_constr_cap) * TblConstr[[#This Row],[RCPA Lumber]],0)</f>
        <v>88</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6">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ROUND((TblConstr[[#This Row],[Land]]-250 - IF(TblExplore[[#This Row],[Land Bonus]]&lt;&gt;0,20,0))*1.25 + 850 + 0,0)</f>
        <v>850</v>
      </c>
      <c r="AW135" s="96">
        <f ca="1">ROUND((TblConstr[[#This Row],[Land]]-250 - IF(TblExplore[[#This Row],[Land Bonus]]&lt;&gt;0,20,0))*0.285 + 87.5 + 0/4.25,0)</f>
        <v>88</v>
      </c>
      <c r="AX135" s="156"/>
      <c r="AY135" s="190" cm="1">
        <f t="array" aca="1" ref="AY135" ca="1">IF(TblConstr[[#This Row],[Hour]:[Hour]]&gt;12,OFFSET(TblConstr[[#This Row],[Hom]],-12,0),0)+OFFSET(TblConstr[[#This Row],[Tot Hom]],-1,0)-TblConstr[[#This Row],[Dest Hom]]</f>
        <v>10</v>
      </c>
      <c r="AZ135" s="191" cm="1">
        <f t="array" aca="1" ref="AZ135" ca="1">IF(TblConstr[[#This Row],[Hour]:[Hour]]&gt;12,OFFSET(TblConstr[[#This Row],[Alc]],-12,0),0)+OFFSET(TblConstr[[#This Row],[Tot Alc]],-1,0)-TblConstr[[#This Row],[Dest Alc]]</f>
        <v>30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86" cm="1">
        <f t="array" aca="1" ref="BF135" ca="1">IF(TblConstr[[#This Row],[Hour]:[Hour]]&gt;12,OFFSET(TblConstr[[#This Row],[OM]],-12,0),0)+OFFSET(TblConstr[[#This Row],[Tot OM]],-1,0)-TblConstr[[#This Row],[Dest OM]]</f>
        <v>0</v>
      </c>
      <c r="BG135" s="386" cm="1">
        <f t="array" aca="1" ref="BG135" ca="1">IF(TblConstr[[#This Row],[Hour]:[Hour]]&gt;12,OFFSET(TblConstr[[#This Row],[GN]],-12,0),0)+OFFSET(TblConstr[[#This Row],[Tot GN]],-1,0)-TblConstr[[#This Row],[Dest GN]]</f>
        <v>0</v>
      </c>
      <c r="BH135" s="390" cm="1">
        <f t="array" aca="1" ref="BH135" ca="1">IF(TblConstr[[#This Row],[Hour]:[Hour]]&gt;12,OFFSET(TblConstr[[#This Row],[Fac]],-12,0),0)+OFFSET(TblConstr[[#This Row],[Tot Fac]],-1,0)-TblConstr[[#This Row],[Dest Fac]]</f>
        <v>0</v>
      </c>
      <c r="BI135" s="390" cm="1">
        <f t="array" aca="1" ref="BI135" ca="1">IF(TblConstr[[#This Row],[Hour]:[Hour]]&gt;12,OFFSET(TblConstr[[#This Row],[GT]],-12,0),0)+OFFSET(TblConstr[[#This Row],[Tot GT]],-1,0)-TblConstr[[#This Row],[Dest GT]]</f>
        <v>0</v>
      </c>
      <c r="BJ135" s="390" cm="1">
        <f t="array" aca="1" ref="BJ135" ca="1">IF(TblConstr[[#This Row],[Hour]:[Hour]]&gt;12,OFFSET(TblConstr[[#This Row],[Bar]],-12,0),0)+OFFSET(TblConstr[[#This Row],[Tot Bar]],-1,0)-TblConstr[[#This Row],[Dest Bar]]</f>
        <v>0</v>
      </c>
      <c r="BK135" s="390" cm="1">
        <f t="array" aca="1" ref="BK135" ca="1">IF(TblConstr[[#This Row],[Hour]:[Hour]]&gt;12,OFFSET(TblConstr[[#This Row],[Shr]],-12,0),0)+OFFSET(TblConstr[[#This Row],[Tot Shr]],-1,0)-TblConstr[[#This Row],[Dest Shr]]</f>
        <v>0</v>
      </c>
      <c r="BL135" s="394" cm="1">
        <f t="array" aca="1" ref="BL135" ca="1">IF(TblConstr[[#This Row],[Hour]:[Hour]]&gt;12,OFFSET(TblConstr[[#This Row],[Tow]],-12,0),0)+OFFSET(TblConstr[[#This Row],[Tot Tow]],-1,0)-TblConstr[[#This Row],[Dest Tow]]</f>
        <v>0</v>
      </c>
      <c r="BM135" s="394" cm="1">
        <f t="array" aca="1" ref="BM135" ca="1">IF(TblConstr[[#This Row],[Hour]:[Hour]]&gt;12,OFFSET(TblConstr[[#This Row],[Tem]],-12,0),0)+OFFSET(TblConstr[[#This Row],[Tot Tem]],-1,0)-TblConstr[[#This Row],[Dest Tem]]</f>
        <v>0</v>
      </c>
      <c r="BN135" s="394"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250</v>
      </c>
      <c r="BU135" s="161">
        <f ca="1">TblImps[[#This Row],[Time]]</f>
        <v>45737.458333333016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84">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100</v>
      </c>
      <c r="DA135" s="96">
        <f ca="1">H135+SUM(T124:U135)+SUM(BD135:BE135)</f>
        <v>40</v>
      </c>
      <c r="DB135" s="45">
        <f ca="1">I135+SUM(V124:W135)+SUM(BF135:BG135)</f>
        <v>20</v>
      </c>
      <c r="DC135" s="96">
        <f ca="1">J135+SUM(X124:Y135)+SUM(BH135:BI135)</f>
        <v>20</v>
      </c>
      <c r="DD135" s="96">
        <f ca="1">K135+SUM(AB124:AD135)+SUM(BL135:BN135)</f>
        <v>20</v>
      </c>
      <c r="DE135" s="45">
        <f ca="1">L135+SUM(AE124:AE135)+BO135</f>
        <v>20</v>
      </c>
      <c r="DF135" s="96">
        <f ca="1">M135+SUM(AG124:AG135)+BQ135</f>
        <v>20</v>
      </c>
      <c r="DG135" s="96"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7">
        <f>TblRezone[[#This Row],[Hour]]</f>
        <v>133</v>
      </c>
      <c r="B136" s="178">
        <f ca="1">SUM(TblConstr[[#This Row],[Plain]:[Water]])</f>
        <v>160</v>
      </c>
      <c r="C136" s="179">
        <f ca="1">SUM(TblConstr[[#This Row],[Tot Hom]:[Tot Doc]])</f>
        <v>90</v>
      </c>
      <c r="D136" s="179">
        <f>SUM(O125:AG136)</f>
        <v>0</v>
      </c>
      <c r="E136" s="180"/>
      <c r="F136" s="61">
        <f ca="1">TblConstr[[#This Row],[Barren]]+TblConstr[[#This Row],[Buildings]]+TblConstr[[#This Row],[Incoming]]</f>
        <v>250</v>
      </c>
      <c r="G136" s="189">
        <f ca="1">OFFSET(TblConstr[[#This Row],[Plain]],-1,0)+TblConstr[[#This Row],[Ch_Plain]]</f>
        <v>40</v>
      </c>
      <c r="H136" s="184">
        <f ca="1">OFFSET(TblConstr[[#This Row],[Forest]],-1,0)+TblConstr[[#This Row],[Ch_Forest]]</f>
        <v>20</v>
      </c>
      <c r="I136" s="384">
        <f ca="1">OFFSET(TblConstr[[#This Row],[Mountain]],-1,0)+TblConstr[[#This Row],[Ch_Mountain]]</f>
        <v>20</v>
      </c>
      <c r="J136" s="388">
        <f ca="1">OFFSET(TblConstr[[#This Row],[Hill]],-1,0)+TblConstr[[#This Row],[Ch_Hill]]</f>
        <v>20</v>
      </c>
      <c r="K136" s="392">
        <f ca="1">OFFSET(TblConstr[[#This Row],[Swamp]],-1,0)+TblConstr[[#This Row],[Ch_Swamp]]</f>
        <v>20</v>
      </c>
      <c r="L136" s="187">
        <f ca="1">OFFSET(TblConstr[[#This Row],[Cavern]],-1,0)+TblConstr[[#This Row],[Ch_Cavern]]</f>
        <v>20</v>
      </c>
      <c r="M136" s="188">
        <f ca="1">OFFSET(TblConstr[[#This Row],[Water]],-1,0)+TblConstr[[#This Row],[Ch_Water]]</f>
        <v>20</v>
      </c>
      <c r="N136" s="382">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45737.49999999968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845030</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6">
        <f ca="1">ROUNDDOWN( MAX(1 - MIN(facs_constr_factor*TblConstr[[#This Row],[Facs -DB]],facs_constr_max) + tech_1_11*TblTech[[#This Row],[11-1]] + tech_6_3_2*TblTech[[#This Row],[6-3]] + tech_5_2_3*TblTech[[#This Row],[5-2]], 1-global_constr_cap) * TblConstr[[#This Row],[RCPA Lumber]],0)</f>
        <v>88</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6">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ROUND((TblConstr[[#This Row],[Land]]-250 - IF(TblExplore[[#This Row],[Land Bonus]]&lt;&gt;0,20,0))*1.25 + 850 + 0,0)</f>
        <v>850</v>
      </c>
      <c r="AW136" s="96">
        <f ca="1">ROUND((TblConstr[[#This Row],[Land]]-250 - IF(TblExplore[[#This Row],[Land Bonus]]&lt;&gt;0,20,0))*0.285 + 87.5 + 0/4.25,0)</f>
        <v>88</v>
      </c>
      <c r="AX136" s="156"/>
      <c r="AY136" s="190" cm="1">
        <f t="array" aca="1" ref="AY136" ca="1">IF(TblConstr[[#This Row],[Hour]:[Hour]]&gt;12,OFFSET(TblConstr[[#This Row],[Hom]],-12,0),0)+OFFSET(TblConstr[[#This Row],[Tot Hom]],-1,0)-TblConstr[[#This Row],[Dest Hom]]</f>
        <v>10</v>
      </c>
      <c r="AZ136" s="191" cm="1">
        <f t="array" aca="1" ref="AZ136" ca="1">IF(TblConstr[[#This Row],[Hour]:[Hour]]&gt;12,OFFSET(TblConstr[[#This Row],[Alc]],-12,0),0)+OFFSET(TblConstr[[#This Row],[Tot Alc]],-1,0)-TblConstr[[#This Row],[Dest Alc]]</f>
        <v>30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86" cm="1">
        <f t="array" aca="1" ref="BF136" ca="1">IF(TblConstr[[#This Row],[Hour]:[Hour]]&gt;12,OFFSET(TblConstr[[#This Row],[OM]],-12,0),0)+OFFSET(TblConstr[[#This Row],[Tot OM]],-1,0)-TblConstr[[#This Row],[Dest OM]]</f>
        <v>0</v>
      </c>
      <c r="BG136" s="386" cm="1">
        <f t="array" aca="1" ref="BG136" ca="1">IF(TblConstr[[#This Row],[Hour]:[Hour]]&gt;12,OFFSET(TblConstr[[#This Row],[GN]],-12,0),0)+OFFSET(TblConstr[[#This Row],[Tot GN]],-1,0)-TblConstr[[#This Row],[Dest GN]]</f>
        <v>0</v>
      </c>
      <c r="BH136" s="390" cm="1">
        <f t="array" aca="1" ref="BH136" ca="1">IF(TblConstr[[#This Row],[Hour]:[Hour]]&gt;12,OFFSET(TblConstr[[#This Row],[Fac]],-12,0),0)+OFFSET(TblConstr[[#This Row],[Tot Fac]],-1,0)-TblConstr[[#This Row],[Dest Fac]]</f>
        <v>0</v>
      </c>
      <c r="BI136" s="390" cm="1">
        <f t="array" aca="1" ref="BI136" ca="1">IF(TblConstr[[#This Row],[Hour]:[Hour]]&gt;12,OFFSET(TblConstr[[#This Row],[GT]],-12,0),0)+OFFSET(TblConstr[[#This Row],[Tot GT]],-1,0)-TblConstr[[#This Row],[Dest GT]]</f>
        <v>0</v>
      </c>
      <c r="BJ136" s="390" cm="1">
        <f t="array" aca="1" ref="BJ136" ca="1">IF(TblConstr[[#This Row],[Hour]:[Hour]]&gt;12,OFFSET(TblConstr[[#This Row],[Bar]],-12,0),0)+OFFSET(TblConstr[[#This Row],[Tot Bar]],-1,0)-TblConstr[[#This Row],[Dest Bar]]</f>
        <v>0</v>
      </c>
      <c r="BK136" s="390" cm="1">
        <f t="array" aca="1" ref="BK136" ca="1">IF(TblConstr[[#This Row],[Hour]:[Hour]]&gt;12,OFFSET(TblConstr[[#This Row],[Shr]],-12,0),0)+OFFSET(TblConstr[[#This Row],[Tot Shr]],-1,0)-TblConstr[[#This Row],[Dest Shr]]</f>
        <v>0</v>
      </c>
      <c r="BL136" s="394" cm="1">
        <f t="array" aca="1" ref="BL136" ca="1">IF(TblConstr[[#This Row],[Hour]:[Hour]]&gt;12,OFFSET(TblConstr[[#This Row],[Tow]],-12,0),0)+OFFSET(TblConstr[[#This Row],[Tot Tow]],-1,0)-TblConstr[[#This Row],[Dest Tow]]</f>
        <v>0</v>
      </c>
      <c r="BM136" s="394" cm="1">
        <f t="array" aca="1" ref="BM136" ca="1">IF(TblConstr[[#This Row],[Hour]:[Hour]]&gt;12,OFFSET(TblConstr[[#This Row],[Tem]],-12,0),0)+OFFSET(TblConstr[[#This Row],[Tot Tem]],-1,0)-TblConstr[[#This Row],[Dest Tem]]</f>
        <v>0</v>
      </c>
      <c r="BN136" s="394"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250</v>
      </c>
      <c r="BU136" s="161">
        <f ca="1">TblImps[[#This Row],[Time]]</f>
        <v>45737.49999999968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84">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100</v>
      </c>
      <c r="DA136" s="96">
        <f ca="1">H136+SUM(T125:U136)+SUM(BD136:BE136)</f>
        <v>40</v>
      </c>
      <c r="DB136" s="45">
        <f ca="1">I136+SUM(V125:W136)+SUM(BF136:BG136)</f>
        <v>20</v>
      </c>
      <c r="DC136" s="96">
        <f ca="1">J136+SUM(X125:Y136)+SUM(BH136:BI136)</f>
        <v>20</v>
      </c>
      <c r="DD136" s="96">
        <f ca="1">K136+SUM(AB125:AD136)+SUM(BL136:BN136)</f>
        <v>20</v>
      </c>
      <c r="DE136" s="45">
        <f ca="1">L136+SUM(AE125:AE136)+BO136</f>
        <v>20</v>
      </c>
      <c r="DF136" s="96">
        <f ca="1">M136+SUM(AG125:AG136)+BQ136</f>
        <v>20</v>
      </c>
      <c r="DG136" s="96"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500" t="s">
        <v>314</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$A4=73</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$A36=73</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$A36=73</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8"/>
      <c r="L1" s="504" t="s">
        <v>299</v>
      </c>
      <c r="M1" s="453"/>
      <c r="N1" s="453"/>
      <c r="O1" s="453"/>
      <c r="P1" s="453"/>
      <c r="Q1" s="453"/>
      <c r="R1" s="28"/>
      <c r="S1" s="5" t="s">
        <v>353</v>
      </c>
      <c r="T1" s="5" t="s">
        <v>175</v>
      </c>
      <c r="AB1" s="503" t="s">
        <v>77</v>
      </c>
      <c r="AC1" s="503"/>
      <c r="AF1" s="5" t="s">
        <v>33</v>
      </c>
    </row>
    <row r="2" spans="1:36" s="5" customFormat="1" x14ac:dyDescent="0.2">
      <c r="A2" s="28"/>
      <c r="B2" s="28"/>
      <c r="K2" s="218"/>
      <c r="L2" s="219"/>
      <c r="M2" s="220"/>
      <c r="N2" s="45"/>
      <c r="O2" s="45"/>
      <c r="P2" s="45"/>
      <c r="Q2" s="57"/>
      <c r="R2" s="28"/>
    </row>
    <row r="3" spans="1:36" s="137" customFormat="1" ht="15" customHeight="1" x14ac:dyDescent="0.2">
      <c r="A3" s="137" t="s">
        <v>0</v>
      </c>
      <c r="B3" s="137" t="s">
        <v>1</v>
      </c>
      <c r="C3" s="137" t="s">
        <v>769</v>
      </c>
      <c r="D3" s="137" t="s">
        <v>55</v>
      </c>
      <c r="E3" s="137" t="s">
        <v>58</v>
      </c>
      <c r="F3" s="137" t="s">
        <v>1020</v>
      </c>
      <c r="G3" s="137" t="s">
        <v>59</v>
      </c>
      <c r="H3" s="137" t="s">
        <v>60</v>
      </c>
      <c r="I3" s="137" t="s">
        <v>61</v>
      </c>
      <c r="J3" s="137" t="s">
        <v>62</v>
      </c>
      <c r="K3" s="221" t="s">
        <v>873</v>
      </c>
      <c r="L3" s="221" t="s">
        <v>874</v>
      </c>
      <c r="M3" s="221" t="s">
        <v>875</v>
      </c>
      <c r="N3" s="222" t="s">
        <v>183</v>
      </c>
      <c r="O3" s="222" t="s">
        <v>363</v>
      </c>
      <c r="P3" s="222" t="s">
        <v>362</v>
      </c>
      <c r="Q3" s="137" t="s">
        <v>877</v>
      </c>
      <c r="R3" s="137" t="s">
        <v>850</v>
      </c>
      <c r="S3" s="137" t="s">
        <v>878</v>
      </c>
      <c r="T3" s="137" t="s">
        <v>1013</v>
      </c>
      <c r="U3" s="137" t="s">
        <v>1014</v>
      </c>
      <c r="V3" s="137" t="s">
        <v>1015</v>
      </c>
      <c r="W3" s="137" t="s">
        <v>1016</v>
      </c>
      <c r="X3" s="137" t="s">
        <v>1017</v>
      </c>
      <c r="Y3" s="137" t="s">
        <v>1018</v>
      </c>
      <c r="Z3" s="137" t="s">
        <v>1019</v>
      </c>
      <c r="AA3" s="137" t="s">
        <v>309</v>
      </c>
      <c r="AB3" s="137" t="s">
        <v>24</v>
      </c>
      <c r="AC3" s="137" t="s">
        <v>2</v>
      </c>
      <c r="AD3" s="137" t="s">
        <v>770</v>
      </c>
      <c r="AE3" s="137" t="s">
        <v>508</v>
      </c>
      <c r="AF3" s="137" t="s">
        <v>57</v>
      </c>
      <c r="AG3" s="137" t="s">
        <v>177</v>
      </c>
      <c r="AH3" s="137" t="s">
        <v>876</v>
      </c>
      <c r="AI3" s="137" t="s">
        <v>863</v>
      </c>
      <c r="AJ3" s="223" t="s">
        <v>757</v>
      </c>
    </row>
    <row r="4" spans="1:36" x14ac:dyDescent="0.2">
      <c r="A4" s="177">
        <f>TblRezone[[#This Row],[Hour]]</f>
        <v>1</v>
      </c>
      <c r="B4" s="224">
        <f ca="1">TblConstr[[#This Row],[Land]]</f>
        <v>250</v>
      </c>
      <c r="C4" s="225"/>
      <c r="D4" s="226">
        <f ca="1">TblConstr[[#This Row],[Plain]]</f>
        <v>40</v>
      </c>
      <c r="E4" s="184">
        <f ca="1">TblConstr[[#This Row],[Forest]]</f>
        <v>20</v>
      </c>
      <c r="F4" s="384">
        <f ca="1">TblConstr[[#This Row],[Mountain]]</f>
        <v>20</v>
      </c>
      <c r="G4" s="388">
        <f ca="1">TblConstr[[#This Row],[Hill]]</f>
        <v>20</v>
      </c>
      <c r="H4" s="392">
        <f ca="1">TblConstr[[#This Row],[Swamp]]</f>
        <v>20</v>
      </c>
      <c r="I4" s="187">
        <f ca="1">TblConstr[[#This Row],[Cavern]]</f>
        <v>20</v>
      </c>
      <c r="J4" s="188">
        <f ca="1">TblConstr[[#This Row],[Water]]</f>
        <v>20</v>
      </c>
      <c r="K4" s="220"/>
      <c r="L4" s="220"/>
      <c r="M4" s="220"/>
      <c r="N4" s="227">
        <f ca="1">TblMili[[#This Row],[Smithies]]</f>
        <v>0</v>
      </c>
      <c r="O4" s="227">
        <f ca="1">TblPop[[#This Row],[Employment]]</f>
        <v>1</v>
      </c>
      <c r="P4" s="227">
        <f ca="1">TblImps[[#This Row],[Population]]</f>
        <v>0.67854113655640369</v>
      </c>
      <c r="Q4" s="177">
        <f ca="1">TblExplore[[#This Row],[Land]]</f>
        <v>250</v>
      </c>
      <c r="R4" s="177">
        <f>TblExplore[[#This Row],[Hour]]</f>
        <v>1</v>
      </c>
      <c r="S4" s="228"/>
      <c r="T4" s="181"/>
      <c r="U4" s="181"/>
      <c r="V4" s="181"/>
      <c r="W4" s="181"/>
      <c r="X4" s="181"/>
      <c r="Y4" s="181"/>
      <c r="Z4" s="181"/>
      <c r="AA4" s="161">
        <f>TblImps[[#This Row],[Real time]]</f>
        <v>45732</v>
      </c>
      <c r="AB4" s="96">
        <f ca="1">TblMili[[#This Row],[Draftees]]</f>
        <v>100</v>
      </c>
      <c r="AC4" s="96">
        <f ca="1">TblProd[[#This Row],[Platinum]]</f>
        <v>120000</v>
      </c>
      <c r="AD4" s="225"/>
      <c r="AE4" s="45">
        <f ca="1">TblExplore[[#This Row],[Land]]-TblExplore[[#This Row],[Land Bonus]]*20</f>
        <v>250</v>
      </c>
      <c r="AF4" s="96">
        <f ca="1">ROUND(MAX(0.6*TblExplore[[#This Row],[Land-DB]]^1.299,850)*(1+ tech_2_6*Techs!AC4 + tech_2_9*Techs!AF4 + tech_3_7*Techs!AN4 + Overview!$I$32),0)</f>
        <v>850</v>
      </c>
      <c r="AG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7">
        <f>TblRezone[[#This Row],[Hour]]</f>
        <v>2</v>
      </c>
      <c r="B5" s="224">
        <f ca="1">TblConstr[[#This Row],[Land]]</f>
        <v>250</v>
      </c>
      <c r="C5" s="225"/>
      <c r="D5" s="226">
        <f ca="1">TblConstr[[#This Row],[Plain]]</f>
        <v>40</v>
      </c>
      <c r="E5" s="184">
        <f ca="1">TblConstr[[#This Row],[Forest]]</f>
        <v>20</v>
      </c>
      <c r="F5" s="384">
        <f ca="1">TblConstr[[#This Row],[Mountain]]</f>
        <v>20</v>
      </c>
      <c r="G5" s="388">
        <f ca="1">TblConstr[[#This Row],[Hill]]</f>
        <v>20</v>
      </c>
      <c r="H5" s="392">
        <f ca="1">TblConstr[[#This Row],[Swamp]]</f>
        <v>20</v>
      </c>
      <c r="I5" s="187">
        <f ca="1">TblConstr[[#This Row],[Cavern]]</f>
        <v>20</v>
      </c>
      <c r="J5" s="188">
        <f ca="1">TblConstr[[#This Row],[Water]]</f>
        <v>20</v>
      </c>
      <c r="K5" s="220"/>
      <c r="L5" s="220"/>
      <c r="M5" s="220"/>
      <c r="N5" s="227">
        <f ca="1">TblMili[[#This Row],[Smithies]]</f>
        <v>0</v>
      </c>
      <c r="O5" s="227">
        <f ca="1">TblPop[[#This Row],[Employment]]</f>
        <v>1</v>
      </c>
      <c r="P5" s="227">
        <f ca="1">TblImps[[#This Row],[Population]]</f>
        <v>0.69508057675996604</v>
      </c>
      <c r="Q5" s="177">
        <f ca="1">TblExplore[[#This Row],[Land]]</f>
        <v>250</v>
      </c>
      <c r="R5" s="177">
        <f>TblExplore[[#This Row],[Hour]]</f>
        <v>2</v>
      </c>
      <c r="S5" s="228"/>
      <c r="T5" s="181"/>
      <c r="U5" s="181"/>
      <c r="V5" s="181"/>
      <c r="W5" s="181"/>
      <c r="X5" s="181"/>
      <c r="Y5" s="181"/>
      <c r="Z5" s="181"/>
      <c r="AA5" s="161">
        <f ca="1">TblImps[[#This Row],[Real time]]</f>
        <v>45732.041666666664</v>
      </c>
      <c r="AB5" s="96">
        <f ca="1">TblMili[[#This Row],[Draftees]]</f>
        <v>113</v>
      </c>
      <c r="AC5" s="96">
        <f ca="1">TblProd[[#This Row],[Platinum]]</f>
        <v>124860</v>
      </c>
      <c r="AD5" s="225"/>
      <c r="AE5" s="45">
        <f ca="1">TblExplore[[#This Row],[Land]]-TblExplore[[#This Row],[Land Bonus]]*20</f>
        <v>250</v>
      </c>
      <c r="AF5" s="96">
        <f ca="1">ROUND(MAX(0.6*TblExplore[[#This Row],[Land-DB]]^1.299,850)*(1+ tech_2_6*Techs!AC5 + tech_2_9*Techs!AF5 + tech_3_7*Techs!AN5 + Overview!$I$32),0)</f>
        <v>850</v>
      </c>
      <c r="AG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7">
        <f>TblRezone[[#This Row],[Hour]]</f>
        <v>3</v>
      </c>
      <c r="B6" s="224">
        <f ca="1">TblConstr[[#This Row],[Land]]</f>
        <v>250</v>
      </c>
      <c r="C6" s="225"/>
      <c r="D6" s="226">
        <f ca="1">TblConstr[[#This Row],[Plain]]</f>
        <v>40</v>
      </c>
      <c r="E6" s="184">
        <f ca="1">TblConstr[[#This Row],[Forest]]</f>
        <v>20</v>
      </c>
      <c r="F6" s="384">
        <f ca="1">TblConstr[[#This Row],[Mountain]]</f>
        <v>20</v>
      </c>
      <c r="G6" s="388">
        <f ca="1">TblConstr[[#This Row],[Hill]]</f>
        <v>20</v>
      </c>
      <c r="H6" s="392">
        <f ca="1">TblConstr[[#This Row],[Swamp]]</f>
        <v>20</v>
      </c>
      <c r="I6" s="187">
        <f ca="1">TblConstr[[#This Row],[Cavern]]</f>
        <v>20</v>
      </c>
      <c r="J6" s="188">
        <f ca="1">TblConstr[[#This Row],[Water]]</f>
        <v>20</v>
      </c>
      <c r="K6" s="220"/>
      <c r="L6" s="220"/>
      <c r="M6" s="220"/>
      <c r="N6" s="227">
        <f ca="1">TblMili[[#This Row],[Smithies]]</f>
        <v>0</v>
      </c>
      <c r="O6" s="227">
        <f ca="1">TblPop[[#This Row],[Employment]]</f>
        <v>1</v>
      </c>
      <c r="P6" s="227">
        <f ca="1">TblImps[[#This Row],[Population]]</f>
        <v>0.71162001696352839</v>
      </c>
      <c r="Q6" s="177">
        <f ca="1">TblExplore[[#This Row],[Land]]</f>
        <v>250</v>
      </c>
      <c r="R6" s="177">
        <f>TblExplore[[#This Row],[Hour]]</f>
        <v>3</v>
      </c>
      <c r="S6" s="228"/>
      <c r="T6" s="181"/>
      <c r="U6" s="181"/>
      <c r="V6" s="181"/>
      <c r="W6" s="181"/>
      <c r="X6" s="181"/>
      <c r="Y6" s="181"/>
      <c r="Z6" s="181"/>
      <c r="AA6" s="161">
        <f ca="1">TblImps[[#This Row],[Real time]]</f>
        <v>45732.083333333328</v>
      </c>
      <c r="AB6" s="96">
        <f ca="1">TblMili[[#This Row],[Draftees]]</f>
        <v>126</v>
      </c>
      <c r="AC6" s="96">
        <f ca="1">TblProd[[#This Row],[Platinum]]</f>
        <v>129790</v>
      </c>
      <c r="AD6" s="225"/>
      <c r="AE6" s="45">
        <f ca="1">TblExplore[[#This Row],[Land]]-TblExplore[[#This Row],[Land Bonus]]*20</f>
        <v>250</v>
      </c>
      <c r="AF6" s="96">
        <f ca="1">ROUND(MAX(0.6*TblExplore[[#This Row],[Land-DB]]^1.299,850)*(1+ tech_2_6*Techs!AC6 + tech_2_9*Techs!AF6 + tech_3_7*Techs!AN6 + Overview!$I$32),0)</f>
        <v>850</v>
      </c>
      <c r="AG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7">
        <f>TblRezone[[#This Row],[Hour]]</f>
        <v>4</v>
      </c>
      <c r="B7" s="224">
        <f ca="1">TblConstr[[#This Row],[Land]]</f>
        <v>250</v>
      </c>
      <c r="C7" s="225"/>
      <c r="D7" s="226">
        <f ca="1">TblConstr[[#This Row],[Plain]]</f>
        <v>40</v>
      </c>
      <c r="E7" s="184">
        <f ca="1">TblConstr[[#This Row],[Forest]]</f>
        <v>20</v>
      </c>
      <c r="F7" s="384">
        <f ca="1">TblConstr[[#This Row],[Mountain]]</f>
        <v>20</v>
      </c>
      <c r="G7" s="388">
        <f ca="1">TblConstr[[#This Row],[Hill]]</f>
        <v>20</v>
      </c>
      <c r="H7" s="392">
        <f ca="1">TblConstr[[#This Row],[Swamp]]</f>
        <v>20</v>
      </c>
      <c r="I7" s="187">
        <f ca="1">TblConstr[[#This Row],[Cavern]]</f>
        <v>20</v>
      </c>
      <c r="J7" s="188">
        <f ca="1">TblConstr[[#This Row],[Water]]</f>
        <v>20</v>
      </c>
      <c r="K7" s="220"/>
      <c r="L7" s="220"/>
      <c r="M7" s="220"/>
      <c r="N7" s="227">
        <f ca="1">TblMili[[#This Row],[Smithies]]</f>
        <v>0</v>
      </c>
      <c r="O7" s="227">
        <f ca="1">TblPop[[#This Row],[Employment]]</f>
        <v>1</v>
      </c>
      <c r="P7" s="227">
        <f ca="1">TblImps[[#This Row],[Population]]</f>
        <v>0.72858354537743852</v>
      </c>
      <c r="Q7" s="177">
        <f ca="1">TblExplore[[#This Row],[Land]]</f>
        <v>250</v>
      </c>
      <c r="R7" s="177">
        <f>TblExplore[[#This Row],[Hour]]</f>
        <v>4</v>
      </c>
      <c r="S7" s="228"/>
      <c r="T7" s="160"/>
      <c r="U7" s="181"/>
      <c r="V7" s="181"/>
      <c r="W7" s="181"/>
      <c r="X7" s="181"/>
      <c r="Y7" s="181"/>
      <c r="Z7" s="181"/>
      <c r="AA7" s="161">
        <f ca="1">TblImps[[#This Row],[Real time]]</f>
        <v>45732.124999999993</v>
      </c>
      <c r="AB7" s="96">
        <f ca="1">TblMili[[#This Row],[Draftees]]</f>
        <v>140</v>
      </c>
      <c r="AC7" s="96">
        <f ca="1">TblProd[[#This Row],[Platinum]]</f>
        <v>134790</v>
      </c>
      <c r="AD7" s="225"/>
      <c r="AE7" s="45">
        <f ca="1">TblExplore[[#This Row],[Land]]-TblExplore[[#This Row],[Land Bonus]]*20</f>
        <v>250</v>
      </c>
      <c r="AF7" s="96">
        <f ca="1">ROUND(MAX(0.6*TblExplore[[#This Row],[Land-DB]]^1.299,850)*(1+ tech_2_6*Techs!AC7 + tech_2_9*Techs!AF7 + tech_3_7*Techs!AN7 + Overview!$I$32),0)</f>
        <v>850</v>
      </c>
      <c r="AG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7">
        <f>TblRezone[[#This Row],[Hour]]</f>
        <v>5</v>
      </c>
      <c r="B8" s="224">
        <f ca="1">TblConstr[[#This Row],[Land]]</f>
        <v>250</v>
      </c>
      <c r="C8" s="225"/>
      <c r="D8" s="226">
        <f ca="1">TblConstr[[#This Row],[Plain]]</f>
        <v>40</v>
      </c>
      <c r="E8" s="184">
        <f ca="1">TblConstr[[#This Row],[Forest]]</f>
        <v>20</v>
      </c>
      <c r="F8" s="384">
        <f ca="1">TblConstr[[#This Row],[Mountain]]</f>
        <v>20</v>
      </c>
      <c r="G8" s="388">
        <f ca="1">TblConstr[[#This Row],[Hill]]</f>
        <v>20</v>
      </c>
      <c r="H8" s="392">
        <f ca="1">TblConstr[[#This Row],[Swamp]]</f>
        <v>20</v>
      </c>
      <c r="I8" s="187">
        <f ca="1">TblConstr[[#This Row],[Cavern]]</f>
        <v>20</v>
      </c>
      <c r="J8" s="188">
        <f ca="1">TblConstr[[#This Row],[Water]]</f>
        <v>20</v>
      </c>
      <c r="K8" s="220"/>
      <c r="L8" s="220"/>
      <c r="M8" s="220"/>
      <c r="N8" s="227">
        <f ca="1">TblMili[[#This Row],[Smithies]]</f>
        <v>0</v>
      </c>
      <c r="O8" s="227">
        <f ca="1">TblPop[[#This Row],[Employment]]</f>
        <v>1</v>
      </c>
      <c r="P8" s="227">
        <f ca="1">TblImps[[#This Row],[Population]]</f>
        <v>0.74597116200169633</v>
      </c>
      <c r="Q8" s="177">
        <f ca="1">TblExplore[[#This Row],[Land]]</f>
        <v>250</v>
      </c>
      <c r="R8" s="177">
        <f>TblExplore[[#This Row],[Hour]]</f>
        <v>5</v>
      </c>
      <c r="S8" s="228"/>
      <c r="T8" s="160"/>
      <c r="U8" s="181"/>
      <c r="V8" s="181"/>
      <c r="W8" s="181"/>
      <c r="X8" s="181"/>
      <c r="Y8" s="181"/>
      <c r="Z8" s="181"/>
      <c r="AA8" s="161">
        <f ca="1">TblImps[[#This Row],[Real time]]</f>
        <v>45732.166666666657</v>
      </c>
      <c r="AB8" s="96">
        <f ca="1">TblMili[[#This Row],[Draftees]]</f>
        <v>154</v>
      </c>
      <c r="AC8" s="96">
        <f ca="1">TblProd[[#This Row],[Platinum]]</f>
        <v>139860</v>
      </c>
      <c r="AD8" s="225"/>
      <c r="AE8" s="45">
        <f ca="1">TblExplore[[#This Row],[Land]]-TblExplore[[#This Row],[Land Bonus]]*20</f>
        <v>250</v>
      </c>
      <c r="AF8" s="96">
        <f ca="1">ROUND(MAX(0.6*TblExplore[[#This Row],[Land-DB]]^1.299,850)*(1+ tech_2_6*Techs!AC8 + tech_2_9*Techs!AF8 + tech_3_7*Techs!AN8 + Overview!$I$32),0)</f>
        <v>850</v>
      </c>
      <c r="AG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7">
        <f>TblRezone[[#This Row],[Hour]]</f>
        <v>6</v>
      </c>
      <c r="B9" s="224">
        <f ca="1">TblConstr[[#This Row],[Land]]</f>
        <v>250</v>
      </c>
      <c r="C9" s="225"/>
      <c r="D9" s="226">
        <f ca="1">TblConstr[[#This Row],[Plain]]</f>
        <v>40</v>
      </c>
      <c r="E9" s="184">
        <f ca="1">TblConstr[[#This Row],[Forest]]</f>
        <v>20</v>
      </c>
      <c r="F9" s="384">
        <f ca="1">TblConstr[[#This Row],[Mountain]]</f>
        <v>20</v>
      </c>
      <c r="G9" s="388">
        <f ca="1">TblConstr[[#This Row],[Hill]]</f>
        <v>20</v>
      </c>
      <c r="H9" s="392">
        <f ca="1">TblConstr[[#This Row],[Swamp]]</f>
        <v>20</v>
      </c>
      <c r="I9" s="187">
        <f ca="1">TblConstr[[#This Row],[Cavern]]</f>
        <v>20</v>
      </c>
      <c r="J9" s="188">
        <f ca="1">TblConstr[[#This Row],[Water]]</f>
        <v>20</v>
      </c>
      <c r="K9" s="220"/>
      <c r="L9" s="220"/>
      <c r="M9" s="220"/>
      <c r="N9" s="227">
        <f ca="1">TblMili[[#This Row],[Smithies]]</f>
        <v>0</v>
      </c>
      <c r="O9" s="227">
        <f ca="1">TblPop[[#This Row],[Employment]]</f>
        <v>1</v>
      </c>
      <c r="P9" s="227">
        <f ca="1">TblImps[[#This Row],[Population]]</f>
        <v>0.76378286683630192</v>
      </c>
      <c r="Q9" s="177">
        <f ca="1">TblExplore[[#This Row],[Land]]</f>
        <v>250</v>
      </c>
      <c r="R9" s="177">
        <f>TblExplore[[#This Row],[Hour]]</f>
        <v>6</v>
      </c>
      <c r="S9" s="228"/>
      <c r="T9" s="181"/>
      <c r="U9" s="181"/>
      <c r="V9" s="181"/>
      <c r="W9" s="181"/>
      <c r="X9" s="181"/>
      <c r="Y9" s="181"/>
      <c r="Z9" s="181"/>
      <c r="AA9" s="161">
        <f ca="1">TblImps[[#This Row],[Real time]]</f>
        <v>45732.208333333321</v>
      </c>
      <c r="AB9" s="96">
        <f ca="1">TblMili[[#This Row],[Draftees]]</f>
        <v>168</v>
      </c>
      <c r="AC9" s="96">
        <f ca="1">TblProd[[#This Row],[Platinum]]</f>
        <v>145003</v>
      </c>
      <c r="AD9" s="225"/>
      <c r="AE9" s="45">
        <f ca="1">TblExplore[[#This Row],[Land]]-TblExplore[[#This Row],[Land Bonus]]*20</f>
        <v>250</v>
      </c>
      <c r="AF9" s="96">
        <f ca="1">ROUND(MAX(0.6*TblExplore[[#This Row],[Land-DB]]^1.299,850)*(1+ tech_2_6*Techs!AC9 + tech_2_9*Techs!AF9 + tech_3_7*Techs!AN9 + Overview!$I$32),0)</f>
        <v>850</v>
      </c>
      <c r="AG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7">
        <f>TblRezone[[#This Row],[Hour]]</f>
        <v>7</v>
      </c>
      <c r="B10" s="224">
        <f ca="1">TblConstr[[#This Row],[Land]]</f>
        <v>250</v>
      </c>
      <c r="C10" s="225"/>
      <c r="D10" s="226">
        <f ca="1">TblConstr[[#This Row],[Plain]]</f>
        <v>40</v>
      </c>
      <c r="E10" s="184">
        <f ca="1">TblConstr[[#This Row],[Forest]]</f>
        <v>20</v>
      </c>
      <c r="F10" s="384">
        <f ca="1">TblConstr[[#This Row],[Mountain]]</f>
        <v>20</v>
      </c>
      <c r="G10" s="388">
        <f ca="1">TblConstr[[#This Row],[Hill]]</f>
        <v>20</v>
      </c>
      <c r="H10" s="392">
        <f ca="1">TblConstr[[#This Row],[Swamp]]</f>
        <v>20</v>
      </c>
      <c r="I10" s="187">
        <f ca="1">TblConstr[[#This Row],[Cavern]]</f>
        <v>20</v>
      </c>
      <c r="J10" s="188">
        <f ca="1">TblConstr[[#This Row],[Water]]</f>
        <v>20</v>
      </c>
      <c r="K10" s="220"/>
      <c r="L10" s="220"/>
      <c r="M10" s="220"/>
      <c r="N10" s="227">
        <f ca="1">TblMili[[#This Row],[Smithies]]</f>
        <v>0</v>
      </c>
      <c r="O10" s="227">
        <f ca="1">TblPop[[#This Row],[Employment]]</f>
        <v>1</v>
      </c>
      <c r="P10" s="227">
        <f ca="1">TblImps[[#This Row],[Population]]</f>
        <v>0.7820186598812553</v>
      </c>
      <c r="Q10" s="177">
        <f ca="1">TblExplore[[#This Row],[Land]]</f>
        <v>250</v>
      </c>
      <c r="R10" s="177">
        <f>TblExplore[[#This Row],[Hour]]</f>
        <v>7</v>
      </c>
      <c r="S10" s="228"/>
      <c r="T10" s="181"/>
      <c r="U10" s="181"/>
      <c r="V10" s="181"/>
      <c r="W10" s="181"/>
      <c r="X10" s="181"/>
      <c r="Y10" s="181"/>
      <c r="Z10" s="181"/>
      <c r="AA10" s="161">
        <f ca="1">TblImps[[#This Row],[Real time]]</f>
        <v>45732.249999999985</v>
      </c>
      <c r="AB10" s="96">
        <f ca="1">TblMili[[#This Row],[Draftees]]</f>
        <v>182</v>
      </c>
      <c r="AC10" s="96">
        <f ca="1">TblProd[[#This Row],[Platinum]]</f>
        <v>150222</v>
      </c>
      <c r="AD10" s="225"/>
      <c r="AE10" s="45">
        <f ca="1">TblExplore[[#This Row],[Land]]-TblExplore[[#This Row],[Land Bonus]]*20</f>
        <v>250</v>
      </c>
      <c r="AF10" s="96">
        <f ca="1">ROUND(MAX(0.6*TblExplore[[#This Row],[Land-DB]]^1.299,850)*(1+ tech_2_6*Techs!AC10 + tech_2_9*Techs!AF10 + tech_3_7*Techs!AN10 + Overview!$I$32),0)</f>
        <v>850</v>
      </c>
      <c r="AG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7">
        <f>TblRezone[[#This Row],[Hour]]</f>
        <v>8</v>
      </c>
      <c r="B11" s="224">
        <f ca="1">TblConstr[[#This Row],[Land]]</f>
        <v>250</v>
      </c>
      <c r="C11" s="225"/>
      <c r="D11" s="226">
        <f ca="1">TblConstr[[#This Row],[Plain]]</f>
        <v>40</v>
      </c>
      <c r="E11" s="184">
        <f ca="1">TblConstr[[#This Row],[Forest]]</f>
        <v>20</v>
      </c>
      <c r="F11" s="384">
        <f ca="1">TblConstr[[#This Row],[Mountain]]</f>
        <v>20</v>
      </c>
      <c r="G11" s="388">
        <f ca="1">TblConstr[[#This Row],[Hill]]</f>
        <v>20</v>
      </c>
      <c r="H11" s="392">
        <f ca="1">TblConstr[[#This Row],[Swamp]]</f>
        <v>20</v>
      </c>
      <c r="I11" s="187">
        <f ca="1">TblConstr[[#This Row],[Cavern]]</f>
        <v>20</v>
      </c>
      <c r="J11" s="188">
        <f ca="1">TblConstr[[#This Row],[Water]]</f>
        <v>20</v>
      </c>
      <c r="K11" s="220"/>
      <c r="L11" s="220"/>
      <c r="M11" s="220"/>
      <c r="N11" s="227">
        <f ca="1">TblMili[[#This Row],[Smithies]]</f>
        <v>0</v>
      </c>
      <c r="O11" s="227">
        <f ca="1">TblPop[[#This Row],[Employment]]</f>
        <v>1</v>
      </c>
      <c r="P11" s="227">
        <f ca="1">TblImps[[#This Row],[Population]]</f>
        <v>0.80025445292620867</v>
      </c>
      <c r="Q11" s="177">
        <f ca="1">TblExplore[[#This Row],[Land]]</f>
        <v>250</v>
      </c>
      <c r="R11" s="177">
        <f>TblExplore[[#This Row],[Hour]]</f>
        <v>8</v>
      </c>
      <c r="S11" s="228"/>
      <c r="T11" s="181"/>
      <c r="U11" s="181"/>
      <c r="V11" s="181"/>
      <c r="W11" s="181"/>
      <c r="X11" s="181"/>
      <c r="Y11" s="181"/>
      <c r="Z11" s="181"/>
      <c r="AA11" s="161">
        <f ca="1">TblImps[[#This Row],[Real time]]</f>
        <v>45732.29166666665</v>
      </c>
      <c r="AB11" s="96">
        <f ca="1">TblMili[[#This Row],[Draftees]]</f>
        <v>197</v>
      </c>
      <c r="AC11" s="96">
        <f ca="1">TblProd[[#This Row],[Platinum]]</f>
        <v>155519</v>
      </c>
      <c r="AD11" s="225"/>
      <c r="AE11" s="45">
        <f ca="1">TblExplore[[#This Row],[Land]]-TblExplore[[#This Row],[Land Bonus]]*20</f>
        <v>250</v>
      </c>
      <c r="AF11" s="96">
        <f ca="1">ROUND(MAX(0.6*TblExplore[[#This Row],[Land-DB]]^1.299,850)*(1+ tech_2_6*Techs!AC11 + tech_2_9*Techs!AF11 + tech_3_7*Techs!AN11 + Overview!$I$32),0)</f>
        <v>850</v>
      </c>
      <c r="AG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7">
        <f>TblRezone[[#This Row],[Hour]]</f>
        <v>9</v>
      </c>
      <c r="B12" s="224">
        <f ca="1">TblConstr[[#This Row],[Land]]</f>
        <v>250</v>
      </c>
      <c r="C12" s="225"/>
      <c r="D12" s="226">
        <f ca="1">TblConstr[[#This Row],[Plain]]</f>
        <v>40</v>
      </c>
      <c r="E12" s="184">
        <f ca="1">TblConstr[[#This Row],[Forest]]</f>
        <v>20</v>
      </c>
      <c r="F12" s="384">
        <f ca="1">TblConstr[[#This Row],[Mountain]]</f>
        <v>20</v>
      </c>
      <c r="G12" s="388">
        <f ca="1">TblConstr[[#This Row],[Hill]]</f>
        <v>20</v>
      </c>
      <c r="H12" s="392">
        <f ca="1">TblConstr[[#This Row],[Swamp]]</f>
        <v>20</v>
      </c>
      <c r="I12" s="187">
        <f ca="1">TblConstr[[#This Row],[Cavern]]</f>
        <v>20</v>
      </c>
      <c r="J12" s="188">
        <f ca="1">TblConstr[[#This Row],[Water]]</f>
        <v>20</v>
      </c>
      <c r="K12" s="220"/>
      <c r="L12" s="220"/>
      <c r="M12" s="220"/>
      <c r="N12" s="227">
        <f ca="1">TblMili[[#This Row],[Smithies]]</f>
        <v>0</v>
      </c>
      <c r="O12" s="227">
        <f ca="1">TblPop[[#This Row],[Employment]]</f>
        <v>1</v>
      </c>
      <c r="P12" s="227">
        <f ca="1">TblImps[[#This Row],[Population]]</f>
        <v>0.81891433418150972</v>
      </c>
      <c r="Q12" s="177">
        <f ca="1">TblExplore[[#This Row],[Land]]</f>
        <v>250</v>
      </c>
      <c r="R12" s="177">
        <f>TblExplore[[#This Row],[Hour]]</f>
        <v>9</v>
      </c>
      <c r="S12" s="228"/>
      <c r="T12" s="181"/>
      <c r="U12" s="181"/>
      <c r="V12" s="181"/>
      <c r="W12" s="181"/>
      <c r="X12" s="181"/>
      <c r="Y12" s="181"/>
      <c r="Z12" s="181"/>
      <c r="AA12" s="161">
        <f ca="1">TblImps[[#This Row],[Real time]]</f>
        <v>45732.333333333314</v>
      </c>
      <c r="AB12" s="96">
        <f ca="1">TblMili[[#This Row],[Draftees]]</f>
        <v>212</v>
      </c>
      <c r="AC12" s="96">
        <f ca="1">TblProd[[#This Row],[Platinum]]</f>
        <v>160892</v>
      </c>
      <c r="AD12" s="225"/>
      <c r="AE12" s="45">
        <f ca="1">TblExplore[[#This Row],[Land]]-TblExplore[[#This Row],[Land Bonus]]*20</f>
        <v>250</v>
      </c>
      <c r="AF12" s="96">
        <f ca="1">ROUND(MAX(0.6*TblExplore[[#This Row],[Land-DB]]^1.299,850)*(1+ tech_2_6*Techs!AC12 + tech_2_9*Techs!AF12 + tech_3_7*Techs!AN12 + Overview!$I$32),0)</f>
        <v>850</v>
      </c>
      <c r="AG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7">
        <f>TblRezone[[#This Row],[Hour]]</f>
        <v>10</v>
      </c>
      <c r="B13" s="224">
        <f ca="1">TblConstr[[#This Row],[Land]]</f>
        <v>250</v>
      </c>
      <c r="C13" s="225"/>
      <c r="D13" s="226">
        <f ca="1">TblConstr[[#This Row],[Plain]]</f>
        <v>40</v>
      </c>
      <c r="E13" s="184">
        <f ca="1">TblConstr[[#This Row],[Forest]]</f>
        <v>20</v>
      </c>
      <c r="F13" s="384">
        <f ca="1">TblConstr[[#This Row],[Mountain]]</f>
        <v>20</v>
      </c>
      <c r="G13" s="388">
        <f ca="1">TblConstr[[#This Row],[Hill]]</f>
        <v>20</v>
      </c>
      <c r="H13" s="392">
        <f ca="1">TblConstr[[#This Row],[Swamp]]</f>
        <v>20</v>
      </c>
      <c r="I13" s="187">
        <f ca="1">TblConstr[[#This Row],[Cavern]]</f>
        <v>20</v>
      </c>
      <c r="J13" s="188">
        <f ca="1">TblConstr[[#This Row],[Water]]</f>
        <v>20</v>
      </c>
      <c r="K13" s="220"/>
      <c r="L13" s="220"/>
      <c r="M13" s="220"/>
      <c r="N13" s="227">
        <f ca="1">TblMili[[#This Row],[Smithies]]</f>
        <v>0</v>
      </c>
      <c r="O13" s="227">
        <f ca="1">TblPop[[#This Row],[Employment]]</f>
        <v>1</v>
      </c>
      <c r="P13" s="227">
        <f ca="1">TblImps[[#This Row],[Population]]</f>
        <v>0.83799830364715866</v>
      </c>
      <c r="Q13" s="177">
        <f ca="1">TblExplore[[#This Row],[Land]]</f>
        <v>250</v>
      </c>
      <c r="R13" s="177">
        <f>TblExplore[[#This Row],[Hour]]</f>
        <v>10</v>
      </c>
      <c r="S13" s="228"/>
      <c r="T13" s="181"/>
      <c r="U13" s="181"/>
      <c r="V13" s="181"/>
      <c r="W13" s="181"/>
      <c r="X13" s="181"/>
      <c r="Y13" s="181"/>
      <c r="Z13" s="181"/>
      <c r="AA13" s="161">
        <f ca="1">TblImps[[#This Row],[Real time]]</f>
        <v>45732.374999999978</v>
      </c>
      <c r="AB13" s="96">
        <f ca="1">TblMili[[#This Row],[Draftees]]</f>
        <v>227</v>
      </c>
      <c r="AC13" s="96">
        <f ca="1">TblProd[[#This Row],[Platinum]]</f>
        <v>166343</v>
      </c>
      <c r="AD13" s="225"/>
      <c r="AE13" s="45">
        <f ca="1">TblExplore[[#This Row],[Land]]-TblExplore[[#This Row],[Land Bonus]]*20</f>
        <v>250</v>
      </c>
      <c r="AF13" s="96">
        <f ca="1">ROUND(MAX(0.6*TblExplore[[#This Row],[Land-DB]]^1.299,850)*(1+ tech_2_6*Techs!AC13 + tech_2_9*Techs!AF13 + tech_3_7*Techs!AN13 + Overview!$I$32),0)</f>
        <v>850</v>
      </c>
      <c r="AG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7">
        <f>TblRezone[[#This Row],[Hour]]</f>
        <v>11</v>
      </c>
      <c r="B14" s="224">
        <f ca="1">TblConstr[[#This Row],[Land]]</f>
        <v>250</v>
      </c>
      <c r="C14" s="225"/>
      <c r="D14" s="226">
        <f ca="1">TblConstr[[#This Row],[Plain]]</f>
        <v>40</v>
      </c>
      <c r="E14" s="184">
        <f ca="1">TblConstr[[#This Row],[Forest]]</f>
        <v>20</v>
      </c>
      <c r="F14" s="384">
        <f ca="1">TblConstr[[#This Row],[Mountain]]</f>
        <v>20</v>
      </c>
      <c r="G14" s="388">
        <f ca="1">TblConstr[[#This Row],[Hill]]</f>
        <v>20</v>
      </c>
      <c r="H14" s="392">
        <f ca="1">TblConstr[[#This Row],[Swamp]]</f>
        <v>20</v>
      </c>
      <c r="I14" s="187">
        <f ca="1">TblConstr[[#This Row],[Cavern]]</f>
        <v>20</v>
      </c>
      <c r="J14" s="188">
        <f ca="1">TblConstr[[#This Row],[Water]]</f>
        <v>20</v>
      </c>
      <c r="K14" s="220"/>
      <c r="L14" s="220"/>
      <c r="M14" s="220"/>
      <c r="N14" s="227">
        <f ca="1">TblMili[[#This Row],[Smithies]]</f>
        <v>0</v>
      </c>
      <c r="O14" s="227">
        <f ca="1">TblPop[[#This Row],[Employment]]</f>
        <v>1</v>
      </c>
      <c r="P14" s="227">
        <f ca="1">TblImps[[#This Row],[Population]]</f>
        <v>0.85750636132315516</v>
      </c>
      <c r="Q14" s="177">
        <f ca="1">TblExplore[[#This Row],[Land]]</f>
        <v>250</v>
      </c>
      <c r="R14" s="177">
        <f>TblExplore[[#This Row],[Hour]]</f>
        <v>11</v>
      </c>
      <c r="S14" s="228"/>
      <c r="T14" s="181"/>
      <c r="U14" s="181"/>
      <c r="V14" s="181"/>
      <c r="W14" s="181"/>
      <c r="X14" s="181"/>
      <c r="Y14" s="181"/>
      <c r="Z14" s="181"/>
      <c r="AA14" s="161">
        <f ca="1">TblImps[[#This Row],[Real time]]</f>
        <v>45732.416666666642</v>
      </c>
      <c r="AB14" s="96">
        <f ca="1">TblMili[[#This Row],[Draftees]]</f>
        <v>242</v>
      </c>
      <c r="AC14" s="96">
        <f ca="1">TblProd[[#This Row],[Platinum]]</f>
        <v>171875</v>
      </c>
      <c r="AD14" s="225"/>
      <c r="AE14" s="45">
        <f ca="1">TblExplore[[#This Row],[Land]]-TblExplore[[#This Row],[Land Bonus]]*20</f>
        <v>250</v>
      </c>
      <c r="AF14" s="96">
        <f ca="1">ROUND(MAX(0.6*TblExplore[[#This Row],[Land-DB]]^1.299,850)*(1+ tech_2_6*Techs!AC14 + tech_2_9*Techs!AF14 + tech_3_7*Techs!AN14 + Overview!$I$32),0)</f>
        <v>850</v>
      </c>
      <c r="AG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7">
        <f>TblRezone[[#This Row],[Hour]]</f>
        <v>12</v>
      </c>
      <c r="B15" s="224">
        <f ca="1">TblConstr[[#This Row],[Land]]</f>
        <v>250</v>
      </c>
      <c r="C15" s="225"/>
      <c r="D15" s="226">
        <f ca="1">TblConstr[[#This Row],[Plain]]</f>
        <v>40</v>
      </c>
      <c r="E15" s="184">
        <f ca="1">TblConstr[[#This Row],[Forest]]</f>
        <v>20</v>
      </c>
      <c r="F15" s="384">
        <f ca="1">TblConstr[[#This Row],[Mountain]]</f>
        <v>20</v>
      </c>
      <c r="G15" s="388">
        <f ca="1">TblConstr[[#This Row],[Hill]]</f>
        <v>20</v>
      </c>
      <c r="H15" s="392">
        <f ca="1">TblConstr[[#This Row],[Swamp]]</f>
        <v>20</v>
      </c>
      <c r="I15" s="187">
        <f ca="1">TblConstr[[#This Row],[Cavern]]</f>
        <v>20</v>
      </c>
      <c r="J15" s="188">
        <f ca="1">TblConstr[[#This Row],[Water]]</f>
        <v>20</v>
      </c>
      <c r="K15" s="220"/>
      <c r="L15" s="220"/>
      <c r="M15" s="229"/>
      <c r="N15" s="227">
        <f ca="1">TblMili[[#This Row],[Smithies]]</f>
        <v>0</v>
      </c>
      <c r="O15" s="227">
        <f ca="1">TblPop[[#This Row],[Employment]]</f>
        <v>0.99317194289261324</v>
      </c>
      <c r="P15" s="227">
        <f ca="1">TblImps[[#This Row],[Population]]</f>
        <v>0.87743850720949956</v>
      </c>
      <c r="Q15" s="177">
        <f ca="1">TblExplore[[#This Row],[Land]]</f>
        <v>250</v>
      </c>
      <c r="R15" s="177">
        <f>TblExplore[[#This Row],[Hour]]</f>
        <v>12</v>
      </c>
      <c r="S15" s="228"/>
      <c r="T15" s="160"/>
      <c r="U15" s="181"/>
      <c r="V15" s="181"/>
      <c r="W15" s="181"/>
      <c r="X15" s="181"/>
      <c r="Y15" s="181"/>
      <c r="Z15" s="181"/>
      <c r="AA15" s="161">
        <f ca="1">TblImps[[#This Row],[Real time]]</f>
        <v>45732.458333333307</v>
      </c>
      <c r="AB15" s="96">
        <f ca="1">TblMili[[#This Row],[Draftees]]</f>
        <v>258</v>
      </c>
      <c r="AC15" s="96">
        <f ca="1">TblProd[[#This Row],[Platinum]]</f>
        <v>177491</v>
      </c>
      <c r="AD15" s="225"/>
      <c r="AE15" s="45">
        <f ca="1">TblExplore[[#This Row],[Land]]-TblExplore[[#This Row],[Land Bonus]]*20</f>
        <v>250</v>
      </c>
      <c r="AF15" s="96">
        <f ca="1">ROUND(MAX(0.6*TblExplore[[#This Row],[Land-DB]]^1.299,850)*(1+ tech_2_6*Techs!AC15 + tech_2_9*Techs!AF15 + tech_3_7*Techs!AN15 + Overview!$I$32),0)</f>
        <v>850</v>
      </c>
      <c r="AG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7">
        <f>TblRezone[[#This Row],[Hour]]</f>
        <v>13</v>
      </c>
      <c r="B16" s="224">
        <f ca="1">TblConstr[[#This Row],[Land]]</f>
        <v>250</v>
      </c>
      <c r="C16" s="225"/>
      <c r="D16" s="226">
        <f ca="1">TblConstr[[#This Row],[Plain]]</f>
        <v>40</v>
      </c>
      <c r="E16" s="184">
        <f ca="1">TblConstr[[#This Row],[Forest]]</f>
        <v>20</v>
      </c>
      <c r="F16" s="384">
        <f ca="1">TblConstr[[#This Row],[Mountain]]</f>
        <v>20</v>
      </c>
      <c r="G16" s="388">
        <f ca="1">TblConstr[[#This Row],[Hill]]</f>
        <v>20</v>
      </c>
      <c r="H16" s="392">
        <f ca="1">TblConstr[[#This Row],[Swamp]]</f>
        <v>20</v>
      </c>
      <c r="I16" s="187">
        <f ca="1">TblConstr[[#This Row],[Cavern]]</f>
        <v>20</v>
      </c>
      <c r="J16" s="188">
        <f ca="1">TblConstr[[#This Row],[Water]]</f>
        <v>20</v>
      </c>
      <c r="K16" s="220"/>
      <c r="L16" s="230" t="s">
        <v>379</v>
      </c>
      <c r="M16" s="230"/>
      <c r="N16" s="227">
        <f ca="1">TblMili[[#This Row],[Smithies]]</f>
        <v>0</v>
      </c>
      <c r="O16" s="227">
        <f ca="1">TblPop[[#This Row],[Employment]]</f>
        <v>0.9738283627510651</v>
      </c>
      <c r="P16" s="227">
        <f ca="1">TblImps[[#This Row],[Population]]</f>
        <v>0.89779474130619163</v>
      </c>
      <c r="Q16" s="177">
        <f ca="1">TblExplore[[#This Row],[Land]]</f>
        <v>250</v>
      </c>
      <c r="R16" s="177">
        <f>TblExplore[[#This Row],[Hour]]</f>
        <v>13</v>
      </c>
      <c r="S16" s="228"/>
      <c r="T16" s="181"/>
      <c r="U16" s="181"/>
      <c r="V16" s="181"/>
      <c r="W16" s="181"/>
      <c r="X16" s="181"/>
      <c r="Y16" s="181"/>
      <c r="Z16" s="181"/>
      <c r="AA16" s="161">
        <f ca="1">TblImps[[#This Row],[Real time]]</f>
        <v>45732.499999999971</v>
      </c>
      <c r="AB16" s="96">
        <f ca="1">TblMili[[#This Row],[Draftees]]</f>
        <v>274</v>
      </c>
      <c r="AC16" s="96">
        <f ca="1">TblProd[[#This Row],[Platinum]]</f>
        <v>183161</v>
      </c>
      <c r="AD16" s="225"/>
      <c r="AE16" s="45">
        <f ca="1">TblExplore[[#This Row],[Land]]-TblExplore[[#This Row],[Land Bonus]]*20</f>
        <v>250</v>
      </c>
      <c r="AF16" s="96">
        <f ca="1">ROUND(MAX(0.6*TblExplore[[#This Row],[Land-DB]]^1.299,850)*(1+ tech_2_6*Techs!AC16 + tech_2_9*Techs!AF16 + tech_3_7*Techs!AN16 + Overview!$I$32),0)</f>
        <v>850</v>
      </c>
      <c r="AG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7">
        <f>TblRezone[[#This Row],[Hour]]</f>
        <v>14</v>
      </c>
      <c r="B17" s="224">
        <f ca="1">TblConstr[[#This Row],[Land]]</f>
        <v>250</v>
      </c>
      <c r="C17" s="225"/>
      <c r="D17" s="226">
        <f ca="1">TblConstr[[#This Row],[Plain]]</f>
        <v>40</v>
      </c>
      <c r="E17" s="184">
        <f ca="1">TblConstr[[#This Row],[Forest]]</f>
        <v>20</v>
      </c>
      <c r="F17" s="384">
        <f ca="1">TblConstr[[#This Row],[Mountain]]</f>
        <v>20</v>
      </c>
      <c r="G17" s="388">
        <f ca="1">TblConstr[[#This Row],[Hill]]</f>
        <v>20</v>
      </c>
      <c r="H17" s="392">
        <f ca="1">TblConstr[[#This Row],[Swamp]]</f>
        <v>20</v>
      </c>
      <c r="I17" s="187">
        <f ca="1">TblConstr[[#This Row],[Cavern]]</f>
        <v>20</v>
      </c>
      <c r="J17" s="188">
        <f ca="1">TblConstr[[#This Row],[Water]]</f>
        <v>20</v>
      </c>
      <c r="K17" s="220"/>
      <c r="L17" s="231" t="s">
        <v>367</v>
      </c>
      <c r="M17" s="232"/>
      <c r="N17" s="227">
        <f ca="1">TblMili[[#This Row],[Smithies]]</f>
        <v>0</v>
      </c>
      <c r="O17" s="227">
        <f ca="1">TblPop[[#This Row],[Employment]]</f>
        <v>0.95465393794749398</v>
      </c>
      <c r="P17" s="227">
        <f ca="1">TblImps[[#This Row],[Population]]</f>
        <v>0.9185750636132316</v>
      </c>
      <c r="Q17" s="177">
        <f ca="1">TblExplore[[#This Row],[Land]]</f>
        <v>250</v>
      </c>
      <c r="R17" s="177">
        <f>TblExplore[[#This Row],[Hour]]</f>
        <v>14</v>
      </c>
      <c r="S17" s="228"/>
      <c r="T17" s="181"/>
      <c r="U17" s="181"/>
      <c r="V17" s="181"/>
      <c r="W17" s="181"/>
      <c r="X17" s="181"/>
      <c r="Y17" s="181"/>
      <c r="Z17" s="181"/>
      <c r="AA17" s="161">
        <f ca="1">TblImps[[#This Row],[Real time]]</f>
        <v>45732.541666666635</v>
      </c>
      <c r="AB17" s="96">
        <f ca="1">TblMili[[#This Row],[Draftees]]</f>
        <v>290</v>
      </c>
      <c r="AC17" s="96">
        <f ca="1">TblProd[[#This Row],[Platinum]]</f>
        <v>188831</v>
      </c>
      <c r="AD17" s="225"/>
      <c r="AE17" s="45">
        <f ca="1">TblExplore[[#This Row],[Land]]-TblExplore[[#This Row],[Land Bonus]]*20</f>
        <v>250</v>
      </c>
      <c r="AF17" s="96">
        <f ca="1">ROUND(MAX(0.6*TblExplore[[#This Row],[Land-DB]]^1.299,850)*(1+ tech_2_6*Techs!AC17 + tech_2_9*Techs!AF17 + tech_3_7*Techs!AN17 + Overview!$I$32),0)</f>
        <v>850</v>
      </c>
      <c r="AG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7">
        <f>TblRezone[[#This Row],[Hour]]</f>
        <v>15</v>
      </c>
      <c r="B18" s="224">
        <f ca="1">TblConstr[[#This Row],[Land]]</f>
        <v>250</v>
      </c>
      <c r="C18" s="225"/>
      <c r="D18" s="226">
        <f ca="1">TblConstr[[#This Row],[Plain]]</f>
        <v>40</v>
      </c>
      <c r="E18" s="184">
        <f ca="1">TblConstr[[#This Row],[Forest]]</f>
        <v>20</v>
      </c>
      <c r="F18" s="384">
        <f ca="1">TblConstr[[#This Row],[Mountain]]</f>
        <v>20</v>
      </c>
      <c r="G18" s="388">
        <f ca="1">TblConstr[[#This Row],[Hill]]</f>
        <v>20</v>
      </c>
      <c r="H18" s="392">
        <f ca="1">TblConstr[[#This Row],[Swamp]]</f>
        <v>20</v>
      </c>
      <c r="I18" s="187">
        <f ca="1">TblConstr[[#This Row],[Cavern]]</f>
        <v>20</v>
      </c>
      <c r="J18" s="188">
        <f ca="1">TblConstr[[#This Row],[Water]]</f>
        <v>20</v>
      </c>
      <c r="K18" s="220"/>
      <c r="L18" s="231" t="s">
        <v>366</v>
      </c>
      <c r="M18" s="232"/>
      <c r="N18" s="227">
        <f ca="1">TblMili[[#This Row],[Smithies]]</f>
        <v>0</v>
      </c>
      <c r="O18" s="227">
        <f ca="1">TblPop[[#This Row],[Employment]]</f>
        <v>0.93622001170275015</v>
      </c>
      <c r="P18" s="227">
        <f ca="1">TblImps[[#This Row],[Population]]</f>
        <v>0.93977947413061913</v>
      </c>
      <c r="Q18" s="177">
        <f ca="1">TblExplore[[#This Row],[Land]]</f>
        <v>250</v>
      </c>
      <c r="R18" s="177">
        <f>TblExplore[[#This Row],[Hour]]</f>
        <v>15</v>
      </c>
      <c r="S18" s="228"/>
      <c r="T18" s="181"/>
      <c r="U18" s="181"/>
      <c r="V18" s="181"/>
      <c r="W18" s="181"/>
      <c r="X18" s="181"/>
      <c r="Y18" s="181"/>
      <c r="Z18" s="181"/>
      <c r="AA18" s="161">
        <f ca="1">TblImps[[#This Row],[Real time]]</f>
        <v>45732.583333333299</v>
      </c>
      <c r="AB18" s="96">
        <f ca="1">TblMili[[#This Row],[Draftees]]</f>
        <v>307</v>
      </c>
      <c r="AC18" s="96">
        <f ca="1">TblProd[[#This Row],[Platinum]]</f>
        <v>194501</v>
      </c>
      <c r="AD18" s="225"/>
      <c r="AE18" s="45">
        <f ca="1">TblExplore[[#This Row],[Land]]-TblExplore[[#This Row],[Land Bonus]]*20</f>
        <v>250</v>
      </c>
      <c r="AF18" s="96">
        <f ca="1">ROUND(MAX(0.6*TblExplore[[#This Row],[Land-DB]]^1.299,850)*(1+ tech_2_6*Techs!AC18 + tech_2_9*Techs!AF18 + tech_3_7*Techs!AN18 + Overview!$I$32),0)</f>
        <v>850</v>
      </c>
      <c r="AG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7">
        <f>TblRezone[[#This Row],[Hour]]</f>
        <v>16</v>
      </c>
      <c r="B19" s="224">
        <f ca="1">TblConstr[[#This Row],[Land]]</f>
        <v>250</v>
      </c>
      <c r="C19" s="225"/>
      <c r="D19" s="226">
        <f ca="1">TblConstr[[#This Row],[Plain]]</f>
        <v>40</v>
      </c>
      <c r="E19" s="184">
        <f ca="1">TblConstr[[#This Row],[Forest]]</f>
        <v>20</v>
      </c>
      <c r="F19" s="384">
        <f ca="1">TblConstr[[#This Row],[Mountain]]</f>
        <v>20</v>
      </c>
      <c r="G19" s="388">
        <f ca="1">TblConstr[[#This Row],[Hill]]</f>
        <v>20</v>
      </c>
      <c r="H19" s="392">
        <f ca="1">TblConstr[[#This Row],[Swamp]]</f>
        <v>20</v>
      </c>
      <c r="I19" s="187">
        <f ca="1">TblConstr[[#This Row],[Cavern]]</f>
        <v>20</v>
      </c>
      <c r="J19" s="188">
        <f ca="1">TblConstr[[#This Row],[Water]]</f>
        <v>20</v>
      </c>
      <c r="K19" s="220"/>
      <c r="L19" s="231" t="s">
        <v>364</v>
      </c>
      <c r="M19" s="232"/>
      <c r="N19" s="227">
        <f ca="1">TblMili[[#This Row],[Smithies]]</f>
        <v>0</v>
      </c>
      <c r="O19" s="227">
        <f ca="1">TblPop[[#This Row],[Employment]]</f>
        <v>0.91795754446356859</v>
      </c>
      <c r="P19" s="227">
        <f ca="1">TblImps[[#This Row],[Population]]</f>
        <v>0.96140797285835455</v>
      </c>
      <c r="Q19" s="177">
        <f ca="1">TblExplore[[#This Row],[Land]]</f>
        <v>250</v>
      </c>
      <c r="R19" s="177">
        <f>TblExplore[[#This Row],[Hour]]</f>
        <v>16</v>
      </c>
      <c r="S19" s="228"/>
      <c r="T19" s="160"/>
      <c r="U19" s="181"/>
      <c r="V19" s="181"/>
      <c r="W19" s="181"/>
      <c r="X19" s="181"/>
      <c r="Y19" s="181"/>
      <c r="Z19" s="181"/>
      <c r="AA19" s="161">
        <f ca="1">TblImps[[#This Row],[Real time]]</f>
        <v>45732.624999999964</v>
      </c>
      <c r="AB19" s="96">
        <f ca="1">TblMili[[#This Row],[Draftees]]</f>
        <v>324</v>
      </c>
      <c r="AC19" s="96">
        <f ca="1">TblProd[[#This Row],[Platinum]]</f>
        <v>200171</v>
      </c>
      <c r="AD19" s="225"/>
      <c r="AE19" s="45">
        <f ca="1">TblExplore[[#This Row],[Land]]-TblExplore[[#This Row],[Land Bonus]]*20</f>
        <v>250</v>
      </c>
      <c r="AF19" s="96">
        <f ca="1">ROUND(MAX(0.6*TblExplore[[#This Row],[Land-DB]]^1.299,850)*(1+ tech_2_6*Techs!AC19 + tech_2_9*Techs!AF19 + tech_3_7*Techs!AN19 + Overview!$I$32),0)</f>
        <v>850</v>
      </c>
      <c r="AG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7">
        <f>TblRezone[[#This Row],[Hour]]</f>
        <v>17</v>
      </c>
      <c r="B20" s="224">
        <f ca="1">TblConstr[[#This Row],[Land]]</f>
        <v>250</v>
      </c>
      <c r="C20" s="225"/>
      <c r="D20" s="226">
        <f ca="1">TblConstr[[#This Row],[Plain]]</f>
        <v>40</v>
      </c>
      <c r="E20" s="184">
        <f ca="1">TblConstr[[#This Row],[Forest]]</f>
        <v>20</v>
      </c>
      <c r="F20" s="384">
        <f ca="1">TblConstr[[#This Row],[Mountain]]</f>
        <v>20</v>
      </c>
      <c r="G20" s="388">
        <f ca="1">TblConstr[[#This Row],[Hill]]</f>
        <v>20</v>
      </c>
      <c r="H20" s="392">
        <f ca="1">TblConstr[[#This Row],[Swamp]]</f>
        <v>20</v>
      </c>
      <c r="I20" s="187">
        <f ca="1">TblConstr[[#This Row],[Cavern]]</f>
        <v>20</v>
      </c>
      <c r="J20" s="188">
        <f ca="1">TblConstr[[#This Row],[Water]]</f>
        <v>20</v>
      </c>
      <c r="K20" s="220"/>
      <c r="L20" s="231" t="s">
        <v>365</v>
      </c>
      <c r="M20" s="232"/>
      <c r="N20" s="227">
        <f ca="1">TblMili[[#This Row],[Smithies]]</f>
        <v>0</v>
      </c>
      <c r="O20" s="227">
        <f ca="1">TblPop[[#This Row],[Employment]]</f>
        <v>0.89988751406074241</v>
      </c>
      <c r="P20" s="227">
        <f ca="1">TblImps[[#This Row],[Population]]</f>
        <v>0.98346055979643765</v>
      </c>
      <c r="Q20" s="177">
        <f ca="1">TblExplore[[#This Row],[Land]]</f>
        <v>250</v>
      </c>
      <c r="R20" s="177">
        <f>TblExplore[[#This Row],[Hour]]</f>
        <v>17</v>
      </c>
      <c r="S20" s="228"/>
      <c r="T20" s="160"/>
      <c r="U20" s="181"/>
      <c r="V20" s="181"/>
      <c r="W20" s="181"/>
      <c r="X20" s="181"/>
      <c r="Y20" s="181"/>
      <c r="Z20" s="181"/>
      <c r="AA20" s="161">
        <f ca="1">TblImps[[#This Row],[Real time]]</f>
        <v>45732.666666666628</v>
      </c>
      <c r="AB20" s="96">
        <f ca="1">TblMili[[#This Row],[Draftees]]</f>
        <v>341</v>
      </c>
      <c r="AC20" s="96">
        <f ca="1">TblProd[[#This Row],[Platinum]]</f>
        <v>205841</v>
      </c>
      <c r="AD20" s="225"/>
      <c r="AE20" s="45">
        <f ca="1">TblExplore[[#This Row],[Land]]-TblExplore[[#This Row],[Land Bonus]]*20</f>
        <v>250</v>
      </c>
      <c r="AF20" s="96">
        <f ca="1">ROUND(MAX(0.6*TblExplore[[#This Row],[Land-DB]]^1.299,850)*(1+ tech_2_6*Techs!AC20 + tech_2_9*Techs!AF20 + tech_3_7*Techs!AN20 + Overview!$I$32),0)</f>
        <v>850</v>
      </c>
      <c r="AG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7">
        <f>TblRezone[[#This Row],[Hour]]</f>
        <v>18</v>
      </c>
      <c r="B21" s="224">
        <f ca="1">TblConstr[[#This Row],[Land]]</f>
        <v>250</v>
      </c>
      <c r="C21" s="225"/>
      <c r="D21" s="226">
        <f ca="1">TblConstr[[#This Row],[Plain]]</f>
        <v>40</v>
      </c>
      <c r="E21" s="184">
        <f ca="1">TblConstr[[#This Row],[Forest]]</f>
        <v>20</v>
      </c>
      <c r="F21" s="384">
        <f ca="1">TblConstr[[#This Row],[Mountain]]</f>
        <v>20</v>
      </c>
      <c r="G21" s="388">
        <f ca="1">TblConstr[[#This Row],[Hill]]</f>
        <v>20</v>
      </c>
      <c r="H21" s="392">
        <f ca="1">TblConstr[[#This Row],[Swamp]]</f>
        <v>20</v>
      </c>
      <c r="I21" s="187">
        <f ca="1">TblConstr[[#This Row],[Cavern]]</f>
        <v>20</v>
      </c>
      <c r="J21" s="188">
        <f ca="1">TblConstr[[#This Row],[Water]]</f>
        <v>20</v>
      </c>
      <c r="K21" s="220"/>
      <c r="L21" s="220"/>
      <c r="M21" s="233"/>
      <c r="N21" s="227">
        <f ca="1">TblMili[[#This Row],[Smithies]]</f>
        <v>0</v>
      </c>
      <c r="O21" s="227">
        <f ca="1">TblPop[[#This Row],[Employment]]</f>
        <v>0.88938299055030567</v>
      </c>
      <c r="P21" s="227">
        <f ca="1">TblImps[[#This Row],[Population]]</f>
        <v>1</v>
      </c>
      <c r="Q21" s="177">
        <f ca="1">TblExplore[[#This Row],[Land]]</f>
        <v>250</v>
      </c>
      <c r="R21" s="177">
        <f>TblExplore[[#This Row],[Hour]]</f>
        <v>18</v>
      </c>
      <c r="S21" s="228"/>
      <c r="T21" s="181"/>
      <c r="U21" s="181"/>
      <c r="V21" s="181"/>
      <c r="W21" s="181"/>
      <c r="X21" s="181"/>
      <c r="Y21" s="181"/>
      <c r="Z21" s="181"/>
      <c r="AA21" s="161">
        <f ca="1">TblImps[[#This Row],[Real time]]</f>
        <v>45732.708333333292</v>
      </c>
      <c r="AB21" s="96">
        <f ca="1">TblMili[[#This Row],[Draftees]]</f>
        <v>359</v>
      </c>
      <c r="AC21" s="96">
        <f ca="1">TblProd[[#This Row],[Platinum]]</f>
        <v>211511</v>
      </c>
      <c r="AD21" s="225"/>
      <c r="AE21" s="45">
        <f ca="1">TblExplore[[#This Row],[Land]]-TblExplore[[#This Row],[Land Bonus]]*20</f>
        <v>250</v>
      </c>
      <c r="AF21" s="96">
        <f ca="1">ROUND(MAX(0.6*TblExplore[[#This Row],[Land-DB]]^1.299,850)*(1+ tech_2_6*Techs!AC21 + tech_2_9*Techs!AF21 + tech_3_7*Techs!AN21 + Overview!$I$32),0)</f>
        <v>850</v>
      </c>
      <c r="AG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7">
        <f>TblRezone[[#This Row],[Hour]]</f>
        <v>19</v>
      </c>
      <c r="B22" s="224">
        <f ca="1">TblConstr[[#This Row],[Land]]</f>
        <v>250</v>
      </c>
      <c r="C22" s="225"/>
      <c r="D22" s="226">
        <f ca="1">TblConstr[[#This Row],[Plain]]</f>
        <v>40</v>
      </c>
      <c r="E22" s="184">
        <f ca="1">TblConstr[[#This Row],[Forest]]</f>
        <v>20</v>
      </c>
      <c r="F22" s="384">
        <f ca="1">TblConstr[[#This Row],[Mountain]]</f>
        <v>20</v>
      </c>
      <c r="G22" s="388">
        <f ca="1">TblConstr[[#This Row],[Hill]]</f>
        <v>20</v>
      </c>
      <c r="H22" s="392">
        <f ca="1">TblConstr[[#This Row],[Swamp]]</f>
        <v>20</v>
      </c>
      <c r="I22" s="187">
        <f ca="1">TblConstr[[#This Row],[Cavern]]</f>
        <v>20</v>
      </c>
      <c r="J22" s="188">
        <f ca="1">TblConstr[[#This Row],[Water]]</f>
        <v>20</v>
      </c>
      <c r="K22" s="220"/>
      <c r="L22" s="220"/>
      <c r="M22" s="233"/>
      <c r="N22" s="227">
        <f ca="1">TblMili[[#This Row],[Smithies]]</f>
        <v>0</v>
      </c>
      <c r="O22" s="227">
        <f ca="1">TblPop[[#This Row],[Employment]]</f>
        <v>0.89837170129140931</v>
      </c>
      <c r="P22" s="227">
        <f ca="1">TblImps[[#This Row],[Population]]</f>
        <v>1</v>
      </c>
      <c r="Q22" s="177">
        <f ca="1">TblExplore[[#This Row],[Land]]</f>
        <v>250</v>
      </c>
      <c r="R22" s="177">
        <f>TblExplore[[#This Row],[Hour]]</f>
        <v>19</v>
      </c>
      <c r="S22" s="228"/>
      <c r="T22" s="181"/>
      <c r="U22" s="181"/>
      <c r="V22" s="181"/>
      <c r="W22" s="181"/>
      <c r="X22" s="181"/>
      <c r="Y22" s="181"/>
      <c r="Z22" s="181"/>
      <c r="AA22" s="161">
        <f ca="1">TblImps[[#This Row],[Real time]]</f>
        <v>45732.749999999956</v>
      </c>
      <c r="AB22" s="96">
        <f ca="1">TblMili[[#This Row],[Draftees]]</f>
        <v>377</v>
      </c>
      <c r="AC22" s="96">
        <f ca="1">TblProd[[#This Row],[Platinum]]</f>
        <v>217181</v>
      </c>
      <c r="AD22" s="225"/>
      <c r="AE22" s="45">
        <f ca="1">TblExplore[[#This Row],[Land]]-TblExplore[[#This Row],[Land Bonus]]*20</f>
        <v>250</v>
      </c>
      <c r="AF22" s="96">
        <f ca="1">ROUND(MAX(0.6*TblExplore[[#This Row],[Land-DB]]^1.299,850)*(1+ tech_2_6*Techs!AC22 + tech_2_9*Techs!AF22 + tech_3_7*Techs!AN22 + Overview!$I$32),0)</f>
        <v>850</v>
      </c>
      <c r="AG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7">
        <f>TblRezone[[#This Row],[Hour]]</f>
        <v>20</v>
      </c>
      <c r="B23" s="224">
        <f ca="1">TblConstr[[#This Row],[Land]]</f>
        <v>250</v>
      </c>
      <c r="C23" s="225"/>
      <c r="D23" s="226">
        <f ca="1">TblConstr[[#This Row],[Plain]]</f>
        <v>40</v>
      </c>
      <c r="E23" s="184">
        <f ca="1">TblConstr[[#This Row],[Forest]]</f>
        <v>20</v>
      </c>
      <c r="F23" s="384">
        <f ca="1">TblConstr[[#This Row],[Mountain]]</f>
        <v>20</v>
      </c>
      <c r="G23" s="388">
        <f ca="1">TblConstr[[#This Row],[Hill]]</f>
        <v>20</v>
      </c>
      <c r="H23" s="392">
        <f ca="1">TblConstr[[#This Row],[Swamp]]</f>
        <v>20</v>
      </c>
      <c r="I23" s="187">
        <f ca="1">TblConstr[[#This Row],[Cavern]]</f>
        <v>20</v>
      </c>
      <c r="J23" s="188">
        <f ca="1">TblConstr[[#This Row],[Water]]</f>
        <v>20</v>
      </c>
      <c r="K23" s="220"/>
      <c r="L23" s="220"/>
      <c r="M23" s="233"/>
      <c r="N23" s="227">
        <f ca="1">TblMili[[#This Row],[Smithies]]</f>
        <v>0</v>
      </c>
      <c r="O23" s="227">
        <f ca="1">TblPop[[#This Row],[Employment]]</f>
        <v>0.90754395916052188</v>
      </c>
      <c r="P23" s="227">
        <f ca="1">TblImps[[#This Row],[Population]]</f>
        <v>1</v>
      </c>
      <c r="Q23" s="177">
        <f ca="1">TblExplore[[#This Row],[Land]]</f>
        <v>250</v>
      </c>
      <c r="R23" s="177">
        <f>TblExplore[[#This Row],[Hour]]</f>
        <v>20</v>
      </c>
      <c r="S23" s="228"/>
      <c r="T23" s="181"/>
      <c r="U23" s="181"/>
      <c r="V23" s="181"/>
      <c r="W23" s="181"/>
      <c r="X23" s="181"/>
      <c r="Y23" s="181"/>
      <c r="Z23" s="181"/>
      <c r="AA23" s="161">
        <f ca="1">TblImps[[#This Row],[Real time]]</f>
        <v>45732.791666666621</v>
      </c>
      <c r="AB23" s="96">
        <f ca="1">TblMili[[#This Row],[Draftees]]</f>
        <v>395</v>
      </c>
      <c r="AC23" s="96">
        <f ca="1">TblProd[[#This Row],[Platinum]]</f>
        <v>222851</v>
      </c>
      <c r="AD23" s="225"/>
      <c r="AE23" s="45">
        <f ca="1">TblExplore[[#This Row],[Land]]-TblExplore[[#This Row],[Land Bonus]]*20</f>
        <v>250</v>
      </c>
      <c r="AF23" s="96">
        <f ca="1">ROUND(MAX(0.6*TblExplore[[#This Row],[Land-DB]]^1.299,850)*(1+ tech_2_6*Techs!AC23 + tech_2_9*Techs!AF23 + tech_3_7*Techs!AN23 + Overview!$I$32),0)</f>
        <v>850</v>
      </c>
      <c r="AG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7">
        <f>TblRezone[[#This Row],[Hour]]</f>
        <v>21</v>
      </c>
      <c r="B24" s="224">
        <f ca="1">TblConstr[[#This Row],[Land]]</f>
        <v>250</v>
      </c>
      <c r="C24" s="225"/>
      <c r="D24" s="226">
        <f ca="1">TblConstr[[#This Row],[Plain]]</f>
        <v>40</v>
      </c>
      <c r="E24" s="184">
        <f ca="1">TblConstr[[#This Row],[Forest]]</f>
        <v>20</v>
      </c>
      <c r="F24" s="384">
        <f ca="1">TblConstr[[#This Row],[Mountain]]</f>
        <v>20</v>
      </c>
      <c r="G24" s="388">
        <f ca="1">TblConstr[[#This Row],[Hill]]</f>
        <v>20</v>
      </c>
      <c r="H24" s="392">
        <f ca="1">TblConstr[[#This Row],[Swamp]]</f>
        <v>20</v>
      </c>
      <c r="I24" s="187">
        <f ca="1">TblConstr[[#This Row],[Cavern]]</f>
        <v>20</v>
      </c>
      <c r="J24" s="188">
        <f ca="1">TblConstr[[#This Row],[Water]]</f>
        <v>20</v>
      </c>
      <c r="K24" s="220"/>
      <c r="L24" s="220"/>
      <c r="M24" s="220"/>
      <c r="N24" s="227">
        <f ca="1">TblMili[[#This Row],[Smithies]]</f>
        <v>0</v>
      </c>
      <c r="O24" s="227">
        <f ca="1">TblPop[[#This Row],[Employment]]</f>
        <v>0.91690544412607455</v>
      </c>
      <c r="P24" s="227">
        <f ca="1">TblImps[[#This Row],[Population]]</f>
        <v>1</v>
      </c>
      <c r="Q24" s="177">
        <f ca="1">TblExplore[[#This Row],[Land]]</f>
        <v>250</v>
      </c>
      <c r="R24" s="224">
        <f>TblExplore[[#This Row],[Hour]]</f>
        <v>21</v>
      </c>
      <c r="S24" s="228"/>
      <c r="T24" s="181"/>
      <c r="U24" s="181"/>
      <c r="V24" s="181"/>
      <c r="W24" s="181"/>
      <c r="X24" s="181"/>
      <c r="Y24" s="181"/>
      <c r="Z24" s="181"/>
      <c r="AA24" s="161">
        <f ca="1">TblImps[[#This Row],[Real time]]</f>
        <v>45732.833333333285</v>
      </c>
      <c r="AB24" s="96">
        <f ca="1">TblMili[[#This Row],[Draftees]]</f>
        <v>413</v>
      </c>
      <c r="AC24" s="96">
        <f ca="1">TblProd[[#This Row],[Platinum]]</f>
        <v>228521</v>
      </c>
      <c r="AD24" s="225"/>
      <c r="AE24" s="45">
        <f ca="1">TblExplore[[#This Row],[Land]]-TblExplore[[#This Row],[Land Bonus]]*20</f>
        <v>250</v>
      </c>
      <c r="AF24" s="96">
        <f ca="1">ROUND(MAX(0.6*TblExplore[[#This Row],[Land-DB]]^1.299,850)*(1+ tech_2_6*Techs!AC24 + tech_2_9*Techs!AF24 + tech_3_7*Techs!AN24 + Overview!$I$32),0)</f>
        <v>850</v>
      </c>
      <c r="AG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7">
        <f>TblRezone[[#This Row],[Hour]]</f>
        <v>22</v>
      </c>
      <c r="B25" s="224">
        <f ca="1">TblConstr[[#This Row],[Land]]</f>
        <v>250</v>
      </c>
      <c r="C25" s="225"/>
      <c r="D25" s="226">
        <f ca="1">TblConstr[[#This Row],[Plain]]</f>
        <v>40</v>
      </c>
      <c r="E25" s="184">
        <f ca="1">TblConstr[[#This Row],[Forest]]</f>
        <v>20</v>
      </c>
      <c r="F25" s="384">
        <f ca="1">TblConstr[[#This Row],[Mountain]]</f>
        <v>20</v>
      </c>
      <c r="G25" s="388">
        <f ca="1">TblConstr[[#This Row],[Hill]]</f>
        <v>20</v>
      </c>
      <c r="H25" s="392">
        <f ca="1">TblConstr[[#This Row],[Swamp]]</f>
        <v>20</v>
      </c>
      <c r="I25" s="187">
        <f ca="1">TblConstr[[#This Row],[Cavern]]</f>
        <v>20</v>
      </c>
      <c r="J25" s="188">
        <f ca="1">TblConstr[[#This Row],[Water]]</f>
        <v>20</v>
      </c>
      <c r="K25" s="220"/>
      <c r="L25" s="234" t="s">
        <v>380</v>
      </c>
      <c r="M25" s="234"/>
      <c r="N25" s="227">
        <f ca="1">TblMili[[#This Row],[Smithies]]</f>
        <v>0</v>
      </c>
      <c r="O25" s="227">
        <f ca="1">TblPop[[#This Row],[Employment]]</f>
        <v>0.92592592592592593</v>
      </c>
      <c r="P25" s="227">
        <f ca="1">TblImps[[#This Row],[Population]]</f>
        <v>1</v>
      </c>
      <c r="Q25" s="177">
        <f ca="1">TblExplore[[#This Row],[Land]]</f>
        <v>250</v>
      </c>
      <c r="R25" s="224">
        <f>TblExplore[[#This Row],[Hour]]</f>
        <v>22</v>
      </c>
      <c r="S25" s="228"/>
      <c r="T25" s="181"/>
      <c r="U25" s="181"/>
      <c r="V25" s="181"/>
      <c r="W25" s="181"/>
      <c r="X25" s="181"/>
      <c r="Y25" s="181"/>
      <c r="Z25" s="181"/>
      <c r="AA25" s="161">
        <f ca="1">TblImps[[#This Row],[Real time]]</f>
        <v>45732.874999999949</v>
      </c>
      <c r="AB25" s="96">
        <f ca="1">TblMili[[#This Row],[Draftees]]</f>
        <v>430</v>
      </c>
      <c r="AC25" s="96">
        <f ca="1">TblProd[[#This Row],[Platinum]]</f>
        <v>234191</v>
      </c>
      <c r="AD25" s="225"/>
      <c r="AE25" s="45">
        <f ca="1">TblExplore[[#This Row],[Land]]-TblExplore[[#This Row],[Land Bonus]]*20</f>
        <v>250</v>
      </c>
      <c r="AF25" s="96">
        <f ca="1">ROUND(MAX(0.6*TblExplore[[#This Row],[Land-DB]]^1.299,850)*(1+ tech_2_6*Techs!AC25 + tech_2_9*Techs!AF25 + tech_3_7*Techs!AN25 + Overview!$I$32),0)</f>
        <v>850</v>
      </c>
      <c r="AG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7">
        <f>TblRezone[[#This Row],[Hour]]</f>
        <v>23</v>
      </c>
      <c r="B26" s="224">
        <f ca="1">TblConstr[[#This Row],[Land]]</f>
        <v>250</v>
      </c>
      <c r="C26" s="225"/>
      <c r="D26" s="226">
        <f ca="1">TblConstr[[#This Row],[Plain]]</f>
        <v>40</v>
      </c>
      <c r="E26" s="184">
        <f ca="1">TblConstr[[#This Row],[Forest]]</f>
        <v>20</v>
      </c>
      <c r="F26" s="384">
        <f ca="1">TblConstr[[#This Row],[Mountain]]</f>
        <v>20</v>
      </c>
      <c r="G26" s="388">
        <f ca="1">TblConstr[[#This Row],[Hill]]</f>
        <v>20</v>
      </c>
      <c r="H26" s="392">
        <f ca="1">TblConstr[[#This Row],[Swamp]]</f>
        <v>20</v>
      </c>
      <c r="I26" s="187">
        <f ca="1">TblConstr[[#This Row],[Cavern]]</f>
        <v>20</v>
      </c>
      <c r="J26" s="188">
        <f ca="1">TblConstr[[#This Row],[Water]]</f>
        <v>20</v>
      </c>
      <c r="K26" s="220"/>
      <c r="L26" s="234" t="s">
        <v>367</v>
      </c>
      <c r="M26" s="235">
        <f ca="1">Military!AQ67</f>
        <v>466496</v>
      </c>
      <c r="N26" s="227">
        <f ca="1">TblMili[[#This Row],[Smithies]]</f>
        <v>0</v>
      </c>
      <c r="O26" s="227">
        <f ca="1">TblPop[[#This Row],[Employment]]</f>
        <v>0.93512565751022791</v>
      </c>
      <c r="P26" s="227">
        <f ca="1">TblImps[[#This Row],[Population]]</f>
        <v>1</v>
      </c>
      <c r="Q26" s="177">
        <f ca="1">TblExplore[[#This Row],[Land]]</f>
        <v>250</v>
      </c>
      <c r="R26" s="177">
        <f>TblExplore[[#This Row],[Hour]]</f>
        <v>23</v>
      </c>
      <c r="S26" s="228"/>
      <c r="T26" s="181"/>
      <c r="U26" s="181"/>
      <c r="V26" s="181"/>
      <c r="W26" s="181"/>
      <c r="X26" s="181"/>
      <c r="Y26" s="181"/>
      <c r="Z26" s="181"/>
      <c r="AA26" s="161">
        <f ca="1">TblImps[[#This Row],[Real time]]</f>
        <v>45732.916666666613</v>
      </c>
      <c r="AB26" s="96">
        <f ca="1">TblMili[[#This Row],[Draftees]]</f>
        <v>447</v>
      </c>
      <c r="AC26" s="96">
        <f ca="1">TblProd[[#This Row],[Platinum]]</f>
        <v>239861</v>
      </c>
      <c r="AD26" s="225"/>
      <c r="AE26" s="45">
        <f ca="1">TblExplore[[#This Row],[Land]]-TblExplore[[#This Row],[Land Bonus]]*20</f>
        <v>250</v>
      </c>
      <c r="AF26" s="96">
        <f ca="1">ROUND(MAX(0.6*TblExplore[[#This Row],[Land-DB]]^1.299,850)*(1+ tech_2_6*Techs!AC26 + tech_2_9*Techs!AF26 + tech_3_7*Techs!AN26 + Overview!$I$32),0)</f>
        <v>850</v>
      </c>
      <c r="AG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7">
        <f>TblRezone[[#This Row],[Hour]]</f>
        <v>24</v>
      </c>
      <c r="B27" s="224">
        <f ca="1">TblConstr[[#This Row],[Land]]</f>
        <v>250</v>
      </c>
      <c r="C27" s="225"/>
      <c r="D27" s="226">
        <f ca="1">TblConstr[[#This Row],[Plain]]</f>
        <v>40</v>
      </c>
      <c r="E27" s="184">
        <f ca="1">TblConstr[[#This Row],[Forest]]</f>
        <v>20</v>
      </c>
      <c r="F27" s="384">
        <f ca="1">TblConstr[[#This Row],[Mountain]]</f>
        <v>20</v>
      </c>
      <c r="G27" s="388">
        <f ca="1">TblConstr[[#This Row],[Hill]]</f>
        <v>20</v>
      </c>
      <c r="H27" s="392">
        <f ca="1">TblConstr[[#This Row],[Swamp]]</f>
        <v>20</v>
      </c>
      <c r="I27" s="187">
        <f ca="1">TblConstr[[#This Row],[Cavern]]</f>
        <v>20</v>
      </c>
      <c r="J27" s="188">
        <f ca="1">TblConstr[[#This Row],[Water]]</f>
        <v>20</v>
      </c>
      <c r="K27" s="220"/>
      <c r="L27" s="234" t="s">
        <v>366</v>
      </c>
      <c r="M27" s="235">
        <f ca="1">Production!S76</f>
        <v>5486</v>
      </c>
      <c r="N27" s="227">
        <f ca="1">TblMili[[#This Row],[Smithies]]</f>
        <v>0</v>
      </c>
      <c r="O27" s="227">
        <f ca="1">TblPop[[#This Row],[Employment]]</f>
        <v>0.94451003541912637</v>
      </c>
      <c r="P27" s="227">
        <f ca="1">TblImps[[#This Row],[Population]]</f>
        <v>1</v>
      </c>
      <c r="Q27" s="177">
        <f ca="1">TblExplore[[#This Row],[Land]]</f>
        <v>250</v>
      </c>
      <c r="R27" s="177">
        <f>TblExplore[[#This Row],[Hour]]</f>
        <v>24</v>
      </c>
      <c r="S27" s="228"/>
      <c r="T27" s="160"/>
      <c r="U27" s="181"/>
      <c r="V27" s="181"/>
      <c r="W27" s="181"/>
      <c r="X27" s="181"/>
      <c r="Y27" s="181"/>
      <c r="Z27" s="181"/>
      <c r="AA27" s="161">
        <f ca="1">TblImps[[#This Row],[Real time]]</f>
        <v>45732.958333333278</v>
      </c>
      <c r="AB27" s="96">
        <f ca="1">TblMili[[#This Row],[Draftees]]</f>
        <v>464</v>
      </c>
      <c r="AC27" s="96">
        <f ca="1">TblProd[[#This Row],[Platinum]]</f>
        <v>245531</v>
      </c>
      <c r="AD27" s="225"/>
      <c r="AE27" s="45">
        <f ca="1">TblExplore[[#This Row],[Land]]-TblExplore[[#This Row],[Land Bonus]]*20</f>
        <v>250</v>
      </c>
      <c r="AF27" s="96">
        <f ca="1">ROUND(MAX(0.6*TblExplore[[#This Row],[Land-DB]]^1.299,850)*(1+ tech_2_6*Techs!AC27 + tech_2_9*Techs!AF27 + tech_3_7*Techs!AN27 + Overview!$I$32),0)</f>
        <v>850</v>
      </c>
      <c r="AG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7">
        <f>TblRezone[[#This Row],[Hour]]</f>
        <v>25</v>
      </c>
      <c r="B28" s="224">
        <f ca="1">TblConstr[[#This Row],[Land]]</f>
        <v>250</v>
      </c>
      <c r="C28" s="225"/>
      <c r="D28" s="226">
        <f ca="1">TblConstr[[#This Row],[Plain]]</f>
        <v>40</v>
      </c>
      <c r="E28" s="184">
        <f ca="1">TblConstr[[#This Row],[Forest]]</f>
        <v>20</v>
      </c>
      <c r="F28" s="384">
        <f ca="1">TblConstr[[#This Row],[Mountain]]</f>
        <v>20</v>
      </c>
      <c r="G28" s="388">
        <f ca="1">TblConstr[[#This Row],[Hill]]</f>
        <v>20</v>
      </c>
      <c r="H28" s="392">
        <f ca="1">TblConstr[[#This Row],[Swamp]]</f>
        <v>20</v>
      </c>
      <c r="I28" s="187">
        <f ca="1">TblConstr[[#This Row],[Cavern]]</f>
        <v>20</v>
      </c>
      <c r="J28" s="188">
        <f ca="1">TblConstr[[#This Row],[Water]]</f>
        <v>20</v>
      </c>
      <c r="K28" s="220"/>
      <c r="L28" s="234" t="s">
        <v>364</v>
      </c>
      <c r="M28" s="235">
        <f ca="1">Military!AA64</f>
        <v>626</v>
      </c>
      <c r="N28" s="227">
        <f ca="1">TblMili[[#This Row],[Smithies]]</f>
        <v>0</v>
      </c>
      <c r="O28" s="227">
        <f ca="1">TblPop[[#This Row],[Employment]]</f>
        <v>0.95408467501490757</v>
      </c>
      <c r="P28" s="227">
        <f ca="1">TblImps[[#This Row],[Population]]</f>
        <v>1</v>
      </c>
      <c r="Q28" s="177">
        <f ca="1">TblExplore[[#This Row],[Land]]</f>
        <v>250</v>
      </c>
      <c r="R28" s="177">
        <f>TblExplore[[#This Row],[Hour]]</f>
        <v>25</v>
      </c>
      <c r="S28" s="228"/>
      <c r="T28" s="181"/>
      <c r="U28" s="181"/>
      <c r="V28" s="181"/>
      <c r="W28" s="181"/>
      <c r="X28" s="181"/>
      <c r="Y28" s="181"/>
      <c r="Z28" s="181"/>
      <c r="AA28" s="161">
        <f ca="1">TblImps[[#This Row],[Real time]]</f>
        <v>45732.999999999942</v>
      </c>
      <c r="AB28" s="96">
        <f ca="1">TblMili[[#This Row],[Draftees]]</f>
        <v>481</v>
      </c>
      <c r="AC28" s="96">
        <f ca="1">TblProd[[#This Row],[Platinum]]</f>
        <v>251201</v>
      </c>
      <c r="AD28" s="225"/>
      <c r="AE28" s="45">
        <f ca="1">TblExplore[[#This Row],[Land]]-TblExplore[[#This Row],[Land Bonus]]*20</f>
        <v>250</v>
      </c>
      <c r="AF28" s="96">
        <f ca="1">ROUND(MAX(0.6*TblExplore[[#This Row],[Land-DB]]^1.299,850)*(1+ tech_2_6*Techs!AC28 + tech_2_9*Techs!AF28 + tech_3_7*Techs!AN28 + Overview!$I$32),0)</f>
        <v>850</v>
      </c>
      <c r="AG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7">
        <f>TblRezone[[#This Row],[Hour]]</f>
        <v>26</v>
      </c>
      <c r="B29" s="224">
        <f ca="1">TblConstr[[#This Row],[Land]]</f>
        <v>250</v>
      </c>
      <c r="C29" s="225"/>
      <c r="D29" s="226">
        <f ca="1">TblConstr[[#This Row],[Plain]]</f>
        <v>40</v>
      </c>
      <c r="E29" s="184">
        <f ca="1">TblConstr[[#This Row],[Forest]]</f>
        <v>20</v>
      </c>
      <c r="F29" s="384">
        <f ca="1">TblConstr[[#This Row],[Mountain]]</f>
        <v>20</v>
      </c>
      <c r="G29" s="388">
        <f ca="1">TblConstr[[#This Row],[Hill]]</f>
        <v>20</v>
      </c>
      <c r="H29" s="392">
        <f ca="1">TblConstr[[#This Row],[Swamp]]</f>
        <v>20</v>
      </c>
      <c r="I29" s="187">
        <f ca="1">TblConstr[[#This Row],[Cavern]]</f>
        <v>20</v>
      </c>
      <c r="J29" s="188">
        <f ca="1">TblConstr[[#This Row],[Water]]</f>
        <v>20</v>
      </c>
      <c r="K29" s="220"/>
      <c r="L29" s="234" t="s">
        <v>365</v>
      </c>
      <c r="M29" s="236">
        <f ca="1">Q76</f>
        <v>250</v>
      </c>
      <c r="N29" s="227">
        <f ca="1">TblMili[[#This Row],[Smithies]]</f>
        <v>0</v>
      </c>
      <c r="O29" s="227">
        <f ca="1">TblPop[[#This Row],[Employment]]</f>
        <v>0.96385542168674698</v>
      </c>
      <c r="P29" s="227">
        <f ca="1">TblImps[[#This Row],[Population]]</f>
        <v>1</v>
      </c>
      <c r="Q29" s="177">
        <f ca="1">TblExplore[[#This Row],[Land]]</f>
        <v>250</v>
      </c>
      <c r="R29" s="177">
        <f>TblExplore[[#This Row],[Hour]]</f>
        <v>26</v>
      </c>
      <c r="S29" s="228"/>
      <c r="T29" s="160"/>
      <c r="U29" s="181"/>
      <c r="V29" s="181"/>
      <c r="W29" s="181"/>
      <c r="X29" s="181"/>
      <c r="Y29" s="181"/>
      <c r="Z29" s="181"/>
      <c r="AA29" s="161">
        <f ca="1">TblImps[[#This Row],[Real time]]</f>
        <v>45733.041666666606</v>
      </c>
      <c r="AB29" s="96">
        <f ca="1">TblMili[[#This Row],[Draftees]]</f>
        <v>498</v>
      </c>
      <c r="AC29" s="96">
        <f ca="1">TblProd[[#This Row],[Platinum]]</f>
        <v>256871</v>
      </c>
      <c r="AD29" s="225"/>
      <c r="AE29" s="45">
        <f ca="1">TblExplore[[#This Row],[Land]]-TblExplore[[#This Row],[Land Bonus]]*20</f>
        <v>250</v>
      </c>
      <c r="AF29" s="96">
        <f ca="1">ROUND(MAX(0.6*TblExplore[[#This Row],[Land-DB]]^1.299,850)*(1+ tech_2_6*Techs!AC29 + tech_2_9*Techs!AF29 + tech_3_7*Techs!AN29 + Overview!$I$32),0)</f>
        <v>850</v>
      </c>
      <c r="AG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7">
        <f>TblRezone[[#This Row],[Hour]]</f>
        <v>27</v>
      </c>
      <c r="B30" s="224">
        <f ca="1">TblConstr[[#This Row],[Land]]</f>
        <v>250</v>
      </c>
      <c r="C30" s="225"/>
      <c r="D30" s="226">
        <f ca="1">TblConstr[[#This Row],[Plain]]</f>
        <v>40</v>
      </c>
      <c r="E30" s="184">
        <f ca="1">TblConstr[[#This Row],[Forest]]</f>
        <v>20</v>
      </c>
      <c r="F30" s="384">
        <f ca="1">TblConstr[[#This Row],[Mountain]]</f>
        <v>20</v>
      </c>
      <c r="G30" s="388">
        <f ca="1">TblConstr[[#This Row],[Hill]]</f>
        <v>20</v>
      </c>
      <c r="H30" s="392">
        <f ca="1">TblConstr[[#This Row],[Swamp]]</f>
        <v>20</v>
      </c>
      <c r="I30" s="187">
        <f ca="1">TblConstr[[#This Row],[Cavern]]</f>
        <v>20</v>
      </c>
      <c r="J30" s="188">
        <f ca="1">TblConstr[[#This Row],[Water]]</f>
        <v>20</v>
      </c>
      <c r="K30" s="220"/>
      <c r="L30" s="220"/>
      <c r="M30" s="233"/>
      <c r="N30" s="227">
        <f ca="1">TblMili[[#This Row],[Smithies]]</f>
        <v>0</v>
      </c>
      <c r="O30" s="227">
        <f ca="1">TblPop[[#This Row],[Employment]]</f>
        <v>0.9738283627510651</v>
      </c>
      <c r="P30" s="227">
        <f ca="1">TblImps[[#This Row],[Population]]</f>
        <v>1</v>
      </c>
      <c r="Q30" s="177">
        <f ca="1">TblExplore[[#This Row],[Land]]</f>
        <v>250</v>
      </c>
      <c r="R30" s="177">
        <f>TblExplore[[#This Row],[Hour]]</f>
        <v>27</v>
      </c>
      <c r="S30" s="228"/>
      <c r="T30" s="160"/>
      <c r="U30" s="181"/>
      <c r="V30" s="181"/>
      <c r="W30" s="181"/>
      <c r="X30" s="181"/>
      <c r="Y30" s="181"/>
      <c r="Z30" s="181"/>
      <c r="AA30" s="161">
        <f ca="1">TblImps[[#This Row],[Real time]]</f>
        <v>45733.08333333327</v>
      </c>
      <c r="AB30" s="96">
        <f ca="1">TblMili[[#This Row],[Draftees]]</f>
        <v>515</v>
      </c>
      <c r="AC30" s="96">
        <f ca="1">TblProd[[#This Row],[Platinum]]</f>
        <v>262541</v>
      </c>
      <c r="AD30" s="225"/>
      <c r="AE30" s="45">
        <f ca="1">TblExplore[[#This Row],[Land]]-TblExplore[[#This Row],[Land Bonus]]*20</f>
        <v>250</v>
      </c>
      <c r="AF30" s="96">
        <f ca="1">ROUND(MAX(0.6*TblExplore[[#This Row],[Land-DB]]^1.299,850)*(1+ tech_2_6*Techs!AC30 + tech_2_9*Techs!AF30 + tech_3_7*Techs!AN30 + Overview!$I$32),0)</f>
        <v>850</v>
      </c>
      <c r="AG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7">
        <f>TblRezone[[#This Row],[Hour]]</f>
        <v>28</v>
      </c>
      <c r="B31" s="224">
        <f ca="1">TblConstr[[#This Row],[Land]]</f>
        <v>250</v>
      </c>
      <c r="C31" s="225"/>
      <c r="D31" s="226">
        <f ca="1">TblConstr[[#This Row],[Plain]]</f>
        <v>40</v>
      </c>
      <c r="E31" s="184">
        <f ca="1">TblConstr[[#This Row],[Forest]]</f>
        <v>20</v>
      </c>
      <c r="F31" s="384">
        <f ca="1">TblConstr[[#This Row],[Mountain]]</f>
        <v>20</v>
      </c>
      <c r="G31" s="388">
        <f ca="1">TblConstr[[#This Row],[Hill]]</f>
        <v>20</v>
      </c>
      <c r="H31" s="392">
        <f ca="1">TblConstr[[#This Row],[Swamp]]</f>
        <v>20</v>
      </c>
      <c r="I31" s="187">
        <f ca="1">TblConstr[[#This Row],[Cavern]]</f>
        <v>20</v>
      </c>
      <c r="J31" s="188">
        <f ca="1">TblConstr[[#This Row],[Water]]</f>
        <v>20</v>
      </c>
      <c r="K31" s="220"/>
      <c r="L31" s="220"/>
      <c r="M31" s="233"/>
      <c r="N31" s="227">
        <f ca="1">TblMili[[#This Row],[Smithies]]</f>
        <v>0</v>
      </c>
      <c r="O31" s="227">
        <f ca="1">TblPop[[#This Row],[Employment]]</f>
        <v>0.98340503995082973</v>
      </c>
      <c r="P31" s="227">
        <f ca="1">TblImps[[#This Row],[Population]]</f>
        <v>1</v>
      </c>
      <c r="Q31" s="177">
        <f ca="1">TblExplore[[#This Row],[Land]]</f>
        <v>250</v>
      </c>
      <c r="R31" s="177">
        <f>TblExplore[[#This Row],[Hour]]</f>
        <v>28</v>
      </c>
      <c r="S31" s="228"/>
      <c r="T31" s="160"/>
      <c r="U31" s="181"/>
      <c r="V31" s="181"/>
      <c r="W31" s="181"/>
      <c r="X31" s="181"/>
      <c r="Y31" s="181"/>
      <c r="Z31" s="181"/>
      <c r="AA31" s="161">
        <f ca="1">TblImps[[#This Row],[Real time]]</f>
        <v>45733.124999999935</v>
      </c>
      <c r="AB31" s="96">
        <f ca="1">TblMili[[#This Row],[Draftees]]</f>
        <v>531</v>
      </c>
      <c r="AC31" s="96">
        <f ca="1">TblProd[[#This Row],[Platinum]]</f>
        <v>268211</v>
      </c>
      <c r="AD31" s="225"/>
      <c r="AE31" s="45">
        <f ca="1">TblExplore[[#This Row],[Land]]-TblExplore[[#This Row],[Land Bonus]]*20</f>
        <v>250</v>
      </c>
      <c r="AF31" s="96">
        <f ca="1">ROUND(MAX(0.6*TblExplore[[#This Row],[Land-DB]]^1.299,850)*(1+ tech_2_6*Techs!AC31 + tech_2_9*Techs!AF31 + tech_3_7*Techs!AN31 + Overview!$I$32),0)</f>
        <v>850</v>
      </c>
      <c r="AG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7">
        <f>TblRezone[[#This Row],[Hour]]</f>
        <v>29</v>
      </c>
      <c r="B32" s="224">
        <f ca="1">TblConstr[[#This Row],[Land]]</f>
        <v>250</v>
      </c>
      <c r="C32" s="225"/>
      <c r="D32" s="226">
        <f ca="1">TblConstr[[#This Row],[Plain]]</f>
        <v>40</v>
      </c>
      <c r="E32" s="184">
        <f ca="1">TblConstr[[#This Row],[Forest]]</f>
        <v>20</v>
      </c>
      <c r="F32" s="384">
        <f ca="1">TblConstr[[#This Row],[Mountain]]</f>
        <v>20</v>
      </c>
      <c r="G32" s="388">
        <f ca="1">TblConstr[[#This Row],[Hill]]</f>
        <v>20</v>
      </c>
      <c r="H32" s="392">
        <f ca="1">TblConstr[[#This Row],[Swamp]]</f>
        <v>20</v>
      </c>
      <c r="I32" s="187">
        <f ca="1">TblConstr[[#This Row],[Cavern]]</f>
        <v>20</v>
      </c>
      <c r="J32" s="188">
        <f ca="1">TblConstr[[#This Row],[Water]]</f>
        <v>20</v>
      </c>
      <c r="K32" s="220"/>
      <c r="L32" s="220"/>
      <c r="M32" s="233"/>
      <c r="N32" s="227">
        <f ca="1">TblMili[[#This Row],[Smithies]]</f>
        <v>0</v>
      </c>
      <c r="O32" s="227">
        <f ca="1">TblPop[[#This Row],[Employment]]</f>
        <v>0.99317194289261324</v>
      </c>
      <c r="P32" s="227">
        <f ca="1">TblImps[[#This Row],[Population]]</f>
        <v>1</v>
      </c>
      <c r="Q32" s="177">
        <f ca="1">TblExplore[[#This Row],[Land]]</f>
        <v>250</v>
      </c>
      <c r="R32" s="177">
        <f>TblExplore[[#This Row],[Hour]]</f>
        <v>29</v>
      </c>
      <c r="S32" s="228"/>
      <c r="T32" s="160"/>
      <c r="U32" s="181"/>
      <c r="V32" s="181"/>
      <c r="W32" s="181"/>
      <c r="X32" s="181"/>
      <c r="Y32" s="181"/>
      <c r="Z32" s="181"/>
      <c r="AA32" s="161">
        <f ca="1">TblImps[[#This Row],[Real time]]</f>
        <v>45733.166666666599</v>
      </c>
      <c r="AB32" s="96">
        <f ca="1">TblMili[[#This Row],[Draftees]]</f>
        <v>547</v>
      </c>
      <c r="AC32" s="96">
        <f ca="1">TblProd[[#This Row],[Platinum]]</f>
        <v>273881</v>
      </c>
      <c r="AD32" s="225"/>
      <c r="AE32" s="45">
        <f ca="1">TblExplore[[#This Row],[Land]]-TblExplore[[#This Row],[Land Bonus]]*20</f>
        <v>250</v>
      </c>
      <c r="AF32" s="96">
        <f ca="1">ROUND(MAX(0.6*TblExplore[[#This Row],[Land-DB]]^1.299,850)*(1+ tech_2_6*Techs!AC32 + tech_2_9*Techs!AF32 + tech_3_7*Techs!AN32 + Overview!$I$32),0)</f>
        <v>850</v>
      </c>
      <c r="AG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7">
        <f>TblRezone[[#This Row],[Hour]]</f>
        <v>30</v>
      </c>
      <c r="B33" s="224">
        <f ca="1">TblConstr[[#This Row],[Land]]</f>
        <v>250</v>
      </c>
      <c r="C33" s="225"/>
      <c r="D33" s="226">
        <f ca="1">TblConstr[[#This Row],[Plain]]</f>
        <v>40</v>
      </c>
      <c r="E33" s="184">
        <f ca="1">TblConstr[[#This Row],[Forest]]</f>
        <v>20</v>
      </c>
      <c r="F33" s="384">
        <f ca="1">TblConstr[[#This Row],[Mountain]]</f>
        <v>20</v>
      </c>
      <c r="G33" s="388">
        <f ca="1">TblConstr[[#This Row],[Hill]]</f>
        <v>20</v>
      </c>
      <c r="H33" s="392">
        <f ca="1">TblConstr[[#This Row],[Swamp]]</f>
        <v>20</v>
      </c>
      <c r="I33" s="187">
        <f ca="1">TblConstr[[#This Row],[Cavern]]</f>
        <v>20</v>
      </c>
      <c r="J33" s="188">
        <f ca="1">TblConstr[[#This Row],[Water]]</f>
        <v>20</v>
      </c>
      <c r="K33" s="220"/>
      <c r="L33" s="220"/>
      <c r="M33" s="220"/>
      <c r="N33" s="227">
        <f ca="1">TblMili[[#This Row],[Smithies]]</f>
        <v>0</v>
      </c>
      <c r="O33" s="227">
        <f ca="1">TblPop[[#This Row],[Employment]]</f>
        <v>1</v>
      </c>
      <c r="P33" s="227">
        <f ca="1">TblImps[[#This Row],[Population]]</f>
        <v>1</v>
      </c>
      <c r="Q33" s="177">
        <f ca="1">TblExplore[[#This Row],[Land]]</f>
        <v>250</v>
      </c>
      <c r="R33" s="177">
        <f>TblExplore[[#This Row],[Hour]]</f>
        <v>30</v>
      </c>
      <c r="S33" s="228"/>
      <c r="T33" s="160"/>
      <c r="U33" s="181"/>
      <c r="V33" s="181"/>
      <c r="W33" s="181"/>
      <c r="X33" s="181"/>
      <c r="Y33" s="181"/>
      <c r="Z33" s="181"/>
      <c r="AA33" s="161">
        <f ca="1">TblImps[[#This Row],[Real time]]</f>
        <v>45733.208333333263</v>
      </c>
      <c r="AB33" s="96">
        <f ca="1">TblMili[[#This Row],[Draftees]]</f>
        <v>563</v>
      </c>
      <c r="AC33" s="96">
        <f ca="1">TblProd[[#This Row],[Platinum]]</f>
        <v>279551</v>
      </c>
      <c r="AD33" s="225"/>
      <c r="AE33" s="45">
        <f ca="1">TblExplore[[#This Row],[Land]]-TblExplore[[#This Row],[Land Bonus]]*20</f>
        <v>250</v>
      </c>
      <c r="AF33" s="96">
        <f ca="1">ROUND(MAX(0.6*TblExplore[[#This Row],[Land-DB]]^1.299,850)*(1+ tech_2_6*Techs!AC33 + tech_2_9*Techs!AF33 + tech_3_7*Techs!AN33 + Overview!$I$32),0)</f>
        <v>850</v>
      </c>
      <c r="AG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7">
        <f>TblRezone[[#This Row],[Hour]]</f>
        <v>31</v>
      </c>
      <c r="B34" s="224">
        <f ca="1">TblConstr[[#This Row],[Land]]</f>
        <v>250</v>
      </c>
      <c r="C34" s="225"/>
      <c r="D34" s="226">
        <f ca="1">TblConstr[[#This Row],[Plain]]</f>
        <v>40</v>
      </c>
      <c r="E34" s="184">
        <f ca="1">TblConstr[[#This Row],[Forest]]</f>
        <v>20</v>
      </c>
      <c r="F34" s="384">
        <f ca="1">TblConstr[[#This Row],[Mountain]]</f>
        <v>20</v>
      </c>
      <c r="G34" s="388">
        <f ca="1">TblConstr[[#This Row],[Hill]]</f>
        <v>20</v>
      </c>
      <c r="H34" s="392">
        <f ca="1">TblConstr[[#This Row],[Swamp]]</f>
        <v>20</v>
      </c>
      <c r="I34" s="187">
        <f ca="1">TblConstr[[#This Row],[Cavern]]</f>
        <v>20</v>
      </c>
      <c r="J34" s="188">
        <f ca="1">TblConstr[[#This Row],[Water]]</f>
        <v>20</v>
      </c>
      <c r="K34" s="220"/>
      <c r="L34" s="220"/>
      <c r="M34" s="237"/>
      <c r="N34" s="227">
        <f ca="1">TblMili[[#This Row],[Smithies]]</f>
        <v>0</v>
      </c>
      <c r="O34" s="227">
        <f ca="1">TblPop[[#This Row],[Employment]]</f>
        <v>1</v>
      </c>
      <c r="P34" s="227">
        <f ca="1">TblImps[[#This Row],[Population]]</f>
        <v>1</v>
      </c>
      <c r="Q34" s="177">
        <f ca="1">TblExplore[[#This Row],[Land]]</f>
        <v>250</v>
      </c>
      <c r="R34" s="177">
        <f>TblExplore[[#This Row],[Hour]]</f>
        <v>31</v>
      </c>
      <c r="S34" s="228"/>
      <c r="T34" s="181"/>
      <c r="U34" s="181"/>
      <c r="V34" s="181"/>
      <c r="W34" s="181"/>
      <c r="X34" s="181"/>
      <c r="Y34" s="181"/>
      <c r="Z34" s="181"/>
      <c r="AA34" s="161">
        <f ca="1">TblImps[[#This Row],[Real time]]</f>
        <v>45733.249999999927</v>
      </c>
      <c r="AB34" s="96">
        <f ca="1">TblMili[[#This Row],[Draftees]]</f>
        <v>579</v>
      </c>
      <c r="AC34" s="96">
        <f ca="1">TblProd[[#This Row],[Platinum]]</f>
        <v>285207</v>
      </c>
      <c r="AD34" s="225"/>
      <c r="AE34" s="45">
        <f ca="1">TblExplore[[#This Row],[Land]]-TblExplore[[#This Row],[Land Bonus]]*20</f>
        <v>250</v>
      </c>
      <c r="AF34" s="96">
        <f ca="1">ROUND(MAX(0.6*TblExplore[[#This Row],[Land-DB]]^1.299,850)*(1+ tech_2_6*Techs!AC34 + tech_2_9*Techs!AF34 + tech_3_7*Techs!AN34 + Overview!$I$32),0)</f>
        <v>850</v>
      </c>
      <c r="AG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7">
        <f>TblRezone[[#This Row],[Hour]]</f>
        <v>32</v>
      </c>
      <c r="B35" s="224">
        <f ca="1">TblConstr[[#This Row],[Land]]</f>
        <v>250</v>
      </c>
      <c r="C35" s="225"/>
      <c r="D35" s="226">
        <f ca="1">TblConstr[[#This Row],[Plain]]</f>
        <v>40</v>
      </c>
      <c r="E35" s="184">
        <f ca="1">TblConstr[[#This Row],[Forest]]</f>
        <v>20</v>
      </c>
      <c r="F35" s="384">
        <f ca="1">TblConstr[[#This Row],[Mountain]]</f>
        <v>20</v>
      </c>
      <c r="G35" s="388">
        <f ca="1">TblConstr[[#This Row],[Hill]]</f>
        <v>20</v>
      </c>
      <c r="H35" s="392">
        <f ca="1">TblConstr[[#This Row],[Swamp]]</f>
        <v>20</v>
      </c>
      <c r="I35" s="187">
        <f ca="1">TblConstr[[#This Row],[Cavern]]</f>
        <v>20</v>
      </c>
      <c r="J35" s="188">
        <f ca="1">TblConstr[[#This Row],[Water]]</f>
        <v>20</v>
      </c>
      <c r="K35" s="220"/>
      <c r="L35" s="220"/>
      <c r="M35" s="237"/>
      <c r="N35" s="227">
        <f ca="1">TblMili[[#This Row],[Smithies]]</f>
        <v>0</v>
      </c>
      <c r="O35" s="227">
        <f ca="1">TblPop[[#This Row],[Employment]]</f>
        <v>1</v>
      </c>
      <c r="P35" s="227">
        <f ca="1">TblImps[[#This Row],[Population]]</f>
        <v>1</v>
      </c>
      <c r="Q35" s="177">
        <f ca="1">TblExplore[[#This Row],[Land]]</f>
        <v>250</v>
      </c>
      <c r="R35" s="177">
        <f>TblExplore[[#This Row],[Hour]]</f>
        <v>32</v>
      </c>
      <c r="S35" s="228"/>
      <c r="T35" s="181"/>
      <c r="U35" s="181"/>
      <c r="V35" s="181"/>
      <c r="W35" s="181"/>
      <c r="X35" s="181"/>
      <c r="Y35" s="181"/>
      <c r="Z35" s="181"/>
      <c r="AA35" s="161">
        <f ca="1">TblImps[[#This Row],[Real time]]</f>
        <v>45733.291666666591</v>
      </c>
      <c r="AB35" s="96">
        <f ca="1">TblMili[[#This Row],[Draftees]]</f>
        <v>595</v>
      </c>
      <c r="AC35" s="96">
        <f ca="1">TblProd[[#This Row],[Platinum]]</f>
        <v>290820</v>
      </c>
      <c r="AD35" s="225"/>
      <c r="AE35" s="45">
        <f ca="1">TblExplore[[#This Row],[Land]]-TblExplore[[#This Row],[Land Bonus]]*20</f>
        <v>250</v>
      </c>
      <c r="AF35" s="96">
        <f ca="1">ROUND(MAX(0.6*TblExplore[[#This Row],[Land-DB]]^1.299,850)*(1+ tech_2_6*Techs!AC35 + tech_2_9*Techs!AF35 + tech_3_7*Techs!AN35 + Overview!$I$32),0)</f>
        <v>850</v>
      </c>
      <c r="AG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7">
        <f>TblRezone[[#This Row],[Hour]]</f>
        <v>33</v>
      </c>
      <c r="B36" s="224">
        <f ca="1">TblConstr[[#This Row],[Land]]</f>
        <v>250</v>
      </c>
      <c r="C36" s="225"/>
      <c r="D36" s="226">
        <f ca="1">TblConstr[[#This Row],[Plain]]</f>
        <v>40</v>
      </c>
      <c r="E36" s="184">
        <f ca="1">TblConstr[[#This Row],[Forest]]</f>
        <v>20</v>
      </c>
      <c r="F36" s="384">
        <f ca="1">TblConstr[[#This Row],[Mountain]]</f>
        <v>20</v>
      </c>
      <c r="G36" s="388">
        <f ca="1">TblConstr[[#This Row],[Hill]]</f>
        <v>20</v>
      </c>
      <c r="H36" s="392">
        <f ca="1">TblConstr[[#This Row],[Swamp]]</f>
        <v>20</v>
      </c>
      <c r="I36" s="187">
        <f ca="1">TblConstr[[#This Row],[Cavern]]</f>
        <v>20</v>
      </c>
      <c r="J36" s="188">
        <f ca="1">TblConstr[[#This Row],[Water]]</f>
        <v>20</v>
      </c>
      <c r="K36" s="220"/>
      <c r="L36" s="220"/>
      <c r="M36" s="220"/>
      <c r="N36" s="227">
        <f ca="1">TblMili[[#This Row],[Smithies]]</f>
        <v>0</v>
      </c>
      <c r="O36" s="227">
        <f ca="1">TblPop[[#This Row],[Employment]]</f>
        <v>1</v>
      </c>
      <c r="P36" s="227">
        <f ca="1">TblImps[[#This Row],[Population]]</f>
        <v>1</v>
      </c>
      <c r="Q36" s="177">
        <f ca="1">TblExplore[[#This Row],[Land]]</f>
        <v>250</v>
      </c>
      <c r="R36" s="177">
        <f>TblExplore[[#This Row],[Hour]]</f>
        <v>33</v>
      </c>
      <c r="S36" s="228"/>
      <c r="T36" s="181"/>
      <c r="U36" s="181"/>
      <c r="V36" s="181"/>
      <c r="W36" s="181"/>
      <c r="X36" s="181"/>
      <c r="Y36" s="181"/>
      <c r="Z36" s="181"/>
      <c r="AA36" s="161">
        <f ca="1">TblImps[[#This Row],[Real time]]</f>
        <v>45733.333333333256</v>
      </c>
      <c r="AB36" s="96">
        <f ca="1">TblMili[[#This Row],[Draftees]]</f>
        <v>611</v>
      </c>
      <c r="AC36" s="96">
        <f ca="1">TblProd[[#This Row],[Platinum]]</f>
        <v>296390</v>
      </c>
      <c r="AD36" s="225"/>
      <c r="AE36" s="45">
        <f ca="1">TblExplore[[#This Row],[Land]]-TblExplore[[#This Row],[Land Bonus]]*20</f>
        <v>250</v>
      </c>
      <c r="AF36" s="96">
        <f ca="1">ROUND(MAX(0.6*TblExplore[[#This Row],[Land-DB]]^1.299,850)*(1+ tech_2_6*Techs!AC36 + tech_2_9*Techs!AF36 + tech_3_7*Techs!AN36 + Overview!$I$32),0)</f>
        <v>850</v>
      </c>
      <c r="AG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7">
        <f>TblRezone[[#This Row],[Hour]]</f>
        <v>34</v>
      </c>
      <c r="B37" s="224">
        <f ca="1">TblConstr[[#This Row],[Land]]</f>
        <v>250</v>
      </c>
      <c r="C37" s="225"/>
      <c r="D37" s="226">
        <f ca="1">TblConstr[[#This Row],[Plain]]</f>
        <v>40</v>
      </c>
      <c r="E37" s="184">
        <f ca="1">TblConstr[[#This Row],[Forest]]</f>
        <v>20</v>
      </c>
      <c r="F37" s="384">
        <f ca="1">TblConstr[[#This Row],[Mountain]]</f>
        <v>20</v>
      </c>
      <c r="G37" s="388">
        <f ca="1">TblConstr[[#This Row],[Hill]]</f>
        <v>20</v>
      </c>
      <c r="H37" s="392">
        <f ca="1">TblConstr[[#This Row],[Swamp]]</f>
        <v>20</v>
      </c>
      <c r="I37" s="187">
        <f ca="1">TblConstr[[#This Row],[Cavern]]</f>
        <v>20</v>
      </c>
      <c r="J37" s="188">
        <f ca="1">TblConstr[[#This Row],[Water]]</f>
        <v>20</v>
      </c>
      <c r="K37" s="220"/>
      <c r="L37" s="220"/>
      <c r="M37" s="220"/>
      <c r="N37" s="227">
        <f ca="1">TblMili[[#This Row],[Smithies]]</f>
        <v>0</v>
      </c>
      <c r="O37" s="227">
        <f ca="1">TblPop[[#This Row],[Employment]]</f>
        <v>1</v>
      </c>
      <c r="P37" s="227">
        <f ca="1">TblImps[[#This Row],[Population]]</f>
        <v>1</v>
      </c>
      <c r="Q37" s="177">
        <f ca="1">TblExplore[[#This Row],[Land]]</f>
        <v>250</v>
      </c>
      <c r="R37" s="177">
        <f>TblExplore[[#This Row],[Hour]]</f>
        <v>34</v>
      </c>
      <c r="S37" s="228"/>
      <c r="T37" s="181"/>
      <c r="U37" s="181"/>
      <c r="V37" s="181"/>
      <c r="W37" s="181"/>
      <c r="X37" s="181"/>
      <c r="Y37" s="181"/>
      <c r="Z37" s="181"/>
      <c r="AA37" s="161">
        <f ca="1">TblImps[[#This Row],[Real time]]</f>
        <v>45733.37499999992</v>
      </c>
      <c r="AB37" s="96">
        <f ca="1">TblMili[[#This Row],[Draftees]]</f>
        <v>626</v>
      </c>
      <c r="AC37" s="96">
        <f ca="1">TblProd[[#This Row],[Platinum]]</f>
        <v>301916</v>
      </c>
      <c r="AD37" s="225"/>
      <c r="AE37" s="45">
        <f ca="1">TblExplore[[#This Row],[Land]]-TblExplore[[#This Row],[Land Bonus]]*20</f>
        <v>250</v>
      </c>
      <c r="AF37" s="96">
        <f ca="1">ROUND(MAX(0.6*TblExplore[[#This Row],[Land-DB]]^1.299,850)*(1+ tech_2_6*Techs!AC37 + tech_2_9*Techs!AF37 + tech_3_7*Techs!AN37 + Overview!$I$32),0)</f>
        <v>850</v>
      </c>
      <c r="AG3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7">
        <f>TblRezone[[#This Row],[Hour]]</f>
        <v>35</v>
      </c>
      <c r="B38" s="224">
        <f ca="1">TblConstr[[#This Row],[Land]]</f>
        <v>250</v>
      </c>
      <c r="C38" s="225"/>
      <c r="D38" s="226">
        <f ca="1">TblConstr[[#This Row],[Plain]]</f>
        <v>40</v>
      </c>
      <c r="E38" s="184">
        <f ca="1">TblConstr[[#This Row],[Forest]]</f>
        <v>20</v>
      </c>
      <c r="F38" s="384">
        <f ca="1">TblConstr[[#This Row],[Mountain]]</f>
        <v>20</v>
      </c>
      <c r="G38" s="388">
        <f ca="1">TblConstr[[#This Row],[Hill]]</f>
        <v>20</v>
      </c>
      <c r="H38" s="392">
        <f ca="1">TblConstr[[#This Row],[Swamp]]</f>
        <v>20</v>
      </c>
      <c r="I38" s="187">
        <f ca="1">TblConstr[[#This Row],[Cavern]]</f>
        <v>20</v>
      </c>
      <c r="J38" s="188">
        <f ca="1">TblConstr[[#This Row],[Water]]</f>
        <v>20</v>
      </c>
      <c r="K38" s="220"/>
      <c r="L38" s="220"/>
      <c r="M38" s="220"/>
      <c r="N38" s="227">
        <f ca="1">TblMili[[#This Row],[Smithies]]</f>
        <v>0</v>
      </c>
      <c r="O38" s="227">
        <f ca="1">TblPop[[#This Row],[Employment]]</f>
        <v>1</v>
      </c>
      <c r="P38" s="227">
        <f ca="1">TblImps[[#This Row],[Population]]</f>
        <v>1</v>
      </c>
      <c r="Q38" s="177">
        <f ca="1">TblExplore[[#This Row],[Land]]</f>
        <v>250</v>
      </c>
      <c r="R38" s="177">
        <f>TblExplore[[#This Row],[Hour]]</f>
        <v>35</v>
      </c>
      <c r="S38" s="228"/>
      <c r="T38" s="160"/>
      <c r="U38" s="181"/>
      <c r="V38" s="181"/>
      <c r="W38" s="181"/>
      <c r="X38" s="181"/>
      <c r="Y38" s="181"/>
      <c r="Z38" s="181"/>
      <c r="AA38" s="161">
        <f ca="1">TblImps[[#This Row],[Real time]]</f>
        <v>45733.416666666584</v>
      </c>
      <c r="AB38" s="96">
        <f ca="1">TblMili[[#This Row],[Draftees]]</f>
        <v>626</v>
      </c>
      <c r="AC38" s="96">
        <f ca="1">TblProd[[#This Row],[Platinum]]</f>
        <v>307402</v>
      </c>
      <c r="AD38" s="225"/>
      <c r="AE38" s="45">
        <f ca="1">TblExplore[[#This Row],[Land]]-TblExplore[[#This Row],[Land Bonus]]*20</f>
        <v>250</v>
      </c>
      <c r="AF38" s="96">
        <f ca="1">ROUND(MAX(0.6*TblExplore[[#This Row],[Land-DB]]^1.299,850)*(1+ tech_2_6*Techs!AC38 + tech_2_9*Techs!AF38 + tech_3_7*Techs!AN38 + Overview!$I$32),0)</f>
        <v>850</v>
      </c>
      <c r="AG3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7">
        <f>TblRezone[[#This Row],[Hour]]</f>
        <v>36</v>
      </c>
      <c r="B39" s="224">
        <f ca="1">TblConstr[[#This Row],[Land]]</f>
        <v>250</v>
      </c>
      <c r="C39" s="225"/>
      <c r="D39" s="226">
        <f ca="1">TblConstr[[#This Row],[Plain]]</f>
        <v>40</v>
      </c>
      <c r="E39" s="184">
        <f ca="1">TblConstr[[#This Row],[Forest]]</f>
        <v>20</v>
      </c>
      <c r="F39" s="384">
        <f ca="1">TblConstr[[#This Row],[Mountain]]</f>
        <v>20</v>
      </c>
      <c r="G39" s="388">
        <f ca="1">TblConstr[[#This Row],[Hill]]</f>
        <v>20</v>
      </c>
      <c r="H39" s="392">
        <f ca="1">TblConstr[[#This Row],[Swamp]]</f>
        <v>20</v>
      </c>
      <c r="I39" s="187">
        <f ca="1">TblConstr[[#This Row],[Cavern]]</f>
        <v>20</v>
      </c>
      <c r="J39" s="188">
        <f ca="1">TblConstr[[#This Row],[Water]]</f>
        <v>20</v>
      </c>
      <c r="K39" s="220"/>
      <c r="L39" s="220"/>
      <c r="M39" s="220"/>
      <c r="N39" s="227">
        <f ca="1">TblMili[[#This Row],[Smithies]]</f>
        <v>0</v>
      </c>
      <c r="O39" s="227">
        <f ca="1">TblPop[[#This Row],[Employment]]</f>
        <v>1</v>
      </c>
      <c r="P39" s="227">
        <f ca="1">TblImps[[#This Row],[Population]]</f>
        <v>1</v>
      </c>
      <c r="Q39" s="177">
        <f ca="1">TblExplore[[#This Row],[Land]]</f>
        <v>250</v>
      </c>
      <c r="R39" s="177">
        <f>TblExplore[[#This Row],[Hour]]</f>
        <v>36</v>
      </c>
      <c r="S39" s="228"/>
      <c r="T39" s="181"/>
      <c r="U39" s="181"/>
      <c r="V39" s="181"/>
      <c r="W39" s="181"/>
      <c r="X39" s="181"/>
      <c r="Y39" s="181"/>
      <c r="Z39" s="181"/>
      <c r="AA39" s="161">
        <f ca="1">TblImps[[#This Row],[Real time]]</f>
        <v>45733.458333333248</v>
      </c>
      <c r="AB39" s="96">
        <f ca="1">TblMili[[#This Row],[Draftees]]</f>
        <v>626</v>
      </c>
      <c r="AC39" s="96">
        <f ca="1">TblProd[[#This Row],[Platinum]]</f>
        <v>312888</v>
      </c>
      <c r="AD39" s="225"/>
      <c r="AE39" s="45">
        <f ca="1">TblExplore[[#This Row],[Land]]-TblExplore[[#This Row],[Land Bonus]]*20</f>
        <v>250</v>
      </c>
      <c r="AF39" s="96">
        <f ca="1">ROUND(MAX(0.6*TblExplore[[#This Row],[Land-DB]]^1.299,850)*(1+ tech_2_6*Techs!AC39 + tech_2_9*Techs!AF39 + tech_3_7*Techs!AN39 + Overview!$I$32),0)</f>
        <v>850</v>
      </c>
      <c r="AG3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7">
        <f>TblRezone[[#This Row],[Hour]]</f>
        <v>37</v>
      </c>
      <c r="B40" s="224">
        <f ca="1">TblConstr[[#This Row],[Land]]</f>
        <v>250</v>
      </c>
      <c r="C40" s="225"/>
      <c r="D40" s="226">
        <f ca="1">TblConstr[[#This Row],[Plain]]</f>
        <v>40</v>
      </c>
      <c r="E40" s="184">
        <f ca="1">TblConstr[[#This Row],[Forest]]</f>
        <v>20</v>
      </c>
      <c r="F40" s="384">
        <f ca="1">TblConstr[[#This Row],[Mountain]]</f>
        <v>20</v>
      </c>
      <c r="G40" s="388">
        <f ca="1">TblConstr[[#This Row],[Hill]]</f>
        <v>20</v>
      </c>
      <c r="H40" s="392">
        <f ca="1">TblConstr[[#This Row],[Swamp]]</f>
        <v>20</v>
      </c>
      <c r="I40" s="187">
        <f ca="1">TblConstr[[#This Row],[Cavern]]</f>
        <v>20</v>
      </c>
      <c r="J40" s="188">
        <f ca="1">TblConstr[[#This Row],[Water]]</f>
        <v>20</v>
      </c>
      <c r="K40" s="220"/>
      <c r="L40" s="220"/>
      <c r="M40" s="220"/>
      <c r="N40" s="227">
        <f ca="1">TblMili[[#This Row],[Smithies]]</f>
        <v>0</v>
      </c>
      <c r="O40" s="227">
        <f ca="1">TblPop[[#This Row],[Employment]]</f>
        <v>1</v>
      </c>
      <c r="P40" s="227">
        <f ca="1">TblImps[[#This Row],[Population]]</f>
        <v>1</v>
      </c>
      <c r="Q40" s="177">
        <f ca="1">TblExplore[[#This Row],[Land]]</f>
        <v>250</v>
      </c>
      <c r="R40" s="177">
        <f>TblExplore[[#This Row],[Hour]]</f>
        <v>37</v>
      </c>
      <c r="S40" s="228"/>
      <c r="T40" s="181"/>
      <c r="U40" s="181"/>
      <c r="V40" s="181"/>
      <c r="W40" s="181"/>
      <c r="X40" s="181"/>
      <c r="Y40" s="181"/>
      <c r="Z40" s="181"/>
      <c r="AA40" s="161">
        <f ca="1">TblImps[[#This Row],[Real time]]</f>
        <v>45733.499999999913</v>
      </c>
      <c r="AB40" s="96">
        <f ca="1">TblMili[[#This Row],[Draftees]]</f>
        <v>626</v>
      </c>
      <c r="AC40" s="96">
        <f ca="1">TblProd[[#This Row],[Platinum]]</f>
        <v>318374</v>
      </c>
      <c r="AD40" s="225"/>
      <c r="AE40" s="45">
        <f ca="1">TblExplore[[#This Row],[Land]]-TblExplore[[#This Row],[Land Bonus]]*20</f>
        <v>250</v>
      </c>
      <c r="AF40" s="96">
        <f ca="1">ROUND(MAX(0.6*TblExplore[[#This Row],[Land-DB]]^1.299,850)*(1+ tech_2_6*Techs!AC40 + tech_2_9*Techs!AF40 + tech_3_7*Techs!AN40 + Overview!$I$32),0)</f>
        <v>850</v>
      </c>
      <c r="AG4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7">
        <f>TblRezone[[#This Row],[Hour]]</f>
        <v>38</v>
      </c>
      <c r="B41" s="224">
        <f ca="1">TblConstr[[#This Row],[Land]]</f>
        <v>250</v>
      </c>
      <c r="C41" s="225"/>
      <c r="D41" s="226">
        <f ca="1">TblConstr[[#This Row],[Plain]]</f>
        <v>40</v>
      </c>
      <c r="E41" s="184">
        <f ca="1">TblConstr[[#This Row],[Forest]]</f>
        <v>20</v>
      </c>
      <c r="F41" s="384">
        <f ca="1">TblConstr[[#This Row],[Mountain]]</f>
        <v>20</v>
      </c>
      <c r="G41" s="388">
        <f ca="1">TblConstr[[#This Row],[Hill]]</f>
        <v>20</v>
      </c>
      <c r="H41" s="392">
        <f ca="1">TblConstr[[#This Row],[Swamp]]</f>
        <v>20</v>
      </c>
      <c r="I41" s="187">
        <f ca="1">TblConstr[[#This Row],[Cavern]]</f>
        <v>20</v>
      </c>
      <c r="J41" s="188">
        <f ca="1">TblConstr[[#This Row],[Water]]</f>
        <v>20</v>
      </c>
      <c r="K41" s="220"/>
      <c r="L41" s="220"/>
      <c r="M41" s="220"/>
      <c r="N41" s="227">
        <f ca="1">TblMili[[#This Row],[Smithies]]</f>
        <v>0</v>
      </c>
      <c r="O41" s="227">
        <f ca="1">TblPop[[#This Row],[Employment]]</f>
        <v>1</v>
      </c>
      <c r="P41" s="227">
        <f ca="1">TblImps[[#This Row],[Population]]</f>
        <v>1</v>
      </c>
      <c r="Q41" s="177">
        <f ca="1">TblExplore[[#This Row],[Land]]</f>
        <v>250</v>
      </c>
      <c r="R41" s="177">
        <f>TblExplore[[#This Row],[Hour]]</f>
        <v>38</v>
      </c>
      <c r="S41" s="228"/>
      <c r="T41" s="181"/>
      <c r="U41" s="181"/>
      <c r="V41" s="181"/>
      <c r="W41" s="181"/>
      <c r="X41" s="181"/>
      <c r="Y41" s="181"/>
      <c r="Z41" s="181"/>
      <c r="AA41" s="161">
        <f ca="1">TblImps[[#This Row],[Real time]]</f>
        <v>45733.541666666577</v>
      </c>
      <c r="AB41" s="96">
        <f ca="1">TblMili[[#This Row],[Draftees]]</f>
        <v>626</v>
      </c>
      <c r="AC41" s="96">
        <f ca="1">TblProd[[#This Row],[Platinum]]</f>
        <v>323860</v>
      </c>
      <c r="AD41" s="225"/>
      <c r="AE41" s="45">
        <f ca="1">TblExplore[[#This Row],[Land]]-TblExplore[[#This Row],[Land Bonus]]*20</f>
        <v>250</v>
      </c>
      <c r="AF41" s="96">
        <f ca="1">ROUND(MAX(0.6*TblExplore[[#This Row],[Land-DB]]^1.299,850)*(1+ tech_2_6*Techs!AC41 + tech_2_9*Techs!AF41 + tech_3_7*Techs!AN41 + Overview!$I$32),0)</f>
        <v>850</v>
      </c>
      <c r="AG4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7">
        <f>TblRezone[[#This Row],[Hour]]</f>
        <v>39</v>
      </c>
      <c r="B42" s="224">
        <f ca="1">TblConstr[[#This Row],[Land]]</f>
        <v>250</v>
      </c>
      <c r="C42" s="225"/>
      <c r="D42" s="226">
        <f ca="1">TblConstr[[#This Row],[Plain]]</f>
        <v>40</v>
      </c>
      <c r="E42" s="184">
        <f ca="1">TblConstr[[#This Row],[Forest]]</f>
        <v>20</v>
      </c>
      <c r="F42" s="384">
        <f ca="1">TblConstr[[#This Row],[Mountain]]</f>
        <v>20</v>
      </c>
      <c r="G42" s="388">
        <f ca="1">TblConstr[[#This Row],[Hill]]</f>
        <v>20</v>
      </c>
      <c r="H42" s="392">
        <f ca="1">TblConstr[[#This Row],[Swamp]]</f>
        <v>20</v>
      </c>
      <c r="I42" s="187">
        <f ca="1">TblConstr[[#This Row],[Cavern]]</f>
        <v>20</v>
      </c>
      <c r="J42" s="188">
        <f ca="1">TblConstr[[#This Row],[Water]]</f>
        <v>20</v>
      </c>
      <c r="K42" s="220"/>
      <c r="L42" s="220"/>
      <c r="M42" s="220"/>
      <c r="N42" s="227">
        <f ca="1">TblMili[[#This Row],[Smithies]]</f>
        <v>0</v>
      </c>
      <c r="O42" s="227">
        <f ca="1">TblPop[[#This Row],[Employment]]</f>
        <v>1</v>
      </c>
      <c r="P42" s="227">
        <f ca="1">TblImps[[#This Row],[Population]]</f>
        <v>1</v>
      </c>
      <c r="Q42" s="177">
        <f ca="1">TblExplore[[#This Row],[Land]]</f>
        <v>250</v>
      </c>
      <c r="R42" s="177">
        <f>TblExplore[[#This Row],[Hour]]</f>
        <v>39</v>
      </c>
      <c r="S42" s="228"/>
      <c r="T42" s="181"/>
      <c r="U42" s="181"/>
      <c r="V42" s="181"/>
      <c r="W42" s="181"/>
      <c r="X42" s="181"/>
      <c r="Y42" s="181"/>
      <c r="Z42" s="181"/>
      <c r="AA42" s="161">
        <f ca="1">TblImps[[#This Row],[Real time]]</f>
        <v>45733.583333333241</v>
      </c>
      <c r="AB42" s="96">
        <f ca="1">TblMili[[#This Row],[Draftees]]</f>
        <v>626</v>
      </c>
      <c r="AC42" s="96">
        <f ca="1">TblProd[[#This Row],[Platinum]]</f>
        <v>329346</v>
      </c>
      <c r="AD42" s="225"/>
      <c r="AE42" s="45">
        <f ca="1">TblExplore[[#This Row],[Land]]-TblExplore[[#This Row],[Land Bonus]]*20</f>
        <v>250</v>
      </c>
      <c r="AF42" s="96">
        <f ca="1">ROUND(MAX(0.6*TblExplore[[#This Row],[Land-DB]]^1.299,850)*(1+ tech_2_6*Techs!AC42 + tech_2_9*Techs!AF42 + tech_3_7*Techs!AN42 + Overview!$I$32),0)</f>
        <v>850</v>
      </c>
      <c r="AG4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7">
        <f>TblRezone[[#This Row],[Hour]]</f>
        <v>40</v>
      </c>
      <c r="B43" s="224">
        <f ca="1">TblConstr[[#This Row],[Land]]</f>
        <v>250</v>
      </c>
      <c r="C43" s="225"/>
      <c r="D43" s="226">
        <f ca="1">TblConstr[[#This Row],[Plain]]</f>
        <v>40</v>
      </c>
      <c r="E43" s="184">
        <f ca="1">TblConstr[[#This Row],[Forest]]</f>
        <v>20</v>
      </c>
      <c r="F43" s="384">
        <f ca="1">TblConstr[[#This Row],[Mountain]]</f>
        <v>20</v>
      </c>
      <c r="G43" s="388">
        <f ca="1">TblConstr[[#This Row],[Hill]]</f>
        <v>20</v>
      </c>
      <c r="H43" s="392">
        <f ca="1">TblConstr[[#This Row],[Swamp]]</f>
        <v>20</v>
      </c>
      <c r="I43" s="187">
        <f ca="1">TblConstr[[#This Row],[Cavern]]</f>
        <v>20</v>
      </c>
      <c r="J43" s="188">
        <f ca="1">TblConstr[[#This Row],[Water]]</f>
        <v>20</v>
      </c>
      <c r="K43" s="220"/>
      <c r="L43" s="220"/>
      <c r="M43" s="220"/>
      <c r="N43" s="227">
        <f ca="1">TblMili[[#This Row],[Smithies]]</f>
        <v>0</v>
      </c>
      <c r="O43" s="227">
        <f ca="1">TblPop[[#This Row],[Employment]]</f>
        <v>1</v>
      </c>
      <c r="P43" s="227">
        <f ca="1">TblImps[[#This Row],[Population]]</f>
        <v>1</v>
      </c>
      <c r="Q43" s="177">
        <f ca="1">TblExplore[[#This Row],[Land]]</f>
        <v>250</v>
      </c>
      <c r="R43" s="177">
        <f>TblExplore[[#This Row],[Hour]]</f>
        <v>40</v>
      </c>
      <c r="S43" s="228"/>
      <c r="T43" s="181"/>
      <c r="U43" s="181"/>
      <c r="V43" s="181"/>
      <c r="W43" s="181"/>
      <c r="X43" s="181"/>
      <c r="Y43" s="181"/>
      <c r="Z43" s="181"/>
      <c r="AA43" s="161">
        <f ca="1">TblImps[[#This Row],[Real time]]</f>
        <v>45733.624999999905</v>
      </c>
      <c r="AB43" s="96">
        <f ca="1">TblMili[[#This Row],[Draftees]]</f>
        <v>626</v>
      </c>
      <c r="AC43" s="96">
        <f ca="1">TblProd[[#This Row],[Platinum]]</f>
        <v>334832</v>
      </c>
      <c r="AD43" s="225"/>
      <c r="AE43" s="45">
        <f ca="1">TblExplore[[#This Row],[Land]]-TblExplore[[#This Row],[Land Bonus]]*20</f>
        <v>250</v>
      </c>
      <c r="AF43" s="96">
        <f ca="1">ROUND(MAX(0.6*TblExplore[[#This Row],[Land-DB]]^1.299,850)*(1+ tech_2_6*Techs!AC43 + tech_2_9*Techs!AF43 + tech_3_7*Techs!AN43 + Overview!$I$32),0)</f>
        <v>850</v>
      </c>
      <c r="AG4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7">
        <f>TblRezone[[#This Row],[Hour]]</f>
        <v>41</v>
      </c>
      <c r="B44" s="224">
        <f ca="1">TblConstr[[#This Row],[Land]]</f>
        <v>250</v>
      </c>
      <c r="C44" s="225"/>
      <c r="D44" s="226">
        <f ca="1">TblConstr[[#This Row],[Plain]]</f>
        <v>40</v>
      </c>
      <c r="E44" s="184">
        <f ca="1">TblConstr[[#This Row],[Forest]]</f>
        <v>20</v>
      </c>
      <c r="F44" s="384">
        <f ca="1">TblConstr[[#This Row],[Mountain]]</f>
        <v>20</v>
      </c>
      <c r="G44" s="388">
        <f ca="1">TblConstr[[#This Row],[Hill]]</f>
        <v>20</v>
      </c>
      <c r="H44" s="392">
        <f ca="1">TblConstr[[#This Row],[Swamp]]</f>
        <v>20</v>
      </c>
      <c r="I44" s="187">
        <f ca="1">TblConstr[[#This Row],[Cavern]]</f>
        <v>20</v>
      </c>
      <c r="J44" s="188">
        <f ca="1">TblConstr[[#This Row],[Water]]</f>
        <v>20</v>
      </c>
      <c r="K44" s="220"/>
      <c r="L44" s="220"/>
      <c r="M44" s="220"/>
      <c r="N44" s="227">
        <f ca="1">TblMili[[#This Row],[Smithies]]</f>
        <v>0</v>
      </c>
      <c r="O44" s="227">
        <f ca="1">TblPop[[#This Row],[Employment]]</f>
        <v>1</v>
      </c>
      <c r="P44" s="227">
        <f ca="1">TblImps[[#This Row],[Population]]</f>
        <v>1</v>
      </c>
      <c r="Q44" s="177">
        <f ca="1">TblExplore[[#This Row],[Land]]</f>
        <v>250</v>
      </c>
      <c r="R44" s="177">
        <f>TblExplore[[#This Row],[Hour]]</f>
        <v>41</v>
      </c>
      <c r="S44" s="228"/>
      <c r="T44" s="181"/>
      <c r="U44" s="181"/>
      <c r="V44" s="181"/>
      <c r="W44" s="181"/>
      <c r="X44" s="181"/>
      <c r="Y44" s="181"/>
      <c r="Z44" s="181"/>
      <c r="AA44" s="161">
        <f ca="1">TblImps[[#This Row],[Real time]]</f>
        <v>45733.66666666657</v>
      </c>
      <c r="AB44" s="96">
        <f ca="1">TblMili[[#This Row],[Draftees]]</f>
        <v>626</v>
      </c>
      <c r="AC44" s="96">
        <f ca="1">TblProd[[#This Row],[Platinum]]</f>
        <v>340318</v>
      </c>
      <c r="AD44" s="225"/>
      <c r="AE44" s="45">
        <f ca="1">TblExplore[[#This Row],[Land]]-TblExplore[[#This Row],[Land Bonus]]*20</f>
        <v>250</v>
      </c>
      <c r="AF44" s="96">
        <f ca="1">ROUND(MAX(0.6*TblExplore[[#This Row],[Land-DB]]^1.299,850)*(1+ tech_2_6*Techs!AC44 + tech_2_9*Techs!AF44 + tech_3_7*Techs!AN44 + Overview!$I$32),0)</f>
        <v>850</v>
      </c>
      <c r="AG4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7">
        <f>TblRezone[[#This Row],[Hour]]</f>
        <v>42</v>
      </c>
      <c r="B45" s="224">
        <f ca="1">TblConstr[[#This Row],[Land]]</f>
        <v>250</v>
      </c>
      <c r="C45" s="225"/>
      <c r="D45" s="226">
        <f ca="1">TblConstr[[#This Row],[Plain]]</f>
        <v>40</v>
      </c>
      <c r="E45" s="184">
        <f ca="1">TblConstr[[#This Row],[Forest]]</f>
        <v>20</v>
      </c>
      <c r="F45" s="384">
        <f ca="1">TblConstr[[#This Row],[Mountain]]</f>
        <v>20</v>
      </c>
      <c r="G45" s="388">
        <f ca="1">TblConstr[[#This Row],[Hill]]</f>
        <v>20</v>
      </c>
      <c r="H45" s="392">
        <f ca="1">TblConstr[[#This Row],[Swamp]]</f>
        <v>20</v>
      </c>
      <c r="I45" s="187">
        <f ca="1">TblConstr[[#This Row],[Cavern]]</f>
        <v>20</v>
      </c>
      <c r="J45" s="188">
        <f ca="1">TblConstr[[#This Row],[Water]]</f>
        <v>20</v>
      </c>
      <c r="K45" s="220"/>
      <c r="L45" s="220"/>
      <c r="M45" s="220"/>
      <c r="N45" s="227">
        <f ca="1">TblMili[[#This Row],[Smithies]]</f>
        <v>0</v>
      </c>
      <c r="O45" s="227">
        <f ca="1">TblPop[[#This Row],[Employment]]</f>
        <v>1</v>
      </c>
      <c r="P45" s="227">
        <f ca="1">TblImps[[#This Row],[Population]]</f>
        <v>1</v>
      </c>
      <c r="Q45" s="177">
        <f ca="1">TblExplore[[#This Row],[Land]]</f>
        <v>250</v>
      </c>
      <c r="R45" s="177">
        <f>TblExplore[[#This Row],[Hour]]</f>
        <v>42</v>
      </c>
      <c r="S45" s="228"/>
      <c r="T45" s="181"/>
      <c r="U45" s="181"/>
      <c r="V45" s="181"/>
      <c r="W45" s="181"/>
      <c r="X45" s="181"/>
      <c r="Y45" s="181"/>
      <c r="Z45" s="181"/>
      <c r="AA45" s="161">
        <f ca="1">TblImps[[#This Row],[Real time]]</f>
        <v>45733.708333333234</v>
      </c>
      <c r="AB45" s="96">
        <f ca="1">TblMili[[#This Row],[Draftees]]</f>
        <v>626</v>
      </c>
      <c r="AC45" s="96">
        <f ca="1">TblProd[[#This Row],[Platinum]]</f>
        <v>345804</v>
      </c>
      <c r="AD45" s="225"/>
      <c r="AE45" s="45">
        <f ca="1">TblExplore[[#This Row],[Land]]-TblExplore[[#This Row],[Land Bonus]]*20</f>
        <v>250</v>
      </c>
      <c r="AF45" s="96">
        <f ca="1">ROUND(MAX(0.6*TblExplore[[#This Row],[Land-DB]]^1.299,850)*(1+ tech_2_6*Techs!AC45 + tech_2_9*Techs!AF45 + tech_3_7*Techs!AN45 + Overview!$I$32),0)</f>
        <v>850</v>
      </c>
      <c r="AG4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7">
        <f>TblRezone[[#This Row],[Hour]]</f>
        <v>43</v>
      </c>
      <c r="B46" s="224">
        <f ca="1">TblConstr[[#This Row],[Land]]</f>
        <v>250</v>
      </c>
      <c r="C46" s="225"/>
      <c r="D46" s="226">
        <f ca="1">TblConstr[[#This Row],[Plain]]</f>
        <v>40</v>
      </c>
      <c r="E46" s="184">
        <f ca="1">TblConstr[[#This Row],[Forest]]</f>
        <v>20</v>
      </c>
      <c r="F46" s="384">
        <f ca="1">TblConstr[[#This Row],[Mountain]]</f>
        <v>20</v>
      </c>
      <c r="G46" s="388">
        <f ca="1">TblConstr[[#This Row],[Hill]]</f>
        <v>20</v>
      </c>
      <c r="H46" s="392">
        <f ca="1">TblConstr[[#This Row],[Swamp]]</f>
        <v>20</v>
      </c>
      <c r="I46" s="187">
        <f ca="1">TblConstr[[#This Row],[Cavern]]</f>
        <v>20</v>
      </c>
      <c r="J46" s="188">
        <f ca="1">TblConstr[[#This Row],[Water]]</f>
        <v>20</v>
      </c>
      <c r="K46" s="220"/>
      <c r="L46" s="220"/>
      <c r="M46" s="220"/>
      <c r="N46" s="227">
        <f ca="1">TblMili[[#This Row],[Smithies]]</f>
        <v>0</v>
      </c>
      <c r="O46" s="227">
        <f ca="1">TblPop[[#This Row],[Employment]]</f>
        <v>1</v>
      </c>
      <c r="P46" s="227">
        <f ca="1">TblImps[[#This Row],[Population]]</f>
        <v>1</v>
      </c>
      <c r="Q46" s="177">
        <f ca="1">TblExplore[[#This Row],[Land]]</f>
        <v>250</v>
      </c>
      <c r="R46" s="177">
        <f>TblExplore[[#This Row],[Hour]]</f>
        <v>43</v>
      </c>
      <c r="S46" s="228"/>
      <c r="T46" s="181"/>
      <c r="U46" s="181"/>
      <c r="V46" s="181"/>
      <c r="W46" s="181"/>
      <c r="X46" s="181"/>
      <c r="Y46" s="181"/>
      <c r="Z46" s="181"/>
      <c r="AA46" s="161">
        <f ca="1">TblImps[[#This Row],[Real time]]</f>
        <v>45733.749999999898</v>
      </c>
      <c r="AB46" s="96">
        <f ca="1">TblMili[[#This Row],[Draftees]]</f>
        <v>626</v>
      </c>
      <c r="AC46" s="96">
        <f ca="1">TblProd[[#This Row],[Platinum]]</f>
        <v>351290</v>
      </c>
      <c r="AD46" s="225"/>
      <c r="AE46" s="45">
        <f ca="1">TblExplore[[#This Row],[Land]]-TblExplore[[#This Row],[Land Bonus]]*20</f>
        <v>250</v>
      </c>
      <c r="AF46" s="96">
        <f ca="1">ROUND(MAX(0.6*TblExplore[[#This Row],[Land-DB]]^1.299,850)*(1+ tech_2_6*Techs!AC46 + tech_2_9*Techs!AF46 + tech_3_7*Techs!AN46 + Overview!$I$32),0)</f>
        <v>850</v>
      </c>
      <c r="AG4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7">
        <f>TblRezone[[#This Row],[Hour]]</f>
        <v>44</v>
      </c>
      <c r="B47" s="224">
        <f ca="1">TblConstr[[#This Row],[Land]]</f>
        <v>250</v>
      </c>
      <c r="C47" s="225"/>
      <c r="D47" s="226">
        <f ca="1">TblConstr[[#This Row],[Plain]]</f>
        <v>40</v>
      </c>
      <c r="E47" s="184">
        <f ca="1">TblConstr[[#This Row],[Forest]]</f>
        <v>20</v>
      </c>
      <c r="F47" s="384">
        <f ca="1">TblConstr[[#This Row],[Mountain]]</f>
        <v>20</v>
      </c>
      <c r="G47" s="388">
        <f ca="1">TblConstr[[#This Row],[Hill]]</f>
        <v>20</v>
      </c>
      <c r="H47" s="392">
        <f ca="1">TblConstr[[#This Row],[Swamp]]</f>
        <v>20</v>
      </c>
      <c r="I47" s="187">
        <f ca="1">TblConstr[[#This Row],[Cavern]]</f>
        <v>20</v>
      </c>
      <c r="J47" s="188">
        <f ca="1">TblConstr[[#This Row],[Water]]</f>
        <v>20</v>
      </c>
      <c r="K47" s="220"/>
      <c r="L47" s="220"/>
      <c r="M47" s="220"/>
      <c r="N47" s="227">
        <f ca="1">TblMili[[#This Row],[Smithies]]</f>
        <v>0</v>
      </c>
      <c r="O47" s="227">
        <f ca="1">TblPop[[#This Row],[Employment]]</f>
        <v>1</v>
      </c>
      <c r="P47" s="227">
        <f ca="1">TblImps[[#This Row],[Population]]</f>
        <v>1</v>
      </c>
      <c r="Q47" s="177">
        <f ca="1">TblExplore[[#This Row],[Land]]</f>
        <v>250</v>
      </c>
      <c r="R47" s="177">
        <f>TblExplore[[#This Row],[Hour]]</f>
        <v>44</v>
      </c>
      <c r="S47" s="228"/>
      <c r="T47" s="181"/>
      <c r="U47" s="181"/>
      <c r="V47" s="181"/>
      <c r="W47" s="181"/>
      <c r="X47" s="181"/>
      <c r="Y47" s="181"/>
      <c r="Z47" s="181"/>
      <c r="AA47" s="161">
        <f ca="1">TblImps[[#This Row],[Real time]]</f>
        <v>45733.791666666562</v>
      </c>
      <c r="AB47" s="96">
        <f ca="1">TblMili[[#This Row],[Draftees]]</f>
        <v>626</v>
      </c>
      <c r="AC47" s="96">
        <f ca="1">TblProd[[#This Row],[Platinum]]</f>
        <v>356776</v>
      </c>
      <c r="AD47" s="225"/>
      <c r="AE47" s="45">
        <f ca="1">TblExplore[[#This Row],[Land]]-TblExplore[[#This Row],[Land Bonus]]*20</f>
        <v>250</v>
      </c>
      <c r="AF47" s="96">
        <f ca="1">ROUND(MAX(0.6*TblExplore[[#This Row],[Land-DB]]^1.299,850)*(1+ tech_2_6*Techs!AC47 + tech_2_9*Techs!AF47 + tech_3_7*Techs!AN47 + Overview!$I$32),0)</f>
        <v>850</v>
      </c>
      <c r="AG4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7">
        <f>TblRezone[[#This Row],[Hour]]</f>
        <v>45</v>
      </c>
      <c r="B48" s="224">
        <f ca="1">TblConstr[[#This Row],[Land]]</f>
        <v>250</v>
      </c>
      <c r="C48" s="225"/>
      <c r="D48" s="226">
        <f ca="1">TblConstr[[#This Row],[Plain]]</f>
        <v>40</v>
      </c>
      <c r="E48" s="184">
        <f ca="1">TblConstr[[#This Row],[Forest]]</f>
        <v>20</v>
      </c>
      <c r="F48" s="384">
        <f ca="1">TblConstr[[#This Row],[Mountain]]</f>
        <v>20</v>
      </c>
      <c r="G48" s="388">
        <f ca="1">TblConstr[[#This Row],[Hill]]</f>
        <v>20</v>
      </c>
      <c r="H48" s="392">
        <f ca="1">TblConstr[[#This Row],[Swamp]]</f>
        <v>20</v>
      </c>
      <c r="I48" s="187">
        <f ca="1">TblConstr[[#This Row],[Cavern]]</f>
        <v>20</v>
      </c>
      <c r="J48" s="188">
        <f ca="1">TblConstr[[#This Row],[Water]]</f>
        <v>20</v>
      </c>
      <c r="K48" s="220"/>
      <c r="L48" s="220"/>
      <c r="M48" s="220"/>
      <c r="N48" s="227">
        <f ca="1">TblMili[[#This Row],[Smithies]]</f>
        <v>0</v>
      </c>
      <c r="O48" s="227">
        <f ca="1">TblPop[[#This Row],[Employment]]</f>
        <v>1</v>
      </c>
      <c r="P48" s="227">
        <f ca="1">TblImps[[#This Row],[Population]]</f>
        <v>1</v>
      </c>
      <c r="Q48" s="177">
        <f ca="1">TblExplore[[#This Row],[Land]]</f>
        <v>250</v>
      </c>
      <c r="R48" s="177">
        <f>TblExplore[[#This Row],[Hour]]</f>
        <v>45</v>
      </c>
      <c r="S48" s="228"/>
      <c r="T48" s="181"/>
      <c r="U48" s="181"/>
      <c r="V48" s="181"/>
      <c r="W48" s="181"/>
      <c r="X48" s="181"/>
      <c r="Y48" s="181"/>
      <c r="Z48" s="181"/>
      <c r="AA48" s="161">
        <f ca="1">TblImps[[#This Row],[Real time]]</f>
        <v>45733.833333333227</v>
      </c>
      <c r="AB48" s="96">
        <f ca="1">TblMili[[#This Row],[Draftees]]</f>
        <v>626</v>
      </c>
      <c r="AC48" s="96">
        <f ca="1">TblProd[[#This Row],[Platinum]]</f>
        <v>362262</v>
      </c>
      <c r="AD48" s="225"/>
      <c r="AE48" s="45">
        <f ca="1">TblExplore[[#This Row],[Land]]-TblExplore[[#This Row],[Land Bonus]]*20</f>
        <v>250</v>
      </c>
      <c r="AF48" s="96">
        <f ca="1">ROUND(MAX(0.6*TblExplore[[#This Row],[Land-DB]]^1.299,850)*(1+ tech_2_6*Techs!AC48 + tech_2_9*Techs!AF48 + tech_3_7*Techs!AN48 + Overview!$I$32),0)</f>
        <v>850</v>
      </c>
      <c r="AG4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7">
        <f>TblRezone[[#This Row],[Hour]]</f>
        <v>46</v>
      </c>
      <c r="B49" s="224">
        <f ca="1">TblConstr[[#This Row],[Land]]</f>
        <v>250</v>
      </c>
      <c r="C49" s="225"/>
      <c r="D49" s="226">
        <f ca="1">TblConstr[[#This Row],[Plain]]</f>
        <v>40</v>
      </c>
      <c r="E49" s="184">
        <f ca="1">TblConstr[[#This Row],[Forest]]</f>
        <v>20</v>
      </c>
      <c r="F49" s="384">
        <f ca="1">TblConstr[[#This Row],[Mountain]]</f>
        <v>20</v>
      </c>
      <c r="G49" s="388">
        <f ca="1">TblConstr[[#This Row],[Hill]]</f>
        <v>20</v>
      </c>
      <c r="H49" s="392">
        <f ca="1">TblConstr[[#This Row],[Swamp]]</f>
        <v>20</v>
      </c>
      <c r="I49" s="187">
        <f ca="1">TblConstr[[#This Row],[Cavern]]</f>
        <v>20</v>
      </c>
      <c r="J49" s="188">
        <f ca="1">TblConstr[[#This Row],[Water]]</f>
        <v>20</v>
      </c>
      <c r="K49" s="220"/>
      <c r="L49" s="220"/>
      <c r="M49" s="220"/>
      <c r="N49" s="227">
        <f ca="1">TblMili[[#This Row],[Smithies]]</f>
        <v>0</v>
      </c>
      <c r="O49" s="227">
        <f ca="1">TblPop[[#This Row],[Employment]]</f>
        <v>1</v>
      </c>
      <c r="P49" s="227">
        <f ca="1">TblImps[[#This Row],[Population]]</f>
        <v>1</v>
      </c>
      <c r="Q49" s="177">
        <f ca="1">TblExplore[[#This Row],[Land]]</f>
        <v>250</v>
      </c>
      <c r="R49" s="177">
        <f>TblExplore[[#This Row],[Hour]]</f>
        <v>46</v>
      </c>
      <c r="S49" s="228"/>
      <c r="T49" s="181"/>
      <c r="U49" s="181"/>
      <c r="V49" s="181"/>
      <c r="W49" s="181"/>
      <c r="X49" s="181"/>
      <c r="Y49" s="181"/>
      <c r="Z49" s="181"/>
      <c r="AA49" s="161">
        <f ca="1">TblImps[[#This Row],[Real time]]</f>
        <v>45733.874999999891</v>
      </c>
      <c r="AB49" s="96">
        <f ca="1">TblMili[[#This Row],[Draftees]]</f>
        <v>626</v>
      </c>
      <c r="AC49" s="96">
        <f ca="1">TblProd[[#This Row],[Platinum]]</f>
        <v>367748</v>
      </c>
      <c r="AD49" s="225"/>
      <c r="AE49" s="45">
        <f ca="1">TblExplore[[#This Row],[Land]]-TblExplore[[#This Row],[Land Bonus]]*20</f>
        <v>250</v>
      </c>
      <c r="AF49" s="96">
        <f ca="1">ROUND(MAX(0.6*TblExplore[[#This Row],[Land-DB]]^1.299,850)*(1+ tech_2_6*Techs!AC49 + tech_2_9*Techs!AF49 + tech_3_7*Techs!AN49 + Overview!$I$32),0)</f>
        <v>850</v>
      </c>
      <c r="AG4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7">
        <f>TblRezone[[#This Row],[Hour]]</f>
        <v>47</v>
      </c>
      <c r="B50" s="224">
        <f ca="1">TblConstr[[#This Row],[Land]]</f>
        <v>250</v>
      </c>
      <c r="C50" s="225"/>
      <c r="D50" s="226">
        <f ca="1">TblConstr[[#This Row],[Plain]]</f>
        <v>40</v>
      </c>
      <c r="E50" s="184">
        <f ca="1">TblConstr[[#This Row],[Forest]]</f>
        <v>20</v>
      </c>
      <c r="F50" s="384">
        <f ca="1">TblConstr[[#This Row],[Mountain]]</f>
        <v>20</v>
      </c>
      <c r="G50" s="388">
        <f ca="1">TblConstr[[#This Row],[Hill]]</f>
        <v>20</v>
      </c>
      <c r="H50" s="392">
        <f ca="1">TblConstr[[#This Row],[Swamp]]</f>
        <v>20</v>
      </c>
      <c r="I50" s="187">
        <f ca="1">TblConstr[[#This Row],[Cavern]]</f>
        <v>20</v>
      </c>
      <c r="J50" s="188">
        <f ca="1">TblConstr[[#This Row],[Water]]</f>
        <v>20</v>
      </c>
      <c r="K50" s="220"/>
      <c r="L50" s="220"/>
      <c r="M50" s="220"/>
      <c r="N50" s="227">
        <f ca="1">TblMili[[#This Row],[Smithies]]</f>
        <v>0</v>
      </c>
      <c r="O50" s="227">
        <f ca="1">TblPop[[#This Row],[Employment]]</f>
        <v>1</v>
      </c>
      <c r="P50" s="227">
        <f ca="1">TblImps[[#This Row],[Population]]</f>
        <v>1</v>
      </c>
      <c r="Q50" s="177">
        <f ca="1">TblExplore[[#This Row],[Land]]</f>
        <v>250</v>
      </c>
      <c r="R50" s="177">
        <f>TblExplore[[#This Row],[Hour]]</f>
        <v>47</v>
      </c>
      <c r="S50" s="228"/>
      <c r="T50" s="181"/>
      <c r="U50" s="181"/>
      <c r="V50" s="181"/>
      <c r="W50" s="181"/>
      <c r="X50" s="181"/>
      <c r="Y50" s="181"/>
      <c r="Z50" s="181"/>
      <c r="AA50" s="161">
        <f ca="1">TblImps[[#This Row],[Real time]]</f>
        <v>45733.916666666555</v>
      </c>
      <c r="AB50" s="96">
        <f ca="1">TblMili[[#This Row],[Draftees]]</f>
        <v>626</v>
      </c>
      <c r="AC50" s="96">
        <f ca="1">TblProd[[#This Row],[Platinum]]</f>
        <v>373234</v>
      </c>
      <c r="AD50" s="225"/>
      <c r="AE50" s="45">
        <f ca="1">TblExplore[[#This Row],[Land]]-TblExplore[[#This Row],[Land Bonus]]*20</f>
        <v>250</v>
      </c>
      <c r="AF50" s="96">
        <f ca="1">ROUND(MAX(0.6*TblExplore[[#This Row],[Land-DB]]^1.299,850)*(1+ tech_2_6*Techs!AC50 + tech_2_9*Techs!AF50 + tech_3_7*Techs!AN50 + Overview!$I$32),0)</f>
        <v>850</v>
      </c>
      <c r="AG5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7">
        <f>TblRezone[[#This Row],[Hour]]</f>
        <v>48</v>
      </c>
      <c r="B51" s="224">
        <f ca="1">TblConstr[[#This Row],[Land]]</f>
        <v>250</v>
      </c>
      <c r="C51" s="225"/>
      <c r="D51" s="226">
        <f ca="1">TblConstr[[#This Row],[Plain]]</f>
        <v>40</v>
      </c>
      <c r="E51" s="184">
        <f ca="1">TblConstr[[#This Row],[Forest]]</f>
        <v>20</v>
      </c>
      <c r="F51" s="384">
        <f ca="1">TblConstr[[#This Row],[Mountain]]</f>
        <v>20</v>
      </c>
      <c r="G51" s="388">
        <f ca="1">TblConstr[[#This Row],[Hill]]</f>
        <v>20</v>
      </c>
      <c r="H51" s="392">
        <f ca="1">TblConstr[[#This Row],[Swamp]]</f>
        <v>20</v>
      </c>
      <c r="I51" s="187">
        <f ca="1">TblConstr[[#This Row],[Cavern]]</f>
        <v>20</v>
      </c>
      <c r="J51" s="188">
        <f ca="1">TblConstr[[#This Row],[Water]]</f>
        <v>20</v>
      </c>
      <c r="K51" s="220"/>
      <c r="L51" s="220"/>
      <c r="M51" s="220"/>
      <c r="N51" s="227">
        <f ca="1">TblMili[[#This Row],[Smithies]]</f>
        <v>0</v>
      </c>
      <c r="O51" s="227">
        <f ca="1">TblPop[[#This Row],[Employment]]</f>
        <v>1</v>
      </c>
      <c r="P51" s="227">
        <f ca="1">TblImps[[#This Row],[Population]]</f>
        <v>1</v>
      </c>
      <c r="Q51" s="177">
        <f ca="1">TblExplore[[#This Row],[Land]]</f>
        <v>250</v>
      </c>
      <c r="R51" s="177">
        <f>TblExplore[[#This Row],[Hour]]</f>
        <v>48</v>
      </c>
      <c r="S51" s="228"/>
      <c r="T51" s="181"/>
      <c r="U51" s="181"/>
      <c r="V51" s="181"/>
      <c r="W51" s="181"/>
      <c r="X51" s="181"/>
      <c r="Y51" s="181"/>
      <c r="Z51" s="181"/>
      <c r="AA51" s="161">
        <f ca="1">TblImps[[#This Row],[Real time]]</f>
        <v>45733.958333333219</v>
      </c>
      <c r="AB51" s="96">
        <f ca="1">TblMili[[#This Row],[Draftees]]</f>
        <v>626</v>
      </c>
      <c r="AC51" s="96">
        <f ca="1">TblProd[[#This Row],[Platinum]]</f>
        <v>378720</v>
      </c>
      <c r="AD51" s="225"/>
      <c r="AE51" s="45">
        <f ca="1">TblExplore[[#This Row],[Land]]-TblExplore[[#This Row],[Land Bonus]]*20</f>
        <v>250</v>
      </c>
      <c r="AF51" s="96">
        <f ca="1">ROUND(MAX(0.6*TblExplore[[#This Row],[Land-DB]]^1.299,850)*(1+ tech_2_6*Techs!AC51 + tech_2_9*Techs!AF51 + tech_3_7*Techs!AN51 + Overview!$I$32),0)</f>
        <v>850</v>
      </c>
      <c r="AG5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7">
        <f>TblRezone[[#This Row],[Hour]]</f>
        <v>49</v>
      </c>
      <c r="B52" s="224">
        <f ca="1">TblConstr[[#This Row],[Land]]</f>
        <v>250</v>
      </c>
      <c r="C52" s="225"/>
      <c r="D52" s="226">
        <f ca="1">TblConstr[[#This Row],[Plain]]</f>
        <v>40</v>
      </c>
      <c r="E52" s="184">
        <f ca="1">TblConstr[[#This Row],[Forest]]</f>
        <v>20</v>
      </c>
      <c r="F52" s="384">
        <f ca="1">TblConstr[[#This Row],[Mountain]]</f>
        <v>20</v>
      </c>
      <c r="G52" s="388">
        <f ca="1">TblConstr[[#This Row],[Hill]]</f>
        <v>20</v>
      </c>
      <c r="H52" s="392">
        <f ca="1">TblConstr[[#This Row],[Swamp]]</f>
        <v>20</v>
      </c>
      <c r="I52" s="187">
        <f ca="1">TblConstr[[#This Row],[Cavern]]</f>
        <v>20</v>
      </c>
      <c r="J52" s="188">
        <f ca="1">TblConstr[[#This Row],[Water]]</f>
        <v>20</v>
      </c>
      <c r="K52" s="220"/>
      <c r="L52" s="238"/>
      <c r="M52" s="239"/>
      <c r="N52" s="227">
        <f ca="1">TblMili[[#This Row],[Smithies]]</f>
        <v>0</v>
      </c>
      <c r="O52" s="227">
        <f ca="1">TblPop[[#This Row],[Employment]]</f>
        <v>1</v>
      </c>
      <c r="P52" s="227">
        <f ca="1">TblImps[[#This Row],[Population]]</f>
        <v>1</v>
      </c>
      <c r="Q52" s="177">
        <f ca="1">TblExplore[[#This Row],[Land]]</f>
        <v>250</v>
      </c>
      <c r="R52" s="177">
        <f>TblExplore[[#This Row],[Hour]]</f>
        <v>49</v>
      </c>
      <c r="S52" s="228"/>
      <c r="T52" s="181"/>
      <c r="U52" s="181"/>
      <c r="V52" s="181"/>
      <c r="W52" s="181"/>
      <c r="X52" s="181"/>
      <c r="Y52" s="181"/>
      <c r="Z52" s="181"/>
      <c r="AA52" s="161">
        <f ca="1">TblImps[[#This Row],[Real time]]</f>
        <v>45733.999999999884</v>
      </c>
      <c r="AB52" s="96">
        <f ca="1">TblMili[[#This Row],[Draftees]]</f>
        <v>626</v>
      </c>
      <c r="AC52" s="96">
        <f ca="1">TblProd[[#This Row],[Platinum]]</f>
        <v>384206</v>
      </c>
      <c r="AD52" s="225"/>
      <c r="AE52" s="45">
        <f ca="1">TblExplore[[#This Row],[Land]]-TblExplore[[#This Row],[Land Bonus]]*20</f>
        <v>250</v>
      </c>
      <c r="AF52" s="96">
        <f ca="1">ROUND(MAX(0.6*TblExplore[[#This Row],[Land-DB]]^1.299,850)*(1+ tech_2_6*Techs!AC52 + tech_2_9*Techs!AF52 + tech_3_7*Techs!AN52 + Overview!$I$32),0)</f>
        <v>850</v>
      </c>
      <c r="AG5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6">
        <f ca="1">SUM(TblExplore[[#This Row],[Plains Explore]:[Water Explore]])*TblExplore[[#This Row],[Plat/acre]]</f>
        <v>0</v>
      </c>
      <c r="AI52" s="96">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7">
        <f>TblRezone[[#This Row],[Hour]]</f>
        <v>50</v>
      </c>
      <c r="B53" s="224">
        <f ca="1">TblConstr[[#This Row],[Land]]</f>
        <v>250</v>
      </c>
      <c r="C53" s="225"/>
      <c r="D53" s="226">
        <f ca="1">TblConstr[[#This Row],[Plain]]</f>
        <v>40</v>
      </c>
      <c r="E53" s="184">
        <f ca="1">TblConstr[[#This Row],[Forest]]</f>
        <v>20</v>
      </c>
      <c r="F53" s="384">
        <f ca="1">TblConstr[[#This Row],[Mountain]]</f>
        <v>20</v>
      </c>
      <c r="G53" s="388">
        <f ca="1">TblConstr[[#This Row],[Hill]]</f>
        <v>20</v>
      </c>
      <c r="H53" s="392">
        <f ca="1">TblConstr[[#This Row],[Swamp]]</f>
        <v>20</v>
      </c>
      <c r="I53" s="187">
        <f ca="1">TblConstr[[#This Row],[Cavern]]</f>
        <v>20</v>
      </c>
      <c r="J53" s="188">
        <f ca="1">TblConstr[[#This Row],[Water]]</f>
        <v>20</v>
      </c>
      <c r="K53" s="220"/>
      <c r="L53" s="240"/>
      <c r="M53" s="239"/>
      <c r="N53" s="227">
        <f ca="1">TblMili[[#This Row],[Smithies]]</f>
        <v>0</v>
      </c>
      <c r="O53" s="227">
        <f ca="1">TblPop[[#This Row],[Employment]]</f>
        <v>1</v>
      </c>
      <c r="P53" s="227">
        <f ca="1">TblImps[[#This Row],[Population]]</f>
        <v>1</v>
      </c>
      <c r="Q53" s="177">
        <f ca="1">TblExplore[[#This Row],[Land]]</f>
        <v>250</v>
      </c>
      <c r="R53" s="177">
        <f>TblExplore[[#This Row],[Hour]]</f>
        <v>50</v>
      </c>
      <c r="S53" s="228"/>
      <c r="T53" s="181"/>
      <c r="U53" s="181"/>
      <c r="V53" s="181"/>
      <c r="W53" s="181"/>
      <c r="X53" s="181"/>
      <c r="Y53" s="181"/>
      <c r="Z53" s="181"/>
      <c r="AA53" s="161">
        <f ca="1">TblImps[[#This Row],[Real time]]</f>
        <v>45734.041666666548</v>
      </c>
      <c r="AB53" s="96">
        <f ca="1">TblMili[[#This Row],[Draftees]]</f>
        <v>626</v>
      </c>
      <c r="AC53" s="96">
        <f ca="1">TblProd[[#This Row],[Platinum]]</f>
        <v>389692</v>
      </c>
      <c r="AD53" s="225"/>
      <c r="AE53" s="45">
        <f ca="1">TblExplore[[#This Row],[Land]]-TblExplore[[#This Row],[Land Bonus]]*20</f>
        <v>250</v>
      </c>
      <c r="AF53" s="96">
        <f ca="1">ROUND(MAX(0.6*TblExplore[[#This Row],[Land-DB]]^1.299,850)*(1+ tech_2_6*Techs!AC53 + tech_2_9*Techs!AF53 + tech_3_7*Techs!AN53 + Overview!$I$32),0)</f>
        <v>850</v>
      </c>
      <c r="AG5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7">
        <f>TblRezone[[#This Row],[Hour]]</f>
        <v>51</v>
      </c>
      <c r="B54" s="224">
        <f ca="1">TblConstr[[#This Row],[Land]]</f>
        <v>250</v>
      </c>
      <c r="C54" s="225"/>
      <c r="D54" s="226">
        <f ca="1">TblConstr[[#This Row],[Plain]]</f>
        <v>40</v>
      </c>
      <c r="E54" s="184">
        <f ca="1">TblConstr[[#This Row],[Forest]]</f>
        <v>20</v>
      </c>
      <c r="F54" s="384">
        <f ca="1">TblConstr[[#This Row],[Mountain]]</f>
        <v>20</v>
      </c>
      <c r="G54" s="388">
        <f ca="1">TblConstr[[#This Row],[Hill]]</f>
        <v>20</v>
      </c>
      <c r="H54" s="392">
        <f ca="1">TblConstr[[#This Row],[Swamp]]</f>
        <v>20</v>
      </c>
      <c r="I54" s="187">
        <f ca="1">TblConstr[[#This Row],[Cavern]]</f>
        <v>20</v>
      </c>
      <c r="J54" s="188">
        <f ca="1">TblConstr[[#This Row],[Water]]</f>
        <v>20</v>
      </c>
      <c r="K54" s="220"/>
      <c r="L54" s="396" t="s">
        <v>1039</v>
      </c>
      <c r="M54" s="397" t="s">
        <v>301</v>
      </c>
      <c r="N54" s="227">
        <f ca="1">TblMili[[#This Row],[Smithies]]</f>
        <v>0</v>
      </c>
      <c r="O54" s="227">
        <f ca="1">TblPop[[#This Row],[Employment]]</f>
        <v>1</v>
      </c>
      <c r="P54" s="227">
        <f ca="1">TblImps[[#This Row],[Population]]</f>
        <v>1</v>
      </c>
      <c r="Q54" s="177">
        <f ca="1">TblExplore[[#This Row],[Land]]</f>
        <v>250</v>
      </c>
      <c r="R54" s="177">
        <f>TblExplore[[#This Row],[Hour]]</f>
        <v>51</v>
      </c>
      <c r="S54" s="228"/>
      <c r="T54" s="181"/>
      <c r="U54" s="181"/>
      <c r="V54" s="181"/>
      <c r="W54" s="181"/>
      <c r="X54" s="181"/>
      <c r="Y54" s="181"/>
      <c r="Z54" s="181"/>
      <c r="AA54" s="161">
        <f ca="1">TblImps[[#This Row],[Real time]]</f>
        <v>45734.083333333212</v>
      </c>
      <c r="AB54" s="96">
        <f ca="1">TblMili[[#This Row],[Draftees]]</f>
        <v>626</v>
      </c>
      <c r="AC54" s="96">
        <f ca="1">TblProd[[#This Row],[Platinum]]</f>
        <v>395178</v>
      </c>
      <c r="AD54" s="225"/>
      <c r="AE54" s="45">
        <f ca="1">TblExplore[[#This Row],[Land]]-TblExplore[[#This Row],[Land Bonus]]*20</f>
        <v>250</v>
      </c>
      <c r="AF54" s="96">
        <f ca="1">ROUND(MAX(0.6*TblExplore[[#This Row],[Land-DB]]^1.299,850)*(1+ tech_2_6*Techs!AC54 + tech_2_9*Techs!AF54 + tech_3_7*Techs!AN54 + Overview!$I$32),0)</f>
        <v>850</v>
      </c>
      <c r="AG5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7">
        <f>TblRezone[[#This Row],[Hour]]</f>
        <v>52</v>
      </c>
      <c r="B55" s="224">
        <f ca="1">TblConstr[[#This Row],[Land]]</f>
        <v>250</v>
      </c>
      <c r="C55" s="225"/>
      <c r="D55" s="226">
        <f ca="1">TblConstr[[#This Row],[Plain]]</f>
        <v>40</v>
      </c>
      <c r="E55" s="184">
        <f ca="1">TblConstr[[#This Row],[Forest]]</f>
        <v>20</v>
      </c>
      <c r="F55" s="384">
        <f ca="1">TblConstr[[#This Row],[Mountain]]</f>
        <v>20</v>
      </c>
      <c r="G55" s="388">
        <f ca="1">TblConstr[[#This Row],[Hill]]</f>
        <v>20</v>
      </c>
      <c r="H55" s="392">
        <f ca="1">TblConstr[[#This Row],[Swamp]]</f>
        <v>20</v>
      </c>
      <c r="I55" s="187">
        <f ca="1">TblConstr[[#This Row],[Cavern]]</f>
        <v>20</v>
      </c>
      <c r="J55" s="188">
        <f ca="1">TblConstr[[#This Row],[Water]]</f>
        <v>20</v>
      </c>
      <c r="K55" s="220"/>
      <c r="L55" s="398">
        <v>4</v>
      </c>
      <c r="M55" s="399">
        <v>299</v>
      </c>
      <c r="N55" s="227">
        <f ca="1">TblMili[[#This Row],[Smithies]]</f>
        <v>0</v>
      </c>
      <c r="O55" s="227">
        <f ca="1">TblPop[[#This Row],[Employment]]</f>
        <v>1</v>
      </c>
      <c r="P55" s="227">
        <f ca="1">TblImps[[#This Row],[Population]]</f>
        <v>1</v>
      </c>
      <c r="Q55" s="177">
        <f ca="1">TblExplore[[#This Row],[Land]]</f>
        <v>250</v>
      </c>
      <c r="R55" s="177">
        <f>TblExplore[[#This Row],[Hour]]</f>
        <v>52</v>
      </c>
      <c r="S55" s="228"/>
      <c r="T55" s="181"/>
      <c r="U55" s="181"/>
      <c r="V55" s="181"/>
      <c r="W55" s="181"/>
      <c r="X55" s="181"/>
      <c r="Y55" s="181"/>
      <c r="Z55" s="181"/>
      <c r="AA55" s="161">
        <f ca="1">TblImps[[#This Row],[Real time]]</f>
        <v>45734.124999999876</v>
      </c>
      <c r="AB55" s="96">
        <f ca="1">TblMili[[#This Row],[Draftees]]</f>
        <v>626</v>
      </c>
      <c r="AC55" s="96">
        <f ca="1">TblProd[[#This Row],[Platinum]]</f>
        <v>400664</v>
      </c>
      <c r="AD55" s="225"/>
      <c r="AE55" s="45">
        <f ca="1">TblExplore[[#This Row],[Land]]-TblExplore[[#This Row],[Land Bonus]]*20</f>
        <v>250</v>
      </c>
      <c r="AF55" s="96">
        <f ca="1">ROUND(MAX(0.6*TblExplore[[#This Row],[Land-DB]]^1.299,850)*(1+ tech_2_6*Techs!AC55 + tech_2_9*Techs!AF55 + tech_3_7*Techs!AN55 + Overview!$I$32),0)</f>
        <v>850</v>
      </c>
      <c r="AG5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7">
        <f>TblRezone[[#This Row],[Hour]]</f>
        <v>53</v>
      </c>
      <c r="B56" s="224">
        <f ca="1">TblConstr[[#This Row],[Land]]</f>
        <v>250</v>
      </c>
      <c r="C56" s="225"/>
      <c r="D56" s="226">
        <f ca="1">TblConstr[[#This Row],[Plain]]</f>
        <v>40</v>
      </c>
      <c r="E56" s="184">
        <f ca="1">TblConstr[[#This Row],[Forest]]</f>
        <v>20</v>
      </c>
      <c r="F56" s="384">
        <f ca="1">TblConstr[[#This Row],[Mountain]]</f>
        <v>20</v>
      </c>
      <c r="G56" s="388">
        <f ca="1">TblConstr[[#This Row],[Hill]]</f>
        <v>20</v>
      </c>
      <c r="H56" s="392">
        <f ca="1">TblConstr[[#This Row],[Swamp]]</f>
        <v>20</v>
      </c>
      <c r="I56" s="187">
        <f ca="1">TblConstr[[#This Row],[Cavern]]</f>
        <v>20</v>
      </c>
      <c r="J56" s="188">
        <f ca="1">TblConstr[[#This Row],[Water]]</f>
        <v>20</v>
      </c>
      <c r="K56" s="220"/>
      <c r="L56" s="398">
        <v>5</v>
      </c>
      <c r="M56" s="399">
        <f>ROUNDDOWN(227.945*(L56+0.5 - 5)^0.934579 + 300,0)</f>
        <v>419</v>
      </c>
      <c r="N56" s="227">
        <f ca="1">TblMili[[#This Row],[Smithies]]</f>
        <v>0</v>
      </c>
      <c r="O56" s="227">
        <f ca="1">TblPop[[#This Row],[Employment]]</f>
        <v>1</v>
      </c>
      <c r="P56" s="227">
        <f ca="1">TblImps[[#This Row],[Population]]</f>
        <v>1</v>
      </c>
      <c r="Q56" s="177">
        <f ca="1">TblExplore[[#This Row],[Land]]</f>
        <v>250</v>
      </c>
      <c r="R56" s="177">
        <f>TblExplore[[#This Row],[Hour]]</f>
        <v>53</v>
      </c>
      <c r="S56" s="228"/>
      <c r="T56" s="181"/>
      <c r="U56" s="181"/>
      <c r="V56" s="181"/>
      <c r="W56" s="181"/>
      <c r="X56" s="181"/>
      <c r="Y56" s="181"/>
      <c r="Z56" s="181"/>
      <c r="AA56" s="161">
        <f ca="1">TblImps[[#This Row],[Real time]]</f>
        <v>45734.166666666541</v>
      </c>
      <c r="AB56" s="96">
        <f ca="1">TblMili[[#This Row],[Draftees]]</f>
        <v>626</v>
      </c>
      <c r="AC56" s="96">
        <f ca="1">TblProd[[#This Row],[Platinum]]</f>
        <v>406150</v>
      </c>
      <c r="AD56" s="225"/>
      <c r="AE56" s="45">
        <f ca="1">TblExplore[[#This Row],[Land]]-TblExplore[[#This Row],[Land Bonus]]*20</f>
        <v>250</v>
      </c>
      <c r="AF56" s="96">
        <f ca="1">ROUND(MAX(0.6*TblExplore[[#This Row],[Land-DB]]^1.299,850)*(1+ tech_2_6*Techs!AC56 + tech_2_9*Techs!AF56 + tech_3_7*Techs!AN56 + Overview!$I$32),0)</f>
        <v>850</v>
      </c>
      <c r="AG5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7">
        <f>TblRezone[[#This Row],[Hour]]</f>
        <v>54</v>
      </c>
      <c r="B57" s="224">
        <f ca="1">TblConstr[[#This Row],[Land]]</f>
        <v>250</v>
      </c>
      <c r="C57" s="225"/>
      <c r="D57" s="226">
        <f ca="1">TblConstr[[#This Row],[Plain]]</f>
        <v>40</v>
      </c>
      <c r="E57" s="184">
        <f ca="1">TblConstr[[#This Row],[Forest]]</f>
        <v>20</v>
      </c>
      <c r="F57" s="384">
        <f ca="1">TblConstr[[#This Row],[Mountain]]</f>
        <v>20</v>
      </c>
      <c r="G57" s="388">
        <f ca="1">TblConstr[[#This Row],[Hill]]</f>
        <v>20</v>
      </c>
      <c r="H57" s="392">
        <f ca="1">TblConstr[[#This Row],[Swamp]]</f>
        <v>20</v>
      </c>
      <c r="I57" s="187">
        <f ca="1">TblConstr[[#This Row],[Cavern]]</f>
        <v>20</v>
      </c>
      <c r="J57" s="188">
        <f ca="1">TblConstr[[#This Row],[Water]]</f>
        <v>20</v>
      </c>
      <c r="K57" s="220"/>
      <c r="L57" s="398">
        <v>6</v>
      </c>
      <c r="M57" s="399">
        <f t="shared" ref="M57:M69" si="0">ROUNDDOWN(227.945*(L57+0.5 - 5)^0.934579 + 300,0)</f>
        <v>632</v>
      </c>
      <c r="N57" s="227">
        <f ca="1">TblMili[[#This Row],[Smithies]]</f>
        <v>0</v>
      </c>
      <c r="O57" s="227">
        <f ca="1">TblPop[[#This Row],[Employment]]</f>
        <v>1</v>
      </c>
      <c r="P57" s="227">
        <f ca="1">TblImps[[#This Row],[Population]]</f>
        <v>1</v>
      </c>
      <c r="Q57" s="177">
        <f ca="1">TblExplore[[#This Row],[Land]]</f>
        <v>250</v>
      </c>
      <c r="R57" s="177">
        <f>TblExplore[[#This Row],[Hour]]</f>
        <v>54</v>
      </c>
      <c r="S57" s="228"/>
      <c r="T57" s="181"/>
      <c r="U57" s="181"/>
      <c r="V57" s="181"/>
      <c r="W57" s="181"/>
      <c r="X57" s="181"/>
      <c r="Y57" s="181"/>
      <c r="Z57" s="181"/>
      <c r="AA57" s="161">
        <f ca="1">TblImps[[#This Row],[Real time]]</f>
        <v>45734.208333333205</v>
      </c>
      <c r="AB57" s="96">
        <f ca="1">TblMili[[#This Row],[Draftees]]</f>
        <v>626</v>
      </c>
      <c r="AC57" s="96">
        <f ca="1">TblProd[[#This Row],[Platinum]]</f>
        <v>411636</v>
      </c>
      <c r="AD57" s="225"/>
      <c r="AE57" s="45">
        <f ca="1">TblExplore[[#This Row],[Land]]-TblExplore[[#This Row],[Land Bonus]]*20</f>
        <v>250</v>
      </c>
      <c r="AF57" s="96">
        <f ca="1">ROUND(MAX(0.6*TblExplore[[#This Row],[Land-DB]]^1.299,850)*(1+ tech_2_6*Techs!AC57 + tech_2_9*Techs!AF57 + tech_3_7*Techs!AN57 + Overview!$I$32),0)</f>
        <v>850</v>
      </c>
      <c r="AG5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7">
        <f>TblRezone[[#This Row],[Hour]]</f>
        <v>55</v>
      </c>
      <c r="B58" s="224">
        <f ca="1">TblConstr[[#This Row],[Land]]</f>
        <v>250</v>
      </c>
      <c r="C58" s="225"/>
      <c r="D58" s="226">
        <f ca="1">TblConstr[[#This Row],[Plain]]</f>
        <v>40</v>
      </c>
      <c r="E58" s="184">
        <f ca="1">TblConstr[[#This Row],[Forest]]</f>
        <v>20</v>
      </c>
      <c r="F58" s="384">
        <f ca="1">TblConstr[[#This Row],[Mountain]]</f>
        <v>20</v>
      </c>
      <c r="G58" s="388">
        <f ca="1">TblConstr[[#This Row],[Hill]]</f>
        <v>20</v>
      </c>
      <c r="H58" s="392">
        <f ca="1">TblConstr[[#This Row],[Swamp]]</f>
        <v>20</v>
      </c>
      <c r="I58" s="187">
        <f ca="1">TblConstr[[#This Row],[Cavern]]</f>
        <v>20</v>
      </c>
      <c r="J58" s="188">
        <f ca="1">TblConstr[[#This Row],[Water]]</f>
        <v>20</v>
      </c>
      <c r="K58" s="220"/>
      <c r="L58" s="398">
        <v>7</v>
      </c>
      <c r="M58" s="399">
        <f t="shared" si="0"/>
        <v>836</v>
      </c>
      <c r="N58" s="227">
        <f ca="1">TblMili[[#This Row],[Smithies]]</f>
        <v>0</v>
      </c>
      <c r="O58" s="227">
        <f ca="1">TblPop[[#This Row],[Employment]]</f>
        <v>1</v>
      </c>
      <c r="P58" s="227">
        <f ca="1">TblImps[[#This Row],[Population]]</f>
        <v>1</v>
      </c>
      <c r="Q58" s="177">
        <f ca="1">TblExplore[[#This Row],[Land]]</f>
        <v>250</v>
      </c>
      <c r="R58" s="177">
        <f>TblExplore[[#This Row],[Hour]]</f>
        <v>55</v>
      </c>
      <c r="S58" s="228"/>
      <c r="T58" s="181"/>
      <c r="U58" s="181"/>
      <c r="V58" s="181"/>
      <c r="W58" s="181"/>
      <c r="X58" s="181"/>
      <c r="Y58" s="181"/>
      <c r="Z58" s="181"/>
      <c r="AA58" s="161">
        <f ca="1">TblImps[[#This Row],[Real time]]</f>
        <v>45734.249999999869</v>
      </c>
      <c r="AB58" s="96">
        <f ca="1">TblMili[[#This Row],[Draftees]]</f>
        <v>626</v>
      </c>
      <c r="AC58" s="96">
        <f ca="1">TblProd[[#This Row],[Platinum]]</f>
        <v>417122</v>
      </c>
      <c r="AD58" s="225"/>
      <c r="AE58" s="45">
        <f ca="1">TblExplore[[#This Row],[Land]]-TblExplore[[#This Row],[Land Bonus]]*20</f>
        <v>250</v>
      </c>
      <c r="AF58" s="96">
        <f ca="1">ROUND(MAX(0.6*TblExplore[[#This Row],[Land-DB]]^1.299,850)*(1+ tech_2_6*Techs!AC58 + tech_2_9*Techs!AF58 + tech_3_7*Techs!AN58 + Overview!$I$32),0)</f>
        <v>850</v>
      </c>
      <c r="AG5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7">
        <f>TblRezone[[#This Row],[Hour]]</f>
        <v>56</v>
      </c>
      <c r="B59" s="224">
        <f ca="1">TblConstr[[#This Row],[Land]]</f>
        <v>250</v>
      </c>
      <c r="C59" s="225"/>
      <c r="D59" s="226">
        <f ca="1">TblConstr[[#This Row],[Plain]]</f>
        <v>40</v>
      </c>
      <c r="E59" s="184">
        <f ca="1">TblConstr[[#This Row],[Forest]]</f>
        <v>20</v>
      </c>
      <c r="F59" s="384">
        <f ca="1">TblConstr[[#This Row],[Mountain]]</f>
        <v>20</v>
      </c>
      <c r="G59" s="388">
        <f ca="1">TblConstr[[#This Row],[Hill]]</f>
        <v>20</v>
      </c>
      <c r="H59" s="392">
        <f ca="1">TblConstr[[#This Row],[Swamp]]</f>
        <v>20</v>
      </c>
      <c r="I59" s="187">
        <f ca="1">TblConstr[[#This Row],[Cavern]]</f>
        <v>20</v>
      </c>
      <c r="J59" s="188">
        <f ca="1">TblConstr[[#This Row],[Water]]</f>
        <v>20</v>
      </c>
      <c r="K59" s="220"/>
      <c r="L59" s="398">
        <v>8</v>
      </c>
      <c r="M59" s="399">
        <f t="shared" si="0"/>
        <v>1035</v>
      </c>
      <c r="N59" s="227">
        <f ca="1">TblMili[[#This Row],[Smithies]]</f>
        <v>0</v>
      </c>
      <c r="O59" s="227">
        <f ca="1">TblPop[[#This Row],[Employment]]</f>
        <v>1</v>
      </c>
      <c r="P59" s="227">
        <f ca="1">TblImps[[#This Row],[Population]]</f>
        <v>1</v>
      </c>
      <c r="Q59" s="177">
        <f ca="1">TblExplore[[#This Row],[Land]]</f>
        <v>250</v>
      </c>
      <c r="R59" s="177">
        <f>TblExplore[[#This Row],[Hour]]</f>
        <v>56</v>
      </c>
      <c r="S59" s="228"/>
      <c r="T59" s="181"/>
      <c r="U59" s="181"/>
      <c r="V59" s="181"/>
      <c r="W59" s="181"/>
      <c r="X59" s="181"/>
      <c r="Y59" s="181"/>
      <c r="Z59" s="181"/>
      <c r="AA59" s="161">
        <f ca="1">TblImps[[#This Row],[Real time]]</f>
        <v>45734.291666666533</v>
      </c>
      <c r="AB59" s="96">
        <f ca="1">TblMili[[#This Row],[Draftees]]</f>
        <v>626</v>
      </c>
      <c r="AC59" s="96">
        <f ca="1">TblProd[[#This Row],[Platinum]]</f>
        <v>422608</v>
      </c>
      <c r="AD59" s="225"/>
      <c r="AE59" s="45">
        <f ca="1">TblExplore[[#This Row],[Land]]-TblExplore[[#This Row],[Land Bonus]]*20</f>
        <v>250</v>
      </c>
      <c r="AF59" s="96">
        <f ca="1">ROUND(MAX(0.6*TblExplore[[#This Row],[Land-DB]]^1.299,850)*(1+ tech_2_6*Techs!AC59 + tech_2_9*Techs!AF59 + tech_3_7*Techs!AN59 + Overview!$I$32),0)</f>
        <v>850</v>
      </c>
      <c r="AG5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7">
        <f>TblRezone[[#This Row],[Hour]]</f>
        <v>57</v>
      </c>
      <c r="B60" s="224">
        <f ca="1">TblConstr[[#This Row],[Land]]</f>
        <v>250</v>
      </c>
      <c r="C60" s="225"/>
      <c r="D60" s="226">
        <f ca="1">TblConstr[[#This Row],[Plain]]</f>
        <v>40</v>
      </c>
      <c r="E60" s="184">
        <f ca="1">TblConstr[[#This Row],[Forest]]</f>
        <v>20</v>
      </c>
      <c r="F60" s="384">
        <f ca="1">TblConstr[[#This Row],[Mountain]]</f>
        <v>20</v>
      </c>
      <c r="G60" s="388">
        <f ca="1">TblConstr[[#This Row],[Hill]]</f>
        <v>20</v>
      </c>
      <c r="H60" s="392">
        <f ca="1">TblConstr[[#This Row],[Swamp]]</f>
        <v>20</v>
      </c>
      <c r="I60" s="187">
        <f ca="1">TblConstr[[#This Row],[Cavern]]</f>
        <v>20</v>
      </c>
      <c r="J60" s="188">
        <f ca="1">TblConstr[[#This Row],[Water]]</f>
        <v>20</v>
      </c>
      <c r="K60" s="220"/>
      <c r="L60" s="398">
        <v>9</v>
      </c>
      <c r="M60" s="399">
        <f t="shared" si="0"/>
        <v>1229</v>
      </c>
      <c r="N60" s="227">
        <f ca="1">TblMili[[#This Row],[Smithies]]</f>
        <v>0</v>
      </c>
      <c r="O60" s="227">
        <f ca="1">TblPop[[#This Row],[Employment]]</f>
        <v>1</v>
      </c>
      <c r="P60" s="227">
        <f ca="1">TblImps[[#This Row],[Population]]</f>
        <v>1</v>
      </c>
      <c r="Q60" s="177">
        <f ca="1">TblExplore[[#This Row],[Land]]</f>
        <v>250</v>
      </c>
      <c r="R60" s="177">
        <f>TblExplore[[#This Row],[Hour]]</f>
        <v>57</v>
      </c>
      <c r="S60" s="228"/>
      <c r="T60" s="181"/>
      <c r="U60" s="181"/>
      <c r="V60" s="181"/>
      <c r="W60" s="181"/>
      <c r="X60" s="181"/>
      <c r="Y60" s="181"/>
      <c r="Z60" s="181"/>
      <c r="AA60" s="161">
        <f ca="1">TblImps[[#This Row],[Real time]]</f>
        <v>45734.333333333198</v>
      </c>
      <c r="AB60" s="96">
        <f ca="1">TblMili[[#This Row],[Draftees]]</f>
        <v>626</v>
      </c>
      <c r="AC60" s="96">
        <f ca="1">TblProd[[#This Row],[Platinum]]</f>
        <v>428094</v>
      </c>
      <c r="AD60" s="225"/>
      <c r="AE60" s="45">
        <f ca="1">TblExplore[[#This Row],[Land]]-TblExplore[[#This Row],[Land Bonus]]*20</f>
        <v>250</v>
      </c>
      <c r="AF60" s="96">
        <f ca="1">ROUND(MAX(0.6*TblExplore[[#This Row],[Land-DB]]^1.299,850)*(1+ tech_2_6*Techs!AC60 + tech_2_9*Techs!AF60 + tech_3_7*Techs!AN60 + Overview!$I$32),0)</f>
        <v>850</v>
      </c>
      <c r="AG6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7">
        <f>TblRezone[[#This Row],[Hour]]</f>
        <v>58</v>
      </c>
      <c r="B61" s="224">
        <f ca="1">TblConstr[[#This Row],[Land]]</f>
        <v>250</v>
      </c>
      <c r="C61" s="225"/>
      <c r="D61" s="226">
        <f ca="1">TblConstr[[#This Row],[Plain]]</f>
        <v>40</v>
      </c>
      <c r="E61" s="184">
        <f ca="1">TblConstr[[#This Row],[Forest]]</f>
        <v>20</v>
      </c>
      <c r="F61" s="384">
        <f ca="1">TblConstr[[#This Row],[Mountain]]</f>
        <v>20</v>
      </c>
      <c r="G61" s="388">
        <f ca="1">TblConstr[[#This Row],[Hill]]</f>
        <v>20</v>
      </c>
      <c r="H61" s="392">
        <f ca="1">TblConstr[[#This Row],[Swamp]]</f>
        <v>20</v>
      </c>
      <c r="I61" s="187">
        <f ca="1">TblConstr[[#This Row],[Cavern]]</f>
        <v>20</v>
      </c>
      <c r="J61" s="188">
        <f ca="1">TblConstr[[#This Row],[Water]]</f>
        <v>20</v>
      </c>
      <c r="K61" s="220"/>
      <c r="L61" s="398">
        <v>10</v>
      </c>
      <c r="M61" s="399">
        <f t="shared" si="0"/>
        <v>1421</v>
      </c>
      <c r="N61" s="227">
        <f ca="1">TblMili[[#This Row],[Smithies]]</f>
        <v>0</v>
      </c>
      <c r="O61" s="227">
        <f ca="1">TblPop[[#This Row],[Employment]]</f>
        <v>1</v>
      </c>
      <c r="P61" s="227">
        <f ca="1">TblImps[[#This Row],[Population]]</f>
        <v>1</v>
      </c>
      <c r="Q61" s="177">
        <f ca="1">TblExplore[[#This Row],[Land]]</f>
        <v>250</v>
      </c>
      <c r="R61" s="177">
        <f>TblExplore[[#This Row],[Hour]]</f>
        <v>58</v>
      </c>
      <c r="S61" s="228"/>
      <c r="T61" s="181"/>
      <c r="U61" s="181"/>
      <c r="V61" s="181"/>
      <c r="W61" s="181"/>
      <c r="X61" s="181"/>
      <c r="Y61" s="181"/>
      <c r="Z61" s="181"/>
      <c r="AA61" s="161">
        <f ca="1">TblImps[[#This Row],[Real time]]</f>
        <v>45734.374999999862</v>
      </c>
      <c r="AB61" s="96">
        <f ca="1">TblMili[[#This Row],[Draftees]]</f>
        <v>626</v>
      </c>
      <c r="AC61" s="96">
        <f ca="1">TblProd[[#This Row],[Platinum]]</f>
        <v>433580</v>
      </c>
      <c r="AD61" s="225"/>
      <c r="AE61" s="45">
        <f ca="1">TblExplore[[#This Row],[Land]]-TblExplore[[#This Row],[Land Bonus]]*20</f>
        <v>250</v>
      </c>
      <c r="AF61" s="96">
        <f ca="1">ROUND(MAX(0.6*TblExplore[[#This Row],[Land-DB]]^1.299,850)*(1+ tech_2_6*Techs!AC61 + tech_2_9*Techs!AF61 + tech_3_7*Techs!AN61 + Overview!$I$32),0)</f>
        <v>850</v>
      </c>
      <c r="AG6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7">
        <f>TblRezone[[#This Row],[Hour]]</f>
        <v>59</v>
      </c>
      <c r="B62" s="224">
        <f ca="1">TblConstr[[#This Row],[Land]]</f>
        <v>250</v>
      </c>
      <c r="C62" s="225"/>
      <c r="D62" s="226">
        <f ca="1">TblConstr[[#This Row],[Plain]]</f>
        <v>40</v>
      </c>
      <c r="E62" s="184">
        <f ca="1">TblConstr[[#This Row],[Forest]]</f>
        <v>20</v>
      </c>
      <c r="F62" s="384">
        <f ca="1">TblConstr[[#This Row],[Mountain]]</f>
        <v>20</v>
      </c>
      <c r="G62" s="388">
        <f ca="1">TblConstr[[#This Row],[Hill]]</f>
        <v>20</v>
      </c>
      <c r="H62" s="392">
        <f ca="1">TblConstr[[#This Row],[Swamp]]</f>
        <v>20</v>
      </c>
      <c r="I62" s="187">
        <f ca="1">TblConstr[[#This Row],[Cavern]]</f>
        <v>20</v>
      </c>
      <c r="J62" s="188">
        <f ca="1">TblConstr[[#This Row],[Water]]</f>
        <v>20</v>
      </c>
      <c r="K62" s="220"/>
      <c r="L62" s="398">
        <v>11</v>
      </c>
      <c r="M62" s="399">
        <f t="shared" si="0"/>
        <v>1610</v>
      </c>
      <c r="N62" s="227">
        <f ca="1">TblMili[[#This Row],[Smithies]]</f>
        <v>0</v>
      </c>
      <c r="O62" s="227">
        <f ca="1">TblPop[[#This Row],[Employment]]</f>
        <v>1</v>
      </c>
      <c r="P62" s="227">
        <f ca="1">TblImps[[#This Row],[Population]]</f>
        <v>1</v>
      </c>
      <c r="Q62" s="177">
        <f ca="1">TblExplore[[#This Row],[Land]]</f>
        <v>250</v>
      </c>
      <c r="R62" s="177">
        <f>TblExplore[[#This Row],[Hour]]</f>
        <v>59</v>
      </c>
      <c r="S62" s="228"/>
      <c r="T62" s="181"/>
      <c r="U62" s="181"/>
      <c r="V62" s="181"/>
      <c r="W62" s="181"/>
      <c r="X62" s="181"/>
      <c r="Y62" s="181"/>
      <c r="Z62" s="181"/>
      <c r="AA62" s="161">
        <f ca="1">TblImps[[#This Row],[Real time]]</f>
        <v>45734.416666666526</v>
      </c>
      <c r="AB62" s="96">
        <f ca="1">TblMili[[#This Row],[Draftees]]</f>
        <v>626</v>
      </c>
      <c r="AC62" s="96">
        <f ca="1">TblProd[[#This Row],[Platinum]]</f>
        <v>439066</v>
      </c>
      <c r="AD62" s="225"/>
      <c r="AE62" s="45">
        <f ca="1">TblExplore[[#This Row],[Land]]-TblExplore[[#This Row],[Land Bonus]]*20</f>
        <v>250</v>
      </c>
      <c r="AF62" s="96">
        <f ca="1">ROUND(MAX(0.6*TblExplore[[#This Row],[Land-DB]]^1.299,850)*(1+ tech_2_6*Techs!AC62 + tech_2_9*Techs!AF62 + tech_3_7*Techs!AN62 + Overview!$I$32),0)</f>
        <v>850</v>
      </c>
      <c r="AG6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7">
        <f>TblRezone[[#This Row],[Hour]]</f>
        <v>60</v>
      </c>
      <c r="B63" s="224">
        <f ca="1">TblConstr[[#This Row],[Land]]</f>
        <v>250</v>
      </c>
      <c r="C63" s="225"/>
      <c r="D63" s="226">
        <f ca="1">TblConstr[[#This Row],[Plain]]</f>
        <v>40</v>
      </c>
      <c r="E63" s="184">
        <f ca="1">TblConstr[[#This Row],[Forest]]</f>
        <v>20</v>
      </c>
      <c r="F63" s="384">
        <f ca="1">TblConstr[[#This Row],[Mountain]]</f>
        <v>20</v>
      </c>
      <c r="G63" s="388">
        <f ca="1">TblConstr[[#This Row],[Hill]]</f>
        <v>20</v>
      </c>
      <c r="H63" s="392">
        <f ca="1">TblConstr[[#This Row],[Swamp]]</f>
        <v>20</v>
      </c>
      <c r="I63" s="187">
        <f ca="1">TblConstr[[#This Row],[Cavern]]</f>
        <v>20</v>
      </c>
      <c r="J63" s="188">
        <f ca="1">TblConstr[[#This Row],[Water]]</f>
        <v>20</v>
      </c>
      <c r="K63" s="220"/>
      <c r="L63" s="398">
        <v>12</v>
      </c>
      <c r="M63" s="399">
        <f t="shared" si="0"/>
        <v>1798</v>
      </c>
      <c r="N63" s="227">
        <f ca="1">TblMili[[#This Row],[Smithies]]</f>
        <v>0</v>
      </c>
      <c r="O63" s="227">
        <f ca="1">TblPop[[#This Row],[Employment]]</f>
        <v>1</v>
      </c>
      <c r="P63" s="227">
        <f ca="1">TblImps[[#This Row],[Population]]</f>
        <v>1</v>
      </c>
      <c r="Q63" s="177">
        <f ca="1">TblExplore[[#This Row],[Land]]</f>
        <v>250</v>
      </c>
      <c r="R63" s="177">
        <f>TblExplore[[#This Row],[Hour]]</f>
        <v>60</v>
      </c>
      <c r="S63" s="228"/>
      <c r="T63" s="181"/>
      <c r="U63" s="181"/>
      <c r="V63" s="181"/>
      <c r="W63" s="181"/>
      <c r="X63" s="181"/>
      <c r="Y63" s="181"/>
      <c r="Z63" s="181"/>
      <c r="AA63" s="161">
        <f ca="1">TblImps[[#This Row],[Real time]]</f>
        <v>45734.45833333319</v>
      </c>
      <c r="AB63" s="96">
        <f ca="1">TblMili[[#This Row],[Draftees]]</f>
        <v>626</v>
      </c>
      <c r="AC63" s="96">
        <f ca="1">TblProd[[#This Row],[Platinum]]</f>
        <v>444552</v>
      </c>
      <c r="AD63" s="225"/>
      <c r="AE63" s="45">
        <f ca="1">TblExplore[[#This Row],[Land]]-TblExplore[[#This Row],[Land Bonus]]*20</f>
        <v>250</v>
      </c>
      <c r="AF63" s="96">
        <f ca="1">ROUND(MAX(0.6*TblExplore[[#This Row],[Land-DB]]^1.299,850)*(1+ tech_2_6*Techs!AC63 + tech_2_9*Techs!AF63 + tech_3_7*Techs!AN63 + Overview!$I$32),0)</f>
        <v>850</v>
      </c>
      <c r="AG6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7">
        <f>TblRezone[[#This Row],[Hour]]</f>
        <v>61</v>
      </c>
      <c r="B64" s="224">
        <f ca="1">TblConstr[[#This Row],[Land]]</f>
        <v>250</v>
      </c>
      <c r="C64" s="225"/>
      <c r="D64" s="226">
        <f ca="1">TblConstr[[#This Row],[Plain]]</f>
        <v>40</v>
      </c>
      <c r="E64" s="184">
        <f ca="1">TblConstr[[#This Row],[Forest]]</f>
        <v>20</v>
      </c>
      <c r="F64" s="384">
        <f ca="1">TblConstr[[#This Row],[Mountain]]</f>
        <v>20</v>
      </c>
      <c r="G64" s="388">
        <f ca="1">TblConstr[[#This Row],[Hill]]</f>
        <v>20</v>
      </c>
      <c r="H64" s="392">
        <f ca="1">TblConstr[[#This Row],[Swamp]]</f>
        <v>20</v>
      </c>
      <c r="I64" s="187">
        <f ca="1">TblConstr[[#This Row],[Cavern]]</f>
        <v>20</v>
      </c>
      <c r="J64" s="188">
        <f ca="1">TblConstr[[#This Row],[Water]]</f>
        <v>20</v>
      </c>
      <c r="K64" s="220"/>
      <c r="L64" s="398">
        <v>13</v>
      </c>
      <c r="M64" s="399">
        <f t="shared" si="0"/>
        <v>1984</v>
      </c>
      <c r="N64" s="227">
        <f ca="1">TblMili[[#This Row],[Smithies]]</f>
        <v>0</v>
      </c>
      <c r="O64" s="227">
        <f ca="1">TblPop[[#This Row],[Employment]]</f>
        <v>1</v>
      </c>
      <c r="P64" s="227">
        <f ca="1">TblImps[[#This Row],[Population]]</f>
        <v>1</v>
      </c>
      <c r="Q64" s="177">
        <f ca="1">TblExplore[[#This Row],[Land]]</f>
        <v>250</v>
      </c>
      <c r="R64" s="177">
        <f>TblExplore[[#This Row],[Hour]]</f>
        <v>61</v>
      </c>
      <c r="S64" s="228"/>
      <c r="T64" s="181"/>
      <c r="U64" s="181"/>
      <c r="V64" s="181"/>
      <c r="W64" s="181"/>
      <c r="X64" s="181"/>
      <c r="Y64" s="181"/>
      <c r="Z64" s="181"/>
      <c r="AA64" s="161">
        <f ca="1">TblImps[[#This Row],[Real time]]</f>
        <v>45734.499999999854</v>
      </c>
      <c r="AB64" s="96">
        <f ca="1">TblMili[[#This Row],[Draftees]]</f>
        <v>626</v>
      </c>
      <c r="AC64" s="96">
        <f ca="1">TblProd[[#This Row],[Platinum]]</f>
        <v>450038</v>
      </c>
      <c r="AD64" s="225"/>
      <c r="AE64" s="45">
        <f ca="1">TblExplore[[#This Row],[Land]]-TblExplore[[#This Row],[Land Bonus]]*20</f>
        <v>250</v>
      </c>
      <c r="AF64" s="96">
        <f ca="1">ROUND(MAX(0.6*TblExplore[[#This Row],[Land-DB]]^1.299,850)*(1+ tech_2_6*Techs!AC64 + tech_2_9*Techs!AF64 + tech_3_7*Techs!AN64 + Overview!$I$32),0)</f>
        <v>850</v>
      </c>
      <c r="AG6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7">
        <f>TblRezone[[#This Row],[Hour]]</f>
        <v>62</v>
      </c>
      <c r="B65" s="224">
        <f ca="1">TblConstr[[#This Row],[Land]]</f>
        <v>250</v>
      </c>
      <c r="C65" s="225"/>
      <c r="D65" s="226">
        <f ca="1">TblConstr[[#This Row],[Plain]]</f>
        <v>40</v>
      </c>
      <c r="E65" s="184">
        <f ca="1">TblConstr[[#This Row],[Forest]]</f>
        <v>20</v>
      </c>
      <c r="F65" s="384">
        <f ca="1">TblConstr[[#This Row],[Mountain]]</f>
        <v>20</v>
      </c>
      <c r="G65" s="388">
        <f ca="1">TblConstr[[#This Row],[Hill]]</f>
        <v>20</v>
      </c>
      <c r="H65" s="392">
        <f ca="1">TblConstr[[#This Row],[Swamp]]</f>
        <v>20</v>
      </c>
      <c r="I65" s="187">
        <f ca="1">TblConstr[[#This Row],[Cavern]]</f>
        <v>20</v>
      </c>
      <c r="J65" s="188">
        <f ca="1">TblConstr[[#This Row],[Water]]</f>
        <v>20</v>
      </c>
      <c r="K65" s="220"/>
      <c r="L65" s="398">
        <v>14</v>
      </c>
      <c r="M65" s="399">
        <f t="shared" si="0"/>
        <v>2168</v>
      </c>
      <c r="N65" s="227">
        <f ca="1">TblMili[[#This Row],[Smithies]]</f>
        <v>0</v>
      </c>
      <c r="O65" s="227">
        <f ca="1">TblPop[[#This Row],[Employment]]</f>
        <v>1</v>
      </c>
      <c r="P65" s="227">
        <f ca="1">TblImps[[#This Row],[Population]]</f>
        <v>1</v>
      </c>
      <c r="Q65" s="177">
        <f ca="1">TblExplore[[#This Row],[Land]]</f>
        <v>250</v>
      </c>
      <c r="R65" s="177">
        <f>TblExplore[[#This Row],[Hour]]</f>
        <v>62</v>
      </c>
      <c r="S65" s="228"/>
      <c r="T65" s="181"/>
      <c r="U65" s="181"/>
      <c r="V65" s="181"/>
      <c r="W65" s="181"/>
      <c r="X65" s="181"/>
      <c r="Y65" s="181"/>
      <c r="Z65" s="181"/>
      <c r="AA65" s="161">
        <f ca="1">TblImps[[#This Row],[Real time]]</f>
        <v>45734.541666666519</v>
      </c>
      <c r="AB65" s="96">
        <f ca="1">TblMili[[#This Row],[Draftees]]</f>
        <v>626</v>
      </c>
      <c r="AC65" s="96">
        <f ca="1">TblProd[[#This Row],[Platinum]]</f>
        <v>455524</v>
      </c>
      <c r="AD65" s="225"/>
      <c r="AE65" s="45">
        <f ca="1">TblExplore[[#This Row],[Land]]-TblExplore[[#This Row],[Land Bonus]]*20</f>
        <v>250</v>
      </c>
      <c r="AF65" s="96">
        <f ca="1">ROUND(MAX(0.6*TblExplore[[#This Row],[Land-DB]]^1.299,850)*(1+ tech_2_6*Techs!AC65 + tech_2_9*Techs!AF65 + tech_3_7*Techs!AN65 + Overview!$I$32),0)</f>
        <v>850</v>
      </c>
      <c r="AG6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7">
        <f>TblRezone[[#This Row],[Hour]]</f>
        <v>63</v>
      </c>
      <c r="B66" s="224">
        <f ca="1">TblConstr[[#This Row],[Land]]</f>
        <v>250</v>
      </c>
      <c r="C66" s="225"/>
      <c r="D66" s="226">
        <f ca="1">TblConstr[[#This Row],[Plain]]</f>
        <v>40</v>
      </c>
      <c r="E66" s="184">
        <f ca="1">TblConstr[[#This Row],[Forest]]</f>
        <v>20</v>
      </c>
      <c r="F66" s="384">
        <f ca="1">TblConstr[[#This Row],[Mountain]]</f>
        <v>20</v>
      </c>
      <c r="G66" s="388">
        <f ca="1">TblConstr[[#This Row],[Hill]]</f>
        <v>20</v>
      </c>
      <c r="H66" s="392">
        <f ca="1">TblConstr[[#This Row],[Swamp]]</f>
        <v>20</v>
      </c>
      <c r="I66" s="187">
        <f ca="1">TblConstr[[#This Row],[Cavern]]</f>
        <v>20</v>
      </c>
      <c r="J66" s="188">
        <f ca="1">TblConstr[[#This Row],[Water]]</f>
        <v>20</v>
      </c>
      <c r="K66" s="220"/>
      <c r="L66" s="398">
        <v>15</v>
      </c>
      <c r="M66" s="399">
        <f t="shared" si="0"/>
        <v>2352</v>
      </c>
      <c r="N66" s="227">
        <f ca="1">TblMili[[#This Row],[Smithies]]</f>
        <v>0</v>
      </c>
      <c r="O66" s="227">
        <f ca="1">TblPop[[#This Row],[Employment]]</f>
        <v>1</v>
      </c>
      <c r="P66" s="227">
        <f ca="1">TblImps[[#This Row],[Population]]</f>
        <v>1</v>
      </c>
      <c r="Q66" s="177">
        <f ca="1">TblExplore[[#This Row],[Land]]</f>
        <v>250</v>
      </c>
      <c r="R66" s="177">
        <f>TblExplore[[#This Row],[Hour]]</f>
        <v>63</v>
      </c>
      <c r="S66" s="228"/>
      <c r="T66" s="181"/>
      <c r="U66" s="181"/>
      <c r="V66" s="181"/>
      <c r="W66" s="181"/>
      <c r="X66" s="181"/>
      <c r="Y66" s="181"/>
      <c r="Z66" s="181"/>
      <c r="AA66" s="161">
        <f ca="1">TblImps[[#This Row],[Real time]]</f>
        <v>45734.583333333183</v>
      </c>
      <c r="AB66" s="96">
        <f ca="1">TblMili[[#This Row],[Draftees]]</f>
        <v>626</v>
      </c>
      <c r="AC66" s="96">
        <f ca="1">TblProd[[#This Row],[Platinum]]</f>
        <v>461010</v>
      </c>
      <c r="AD66" s="225"/>
      <c r="AE66" s="45">
        <f ca="1">TblExplore[[#This Row],[Land]]-TblExplore[[#This Row],[Land Bonus]]*20</f>
        <v>250</v>
      </c>
      <c r="AF66" s="96">
        <f ca="1">ROUND(MAX(0.6*TblExplore[[#This Row],[Land-DB]]^1.299,850)*(1+ tech_2_6*Techs!AC66 + tech_2_9*Techs!AF66 + tech_3_7*Techs!AN66 + Overview!$I$32),0)</f>
        <v>850</v>
      </c>
      <c r="AG6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7">
        <f>TblRezone[[#This Row],[Hour]]</f>
        <v>64</v>
      </c>
      <c r="B67" s="224">
        <f ca="1">TblConstr[[#This Row],[Land]]</f>
        <v>250</v>
      </c>
      <c r="C67" s="225"/>
      <c r="D67" s="226">
        <f ca="1">TblConstr[[#This Row],[Plain]]</f>
        <v>40</v>
      </c>
      <c r="E67" s="184">
        <f ca="1">TblConstr[[#This Row],[Forest]]</f>
        <v>20</v>
      </c>
      <c r="F67" s="384">
        <f ca="1">TblConstr[[#This Row],[Mountain]]</f>
        <v>20</v>
      </c>
      <c r="G67" s="388">
        <f ca="1">TblConstr[[#This Row],[Hill]]</f>
        <v>20</v>
      </c>
      <c r="H67" s="392">
        <f ca="1">TblConstr[[#This Row],[Swamp]]</f>
        <v>20</v>
      </c>
      <c r="I67" s="187">
        <f ca="1">TblConstr[[#This Row],[Cavern]]</f>
        <v>20</v>
      </c>
      <c r="J67" s="188">
        <f ca="1">TblConstr[[#This Row],[Water]]</f>
        <v>20</v>
      </c>
      <c r="K67" s="220"/>
      <c r="L67" s="398">
        <v>16</v>
      </c>
      <c r="M67" s="399">
        <f t="shared" si="0"/>
        <v>2534</v>
      </c>
      <c r="N67" s="227">
        <f ca="1">TblMili[[#This Row],[Smithies]]</f>
        <v>0</v>
      </c>
      <c r="O67" s="227">
        <f ca="1">TblPop[[#This Row],[Employment]]</f>
        <v>1</v>
      </c>
      <c r="P67" s="227">
        <f ca="1">TblImps[[#This Row],[Population]]</f>
        <v>1</v>
      </c>
      <c r="Q67" s="177">
        <f ca="1">TblExplore[[#This Row],[Land]]</f>
        <v>250</v>
      </c>
      <c r="R67" s="177">
        <f>TblExplore[[#This Row],[Hour]]</f>
        <v>64</v>
      </c>
      <c r="S67" s="228"/>
      <c r="T67" s="181"/>
      <c r="U67" s="181"/>
      <c r="V67" s="181"/>
      <c r="W67" s="181"/>
      <c r="X67" s="181"/>
      <c r="Y67" s="181"/>
      <c r="Z67" s="181"/>
      <c r="AA67" s="161">
        <f ca="1">TblImps[[#This Row],[Real time]]</f>
        <v>45734.624999999847</v>
      </c>
      <c r="AB67" s="96">
        <f ca="1">TblMili[[#This Row],[Draftees]]</f>
        <v>626</v>
      </c>
      <c r="AC67" s="96">
        <f ca="1">TblProd[[#This Row],[Platinum]]</f>
        <v>466496</v>
      </c>
      <c r="AD67" s="225"/>
      <c r="AE67" s="45">
        <f ca="1">TblExplore[[#This Row],[Land]]-TblExplore[[#This Row],[Land Bonus]]*20</f>
        <v>250</v>
      </c>
      <c r="AF67" s="96">
        <f ca="1">ROUND(MAX(0.6*TblExplore[[#This Row],[Land-DB]]^1.299,850)*(1+ tech_2_6*Techs!AC67 + tech_2_9*Techs!AF67 + tech_3_7*Techs!AN67 + Overview!$I$32),0)</f>
        <v>850</v>
      </c>
      <c r="AG6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7">
        <f>TblRezone[[#This Row],[Hour]]</f>
        <v>65</v>
      </c>
      <c r="B68" s="224">
        <f ca="1">TblConstr[[#This Row],[Land]]</f>
        <v>250</v>
      </c>
      <c r="C68" s="225"/>
      <c r="D68" s="226">
        <f ca="1">TblConstr[[#This Row],[Plain]]</f>
        <v>40</v>
      </c>
      <c r="E68" s="184">
        <f ca="1">TblConstr[[#This Row],[Forest]]</f>
        <v>20</v>
      </c>
      <c r="F68" s="384">
        <f ca="1">TblConstr[[#This Row],[Mountain]]</f>
        <v>20</v>
      </c>
      <c r="G68" s="388">
        <f ca="1">TblConstr[[#This Row],[Hill]]</f>
        <v>20</v>
      </c>
      <c r="H68" s="392">
        <f ca="1">TblConstr[[#This Row],[Swamp]]</f>
        <v>20</v>
      </c>
      <c r="I68" s="187">
        <f ca="1">TblConstr[[#This Row],[Cavern]]</f>
        <v>20</v>
      </c>
      <c r="J68" s="188">
        <f ca="1">TblConstr[[#This Row],[Water]]</f>
        <v>20</v>
      </c>
      <c r="K68" s="220"/>
      <c r="L68" s="398">
        <v>17</v>
      </c>
      <c r="M68" s="399">
        <f t="shared" si="0"/>
        <v>2715</v>
      </c>
      <c r="N68" s="227">
        <f ca="1">TblMili[[#This Row],[Smithies]]</f>
        <v>0</v>
      </c>
      <c r="O68" s="227">
        <f ca="1">TblPop[[#This Row],[Employment]]</f>
        <v>1</v>
      </c>
      <c r="P68" s="227">
        <f ca="1">TblImps[[#This Row],[Population]]</f>
        <v>1</v>
      </c>
      <c r="Q68" s="177">
        <f ca="1">TblExplore[[#This Row],[Land]]</f>
        <v>250</v>
      </c>
      <c r="R68" s="177">
        <f>TblExplore[[#This Row],[Hour]]</f>
        <v>65</v>
      </c>
      <c r="S68" s="228"/>
      <c r="T68" s="181"/>
      <c r="U68" s="181"/>
      <c r="V68" s="181"/>
      <c r="W68" s="181"/>
      <c r="X68" s="181"/>
      <c r="Y68" s="181"/>
      <c r="Z68" s="181"/>
      <c r="AA68" s="161">
        <f ca="1">TblImps[[#This Row],[Real time]]</f>
        <v>45734.666666666511</v>
      </c>
      <c r="AB68" s="96">
        <f ca="1">TblMili[[#This Row],[Draftees]]</f>
        <v>626</v>
      </c>
      <c r="AC68" s="96">
        <f ca="1">TblProd[[#This Row],[Platinum]]</f>
        <v>471982</v>
      </c>
      <c r="AD68" s="225"/>
      <c r="AE68" s="45">
        <f ca="1">TblExplore[[#This Row],[Land]]-TblExplore[[#This Row],[Land Bonus]]*20</f>
        <v>250</v>
      </c>
      <c r="AF68" s="96">
        <f ca="1">ROUND(MAX(0.6*TblExplore[[#This Row],[Land-DB]]^1.299,850)*(1+ tech_2_6*Techs!AC68 + tech_2_9*Techs!AF68 + tech_3_7*Techs!AN68 + Overview!$I$32),0)</f>
        <v>850</v>
      </c>
      <c r="AG6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7">
        <f>TblRezone[[#This Row],[Hour]]</f>
        <v>66</v>
      </c>
      <c r="B69" s="224">
        <f ca="1">TblConstr[[#This Row],[Land]]</f>
        <v>250</v>
      </c>
      <c r="C69" s="225"/>
      <c r="D69" s="226">
        <f ca="1">TblConstr[[#This Row],[Plain]]</f>
        <v>40</v>
      </c>
      <c r="E69" s="184">
        <f ca="1">TblConstr[[#This Row],[Forest]]</f>
        <v>20</v>
      </c>
      <c r="F69" s="384">
        <f ca="1">TblConstr[[#This Row],[Mountain]]</f>
        <v>20</v>
      </c>
      <c r="G69" s="388">
        <f ca="1">TblConstr[[#This Row],[Hill]]</f>
        <v>20</v>
      </c>
      <c r="H69" s="392">
        <f ca="1">TblConstr[[#This Row],[Swamp]]</f>
        <v>20</v>
      </c>
      <c r="I69" s="187">
        <f ca="1">TblConstr[[#This Row],[Cavern]]</f>
        <v>20</v>
      </c>
      <c r="J69" s="188">
        <f ca="1">TblConstr[[#This Row],[Water]]</f>
        <v>20</v>
      </c>
      <c r="K69" s="220"/>
      <c r="L69" s="400">
        <v>18</v>
      </c>
      <c r="M69" s="401">
        <f t="shared" si="0"/>
        <v>2895</v>
      </c>
      <c r="N69" s="227">
        <f ca="1">TblMili[[#This Row],[Smithies]]</f>
        <v>0</v>
      </c>
      <c r="O69" s="227">
        <f ca="1">TblPop[[#This Row],[Employment]]</f>
        <v>1</v>
      </c>
      <c r="P69" s="227">
        <f ca="1">TblImps[[#This Row],[Population]]</f>
        <v>1</v>
      </c>
      <c r="Q69" s="177">
        <f ca="1">TblExplore[[#This Row],[Land]]</f>
        <v>250</v>
      </c>
      <c r="R69" s="177">
        <f>TblExplore[[#This Row],[Hour]]</f>
        <v>66</v>
      </c>
      <c r="S69" s="228"/>
      <c r="T69" s="181"/>
      <c r="U69" s="181"/>
      <c r="V69" s="181"/>
      <c r="W69" s="181"/>
      <c r="X69" s="181"/>
      <c r="Y69" s="181"/>
      <c r="Z69" s="181"/>
      <c r="AA69" s="161">
        <f ca="1">TblImps[[#This Row],[Real time]]</f>
        <v>45734.708333333176</v>
      </c>
      <c r="AB69" s="96">
        <f ca="1">TblMili[[#This Row],[Draftees]]</f>
        <v>626</v>
      </c>
      <c r="AC69" s="96">
        <f ca="1">TblProd[[#This Row],[Platinum]]</f>
        <v>477468</v>
      </c>
      <c r="AD69" s="225"/>
      <c r="AE69" s="45">
        <f ca="1">TblExplore[[#This Row],[Land]]-TblExplore[[#This Row],[Land Bonus]]*20</f>
        <v>250</v>
      </c>
      <c r="AF69" s="96">
        <f ca="1">ROUND(MAX(0.6*TblExplore[[#This Row],[Land-DB]]^1.299,850)*(1+ tech_2_6*Techs!AC69 + tech_2_9*Techs!AF69 + tech_3_7*Techs!AN69 + Overview!$I$32),0)</f>
        <v>850</v>
      </c>
      <c r="AG6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7">
        <f>TblRezone[[#This Row],[Hour]]</f>
        <v>67</v>
      </c>
      <c r="B70" s="224">
        <f ca="1">TblConstr[[#This Row],[Land]]</f>
        <v>250</v>
      </c>
      <c r="C70" s="225"/>
      <c r="D70" s="226">
        <f ca="1">TblConstr[[#This Row],[Plain]]</f>
        <v>40</v>
      </c>
      <c r="E70" s="184">
        <f ca="1">TblConstr[[#This Row],[Forest]]</f>
        <v>20</v>
      </c>
      <c r="F70" s="384">
        <f ca="1">TblConstr[[#This Row],[Mountain]]</f>
        <v>20</v>
      </c>
      <c r="G70" s="388">
        <f ca="1">TblConstr[[#This Row],[Hill]]</f>
        <v>20</v>
      </c>
      <c r="H70" s="392">
        <f ca="1">TblConstr[[#This Row],[Swamp]]</f>
        <v>20</v>
      </c>
      <c r="I70" s="187">
        <f ca="1">TblConstr[[#This Row],[Cavern]]</f>
        <v>20</v>
      </c>
      <c r="J70" s="188">
        <f ca="1">TblConstr[[#This Row],[Water]]</f>
        <v>20</v>
      </c>
      <c r="K70" s="220"/>
      <c r="L70" s="220"/>
      <c r="M70" s="220"/>
      <c r="N70" s="227">
        <f ca="1">TblMili[[#This Row],[Smithies]]</f>
        <v>0</v>
      </c>
      <c r="O70" s="227">
        <f ca="1">TblPop[[#This Row],[Employment]]</f>
        <v>1</v>
      </c>
      <c r="P70" s="227">
        <f ca="1">TblImps[[#This Row],[Population]]</f>
        <v>1</v>
      </c>
      <c r="Q70" s="177">
        <f ca="1">TblExplore[[#This Row],[Land]]</f>
        <v>250</v>
      </c>
      <c r="R70" s="177">
        <f>TblExplore[[#This Row],[Hour]]</f>
        <v>67</v>
      </c>
      <c r="S70" s="228"/>
      <c r="T70" s="181"/>
      <c r="U70" s="181"/>
      <c r="V70" s="181"/>
      <c r="W70" s="181"/>
      <c r="X70" s="181"/>
      <c r="Y70" s="181"/>
      <c r="Z70" s="181"/>
      <c r="AA70" s="161">
        <f ca="1">TblImps[[#This Row],[Real time]]</f>
        <v>45734.74999999984</v>
      </c>
      <c r="AB70" s="96">
        <f ca="1">TblMili[[#This Row],[Draftees]]</f>
        <v>626</v>
      </c>
      <c r="AC70" s="96">
        <f ca="1">TblProd[[#This Row],[Platinum]]</f>
        <v>482954</v>
      </c>
      <c r="AD70" s="225"/>
      <c r="AE70" s="45">
        <f ca="1">TblExplore[[#This Row],[Land]]-TblExplore[[#This Row],[Land Bonus]]*20</f>
        <v>250</v>
      </c>
      <c r="AF70" s="96">
        <f ca="1">ROUND(MAX(0.6*TblExplore[[#This Row],[Land-DB]]^1.299,850)*(1+ tech_2_6*Techs!AC70 + tech_2_9*Techs!AF70 + tech_3_7*Techs!AN70 + Overview!$I$32),0)</f>
        <v>850</v>
      </c>
      <c r="AG7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7">
        <f>TblRezone[[#This Row],[Hour]]</f>
        <v>68</v>
      </c>
      <c r="B71" s="224">
        <f ca="1">TblConstr[[#This Row],[Land]]</f>
        <v>250</v>
      </c>
      <c r="C71" s="225"/>
      <c r="D71" s="226">
        <f ca="1">TblConstr[[#This Row],[Plain]]</f>
        <v>40</v>
      </c>
      <c r="E71" s="184">
        <f ca="1">TblConstr[[#This Row],[Forest]]</f>
        <v>20</v>
      </c>
      <c r="F71" s="384">
        <f ca="1">TblConstr[[#This Row],[Mountain]]</f>
        <v>20</v>
      </c>
      <c r="G71" s="388">
        <f ca="1">TblConstr[[#This Row],[Hill]]</f>
        <v>20</v>
      </c>
      <c r="H71" s="392">
        <f ca="1">TblConstr[[#This Row],[Swamp]]</f>
        <v>20</v>
      </c>
      <c r="I71" s="187">
        <f ca="1">TblConstr[[#This Row],[Cavern]]</f>
        <v>20</v>
      </c>
      <c r="J71" s="188">
        <f ca="1">TblConstr[[#This Row],[Water]]</f>
        <v>20</v>
      </c>
      <c r="K71" s="220"/>
      <c r="L71" s="220"/>
      <c r="M71" s="220"/>
      <c r="N71" s="227">
        <f ca="1">TblMili[[#This Row],[Smithies]]</f>
        <v>0</v>
      </c>
      <c r="O71" s="227">
        <f ca="1">TblPop[[#This Row],[Employment]]</f>
        <v>1</v>
      </c>
      <c r="P71" s="227">
        <f ca="1">TblImps[[#This Row],[Population]]</f>
        <v>1</v>
      </c>
      <c r="Q71" s="177">
        <f ca="1">TblExplore[[#This Row],[Land]]</f>
        <v>250</v>
      </c>
      <c r="R71" s="177">
        <f>TblExplore[[#This Row],[Hour]]</f>
        <v>68</v>
      </c>
      <c r="S71" s="228"/>
      <c r="T71" s="181"/>
      <c r="U71" s="181"/>
      <c r="V71" s="181"/>
      <c r="W71" s="181"/>
      <c r="X71" s="181"/>
      <c r="Y71" s="181"/>
      <c r="Z71" s="181"/>
      <c r="AA71" s="161">
        <f ca="1">TblImps[[#This Row],[Real time]]</f>
        <v>45734.791666666504</v>
      </c>
      <c r="AB71" s="96">
        <f ca="1">TblMili[[#This Row],[Draftees]]</f>
        <v>626</v>
      </c>
      <c r="AC71" s="96">
        <f ca="1">TblProd[[#This Row],[Platinum]]</f>
        <v>488440</v>
      </c>
      <c r="AD71" s="225"/>
      <c r="AE71" s="45">
        <f ca="1">TblExplore[[#This Row],[Land]]-TblExplore[[#This Row],[Land Bonus]]*20</f>
        <v>250</v>
      </c>
      <c r="AF71" s="96">
        <f ca="1">ROUND(MAX(0.6*TblExplore[[#This Row],[Land-DB]]^1.299,850)*(1+ tech_2_6*Techs!AC71 + tech_2_9*Techs!AF71 + tech_3_7*Techs!AN71 + Overview!$I$32),0)</f>
        <v>850</v>
      </c>
      <c r="AG7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7">
        <f>TblRezone[[#This Row],[Hour]]</f>
        <v>69</v>
      </c>
      <c r="B72" s="224">
        <f ca="1">TblConstr[[#This Row],[Land]]</f>
        <v>250</v>
      </c>
      <c r="C72" s="225"/>
      <c r="D72" s="226">
        <f ca="1">TblConstr[[#This Row],[Plain]]</f>
        <v>40</v>
      </c>
      <c r="E72" s="184">
        <f ca="1">TblConstr[[#This Row],[Forest]]</f>
        <v>20</v>
      </c>
      <c r="F72" s="384">
        <f ca="1">TblConstr[[#This Row],[Mountain]]</f>
        <v>20</v>
      </c>
      <c r="G72" s="388">
        <f ca="1">TblConstr[[#This Row],[Hill]]</f>
        <v>20</v>
      </c>
      <c r="H72" s="392">
        <f ca="1">TblConstr[[#This Row],[Swamp]]</f>
        <v>20</v>
      </c>
      <c r="I72" s="187">
        <f ca="1">TblConstr[[#This Row],[Cavern]]</f>
        <v>20</v>
      </c>
      <c r="J72" s="188">
        <f ca="1">TblConstr[[#This Row],[Water]]</f>
        <v>20</v>
      </c>
      <c r="K72" s="220"/>
      <c r="L72" s="220"/>
      <c r="M72" s="220"/>
      <c r="N72" s="227">
        <f ca="1">TblMili[[#This Row],[Smithies]]</f>
        <v>0</v>
      </c>
      <c r="O72" s="227">
        <f ca="1">TblPop[[#This Row],[Employment]]</f>
        <v>1</v>
      </c>
      <c r="P72" s="227">
        <f ca="1">TblImps[[#This Row],[Population]]</f>
        <v>1</v>
      </c>
      <c r="Q72" s="177">
        <f ca="1">TblExplore[[#This Row],[Land]]</f>
        <v>250</v>
      </c>
      <c r="R72" s="177">
        <f>TblExplore[[#This Row],[Hour]]</f>
        <v>69</v>
      </c>
      <c r="S72" s="228"/>
      <c r="T72" s="181"/>
      <c r="U72" s="181"/>
      <c r="V72" s="181"/>
      <c r="W72" s="181"/>
      <c r="X72" s="181"/>
      <c r="Y72" s="181"/>
      <c r="Z72" s="181"/>
      <c r="AA72" s="161">
        <f ca="1">TblImps[[#This Row],[Real time]]</f>
        <v>45734.833333333168</v>
      </c>
      <c r="AB72" s="96">
        <f ca="1">TblMili[[#This Row],[Draftees]]</f>
        <v>626</v>
      </c>
      <c r="AC72" s="96">
        <f ca="1">TblProd[[#This Row],[Platinum]]</f>
        <v>493926</v>
      </c>
      <c r="AD72" s="225"/>
      <c r="AE72" s="45">
        <f ca="1">TblExplore[[#This Row],[Land]]-TblExplore[[#This Row],[Land Bonus]]*20</f>
        <v>250</v>
      </c>
      <c r="AF72" s="96">
        <f ca="1">ROUND(MAX(0.6*TblExplore[[#This Row],[Land-DB]]^1.299,850)*(1+ tech_2_6*Techs!AC72 + tech_2_9*Techs!AF72 + tech_3_7*Techs!AN72 + Overview!$I$32),0)</f>
        <v>850</v>
      </c>
      <c r="AG7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7">
        <f>TblRezone[[#This Row],[Hour]]</f>
        <v>70</v>
      </c>
      <c r="B73" s="224">
        <f ca="1">TblConstr[[#This Row],[Land]]</f>
        <v>250</v>
      </c>
      <c r="C73" s="225"/>
      <c r="D73" s="226">
        <f ca="1">TblConstr[[#This Row],[Plain]]</f>
        <v>40</v>
      </c>
      <c r="E73" s="184">
        <f ca="1">TblConstr[[#This Row],[Forest]]</f>
        <v>20</v>
      </c>
      <c r="F73" s="384">
        <f ca="1">TblConstr[[#This Row],[Mountain]]</f>
        <v>20</v>
      </c>
      <c r="G73" s="388">
        <f ca="1">TblConstr[[#This Row],[Hill]]</f>
        <v>20</v>
      </c>
      <c r="H73" s="392">
        <f ca="1">TblConstr[[#This Row],[Swamp]]</f>
        <v>20</v>
      </c>
      <c r="I73" s="187">
        <f ca="1">TblConstr[[#This Row],[Cavern]]</f>
        <v>20</v>
      </c>
      <c r="J73" s="188">
        <f ca="1">TblConstr[[#This Row],[Water]]</f>
        <v>20</v>
      </c>
      <c r="K73" s="220"/>
      <c r="L73" s="220"/>
      <c r="M73" s="220"/>
      <c r="N73" s="227">
        <f ca="1">TblMili[[#This Row],[Smithies]]</f>
        <v>0</v>
      </c>
      <c r="O73" s="227">
        <f ca="1">TblPop[[#This Row],[Employment]]</f>
        <v>1</v>
      </c>
      <c r="P73" s="227">
        <f ca="1">TblImps[[#This Row],[Population]]</f>
        <v>1</v>
      </c>
      <c r="Q73" s="177">
        <f ca="1">TblExplore[[#This Row],[Land]]</f>
        <v>250</v>
      </c>
      <c r="R73" s="177">
        <f>TblExplore[[#This Row],[Hour]]</f>
        <v>70</v>
      </c>
      <c r="S73" s="228"/>
      <c r="T73" s="181"/>
      <c r="U73" s="181"/>
      <c r="V73" s="181"/>
      <c r="W73" s="181"/>
      <c r="X73" s="181"/>
      <c r="Y73" s="181"/>
      <c r="Z73" s="181"/>
      <c r="AA73" s="161">
        <f ca="1">TblImps[[#This Row],[Real time]]</f>
        <v>45734.874999999833</v>
      </c>
      <c r="AB73" s="96">
        <f ca="1">TblMili[[#This Row],[Draftees]]</f>
        <v>626</v>
      </c>
      <c r="AC73" s="96">
        <f ca="1">TblProd[[#This Row],[Platinum]]</f>
        <v>499412</v>
      </c>
      <c r="AD73" s="225"/>
      <c r="AE73" s="45">
        <f ca="1">TblExplore[[#This Row],[Land]]-TblExplore[[#This Row],[Land Bonus]]*20</f>
        <v>250</v>
      </c>
      <c r="AF73" s="96">
        <f ca="1">ROUND(MAX(0.6*TblExplore[[#This Row],[Land-DB]]^1.299,850)*(1+ tech_2_6*Techs!AC73 + tech_2_9*Techs!AF73 + tech_3_7*Techs!AN73 + Overview!$I$32),0)</f>
        <v>850</v>
      </c>
      <c r="AG7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7">
        <f>TblRezone[[#This Row],[Hour]]</f>
        <v>71</v>
      </c>
      <c r="B74" s="224">
        <f ca="1">TblConstr[[#This Row],[Land]]</f>
        <v>250</v>
      </c>
      <c r="C74" s="225"/>
      <c r="D74" s="226">
        <f ca="1">TblConstr[[#This Row],[Plain]]</f>
        <v>40</v>
      </c>
      <c r="E74" s="184">
        <f ca="1">TblConstr[[#This Row],[Forest]]</f>
        <v>20</v>
      </c>
      <c r="F74" s="384">
        <f ca="1">TblConstr[[#This Row],[Mountain]]</f>
        <v>20</v>
      </c>
      <c r="G74" s="388">
        <f ca="1">TblConstr[[#This Row],[Hill]]</f>
        <v>20</v>
      </c>
      <c r="H74" s="392">
        <f ca="1">TblConstr[[#This Row],[Swamp]]</f>
        <v>20</v>
      </c>
      <c r="I74" s="187">
        <f ca="1">TblConstr[[#This Row],[Cavern]]</f>
        <v>20</v>
      </c>
      <c r="J74" s="188">
        <f ca="1">TblConstr[[#This Row],[Water]]</f>
        <v>20</v>
      </c>
      <c r="K74" s="220"/>
      <c r="L74" s="220"/>
      <c r="M74" s="220"/>
      <c r="N74" s="227">
        <f ca="1">TblMili[[#This Row],[Smithies]]</f>
        <v>0</v>
      </c>
      <c r="O74" s="227">
        <f ca="1">TblPop[[#This Row],[Employment]]</f>
        <v>1</v>
      </c>
      <c r="P74" s="227">
        <f ca="1">TblImps[[#This Row],[Population]]</f>
        <v>1</v>
      </c>
      <c r="Q74" s="177">
        <f ca="1">TblExplore[[#This Row],[Land]]</f>
        <v>250</v>
      </c>
      <c r="R74" s="177">
        <f>TblExplore[[#This Row],[Hour]]</f>
        <v>71</v>
      </c>
      <c r="S74" s="228"/>
      <c r="T74" s="181"/>
      <c r="U74" s="181"/>
      <c r="V74" s="181"/>
      <c r="W74" s="181"/>
      <c r="X74" s="181"/>
      <c r="Y74" s="181"/>
      <c r="Z74" s="181"/>
      <c r="AA74" s="161">
        <f ca="1">TblImps[[#This Row],[Real time]]</f>
        <v>45734.916666666497</v>
      </c>
      <c r="AB74" s="96">
        <f ca="1">TblMili[[#This Row],[Draftees]]</f>
        <v>626</v>
      </c>
      <c r="AC74" s="96">
        <f ca="1">TblProd[[#This Row],[Platinum]]</f>
        <v>504898</v>
      </c>
      <c r="AD74" s="225"/>
      <c r="AE74" s="45">
        <f ca="1">TblExplore[[#This Row],[Land]]-TblExplore[[#This Row],[Land Bonus]]*20</f>
        <v>250</v>
      </c>
      <c r="AF74" s="96">
        <f ca="1">ROUND(MAX(0.6*TblExplore[[#This Row],[Land-DB]]^1.299,850)*(1+ tech_2_6*Techs!AC74 + tech_2_9*Techs!AF74 + tech_3_7*Techs!AN74 + Overview!$I$32),0)</f>
        <v>850</v>
      </c>
      <c r="AG7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7">
        <f>TblRezone[[#This Row],[Hour]]</f>
        <v>72</v>
      </c>
      <c r="B75" s="224">
        <f ca="1">TblConstr[[#This Row],[Land]]</f>
        <v>250</v>
      </c>
      <c r="C75" s="225"/>
      <c r="D75" s="226">
        <f ca="1">TblConstr[[#This Row],[Plain]]</f>
        <v>40</v>
      </c>
      <c r="E75" s="184">
        <f ca="1">TblConstr[[#This Row],[Forest]]</f>
        <v>20</v>
      </c>
      <c r="F75" s="384">
        <f ca="1">TblConstr[[#This Row],[Mountain]]</f>
        <v>20</v>
      </c>
      <c r="G75" s="388">
        <f ca="1">TblConstr[[#This Row],[Hill]]</f>
        <v>20</v>
      </c>
      <c r="H75" s="392">
        <f ca="1">TblConstr[[#This Row],[Swamp]]</f>
        <v>20</v>
      </c>
      <c r="I75" s="187">
        <f ca="1">TblConstr[[#This Row],[Cavern]]</f>
        <v>20</v>
      </c>
      <c r="J75" s="188">
        <f ca="1">TblConstr[[#This Row],[Water]]</f>
        <v>20</v>
      </c>
      <c r="K75" s="220"/>
      <c r="L75" s="220"/>
      <c r="M75" s="220"/>
      <c r="N75" s="227">
        <f ca="1">TblMili[[#This Row],[Smithies]]</f>
        <v>0</v>
      </c>
      <c r="O75" s="227">
        <f ca="1">TblPop[[#This Row],[Employment]]</f>
        <v>1</v>
      </c>
      <c r="P75" s="227">
        <f ca="1">TblImps[[#This Row],[Population]]</f>
        <v>1</v>
      </c>
      <c r="Q75" s="177">
        <f ca="1">TblExplore[[#This Row],[Land]]</f>
        <v>250</v>
      </c>
      <c r="R75" s="177">
        <f>TblExplore[[#This Row],[Hour]]</f>
        <v>72</v>
      </c>
      <c r="S75" s="228"/>
      <c r="T75" s="181"/>
      <c r="U75" s="181"/>
      <c r="V75" s="181"/>
      <c r="W75" s="181"/>
      <c r="X75" s="181"/>
      <c r="Y75" s="181"/>
      <c r="Z75" s="181"/>
      <c r="AA75" s="161">
        <f ca="1">TblImps[[#This Row],[Real time]]</f>
        <v>45734.958333333161</v>
      </c>
      <c r="AB75" s="96">
        <f ca="1">TblMili[[#This Row],[Draftees]]</f>
        <v>626</v>
      </c>
      <c r="AC75" s="96">
        <f ca="1">TblProd[[#This Row],[Platinum]]</f>
        <v>510384</v>
      </c>
      <c r="AD75" s="225"/>
      <c r="AE75" s="45">
        <f ca="1">TblExplore[[#This Row],[Land]]-TblExplore[[#This Row],[Land Bonus]]*20</f>
        <v>250</v>
      </c>
      <c r="AF75" s="96">
        <f ca="1">ROUND(MAX(0.6*TblExplore[[#This Row],[Land-DB]]^1.299,850)*(1+ tech_2_6*Techs!AC75 + tech_2_9*Techs!AF75 + tech_3_7*Techs!AN75 + Overview!$I$32),0)</f>
        <v>850</v>
      </c>
      <c r="AG7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156</v>
      </c>
    </row>
    <row r="76" spans="1:37" s="210" customFormat="1" x14ac:dyDescent="0.2">
      <c r="A76" s="195">
        <f>TblRezone[[#This Row],[Hour]]</f>
        <v>73</v>
      </c>
      <c r="B76" s="241">
        <f ca="1">TblConstr[[#This Row],[Land]]</f>
        <v>250</v>
      </c>
      <c r="C76" s="242"/>
      <c r="D76" s="243">
        <f ca="1">TblConstr[[#This Row],[Plain]]</f>
        <v>40</v>
      </c>
      <c r="E76" s="201">
        <f ca="1">TblConstr[[#This Row],[Forest]]</f>
        <v>20</v>
      </c>
      <c r="F76" s="385">
        <f ca="1">TblConstr[[#This Row],[Mountain]]</f>
        <v>20</v>
      </c>
      <c r="G76" s="389">
        <f ca="1">TblConstr[[#This Row],[Hill]]</f>
        <v>20</v>
      </c>
      <c r="H76" s="393">
        <f ca="1">TblConstr[[#This Row],[Swamp]]</f>
        <v>20</v>
      </c>
      <c r="I76" s="204">
        <f ca="1">TblConstr[[#This Row],[Cavern]]</f>
        <v>20</v>
      </c>
      <c r="J76" s="205">
        <f ca="1">TblConstr[[#This Row],[Water]]</f>
        <v>20</v>
      </c>
      <c r="K76" s="218"/>
      <c r="L76" s="218"/>
      <c r="M76" s="218"/>
      <c r="N76" s="244">
        <f ca="1">TblMili[[#This Row],[Smithies]]</f>
        <v>0</v>
      </c>
      <c r="O76" s="244">
        <f ca="1">TblPop[[#This Row],[Employment]]</f>
        <v>1</v>
      </c>
      <c r="P76" s="244">
        <f ca="1">TblImps[[#This Row],[Population]]</f>
        <v>1</v>
      </c>
      <c r="Q76" s="195">
        <f ca="1">TblExplore[[#This Row],[Land]]</f>
        <v>250</v>
      </c>
      <c r="R76" s="177">
        <f>TblExplore[[#This Row],[Hour]]</f>
        <v>73</v>
      </c>
      <c r="S76" s="245"/>
      <c r="T76" s="206"/>
      <c r="U76" s="206"/>
      <c r="V76" s="206"/>
      <c r="W76" s="206"/>
      <c r="X76" s="206"/>
      <c r="Y76" s="206"/>
      <c r="Z76" s="206"/>
      <c r="AA76" s="216">
        <f ca="1">TblImps[[#This Row],[Real time]]</f>
        <v>45734.999999999825</v>
      </c>
      <c r="AB76" s="209">
        <f ca="1">TblMili[[#This Row],[Draftees]]</f>
        <v>626</v>
      </c>
      <c r="AC76" s="209">
        <f ca="1">TblProd[[#This Row],[Platinum]]</f>
        <v>515870</v>
      </c>
      <c r="AD76" s="242"/>
      <c r="AE76" s="210">
        <f ca="1">TblExplore[[#This Row],[Land]]-TblExplore[[#This Row],[Land Bonus]]*20</f>
        <v>250</v>
      </c>
      <c r="AF76" s="209">
        <f ca="1">ROUND(MAX(0.6*TblExplore[[#This Row],[Land-DB]]^1.299,850)*(1+ tech_2_6*Techs!AC76 + tech_2_9*Techs!AF76 + tech_3_7*Techs!AN76 + Overview!$I$32),0)</f>
        <v>850</v>
      </c>
      <c r="AG76" s="209">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09">
        <f ca="1">SUM(TblExplore[[#This Row],[Plains Explore]:[Water Explore]])*TblExplore[[#This Row],[Plat/acre]]</f>
        <v>0</v>
      </c>
      <c r="AI76" s="209">
        <f ca="1">SUM(TblExplore[[#This Row],[Plains Explore]:[Water Explore]])*TblExplore[[#This Row],[Draftees/acre]]</f>
        <v>0</v>
      </c>
      <c r="AJ76" s="210">
        <f ca="1">_xlfn.FLOOR.MATH(MIN(TblExplore[[#This Row],[Platinum]]/TblExplore[[#This Row],[Plat/acre]],TblExplore[[#This Row],[Draftees]]/TblExplore[[#This Row],[Draftees/acre]]))</f>
        <v>156</v>
      </c>
      <c r="AK76" s="247"/>
    </row>
    <row r="77" spans="1:37" x14ac:dyDescent="0.2">
      <c r="A77" s="177">
        <f>TblRezone[[#This Row],[Hour]]</f>
        <v>74</v>
      </c>
      <c r="B77" s="224">
        <f ca="1">TblConstr[[#This Row],[Land]]</f>
        <v>250</v>
      </c>
      <c r="C77" s="225"/>
      <c r="D77" s="226">
        <f ca="1">TblConstr[[#This Row],[Plain]]</f>
        <v>40</v>
      </c>
      <c r="E77" s="184">
        <f ca="1">TblConstr[[#This Row],[Forest]]</f>
        <v>20</v>
      </c>
      <c r="F77" s="384">
        <f ca="1">TblConstr[[#This Row],[Mountain]]</f>
        <v>20</v>
      </c>
      <c r="G77" s="388">
        <f ca="1">TblConstr[[#This Row],[Hill]]</f>
        <v>20</v>
      </c>
      <c r="H77" s="392">
        <f ca="1">TblConstr[[#This Row],[Swamp]]</f>
        <v>20</v>
      </c>
      <c r="I77" s="187">
        <f ca="1">TblConstr[[#This Row],[Cavern]]</f>
        <v>20</v>
      </c>
      <c r="J77" s="188">
        <f ca="1">TblConstr[[#This Row],[Water]]</f>
        <v>20</v>
      </c>
      <c r="K77" s="220"/>
      <c r="L77" s="220"/>
      <c r="M77" s="220"/>
      <c r="N77" s="227">
        <f ca="1">TblMili[[#This Row],[Smithies]]</f>
        <v>0</v>
      </c>
      <c r="O77" s="227">
        <f ca="1">TblPop[[#This Row],[Employment]]</f>
        <v>1</v>
      </c>
      <c r="P77" s="227">
        <f ca="1">TblImps[[#This Row],[Population]]</f>
        <v>1</v>
      </c>
      <c r="Q77" s="177">
        <f ca="1">TblExplore[[#This Row],[Land]]</f>
        <v>250</v>
      </c>
      <c r="R77" s="177">
        <f>TblExplore[[#This Row],[Hour]]</f>
        <v>74</v>
      </c>
      <c r="S77" s="228"/>
      <c r="T77" s="181"/>
      <c r="U77" s="181"/>
      <c r="V77" s="181"/>
      <c r="W77" s="181"/>
      <c r="X77" s="181"/>
      <c r="Y77" s="181"/>
      <c r="Z77" s="181"/>
      <c r="AA77" s="161">
        <f ca="1">TblImps[[#This Row],[Real time]]</f>
        <v>45735.04166666649</v>
      </c>
      <c r="AB77" s="96">
        <f ca="1">TblMili[[#This Row],[Draftees]]</f>
        <v>626</v>
      </c>
      <c r="AC77" s="96">
        <f ca="1">TblProd[[#This Row],[Platinum]]</f>
        <v>521356</v>
      </c>
      <c r="AD77" s="225"/>
      <c r="AE77" s="45">
        <f ca="1">TblExplore[[#This Row],[Land]]-TblExplore[[#This Row],[Land Bonus]]*20</f>
        <v>250</v>
      </c>
      <c r="AF77" s="96">
        <f ca="1">ROUND(MAX(0.6*TblExplore[[#This Row],[Land-DB]]^1.299,850)*(1+ tech_2_6*Techs!AC77 + tech_2_9*Techs!AF77 + tech_3_7*Techs!AN77 + Overview!$I$32),0)</f>
        <v>850</v>
      </c>
      <c r="AG7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7">
        <f>TblRezone[[#This Row],[Hour]]</f>
        <v>75</v>
      </c>
      <c r="B78" s="224">
        <f ca="1">TblConstr[[#This Row],[Land]]</f>
        <v>250</v>
      </c>
      <c r="C78" s="225"/>
      <c r="D78" s="226">
        <f ca="1">TblConstr[[#This Row],[Plain]]</f>
        <v>40</v>
      </c>
      <c r="E78" s="184">
        <f ca="1">TblConstr[[#This Row],[Forest]]</f>
        <v>20</v>
      </c>
      <c r="F78" s="384">
        <f ca="1">TblConstr[[#This Row],[Mountain]]</f>
        <v>20</v>
      </c>
      <c r="G78" s="388">
        <f ca="1">TblConstr[[#This Row],[Hill]]</f>
        <v>20</v>
      </c>
      <c r="H78" s="392">
        <f ca="1">TblConstr[[#This Row],[Swamp]]</f>
        <v>20</v>
      </c>
      <c r="I78" s="187">
        <f ca="1">TblConstr[[#This Row],[Cavern]]</f>
        <v>20</v>
      </c>
      <c r="J78" s="188">
        <f ca="1">TblConstr[[#This Row],[Water]]</f>
        <v>20</v>
      </c>
      <c r="K78" s="220"/>
      <c r="L78" s="220"/>
      <c r="M78" s="220"/>
      <c r="N78" s="227">
        <f ca="1">TblMili[[#This Row],[Smithies]]</f>
        <v>0</v>
      </c>
      <c r="O78" s="227">
        <f ca="1">TblPop[[#This Row],[Employment]]</f>
        <v>1</v>
      </c>
      <c r="P78" s="227">
        <f ca="1">TblImps[[#This Row],[Population]]</f>
        <v>1</v>
      </c>
      <c r="Q78" s="177">
        <f ca="1">TblExplore[[#This Row],[Land]]</f>
        <v>250</v>
      </c>
      <c r="R78" s="177">
        <f>TblExplore[[#This Row],[Hour]]</f>
        <v>75</v>
      </c>
      <c r="S78" s="228"/>
      <c r="T78" s="181"/>
      <c r="U78" s="181"/>
      <c r="V78" s="181"/>
      <c r="W78" s="181"/>
      <c r="X78" s="181"/>
      <c r="Y78" s="181"/>
      <c r="Z78" s="181"/>
      <c r="AA78" s="161">
        <f ca="1">TblImps[[#This Row],[Real time]]</f>
        <v>45735.083333333154</v>
      </c>
      <c r="AB78" s="96">
        <f ca="1">TblMili[[#This Row],[Draftees]]</f>
        <v>626</v>
      </c>
      <c r="AC78" s="96">
        <f ca="1">TblProd[[#This Row],[Platinum]]</f>
        <v>526842</v>
      </c>
      <c r="AD78" s="225"/>
      <c r="AE78" s="45">
        <f ca="1">TblExplore[[#This Row],[Land]]-TblExplore[[#This Row],[Land Bonus]]*20</f>
        <v>250</v>
      </c>
      <c r="AF78" s="96">
        <f ca="1">ROUND(MAX(0.6*TblExplore[[#This Row],[Land-DB]]^1.299,850)*(1+ tech_2_6*Techs!AC78 + tech_2_9*Techs!AF78 + tech_3_7*Techs!AN78 + Overview!$I$32),0)</f>
        <v>850</v>
      </c>
      <c r="AG7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7">
        <f>TblRezone[[#This Row],[Hour]]</f>
        <v>76</v>
      </c>
      <c r="B79" s="224">
        <f ca="1">TblConstr[[#This Row],[Land]]</f>
        <v>250</v>
      </c>
      <c r="C79" s="225"/>
      <c r="D79" s="226">
        <f ca="1">TblConstr[[#This Row],[Plain]]</f>
        <v>40</v>
      </c>
      <c r="E79" s="184">
        <f ca="1">TblConstr[[#This Row],[Forest]]</f>
        <v>20</v>
      </c>
      <c r="F79" s="384">
        <f ca="1">TblConstr[[#This Row],[Mountain]]</f>
        <v>20</v>
      </c>
      <c r="G79" s="388">
        <f ca="1">TblConstr[[#This Row],[Hill]]</f>
        <v>20</v>
      </c>
      <c r="H79" s="392">
        <f ca="1">TblConstr[[#This Row],[Swamp]]</f>
        <v>20</v>
      </c>
      <c r="I79" s="187">
        <f ca="1">TblConstr[[#This Row],[Cavern]]</f>
        <v>20</v>
      </c>
      <c r="J79" s="188">
        <f ca="1">TblConstr[[#This Row],[Water]]</f>
        <v>20</v>
      </c>
      <c r="K79" s="220"/>
      <c r="L79" s="220"/>
      <c r="M79" s="220"/>
      <c r="N79" s="227">
        <f ca="1">TblMili[[#This Row],[Smithies]]</f>
        <v>0</v>
      </c>
      <c r="O79" s="227">
        <f ca="1">TblPop[[#This Row],[Employment]]</f>
        <v>1</v>
      </c>
      <c r="P79" s="227">
        <f ca="1">TblImps[[#This Row],[Population]]</f>
        <v>1</v>
      </c>
      <c r="Q79" s="177">
        <f ca="1">TblExplore[[#This Row],[Land]]</f>
        <v>250</v>
      </c>
      <c r="R79" s="177">
        <f>TblExplore[[#This Row],[Hour]]</f>
        <v>76</v>
      </c>
      <c r="S79" s="228"/>
      <c r="T79" s="160"/>
      <c r="U79" s="181"/>
      <c r="V79" s="181"/>
      <c r="W79" s="181"/>
      <c r="X79" s="181"/>
      <c r="Y79" s="181"/>
      <c r="Z79" s="181"/>
      <c r="AA79" s="161">
        <f ca="1">TblImps[[#This Row],[Real time]]</f>
        <v>45735.124999999818</v>
      </c>
      <c r="AB79" s="96">
        <f ca="1">TblMili[[#This Row],[Draftees]]</f>
        <v>626</v>
      </c>
      <c r="AC79" s="96">
        <f ca="1">TblProd[[#This Row],[Platinum]]</f>
        <v>532328</v>
      </c>
      <c r="AD79" s="225"/>
      <c r="AE79" s="45">
        <f ca="1">TblExplore[[#This Row],[Land]]-TblExplore[[#This Row],[Land Bonus]]*20</f>
        <v>250</v>
      </c>
      <c r="AF79" s="96">
        <f ca="1">ROUND(MAX(0.6*TblExplore[[#This Row],[Land-DB]]^1.299,850)*(1+ tech_2_6*Techs!AC79 + tech_2_9*Techs!AF79 + tech_3_7*Techs!AN79 + Overview!$I$32),0)</f>
        <v>850</v>
      </c>
      <c r="AG7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7">
        <f>TblRezone[[#This Row],[Hour]]</f>
        <v>77</v>
      </c>
      <c r="B80" s="224">
        <f ca="1">TblConstr[[#This Row],[Land]]</f>
        <v>250</v>
      </c>
      <c r="C80" s="225"/>
      <c r="D80" s="226">
        <f ca="1">TblConstr[[#This Row],[Plain]]</f>
        <v>40</v>
      </c>
      <c r="E80" s="184">
        <f ca="1">TblConstr[[#This Row],[Forest]]</f>
        <v>20</v>
      </c>
      <c r="F80" s="384">
        <f ca="1">TblConstr[[#This Row],[Mountain]]</f>
        <v>20</v>
      </c>
      <c r="G80" s="388">
        <f ca="1">TblConstr[[#This Row],[Hill]]</f>
        <v>20</v>
      </c>
      <c r="H80" s="392">
        <f ca="1">TblConstr[[#This Row],[Swamp]]</f>
        <v>20</v>
      </c>
      <c r="I80" s="187">
        <f ca="1">TblConstr[[#This Row],[Cavern]]</f>
        <v>20</v>
      </c>
      <c r="J80" s="188">
        <f ca="1">TblConstr[[#This Row],[Water]]</f>
        <v>20</v>
      </c>
      <c r="K80" s="220"/>
      <c r="L80" s="220"/>
      <c r="M80" s="220"/>
      <c r="N80" s="227">
        <f ca="1">TblMili[[#This Row],[Smithies]]</f>
        <v>0</v>
      </c>
      <c r="O80" s="227">
        <f ca="1">TblPop[[#This Row],[Employment]]</f>
        <v>1</v>
      </c>
      <c r="P80" s="227">
        <f ca="1">TblImps[[#This Row],[Population]]</f>
        <v>1</v>
      </c>
      <c r="Q80" s="177">
        <f ca="1">TblExplore[[#This Row],[Land]]</f>
        <v>250</v>
      </c>
      <c r="R80" s="177">
        <f>TblExplore[[#This Row],[Hour]]</f>
        <v>77</v>
      </c>
      <c r="S80" s="228"/>
      <c r="T80" s="160"/>
      <c r="U80" s="181"/>
      <c r="V80" s="181"/>
      <c r="W80" s="181"/>
      <c r="X80" s="181"/>
      <c r="Y80" s="181"/>
      <c r="Z80" s="181"/>
      <c r="AA80" s="161">
        <f ca="1">TblImps[[#This Row],[Real time]]</f>
        <v>45735.166666666482</v>
      </c>
      <c r="AB80" s="96">
        <f ca="1">TblMili[[#This Row],[Draftees]]</f>
        <v>626</v>
      </c>
      <c r="AC80" s="96">
        <f ca="1">TblProd[[#This Row],[Platinum]]</f>
        <v>537814</v>
      </c>
      <c r="AD80" s="225"/>
      <c r="AE80" s="45">
        <f ca="1">TblExplore[[#This Row],[Land]]-TblExplore[[#This Row],[Land Bonus]]*20</f>
        <v>250</v>
      </c>
      <c r="AF80" s="96">
        <f ca="1">ROUND(MAX(0.6*TblExplore[[#This Row],[Land-DB]]^1.299,850)*(1+ tech_2_6*Techs!AC80 + tech_2_9*Techs!AF80 + tech_3_7*Techs!AN80 + Overview!$I$32),0)</f>
        <v>850</v>
      </c>
      <c r="AG8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7">
        <f>TblRezone[[#This Row],[Hour]]</f>
        <v>78</v>
      </c>
      <c r="B81" s="224">
        <f ca="1">TblConstr[[#This Row],[Land]]</f>
        <v>250</v>
      </c>
      <c r="C81" s="225"/>
      <c r="D81" s="226">
        <f ca="1">TblConstr[[#This Row],[Plain]]</f>
        <v>40</v>
      </c>
      <c r="E81" s="184">
        <f ca="1">TblConstr[[#This Row],[Forest]]</f>
        <v>20</v>
      </c>
      <c r="F81" s="384">
        <f ca="1">TblConstr[[#This Row],[Mountain]]</f>
        <v>20</v>
      </c>
      <c r="G81" s="388">
        <f ca="1">TblConstr[[#This Row],[Hill]]</f>
        <v>20</v>
      </c>
      <c r="H81" s="392">
        <f ca="1">TblConstr[[#This Row],[Swamp]]</f>
        <v>20</v>
      </c>
      <c r="I81" s="187">
        <f ca="1">TblConstr[[#This Row],[Cavern]]</f>
        <v>20</v>
      </c>
      <c r="J81" s="188">
        <f ca="1">TblConstr[[#This Row],[Water]]</f>
        <v>20</v>
      </c>
      <c r="K81" s="220"/>
      <c r="L81" s="220"/>
      <c r="M81" s="220"/>
      <c r="N81" s="227">
        <f ca="1">TblMili[[#This Row],[Smithies]]</f>
        <v>0</v>
      </c>
      <c r="O81" s="227">
        <f ca="1">TblPop[[#This Row],[Employment]]</f>
        <v>1</v>
      </c>
      <c r="P81" s="227">
        <f ca="1">TblImps[[#This Row],[Population]]</f>
        <v>1</v>
      </c>
      <c r="Q81" s="177">
        <f ca="1">TblExplore[[#This Row],[Land]]</f>
        <v>250</v>
      </c>
      <c r="R81" s="177">
        <f>TblExplore[[#This Row],[Hour]]</f>
        <v>78</v>
      </c>
      <c r="S81" s="228"/>
      <c r="T81" s="181"/>
      <c r="U81" s="181"/>
      <c r="V81" s="181"/>
      <c r="W81" s="181"/>
      <c r="X81" s="181"/>
      <c r="Y81" s="181"/>
      <c r="Z81" s="181"/>
      <c r="AA81" s="161">
        <f ca="1">TblImps[[#This Row],[Real time]]</f>
        <v>45735.208333333147</v>
      </c>
      <c r="AB81" s="96">
        <f ca="1">TblMili[[#This Row],[Draftees]]</f>
        <v>626</v>
      </c>
      <c r="AC81" s="96">
        <f ca="1">TblProd[[#This Row],[Platinum]]</f>
        <v>543300</v>
      </c>
      <c r="AD81" s="225"/>
      <c r="AE81" s="45">
        <f ca="1">TblExplore[[#This Row],[Land]]-TblExplore[[#This Row],[Land Bonus]]*20</f>
        <v>250</v>
      </c>
      <c r="AF81" s="96">
        <f ca="1">ROUND(MAX(0.6*TblExplore[[#This Row],[Land-DB]]^1.299,850)*(1+ tech_2_6*Techs!AC81 + tech_2_9*Techs!AF81 + tech_3_7*Techs!AN81 + Overview!$I$32),0)</f>
        <v>850</v>
      </c>
      <c r="AG8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7">
        <f>TblRezone[[#This Row],[Hour]]</f>
        <v>79</v>
      </c>
      <c r="B82" s="224">
        <f ca="1">TblConstr[[#This Row],[Land]]</f>
        <v>250</v>
      </c>
      <c r="C82" s="225"/>
      <c r="D82" s="226">
        <f ca="1">TblConstr[[#This Row],[Plain]]</f>
        <v>40</v>
      </c>
      <c r="E82" s="184">
        <f ca="1">TblConstr[[#This Row],[Forest]]</f>
        <v>20</v>
      </c>
      <c r="F82" s="384">
        <f ca="1">TblConstr[[#This Row],[Mountain]]</f>
        <v>20</v>
      </c>
      <c r="G82" s="388">
        <f ca="1">TblConstr[[#This Row],[Hill]]</f>
        <v>20</v>
      </c>
      <c r="H82" s="392">
        <f ca="1">TblConstr[[#This Row],[Swamp]]</f>
        <v>20</v>
      </c>
      <c r="I82" s="187">
        <f ca="1">TblConstr[[#This Row],[Cavern]]</f>
        <v>20</v>
      </c>
      <c r="J82" s="188">
        <f ca="1">TblConstr[[#This Row],[Water]]</f>
        <v>20</v>
      </c>
      <c r="K82" s="220"/>
      <c r="L82" s="220"/>
      <c r="M82" s="220"/>
      <c r="N82" s="227">
        <f ca="1">TblMili[[#This Row],[Smithies]]</f>
        <v>0</v>
      </c>
      <c r="O82" s="227">
        <f ca="1">TblPop[[#This Row],[Employment]]</f>
        <v>1</v>
      </c>
      <c r="P82" s="227">
        <f ca="1">TblImps[[#This Row],[Population]]</f>
        <v>1</v>
      </c>
      <c r="Q82" s="177">
        <f ca="1">TblExplore[[#This Row],[Land]]</f>
        <v>250</v>
      </c>
      <c r="R82" s="177">
        <f>TblExplore[[#This Row],[Hour]]</f>
        <v>79</v>
      </c>
      <c r="S82" s="228"/>
      <c r="T82" s="181"/>
      <c r="U82" s="181"/>
      <c r="V82" s="181"/>
      <c r="W82" s="181"/>
      <c r="X82" s="181"/>
      <c r="Y82" s="181"/>
      <c r="Z82" s="181"/>
      <c r="AA82" s="161">
        <f ca="1">TblImps[[#This Row],[Real time]]</f>
        <v>45735.249999999811</v>
      </c>
      <c r="AB82" s="96">
        <f ca="1">TblMili[[#This Row],[Draftees]]</f>
        <v>626</v>
      </c>
      <c r="AC82" s="96">
        <f ca="1">TblProd[[#This Row],[Platinum]]</f>
        <v>548786</v>
      </c>
      <c r="AD82" s="225"/>
      <c r="AE82" s="45">
        <f ca="1">TblExplore[[#This Row],[Land]]-TblExplore[[#This Row],[Land Bonus]]*20</f>
        <v>250</v>
      </c>
      <c r="AF82" s="96">
        <f ca="1">ROUND(MAX(0.6*TblExplore[[#This Row],[Land-DB]]^1.299,850)*(1+ tech_2_6*Techs!AC82 + tech_2_9*Techs!AF82 + tech_3_7*Techs!AN82 + Overview!$I$32),0)</f>
        <v>850</v>
      </c>
      <c r="AG8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7">
        <f>TblRezone[[#This Row],[Hour]]</f>
        <v>80</v>
      </c>
      <c r="B83" s="224">
        <f ca="1">TblConstr[[#This Row],[Land]]</f>
        <v>250</v>
      </c>
      <c r="C83" s="225"/>
      <c r="D83" s="226">
        <f ca="1">TblConstr[[#This Row],[Plain]]</f>
        <v>40</v>
      </c>
      <c r="E83" s="184">
        <f ca="1">TblConstr[[#This Row],[Forest]]</f>
        <v>20</v>
      </c>
      <c r="F83" s="384">
        <f ca="1">TblConstr[[#This Row],[Mountain]]</f>
        <v>20</v>
      </c>
      <c r="G83" s="388">
        <f ca="1">TblConstr[[#This Row],[Hill]]</f>
        <v>20</v>
      </c>
      <c r="H83" s="392">
        <f ca="1">TblConstr[[#This Row],[Swamp]]</f>
        <v>20</v>
      </c>
      <c r="I83" s="187">
        <f ca="1">TblConstr[[#This Row],[Cavern]]</f>
        <v>20</v>
      </c>
      <c r="J83" s="188">
        <f ca="1">TblConstr[[#This Row],[Water]]</f>
        <v>20</v>
      </c>
      <c r="K83" s="220"/>
      <c r="L83" s="220"/>
      <c r="M83" s="220"/>
      <c r="N83" s="227">
        <f ca="1">TblMili[[#This Row],[Smithies]]</f>
        <v>0</v>
      </c>
      <c r="O83" s="227">
        <f ca="1">TblPop[[#This Row],[Employment]]</f>
        <v>1</v>
      </c>
      <c r="P83" s="227">
        <f ca="1">TblImps[[#This Row],[Population]]</f>
        <v>1</v>
      </c>
      <c r="Q83" s="177">
        <f ca="1">TblExplore[[#This Row],[Land]]</f>
        <v>250</v>
      </c>
      <c r="R83" s="177">
        <f>TblExplore[[#This Row],[Hour]]</f>
        <v>80</v>
      </c>
      <c r="S83" s="228"/>
      <c r="T83" s="181"/>
      <c r="U83" s="181"/>
      <c r="V83" s="181"/>
      <c r="W83" s="181"/>
      <c r="X83" s="181"/>
      <c r="Y83" s="181"/>
      <c r="Z83" s="181"/>
      <c r="AA83" s="161">
        <f ca="1">TblImps[[#This Row],[Real time]]</f>
        <v>45735.291666666475</v>
      </c>
      <c r="AB83" s="96">
        <f ca="1">TblMili[[#This Row],[Draftees]]</f>
        <v>626</v>
      </c>
      <c r="AC83" s="96">
        <f ca="1">TblProd[[#This Row],[Platinum]]</f>
        <v>554272</v>
      </c>
      <c r="AD83" s="225"/>
      <c r="AE83" s="45">
        <f ca="1">TblExplore[[#This Row],[Land]]-TblExplore[[#This Row],[Land Bonus]]*20</f>
        <v>250</v>
      </c>
      <c r="AF83" s="96">
        <f ca="1">ROUND(MAX(0.6*TblExplore[[#This Row],[Land-DB]]^1.299,850)*(1+ tech_2_6*Techs!AC83 + tech_2_9*Techs!AF83 + tech_3_7*Techs!AN83 + Overview!$I$32),0)</f>
        <v>850</v>
      </c>
      <c r="AG8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7">
        <f>TblRezone[[#This Row],[Hour]]</f>
        <v>81</v>
      </c>
      <c r="B84" s="224">
        <f ca="1">TblConstr[[#This Row],[Land]]</f>
        <v>250</v>
      </c>
      <c r="C84" s="225"/>
      <c r="D84" s="226">
        <f ca="1">TblConstr[[#This Row],[Plain]]</f>
        <v>40</v>
      </c>
      <c r="E84" s="184">
        <f ca="1">TblConstr[[#This Row],[Forest]]</f>
        <v>20</v>
      </c>
      <c r="F84" s="384">
        <f ca="1">TblConstr[[#This Row],[Mountain]]</f>
        <v>20</v>
      </c>
      <c r="G84" s="388">
        <f ca="1">TblConstr[[#This Row],[Hill]]</f>
        <v>20</v>
      </c>
      <c r="H84" s="392">
        <f ca="1">TblConstr[[#This Row],[Swamp]]</f>
        <v>20</v>
      </c>
      <c r="I84" s="187">
        <f ca="1">TblConstr[[#This Row],[Cavern]]</f>
        <v>20</v>
      </c>
      <c r="J84" s="188">
        <f ca="1">TblConstr[[#This Row],[Water]]</f>
        <v>20</v>
      </c>
      <c r="K84" s="220"/>
      <c r="L84" s="220"/>
      <c r="M84" s="220"/>
      <c r="N84" s="227">
        <f ca="1">TblMili[[#This Row],[Smithies]]</f>
        <v>0</v>
      </c>
      <c r="O84" s="227">
        <f ca="1">TblPop[[#This Row],[Employment]]</f>
        <v>1</v>
      </c>
      <c r="P84" s="227">
        <f ca="1">TblImps[[#This Row],[Population]]</f>
        <v>1</v>
      </c>
      <c r="Q84" s="177">
        <f ca="1">TblExplore[[#This Row],[Land]]</f>
        <v>250</v>
      </c>
      <c r="R84" s="177">
        <f>TblExplore[[#This Row],[Hour]]</f>
        <v>81</v>
      </c>
      <c r="S84" s="228"/>
      <c r="T84" s="181"/>
      <c r="U84" s="181"/>
      <c r="V84" s="181"/>
      <c r="W84" s="181"/>
      <c r="X84" s="181"/>
      <c r="Y84" s="181"/>
      <c r="Z84" s="181"/>
      <c r="AA84" s="161">
        <f ca="1">TblImps[[#This Row],[Real time]]</f>
        <v>45735.333333333139</v>
      </c>
      <c r="AB84" s="96">
        <f ca="1">TblMili[[#This Row],[Draftees]]</f>
        <v>626</v>
      </c>
      <c r="AC84" s="96">
        <f ca="1">TblProd[[#This Row],[Platinum]]</f>
        <v>559758</v>
      </c>
      <c r="AD84" s="225"/>
      <c r="AE84" s="45">
        <f ca="1">TblExplore[[#This Row],[Land]]-TblExplore[[#This Row],[Land Bonus]]*20</f>
        <v>250</v>
      </c>
      <c r="AF84" s="96">
        <f ca="1">ROUND(MAX(0.6*TblExplore[[#This Row],[Land-DB]]^1.299,850)*(1+ tech_2_6*Techs!AC84 + tech_2_9*Techs!AF84 + tech_3_7*Techs!AN84 + Overview!$I$32),0)</f>
        <v>850</v>
      </c>
      <c r="AG8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7">
        <f>TblRezone[[#This Row],[Hour]]</f>
        <v>82</v>
      </c>
      <c r="B85" s="224">
        <f ca="1">TblConstr[[#This Row],[Land]]</f>
        <v>250</v>
      </c>
      <c r="C85" s="225"/>
      <c r="D85" s="226">
        <f ca="1">TblConstr[[#This Row],[Plain]]</f>
        <v>40</v>
      </c>
      <c r="E85" s="184">
        <f ca="1">TblConstr[[#This Row],[Forest]]</f>
        <v>20</v>
      </c>
      <c r="F85" s="384">
        <f ca="1">TblConstr[[#This Row],[Mountain]]</f>
        <v>20</v>
      </c>
      <c r="G85" s="388">
        <f ca="1">TblConstr[[#This Row],[Hill]]</f>
        <v>20</v>
      </c>
      <c r="H85" s="392">
        <f ca="1">TblConstr[[#This Row],[Swamp]]</f>
        <v>20</v>
      </c>
      <c r="I85" s="187">
        <f ca="1">TblConstr[[#This Row],[Cavern]]</f>
        <v>20</v>
      </c>
      <c r="J85" s="188">
        <f ca="1">TblConstr[[#This Row],[Water]]</f>
        <v>20</v>
      </c>
      <c r="K85" s="220"/>
      <c r="L85" s="220"/>
      <c r="M85" s="220"/>
      <c r="N85" s="227">
        <f ca="1">TblMili[[#This Row],[Smithies]]</f>
        <v>0</v>
      </c>
      <c r="O85" s="227">
        <f ca="1">TblPop[[#This Row],[Employment]]</f>
        <v>1</v>
      </c>
      <c r="P85" s="227">
        <f ca="1">TblImps[[#This Row],[Population]]</f>
        <v>1</v>
      </c>
      <c r="Q85" s="177">
        <f ca="1">TblExplore[[#This Row],[Land]]</f>
        <v>250</v>
      </c>
      <c r="R85" s="177">
        <f>TblExplore[[#This Row],[Hour]]</f>
        <v>82</v>
      </c>
      <c r="S85" s="228"/>
      <c r="T85" s="181"/>
      <c r="U85" s="181"/>
      <c r="V85" s="181"/>
      <c r="W85" s="181"/>
      <c r="X85" s="181"/>
      <c r="Y85" s="181"/>
      <c r="Z85" s="181"/>
      <c r="AA85" s="161">
        <f ca="1">TblImps[[#This Row],[Real time]]</f>
        <v>45735.374999999804</v>
      </c>
      <c r="AB85" s="96">
        <f ca="1">TblMili[[#This Row],[Draftees]]</f>
        <v>626</v>
      </c>
      <c r="AC85" s="96">
        <f ca="1">TblProd[[#This Row],[Platinum]]</f>
        <v>565244</v>
      </c>
      <c r="AD85" s="225"/>
      <c r="AE85" s="45">
        <f ca="1">TblExplore[[#This Row],[Land]]-TblExplore[[#This Row],[Land Bonus]]*20</f>
        <v>250</v>
      </c>
      <c r="AF85" s="96">
        <f ca="1">ROUND(MAX(0.6*TblExplore[[#This Row],[Land-DB]]^1.299,850)*(1+ tech_2_6*Techs!AC85 + tech_2_9*Techs!AF85 + tech_3_7*Techs!AN85 + Overview!$I$32),0)</f>
        <v>850</v>
      </c>
      <c r="AG8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7">
        <f>TblRezone[[#This Row],[Hour]]</f>
        <v>83</v>
      </c>
      <c r="B86" s="224">
        <f ca="1">TblConstr[[#This Row],[Land]]</f>
        <v>250</v>
      </c>
      <c r="C86" s="225"/>
      <c r="D86" s="226">
        <f ca="1">TblConstr[[#This Row],[Plain]]</f>
        <v>40</v>
      </c>
      <c r="E86" s="184">
        <f ca="1">TblConstr[[#This Row],[Forest]]</f>
        <v>20</v>
      </c>
      <c r="F86" s="384">
        <f ca="1">TblConstr[[#This Row],[Mountain]]</f>
        <v>20</v>
      </c>
      <c r="G86" s="388">
        <f ca="1">TblConstr[[#This Row],[Hill]]</f>
        <v>20</v>
      </c>
      <c r="H86" s="392">
        <f ca="1">TblConstr[[#This Row],[Swamp]]</f>
        <v>20</v>
      </c>
      <c r="I86" s="187">
        <f ca="1">TblConstr[[#This Row],[Cavern]]</f>
        <v>20</v>
      </c>
      <c r="J86" s="188">
        <f ca="1">TblConstr[[#This Row],[Water]]</f>
        <v>20</v>
      </c>
      <c r="K86" s="220"/>
      <c r="L86" s="220"/>
      <c r="M86" s="220"/>
      <c r="N86" s="227">
        <f ca="1">TblMili[[#This Row],[Smithies]]</f>
        <v>0</v>
      </c>
      <c r="O86" s="227">
        <f ca="1">TblPop[[#This Row],[Employment]]</f>
        <v>1</v>
      </c>
      <c r="P86" s="227">
        <f ca="1">TblImps[[#This Row],[Population]]</f>
        <v>1</v>
      </c>
      <c r="Q86" s="177">
        <f ca="1">TblExplore[[#This Row],[Land]]</f>
        <v>250</v>
      </c>
      <c r="R86" s="177">
        <f>TblExplore[[#This Row],[Hour]]</f>
        <v>83</v>
      </c>
      <c r="S86" s="228"/>
      <c r="T86" s="181"/>
      <c r="U86" s="181"/>
      <c r="V86" s="181"/>
      <c r="W86" s="181"/>
      <c r="X86" s="181"/>
      <c r="Y86" s="181"/>
      <c r="Z86" s="181"/>
      <c r="AA86" s="161">
        <f ca="1">TblImps[[#This Row],[Real time]]</f>
        <v>45735.416666666468</v>
      </c>
      <c r="AB86" s="96">
        <f ca="1">TblMili[[#This Row],[Draftees]]</f>
        <v>626</v>
      </c>
      <c r="AC86" s="96">
        <f ca="1">TblProd[[#This Row],[Platinum]]</f>
        <v>570730</v>
      </c>
      <c r="AD86" s="225"/>
      <c r="AE86" s="45">
        <f ca="1">TblExplore[[#This Row],[Land]]-TblExplore[[#This Row],[Land Bonus]]*20</f>
        <v>250</v>
      </c>
      <c r="AF86" s="96">
        <f ca="1">ROUND(MAX(0.6*TblExplore[[#This Row],[Land-DB]]^1.299,850)*(1+ tech_2_6*Techs!AC86 + tech_2_9*Techs!AF86 + tech_3_7*Techs!AN86 + Overview!$I$32),0)</f>
        <v>850</v>
      </c>
      <c r="AG8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7">
        <f>TblRezone[[#This Row],[Hour]]</f>
        <v>84</v>
      </c>
      <c r="B87" s="224">
        <f ca="1">TblConstr[[#This Row],[Land]]</f>
        <v>250</v>
      </c>
      <c r="C87" s="225"/>
      <c r="D87" s="226">
        <f ca="1">TblConstr[[#This Row],[Plain]]</f>
        <v>40</v>
      </c>
      <c r="E87" s="184">
        <f ca="1">TblConstr[[#This Row],[Forest]]</f>
        <v>20</v>
      </c>
      <c r="F87" s="384">
        <f ca="1">TblConstr[[#This Row],[Mountain]]</f>
        <v>20</v>
      </c>
      <c r="G87" s="388">
        <f ca="1">TblConstr[[#This Row],[Hill]]</f>
        <v>20</v>
      </c>
      <c r="H87" s="392">
        <f ca="1">TblConstr[[#This Row],[Swamp]]</f>
        <v>20</v>
      </c>
      <c r="I87" s="187">
        <f ca="1">TblConstr[[#This Row],[Cavern]]</f>
        <v>20</v>
      </c>
      <c r="J87" s="188">
        <f ca="1">TblConstr[[#This Row],[Water]]</f>
        <v>20</v>
      </c>
      <c r="K87" s="220"/>
      <c r="L87" s="220"/>
      <c r="M87" s="229"/>
      <c r="N87" s="227">
        <f ca="1">TblMili[[#This Row],[Smithies]]</f>
        <v>0</v>
      </c>
      <c r="O87" s="227">
        <f ca="1">TblPop[[#This Row],[Employment]]</f>
        <v>1</v>
      </c>
      <c r="P87" s="227">
        <f ca="1">TblImps[[#This Row],[Population]]</f>
        <v>1</v>
      </c>
      <c r="Q87" s="177">
        <f ca="1">TblExplore[[#This Row],[Land]]</f>
        <v>250</v>
      </c>
      <c r="R87" s="177">
        <f>TblExplore[[#This Row],[Hour]]</f>
        <v>84</v>
      </c>
      <c r="S87" s="228"/>
      <c r="T87" s="160"/>
      <c r="U87" s="181"/>
      <c r="V87" s="181"/>
      <c r="W87" s="181"/>
      <c r="X87" s="181"/>
      <c r="Y87" s="181"/>
      <c r="Z87" s="181"/>
      <c r="AA87" s="161">
        <f ca="1">TblImps[[#This Row],[Real time]]</f>
        <v>45735.458333333132</v>
      </c>
      <c r="AB87" s="96">
        <f ca="1">TblMili[[#This Row],[Draftees]]</f>
        <v>626</v>
      </c>
      <c r="AC87" s="96">
        <f ca="1">TblProd[[#This Row],[Platinum]]</f>
        <v>576216</v>
      </c>
      <c r="AD87" s="225"/>
      <c r="AE87" s="45">
        <f ca="1">TblExplore[[#This Row],[Land]]-TblExplore[[#This Row],[Land Bonus]]*20</f>
        <v>250</v>
      </c>
      <c r="AF87" s="96">
        <f ca="1">ROUND(MAX(0.6*TblExplore[[#This Row],[Land-DB]]^1.299,850)*(1+ tech_2_6*Techs!AC87 + tech_2_9*Techs!AF87 + tech_3_7*Techs!AN87 + Overview!$I$32),0)</f>
        <v>850</v>
      </c>
      <c r="AG8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7">
        <f>TblRezone[[#This Row],[Hour]]</f>
        <v>85</v>
      </c>
      <c r="B88" s="224">
        <f ca="1">TblConstr[[#This Row],[Land]]</f>
        <v>250</v>
      </c>
      <c r="C88" s="225"/>
      <c r="D88" s="226">
        <f ca="1">TblConstr[[#This Row],[Plain]]</f>
        <v>40</v>
      </c>
      <c r="E88" s="184">
        <f ca="1">TblConstr[[#This Row],[Forest]]</f>
        <v>20</v>
      </c>
      <c r="F88" s="384">
        <f ca="1">TblConstr[[#This Row],[Mountain]]</f>
        <v>20</v>
      </c>
      <c r="G88" s="388">
        <f ca="1">TblConstr[[#This Row],[Hill]]</f>
        <v>20</v>
      </c>
      <c r="H88" s="392">
        <f ca="1">TblConstr[[#This Row],[Swamp]]</f>
        <v>20</v>
      </c>
      <c r="I88" s="187">
        <f ca="1">TblConstr[[#This Row],[Cavern]]</f>
        <v>20</v>
      </c>
      <c r="J88" s="188">
        <f ca="1">TblConstr[[#This Row],[Water]]</f>
        <v>20</v>
      </c>
      <c r="K88" s="220"/>
      <c r="L88" s="220"/>
      <c r="M88" s="220"/>
      <c r="N88" s="227">
        <f ca="1">TblMili[[#This Row],[Smithies]]</f>
        <v>0</v>
      </c>
      <c r="O88" s="227">
        <f ca="1">TblPop[[#This Row],[Employment]]</f>
        <v>1</v>
      </c>
      <c r="P88" s="227">
        <f ca="1">TblImps[[#This Row],[Population]]</f>
        <v>1</v>
      </c>
      <c r="Q88" s="177">
        <f ca="1">TblExplore[[#This Row],[Land]]</f>
        <v>250</v>
      </c>
      <c r="R88" s="177">
        <f>TblExplore[[#This Row],[Hour]]</f>
        <v>85</v>
      </c>
      <c r="S88" s="228"/>
      <c r="T88" s="181"/>
      <c r="U88" s="181"/>
      <c r="V88" s="181"/>
      <c r="W88" s="181"/>
      <c r="X88" s="181"/>
      <c r="Y88" s="181"/>
      <c r="Z88" s="181"/>
      <c r="AA88" s="161">
        <f ca="1">TblImps[[#This Row],[Real time]]</f>
        <v>45735.499999999796</v>
      </c>
      <c r="AB88" s="96">
        <f ca="1">TblMili[[#This Row],[Draftees]]</f>
        <v>626</v>
      </c>
      <c r="AC88" s="96">
        <f ca="1">TblProd[[#This Row],[Platinum]]</f>
        <v>581702</v>
      </c>
      <c r="AD88" s="225"/>
      <c r="AE88" s="45">
        <f ca="1">TblExplore[[#This Row],[Land]]-TblExplore[[#This Row],[Land Bonus]]*20</f>
        <v>250</v>
      </c>
      <c r="AF88" s="96">
        <f ca="1">ROUND(MAX(0.6*TblExplore[[#This Row],[Land-DB]]^1.299,850)*(1+ tech_2_6*Techs!AC88 + tech_2_9*Techs!AF88 + tech_3_7*Techs!AN88 + Overview!$I$32),0)</f>
        <v>850</v>
      </c>
      <c r="AG8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7">
        <f>TblRezone[[#This Row],[Hour]]</f>
        <v>86</v>
      </c>
      <c r="B89" s="224">
        <f ca="1">TblConstr[[#This Row],[Land]]</f>
        <v>250</v>
      </c>
      <c r="C89" s="225"/>
      <c r="D89" s="226">
        <f ca="1">TblConstr[[#This Row],[Plain]]</f>
        <v>40</v>
      </c>
      <c r="E89" s="184">
        <f ca="1">TblConstr[[#This Row],[Forest]]</f>
        <v>20</v>
      </c>
      <c r="F89" s="384">
        <f ca="1">TblConstr[[#This Row],[Mountain]]</f>
        <v>20</v>
      </c>
      <c r="G89" s="388">
        <f ca="1">TblConstr[[#This Row],[Hill]]</f>
        <v>20</v>
      </c>
      <c r="H89" s="392">
        <f ca="1">TblConstr[[#This Row],[Swamp]]</f>
        <v>20</v>
      </c>
      <c r="I89" s="187">
        <f ca="1">TblConstr[[#This Row],[Cavern]]</f>
        <v>20</v>
      </c>
      <c r="J89" s="188">
        <f ca="1">TblConstr[[#This Row],[Water]]</f>
        <v>20</v>
      </c>
      <c r="K89" s="220"/>
      <c r="L89" s="220"/>
      <c r="M89" s="233"/>
      <c r="N89" s="227">
        <f ca="1">TblMili[[#This Row],[Smithies]]</f>
        <v>0</v>
      </c>
      <c r="O89" s="227">
        <f ca="1">TblPop[[#This Row],[Employment]]</f>
        <v>1</v>
      </c>
      <c r="P89" s="227">
        <f ca="1">TblImps[[#This Row],[Population]]</f>
        <v>1</v>
      </c>
      <c r="Q89" s="177">
        <f ca="1">TblExplore[[#This Row],[Land]]</f>
        <v>250</v>
      </c>
      <c r="R89" s="177">
        <f>TblExplore[[#This Row],[Hour]]</f>
        <v>86</v>
      </c>
      <c r="S89" s="228"/>
      <c r="T89" s="181"/>
      <c r="U89" s="181"/>
      <c r="V89" s="181"/>
      <c r="W89" s="181"/>
      <c r="X89" s="181"/>
      <c r="Y89" s="181"/>
      <c r="Z89" s="181"/>
      <c r="AA89" s="161">
        <f ca="1">TblImps[[#This Row],[Real time]]</f>
        <v>45735.541666666461</v>
      </c>
      <c r="AB89" s="96">
        <f ca="1">TblMili[[#This Row],[Draftees]]</f>
        <v>626</v>
      </c>
      <c r="AC89" s="96">
        <f ca="1">TblProd[[#This Row],[Platinum]]</f>
        <v>587188</v>
      </c>
      <c r="AD89" s="225"/>
      <c r="AE89" s="45">
        <f ca="1">TblExplore[[#This Row],[Land]]-TblExplore[[#This Row],[Land Bonus]]*20</f>
        <v>250</v>
      </c>
      <c r="AF89" s="96">
        <f ca="1">ROUND(MAX(0.6*TblExplore[[#This Row],[Land-DB]]^1.299,850)*(1+ tech_2_6*Techs!AC89 + tech_2_9*Techs!AF89 + tech_3_7*Techs!AN89 + Overview!$I$32),0)</f>
        <v>850</v>
      </c>
      <c r="AG8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7">
        <f>TblRezone[[#This Row],[Hour]]</f>
        <v>87</v>
      </c>
      <c r="B90" s="224">
        <f ca="1">TblConstr[[#This Row],[Land]]</f>
        <v>250</v>
      </c>
      <c r="C90" s="225"/>
      <c r="D90" s="226">
        <f ca="1">TblConstr[[#This Row],[Plain]]</f>
        <v>40</v>
      </c>
      <c r="E90" s="184">
        <f ca="1">TblConstr[[#This Row],[Forest]]</f>
        <v>20</v>
      </c>
      <c r="F90" s="384">
        <f ca="1">TblConstr[[#This Row],[Mountain]]</f>
        <v>20</v>
      </c>
      <c r="G90" s="388">
        <f ca="1">TblConstr[[#This Row],[Hill]]</f>
        <v>20</v>
      </c>
      <c r="H90" s="392">
        <f ca="1">TblConstr[[#This Row],[Swamp]]</f>
        <v>20</v>
      </c>
      <c r="I90" s="187">
        <f ca="1">TblConstr[[#This Row],[Cavern]]</f>
        <v>20</v>
      </c>
      <c r="J90" s="188">
        <f ca="1">TblConstr[[#This Row],[Water]]</f>
        <v>20</v>
      </c>
      <c r="K90" s="220"/>
      <c r="L90" s="220"/>
      <c r="M90" s="233"/>
      <c r="N90" s="227">
        <f ca="1">TblMili[[#This Row],[Smithies]]</f>
        <v>0</v>
      </c>
      <c r="O90" s="227">
        <f ca="1">TblPop[[#This Row],[Employment]]</f>
        <v>1</v>
      </c>
      <c r="P90" s="227">
        <f ca="1">TblImps[[#This Row],[Population]]</f>
        <v>1</v>
      </c>
      <c r="Q90" s="177">
        <f ca="1">TblExplore[[#This Row],[Land]]</f>
        <v>250</v>
      </c>
      <c r="R90" s="177">
        <f>TblExplore[[#This Row],[Hour]]</f>
        <v>87</v>
      </c>
      <c r="S90" s="228"/>
      <c r="T90" s="181"/>
      <c r="U90" s="181"/>
      <c r="V90" s="181"/>
      <c r="W90" s="181"/>
      <c r="X90" s="181"/>
      <c r="Y90" s="181"/>
      <c r="Z90" s="181"/>
      <c r="AA90" s="161">
        <f ca="1">TblImps[[#This Row],[Real time]]</f>
        <v>45735.583333333125</v>
      </c>
      <c r="AB90" s="96">
        <f ca="1">TblMili[[#This Row],[Draftees]]</f>
        <v>626</v>
      </c>
      <c r="AC90" s="96">
        <f ca="1">TblProd[[#This Row],[Platinum]]</f>
        <v>592674</v>
      </c>
      <c r="AD90" s="225"/>
      <c r="AE90" s="45">
        <f ca="1">TblExplore[[#This Row],[Land]]-TblExplore[[#This Row],[Land Bonus]]*20</f>
        <v>250</v>
      </c>
      <c r="AF90" s="96">
        <f ca="1">ROUND(MAX(0.6*TblExplore[[#This Row],[Land-DB]]^1.299,850)*(1+ tech_2_6*Techs!AC90 + tech_2_9*Techs!AF90 + tech_3_7*Techs!AN90 + Overview!$I$32),0)</f>
        <v>850</v>
      </c>
      <c r="AG9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7">
        <f>TblRezone[[#This Row],[Hour]]</f>
        <v>88</v>
      </c>
      <c r="B91" s="224">
        <f ca="1">TblConstr[[#This Row],[Land]]</f>
        <v>250</v>
      </c>
      <c r="C91" s="225"/>
      <c r="D91" s="226">
        <f ca="1">TblConstr[[#This Row],[Plain]]</f>
        <v>40</v>
      </c>
      <c r="E91" s="184">
        <f ca="1">TblConstr[[#This Row],[Forest]]</f>
        <v>20</v>
      </c>
      <c r="F91" s="384">
        <f ca="1">TblConstr[[#This Row],[Mountain]]</f>
        <v>20</v>
      </c>
      <c r="G91" s="388">
        <f ca="1">TblConstr[[#This Row],[Hill]]</f>
        <v>20</v>
      </c>
      <c r="H91" s="392">
        <f ca="1">TblConstr[[#This Row],[Swamp]]</f>
        <v>20</v>
      </c>
      <c r="I91" s="187">
        <f ca="1">TblConstr[[#This Row],[Cavern]]</f>
        <v>20</v>
      </c>
      <c r="J91" s="188">
        <f ca="1">TblConstr[[#This Row],[Water]]</f>
        <v>20</v>
      </c>
      <c r="K91" s="220"/>
      <c r="L91" s="220"/>
      <c r="M91" s="233"/>
      <c r="N91" s="227">
        <f ca="1">TblMili[[#This Row],[Smithies]]</f>
        <v>0</v>
      </c>
      <c r="O91" s="227">
        <f ca="1">TblPop[[#This Row],[Employment]]</f>
        <v>1</v>
      </c>
      <c r="P91" s="227">
        <f ca="1">TblImps[[#This Row],[Population]]</f>
        <v>1</v>
      </c>
      <c r="Q91" s="177">
        <f ca="1">TblExplore[[#This Row],[Land]]</f>
        <v>250</v>
      </c>
      <c r="R91" s="177">
        <f>TblExplore[[#This Row],[Hour]]</f>
        <v>88</v>
      </c>
      <c r="S91" s="228"/>
      <c r="T91" s="160"/>
      <c r="U91" s="181"/>
      <c r="V91" s="181"/>
      <c r="W91" s="181"/>
      <c r="X91" s="181"/>
      <c r="Y91" s="181"/>
      <c r="Z91" s="181"/>
      <c r="AA91" s="161">
        <f ca="1">TblImps[[#This Row],[Real time]]</f>
        <v>45735.624999999789</v>
      </c>
      <c r="AB91" s="96">
        <f ca="1">TblMili[[#This Row],[Draftees]]</f>
        <v>626</v>
      </c>
      <c r="AC91" s="96">
        <f ca="1">TblProd[[#This Row],[Platinum]]</f>
        <v>598160</v>
      </c>
      <c r="AD91" s="225"/>
      <c r="AE91" s="45">
        <f ca="1">TblExplore[[#This Row],[Land]]-TblExplore[[#This Row],[Land Bonus]]*20</f>
        <v>250</v>
      </c>
      <c r="AF91" s="96">
        <f ca="1">ROUND(MAX(0.6*TblExplore[[#This Row],[Land-DB]]^1.299,850)*(1+ tech_2_6*Techs!AC91 + tech_2_9*Techs!AF91 + tech_3_7*Techs!AN91 + Overview!$I$32),0)</f>
        <v>850</v>
      </c>
      <c r="AG9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7">
        <f>TblRezone[[#This Row],[Hour]]</f>
        <v>89</v>
      </c>
      <c r="B92" s="224">
        <f ca="1">TblConstr[[#This Row],[Land]]</f>
        <v>250</v>
      </c>
      <c r="C92" s="225"/>
      <c r="D92" s="226">
        <f ca="1">TblConstr[[#This Row],[Plain]]</f>
        <v>40</v>
      </c>
      <c r="E92" s="184">
        <f ca="1">TblConstr[[#This Row],[Forest]]</f>
        <v>20</v>
      </c>
      <c r="F92" s="384">
        <f ca="1">TblConstr[[#This Row],[Mountain]]</f>
        <v>20</v>
      </c>
      <c r="G92" s="388">
        <f ca="1">TblConstr[[#This Row],[Hill]]</f>
        <v>20</v>
      </c>
      <c r="H92" s="392">
        <f ca="1">TblConstr[[#This Row],[Swamp]]</f>
        <v>20</v>
      </c>
      <c r="I92" s="187">
        <f ca="1">TblConstr[[#This Row],[Cavern]]</f>
        <v>20</v>
      </c>
      <c r="J92" s="188">
        <f ca="1">TblConstr[[#This Row],[Water]]</f>
        <v>20</v>
      </c>
      <c r="K92" s="220"/>
      <c r="L92" s="220"/>
      <c r="M92" s="233"/>
      <c r="N92" s="227">
        <f ca="1">TblMili[[#This Row],[Smithies]]</f>
        <v>0</v>
      </c>
      <c r="O92" s="227">
        <f ca="1">TblPop[[#This Row],[Employment]]</f>
        <v>1</v>
      </c>
      <c r="P92" s="227">
        <f ca="1">TblImps[[#This Row],[Population]]</f>
        <v>1</v>
      </c>
      <c r="Q92" s="177">
        <f ca="1">TblExplore[[#This Row],[Land]]</f>
        <v>250</v>
      </c>
      <c r="R92" s="177">
        <f>TblExplore[[#This Row],[Hour]]</f>
        <v>89</v>
      </c>
      <c r="S92" s="228"/>
      <c r="T92" s="160"/>
      <c r="U92" s="181"/>
      <c r="V92" s="181"/>
      <c r="W92" s="181"/>
      <c r="X92" s="181"/>
      <c r="Y92" s="181"/>
      <c r="Z92" s="181"/>
      <c r="AA92" s="161">
        <f ca="1">TblImps[[#This Row],[Real time]]</f>
        <v>45735.666666666453</v>
      </c>
      <c r="AB92" s="96">
        <f ca="1">TblMili[[#This Row],[Draftees]]</f>
        <v>626</v>
      </c>
      <c r="AC92" s="96">
        <f ca="1">TblProd[[#This Row],[Platinum]]</f>
        <v>603646</v>
      </c>
      <c r="AD92" s="225"/>
      <c r="AE92" s="45">
        <f ca="1">TblExplore[[#This Row],[Land]]-TblExplore[[#This Row],[Land Bonus]]*20</f>
        <v>250</v>
      </c>
      <c r="AF92" s="96">
        <f ca="1">ROUND(MAX(0.6*TblExplore[[#This Row],[Land-DB]]^1.299,850)*(1+ tech_2_6*Techs!AC92 + tech_2_9*Techs!AF92 + tech_3_7*Techs!AN92 + Overview!$I$32),0)</f>
        <v>850</v>
      </c>
      <c r="AG9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7">
        <f>TblRezone[[#This Row],[Hour]]</f>
        <v>90</v>
      </c>
      <c r="B93" s="224">
        <f ca="1">TblConstr[[#This Row],[Land]]</f>
        <v>250</v>
      </c>
      <c r="C93" s="225"/>
      <c r="D93" s="226">
        <f ca="1">TblConstr[[#This Row],[Plain]]</f>
        <v>40</v>
      </c>
      <c r="E93" s="184">
        <f ca="1">TblConstr[[#This Row],[Forest]]</f>
        <v>20</v>
      </c>
      <c r="F93" s="384">
        <f ca="1">TblConstr[[#This Row],[Mountain]]</f>
        <v>20</v>
      </c>
      <c r="G93" s="388">
        <f ca="1">TblConstr[[#This Row],[Hill]]</f>
        <v>20</v>
      </c>
      <c r="H93" s="392">
        <f ca="1">TblConstr[[#This Row],[Swamp]]</f>
        <v>20</v>
      </c>
      <c r="I93" s="187">
        <f ca="1">TblConstr[[#This Row],[Cavern]]</f>
        <v>20</v>
      </c>
      <c r="J93" s="188">
        <f ca="1">TblConstr[[#This Row],[Water]]</f>
        <v>20</v>
      </c>
      <c r="K93" s="220"/>
      <c r="L93" s="220"/>
      <c r="M93" s="233"/>
      <c r="N93" s="227">
        <f ca="1">TblMili[[#This Row],[Smithies]]</f>
        <v>0</v>
      </c>
      <c r="O93" s="227">
        <f ca="1">TblPop[[#This Row],[Employment]]</f>
        <v>1</v>
      </c>
      <c r="P93" s="227">
        <f ca="1">TblImps[[#This Row],[Population]]</f>
        <v>1</v>
      </c>
      <c r="Q93" s="177">
        <f ca="1">TblExplore[[#This Row],[Land]]</f>
        <v>250</v>
      </c>
      <c r="R93" s="177">
        <f>TblExplore[[#This Row],[Hour]]</f>
        <v>90</v>
      </c>
      <c r="S93" s="228"/>
      <c r="T93" s="181"/>
      <c r="U93" s="181"/>
      <c r="V93" s="181"/>
      <c r="W93" s="181"/>
      <c r="X93" s="181"/>
      <c r="Y93" s="181"/>
      <c r="Z93" s="181"/>
      <c r="AA93" s="161">
        <f ca="1">TblImps[[#This Row],[Real time]]</f>
        <v>45735.708333333117</v>
      </c>
      <c r="AB93" s="96">
        <f ca="1">TblMili[[#This Row],[Draftees]]</f>
        <v>626</v>
      </c>
      <c r="AC93" s="96">
        <f ca="1">TblProd[[#This Row],[Platinum]]</f>
        <v>609132</v>
      </c>
      <c r="AD93" s="225"/>
      <c r="AE93" s="45">
        <f ca="1">TblExplore[[#This Row],[Land]]-TblExplore[[#This Row],[Land Bonus]]*20</f>
        <v>250</v>
      </c>
      <c r="AF93" s="96">
        <f ca="1">ROUND(MAX(0.6*TblExplore[[#This Row],[Land-DB]]^1.299,850)*(1+ tech_2_6*Techs!AC93 + tech_2_9*Techs!AF93 + tech_3_7*Techs!AN93 + Overview!$I$32),0)</f>
        <v>850</v>
      </c>
      <c r="AG9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7">
        <f>TblRezone[[#This Row],[Hour]]</f>
        <v>91</v>
      </c>
      <c r="B94" s="224">
        <f ca="1">TblConstr[[#This Row],[Land]]</f>
        <v>250</v>
      </c>
      <c r="C94" s="225"/>
      <c r="D94" s="226">
        <f ca="1">TblConstr[[#This Row],[Plain]]</f>
        <v>40</v>
      </c>
      <c r="E94" s="184">
        <f ca="1">TblConstr[[#This Row],[Forest]]</f>
        <v>20</v>
      </c>
      <c r="F94" s="384">
        <f ca="1">TblConstr[[#This Row],[Mountain]]</f>
        <v>20</v>
      </c>
      <c r="G94" s="388">
        <f ca="1">TblConstr[[#This Row],[Hill]]</f>
        <v>20</v>
      </c>
      <c r="H94" s="392">
        <f ca="1">TblConstr[[#This Row],[Swamp]]</f>
        <v>20</v>
      </c>
      <c r="I94" s="187">
        <f ca="1">TblConstr[[#This Row],[Cavern]]</f>
        <v>20</v>
      </c>
      <c r="J94" s="188">
        <f ca="1">TblConstr[[#This Row],[Water]]</f>
        <v>20</v>
      </c>
      <c r="K94" s="220"/>
      <c r="L94" s="220"/>
      <c r="M94" s="233"/>
      <c r="N94" s="227">
        <f ca="1">TblMili[[#This Row],[Smithies]]</f>
        <v>0</v>
      </c>
      <c r="O94" s="227">
        <f ca="1">TblPop[[#This Row],[Employment]]</f>
        <v>1</v>
      </c>
      <c r="P94" s="227">
        <f ca="1">TblImps[[#This Row],[Population]]</f>
        <v>1</v>
      </c>
      <c r="Q94" s="177">
        <f ca="1">TblExplore[[#This Row],[Land]]</f>
        <v>250</v>
      </c>
      <c r="R94" s="177">
        <f>TblExplore[[#This Row],[Hour]]</f>
        <v>91</v>
      </c>
      <c r="S94" s="228"/>
      <c r="T94" s="181"/>
      <c r="U94" s="181"/>
      <c r="V94" s="181"/>
      <c r="W94" s="181"/>
      <c r="X94" s="181"/>
      <c r="Y94" s="181"/>
      <c r="Z94" s="181"/>
      <c r="AA94" s="161">
        <f ca="1">TblImps[[#This Row],[Real time]]</f>
        <v>45735.749999999782</v>
      </c>
      <c r="AB94" s="96">
        <f ca="1">TblMili[[#This Row],[Draftees]]</f>
        <v>626</v>
      </c>
      <c r="AC94" s="96">
        <f ca="1">TblProd[[#This Row],[Platinum]]</f>
        <v>614618</v>
      </c>
      <c r="AD94" s="225"/>
      <c r="AE94" s="45">
        <f ca="1">TblExplore[[#This Row],[Land]]-TblExplore[[#This Row],[Land Bonus]]*20</f>
        <v>250</v>
      </c>
      <c r="AF94" s="96">
        <f ca="1">ROUND(MAX(0.6*TblExplore[[#This Row],[Land-DB]]^1.299,850)*(1+ tech_2_6*Techs!AC94 + tech_2_9*Techs!AF94 + tech_3_7*Techs!AN94 + Overview!$I$32),0)</f>
        <v>850</v>
      </c>
      <c r="AG9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7">
        <f>TblRezone[[#This Row],[Hour]]</f>
        <v>92</v>
      </c>
      <c r="B95" s="224">
        <f ca="1">TblConstr[[#This Row],[Land]]</f>
        <v>250</v>
      </c>
      <c r="C95" s="225"/>
      <c r="D95" s="226">
        <f ca="1">TblConstr[[#This Row],[Plain]]</f>
        <v>40</v>
      </c>
      <c r="E95" s="184">
        <f ca="1">TblConstr[[#This Row],[Forest]]</f>
        <v>20</v>
      </c>
      <c r="F95" s="384">
        <f ca="1">TblConstr[[#This Row],[Mountain]]</f>
        <v>20</v>
      </c>
      <c r="G95" s="388">
        <f ca="1">TblConstr[[#This Row],[Hill]]</f>
        <v>20</v>
      </c>
      <c r="H95" s="392">
        <f ca="1">TblConstr[[#This Row],[Swamp]]</f>
        <v>20</v>
      </c>
      <c r="I95" s="187">
        <f ca="1">TblConstr[[#This Row],[Cavern]]</f>
        <v>20</v>
      </c>
      <c r="J95" s="188">
        <f ca="1">TblConstr[[#This Row],[Water]]</f>
        <v>20</v>
      </c>
      <c r="K95" s="220"/>
      <c r="L95" s="220"/>
      <c r="M95" s="233"/>
      <c r="N95" s="227">
        <f ca="1">TblMili[[#This Row],[Smithies]]</f>
        <v>0</v>
      </c>
      <c r="O95" s="227">
        <f ca="1">TblPop[[#This Row],[Employment]]</f>
        <v>1</v>
      </c>
      <c r="P95" s="227">
        <f ca="1">TblImps[[#This Row],[Population]]</f>
        <v>1</v>
      </c>
      <c r="Q95" s="177">
        <f ca="1">TblExplore[[#This Row],[Land]]</f>
        <v>250</v>
      </c>
      <c r="R95" s="177">
        <f>TblExplore[[#This Row],[Hour]]</f>
        <v>92</v>
      </c>
      <c r="S95" s="228"/>
      <c r="T95" s="181"/>
      <c r="U95" s="181"/>
      <c r="V95" s="181"/>
      <c r="W95" s="181"/>
      <c r="X95" s="181"/>
      <c r="Y95" s="181"/>
      <c r="Z95" s="181"/>
      <c r="AA95" s="161">
        <f ca="1">TblImps[[#This Row],[Real time]]</f>
        <v>45735.791666666446</v>
      </c>
      <c r="AB95" s="96">
        <f ca="1">TblMili[[#This Row],[Draftees]]</f>
        <v>626</v>
      </c>
      <c r="AC95" s="96">
        <f ca="1">TblProd[[#This Row],[Platinum]]</f>
        <v>620104</v>
      </c>
      <c r="AD95" s="225"/>
      <c r="AE95" s="45">
        <f ca="1">TblExplore[[#This Row],[Land]]-TblExplore[[#This Row],[Land Bonus]]*20</f>
        <v>250</v>
      </c>
      <c r="AF95" s="96">
        <f ca="1">ROUND(MAX(0.6*TblExplore[[#This Row],[Land-DB]]^1.299,850)*(1+ tech_2_6*Techs!AC95 + tech_2_9*Techs!AF95 + tech_3_7*Techs!AN95 + Overview!$I$32),0)</f>
        <v>850</v>
      </c>
      <c r="AG9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7">
        <f>TblRezone[[#This Row],[Hour]]</f>
        <v>93</v>
      </c>
      <c r="B96" s="224">
        <f ca="1">TblConstr[[#This Row],[Land]]</f>
        <v>250</v>
      </c>
      <c r="C96" s="225"/>
      <c r="D96" s="226">
        <f ca="1">TblConstr[[#This Row],[Plain]]</f>
        <v>40</v>
      </c>
      <c r="E96" s="184">
        <f ca="1">TblConstr[[#This Row],[Forest]]</f>
        <v>20</v>
      </c>
      <c r="F96" s="384">
        <f ca="1">TblConstr[[#This Row],[Mountain]]</f>
        <v>20</v>
      </c>
      <c r="G96" s="388">
        <f ca="1">TblConstr[[#This Row],[Hill]]</f>
        <v>20</v>
      </c>
      <c r="H96" s="392">
        <f ca="1">TblConstr[[#This Row],[Swamp]]</f>
        <v>20</v>
      </c>
      <c r="I96" s="187">
        <f ca="1">TblConstr[[#This Row],[Cavern]]</f>
        <v>20</v>
      </c>
      <c r="J96" s="188">
        <f ca="1">TblConstr[[#This Row],[Water]]</f>
        <v>20</v>
      </c>
      <c r="K96" s="220"/>
      <c r="L96" s="220"/>
      <c r="M96" s="220"/>
      <c r="N96" s="227">
        <f ca="1">TblMili[[#This Row],[Smithies]]</f>
        <v>0</v>
      </c>
      <c r="O96" s="227">
        <f ca="1">TblPop[[#This Row],[Employment]]</f>
        <v>1</v>
      </c>
      <c r="P96" s="227">
        <f ca="1">TblImps[[#This Row],[Population]]</f>
        <v>1</v>
      </c>
      <c r="Q96" s="177">
        <f ca="1">TblExplore[[#This Row],[Land]]</f>
        <v>250</v>
      </c>
      <c r="R96" s="224">
        <f>TblExplore[[#This Row],[Hour]]</f>
        <v>93</v>
      </c>
      <c r="S96" s="228"/>
      <c r="T96" s="181"/>
      <c r="U96" s="181"/>
      <c r="V96" s="181"/>
      <c r="W96" s="181"/>
      <c r="X96" s="181"/>
      <c r="Y96" s="181"/>
      <c r="Z96" s="181"/>
      <c r="AA96" s="161">
        <f ca="1">TblImps[[#This Row],[Real time]]</f>
        <v>45735.83333333311</v>
      </c>
      <c r="AB96" s="96">
        <f ca="1">TblMili[[#This Row],[Draftees]]</f>
        <v>626</v>
      </c>
      <c r="AC96" s="96">
        <f ca="1">TblProd[[#This Row],[Platinum]]</f>
        <v>625590</v>
      </c>
      <c r="AD96" s="225"/>
      <c r="AE96" s="45">
        <f ca="1">TblExplore[[#This Row],[Land]]-TblExplore[[#This Row],[Land Bonus]]*20</f>
        <v>250</v>
      </c>
      <c r="AF96" s="96">
        <f ca="1">ROUND(MAX(0.6*TblExplore[[#This Row],[Land-DB]]^1.299,850)*(1+ tech_2_6*Techs!AC96 + tech_2_9*Techs!AF96 + tech_3_7*Techs!AN96 + Overview!$I$32),0)</f>
        <v>850</v>
      </c>
      <c r="AG9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7">
        <f>TblRezone[[#This Row],[Hour]]</f>
        <v>94</v>
      </c>
      <c r="B97" s="224">
        <f ca="1">TblConstr[[#This Row],[Land]]</f>
        <v>250</v>
      </c>
      <c r="C97" s="225"/>
      <c r="D97" s="226">
        <f ca="1">TblConstr[[#This Row],[Plain]]</f>
        <v>40</v>
      </c>
      <c r="E97" s="184">
        <f ca="1">TblConstr[[#This Row],[Forest]]</f>
        <v>20</v>
      </c>
      <c r="F97" s="384">
        <f ca="1">TblConstr[[#This Row],[Mountain]]</f>
        <v>20</v>
      </c>
      <c r="G97" s="388">
        <f ca="1">TblConstr[[#This Row],[Hill]]</f>
        <v>20</v>
      </c>
      <c r="H97" s="392">
        <f ca="1">TblConstr[[#This Row],[Swamp]]</f>
        <v>20</v>
      </c>
      <c r="I97" s="187">
        <f ca="1">TblConstr[[#This Row],[Cavern]]</f>
        <v>20</v>
      </c>
      <c r="J97" s="188">
        <f ca="1">TblConstr[[#This Row],[Water]]</f>
        <v>20</v>
      </c>
      <c r="K97" s="220"/>
      <c r="L97" s="220"/>
      <c r="M97" s="220"/>
      <c r="N97" s="227">
        <f ca="1">TblMili[[#This Row],[Smithies]]</f>
        <v>0</v>
      </c>
      <c r="O97" s="227">
        <f ca="1">TblPop[[#This Row],[Employment]]</f>
        <v>1</v>
      </c>
      <c r="P97" s="227">
        <f ca="1">TblImps[[#This Row],[Population]]</f>
        <v>1</v>
      </c>
      <c r="Q97" s="177">
        <f ca="1">TblExplore[[#This Row],[Land]]</f>
        <v>250</v>
      </c>
      <c r="R97" s="224">
        <f>TblExplore[[#This Row],[Hour]]</f>
        <v>94</v>
      </c>
      <c r="S97" s="228"/>
      <c r="T97" s="181"/>
      <c r="U97" s="181"/>
      <c r="V97" s="181"/>
      <c r="W97" s="181"/>
      <c r="X97" s="181"/>
      <c r="Y97" s="181"/>
      <c r="Z97" s="181"/>
      <c r="AA97" s="161">
        <f ca="1">TblImps[[#This Row],[Real time]]</f>
        <v>45735.874999999774</v>
      </c>
      <c r="AB97" s="96">
        <f ca="1">TblMili[[#This Row],[Draftees]]</f>
        <v>626</v>
      </c>
      <c r="AC97" s="96">
        <f ca="1">TblProd[[#This Row],[Platinum]]</f>
        <v>631076</v>
      </c>
      <c r="AD97" s="225"/>
      <c r="AE97" s="45">
        <f ca="1">TblExplore[[#This Row],[Land]]-TblExplore[[#This Row],[Land Bonus]]*20</f>
        <v>250</v>
      </c>
      <c r="AF97" s="96">
        <f ca="1">ROUND(MAX(0.6*TblExplore[[#This Row],[Land-DB]]^1.299,850)*(1+ tech_2_6*Techs!AC97 + tech_2_9*Techs!AF97 + tech_3_7*Techs!AN97 + Overview!$I$32),0)</f>
        <v>850</v>
      </c>
      <c r="AG9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7">
        <f>TblRezone[[#This Row],[Hour]]</f>
        <v>95</v>
      </c>
      <c r="B98" s="224">
        <f ca="1">TblConstr[[#This Row],[Land]]</f>
        <v>250</v>
      </c>
      <c r="C98" s="225"/>
      <c r="D98" s="226">
        <f ca="1">TblConstr[[#This Row],[Plain]]</f>
        <v>40</v>
      </c>
      <c r="E98" s="184">
        <f ca="1">TblConstr[[#This Row],[Forest]]</f>
        <v>20</v>
      </c>
      <c r="F98" s="384">
        <f ca="1">TblConstr[[#This Row],[Mountain]]</f>
        <v>20</v>
      </c>
      <c r="G98" s="388">
        <f ca="1">TblConstr[[#This Row],[Hill]]</f>
        <v>20</v>
      </c>
      <c r="H98" s="392">
        <f ca="1">TblConstr[[#This Row],[Swamp]]</f>
        <v>20</v>
      </c>
      <c r="I98" s="187">
        <f ca="1">TblConstr[[#This Row],[Cavern]]</f>
        <v>20</v>
      </c>
      <c r="J98" s="188">
        <f ca="1">TblConstr[[#This Row],[Water]]</f>
        <v>20</v>
      </c>
      <c r="K98" s="220"/>
      <c r="L98" s="220"/>
      <c r="M98" s="233"/>
      <c r="N98" s="227">
        <f ca="1">TblMili[[#This Row],[Smithies]]</f>
        <v>0</v>
      </c>
      <c r="O98" s="227">
        <f ca="1">TblPop[[#This Row],[Employment]]</f>
        <v>1</v>
      </c>
      <c r="P98" s="227">
        <f ca="1">TblImps[[#This Row],[Population]]</f>
        <v>1</v>
      </c>
      <c r="Q98" s="177">
        <f ca="1">TblExplore[[#This Row],[Land]]</f>
        <v>250</v>
      </c>
      <c r="R98" s="177">
        <f>TblExplore[[#This Row],[Hour]]</f>
        <v>95</v>
      </c>
      <c r="S98" s="228"/>
      <c r="T98" s="181"/>
      <c r="U98" s="181"/>
      <c r="V98" s="181"/>
      <c r="W98" s="181"/>
      <c r="X98" s="181"/>
      <c r="Y98" s="181"/>
      <c r="Z98" s="181"/>
      <c r="AA98" s="161">
        <f ca="1">TblImps[[#This Row],[Real time]]</f>
        <v>45735.916666666439</v>
      </c>
      <c r="AB98" s="96">
        <f ca="1">TblMili[[#This Row],[Draftees]]</f>
        <v>626</v>
      </c>
      <c r="AC98" s="96">
        <f ca="1">TblProd[[#This Row],[Platinum]]</f>
        <v>636562</v>
      </c>
      <c r="AD98" s="225"/>
      <c r="AE98" s="45">
        <f ca="1">TblExplore[[#This Row],[Land]]-TblExplore[[#This Row],[Land Bonus]]*20</f>
        <v>250</v>
      </c>
      <c r="AF98" s="96">
        <f ca="1">ROUND(MAX(0.6*TblExplore[[#This Row],[Land-DB]]^1.299,850)*(1+ tech_2_6*Techs!AC98 + tech_2_9*Techs!AF98 + tech_3_7*Techs!AN98 + Overview!$I$32),0)</f>
        <v>850</v>
      </c>
      <c r="AG9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7">
        <f>TblRezone[[#This Row],[Hour]]</f>
        <v>96</v>
      </c>
      <c r="B99" s="224">
        <f ca="1">TblConstr[[#This Row],[Land]]</f>
        <v>250</v>
      </c>
      <c r="C99" s="225"/>
      <c r="D99" s="226">
        <f ca="1">TblConstr[[#This Row],[Plain]]</f>
        <v>40</v>
      </c>
      <c r="E99" s="184">
        <f ca="1">TblConstr[[#This Row],[Forest]]</f>
        <v>20</v>
      </c>
      <c r="F99" s="384">
        <f ca="1">TblConstr[[#This Row],[Mountain]]</f>
        <v>20</v>
      </c>
      <c r="G99" s="388">
        <f ca="1">TblConstr[[#This Row],[Hill]]</f>
        <v>20</v>
      </c>
      <c r="H99" s="392">
        <f ca="1">TblConstr[[#This Row],[Swamp]]</f>
        <v>20</v>
      </c>
      <c r="I99" s="187">
        <f ca="1">TblConstr[[#This Row],[Cavern]]</f>
        <v>20</v>
      </c>
      <c r="J99" s="188">
        <f ca="1">TblConstr[[#This Row],[Water]]</f>
        <v>20</v>
      </c>
      <c r="K99" s="220"/>
      <c r="L99" s="220"/>
      <c r="M99" s="233"/>
      <c r="N99" s="227">
        <f ca="1">TblMili[[#This Row],[Smithies]]</f>
        <v>0</v>
      </c>
      <c r="O99" s="227">
        <f ca="1">TblPop[[#This Row],[Employment]]</f>
        <v>1</v>
      </c>
      <c r="P99" s="227">
        <f ca="1">TblImps[[#This Row],[Population]]</f>
        <v>1</v>
      </c>
      <c r="Q99" s="177">
        <f ca="1">TblExplore[[#This Row],[Land]]</f>
        <v>250</v>
      </c>
      <c r="R99" s="177">
        <f>TblExplore[[#This Row],[Hour]]</f>
        <v>96</v>
      </c>
      <c r="S99" s="228"/>
      <c r="T99" s="160"/>
      <c r="U99" s="181"/>
      <c r="V99" s="181"/>
      <c r="W99" s="181"/>
      <c r="X99" s="181"/>
      <c r="Y99" s="181"/>
      <c r="Z99" s="181"/>
      <c r="AA99" s="161">
        <f ca="1">TblImps[[#This Row],[Real time]]</f>
        <v>45735.958333333103</v>
      </c>
      <c r="AB99" s="96">
        <f ca="1">TblMili[[#This Row],[Draftees]]</f>
        <v>626</v>
      </c>
      <c r="AC99" s="96">
        <f ca="1">TblProd[[#This Row],[Platinum]]</f>
        <v>642048</v>
      </c>
      <c r="AD99" s="225"/>
      <c r="AE99" s="45">
        <f ca="1">TblExplore[[#This Row],[Land]]-TblExplore[[#This Row],[Land Bonus]]*20</f>
        <v>250</v>
      </c>
      <c r="AF99" s="96">
        <f ca="1">ROUND(MAX(0.6*TblExplore[[#This Row],[Land-DB]]^1.299,850)*(1+ tech_2_6*Techs!AC99 + tech_2_9*Techs!AF99 + tech_3_7*Techs!AN99 + Overview!$I$32),0)</f>
        <v>850</v>
      </c>
      <c r="AG9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7">
        <f>TblRezone[[#This Row],[Hour]]</f>
        <v>97</v>
      </c>
      <c r="B100" s="224">
        <f ca="1">TblConstr[[#This Row],[Land]]</f>
        <v>250</v>
      </c>
      <c r="C100" s="225"/>
      <c r="D100" s="226">
        <f ca="1">TblConstr[[#This Row],[Plain]]</f>
        <v>40</v>
      </c>
      <c r="E100" s="184">
        <f ca="1">TblConstr[[#This Row],[Forest]]</f>
        <v>20</v>
      </c>
      <c r="F100" s="384">
        <f ca="1">TblConstr[[#This Row],[Mountain]]</f>
        <v>20</v>
      </c>
      <c r="G100" s="388">
        <f ca="1">TblConstr[[#This Row],[Hill]]</f>
        <v>20</v>
      </c>
      <c r="H100" s="392">
        <f ca="1">TblConstr[[#This Row],[Swamp]]</f>
        <v>20</v>
      </c>
      <c r="I100" s="187">
        <f ca="1">TblConstr[[#This Row],[Cavern]]</f>
        <v>20</v>
      </c>
      <c r="J100" s="188">
        <f ca="1">TblConstr[[#This Row],[Water]]</f>
        <v>20</v>
      </c>
      <c r="K100" s="220"/>
      <c r="L100" s="220"/>
      <c r="M100" s="233"/>
      <c r="N100" s="227">
        <f ca="1">TblMili[[#This Row],[Smithies]]</f>
        <v>0</v>
      </c>
      <c r="O100" s="227">
        <f ca="1">TblPop[[#This Row],[Employment]]</f>
        <v>1</v>
      </c>
      <c r="P100" s="227">
        <f ca="1">TblImps[[#This Row],[Population]]</f>
        <v>1</v>
      </c>
      <c r="Q100" s="177">
        <f ca="1">TblExplore[[#This Row],[Land]]</f>
        <v>250</v>
      </c>
      <c r="R100" s="177">
        <f>TblExplore[[#This Row],[Hour]]</f>
        <v>97</v>
      </c>
      <c r="S100" s="228"/>
      <c r="T100" s="181"/>
      <c r="U100" s="181"/>
      <c r="V100" s="181"/>
      <c r="W100" s="181"/>
      <c r="X100" s="181"/>
      <c r="Y100" s="181"/>
      <c r="Z100" s="181"/>
      <c r="AA100" s="161">
        <f ca="1">TblImps[[#This Row],[Real time]]</f>
        <v>45735.999999999767</v>
      </c>
      <c r="AB100" s="96">
        <f ca="1">TblMili[[#This Row],[Draftees]]</f>
        <v>626</v>
      </c>
      <c r="AC100" s="96">
        <f ca="1">TblProd[[#This Row],[Platinum]]</f>
        <v>647534</v>
      </c>
      <c r="AD100" s="225"/>
      <c r="AE100" s="45">
        <f ca="1">TblExplore[[#This Row],[Land]]-TblExplore[[#This Row],[Land Bonus]]*20</f>
        <v>250</v>
      </c>
      <c r="AF100" s="96">
        <f ca="1">ROUND(MAX(0.6*TblExplore[[#This Row],[Land-DB]]^1.299,850)*(1+ tech_2_6*Techs!AC100 + tech_2_9*Techs!AF100 + tech_3_7*Techs!AN100 + Overview!$I$32),0)</f>
        <v>850</v>
      </c>
      <c r="AG10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7">
        <f>TblRezone[[#This Row],[Hour]]</f>
        <v>98</v>
      </c>
      <c r="B101" s="224">
        <f ca="1">TblConstr[[#This Row],[Land]]</f>
        <v>250</v>
      </c>
      <c r="C101" s="225"/>
      <c r="D101" s="226">
        <f ca="1">TblConstr[[#This Row],[Plain]]</f>
        <v>40</v>
      </c>
      <c r="E101" s="184">
        <f ca="1">TblConstr[[#This Row],[Forest]]</f>
        <v>20</v>
      </c>
      <c r="F101" s="384">
        <f ca="1">TblConstr[[#This Row],[Mountain]]</f>
        <v>20</v>
      </c>
      <c r="G101" s="388">
        <f ca="1">TblConstr[[#This Row],[Hill]]</f>
        <v>20</v>
      </c>
      <c r="H101" s="392">
        <f ca="1">TblConstr[[#This Row],[Swamp]]</f>
        <v>20</v>
      </c>
      <c r="I101" s="187">
        <f ca="1">TblConstr[[#This Row],[Cavern]]</f>
        <v>20</v>
      </c>
      <c r="J101" s="188">
        <f ca="1">TblConstr[[#This Row],[Water]]</f>
        <v>20</v>
      </c>
      <c r="K101" s="220"/>
      <c r="L101" s="220"/>
      <c r="M101" s="229"/>
      <c r="N101" s="227">
        <f ca="1">TblMili[[#This Row],[Smithies]]</f>
        <v>0</v>
      </c>
      <c r="O101" s="227">
        <f ca="1">TblPop[[#This Row],[Employment]]</f>
        <v>1</v>
      </c>
      <c r="P101" s="227">
        <f ca="1">TblImps[[#This Row],[Population]]</f>
        <v>1</v>
      </c>
      <c r="Q101" s="177">
        <f ca="1">TblExplore[[#This Row],[Land]]</f>
        <v>250</v>
      </c>
      <c r="R101" s="177">
        <f>TblExplore[[#This Row],[Hour]]</f>
        <v>98</v>
      </c>
      <c r="S101" s="228"/>
      <c r="T101" s="160"/>
      <c r="U101" s="181"/>
      <c r="V101" s="181"/>
      <c r="W101" s="181"/>
      <c r="X101" s="181"/>
      <c r="Y101" s="181"/>
      <c r="Z101" s="181"/>
      <c r="AA101" s="161">
        <f ca="1">TblImps[[#This Row],[Real time]]</f>
        <v>45736.041666666431</v>
      </c>
      <c r="AB101" s="96">
        <f ca="1">TblMili[[#This Row],[Draftees]]</f>
        <v>626</v>
      </c>
      <c r="AC101" s="96">
        <f ca="1">TblProd[[#This Row],[Platinum]]</f>
        <v>653020</v>
      </c>
      <c r="AD101" s="225"/>
      <c r="AE101" s="45">
        <f ca="1">TblExplore[[#This Row],[Land]]-TblExplore[[#This Row],[Land Bonus]]*20</f>
        <v>250</v>
      </c>
      <c r="AF101" s="96">
        <f ca="1">ROUND(MAX(0.6*TblExplore[[#This Row],[Land-DB]]^1.299,850)*(1+ tech_2_6*Techs!AC101 + tech_2_9*Techs!AF101 + tech_3_7*Techs!AN101 + Overview!$I$32),0)</f>
        <v>850</v>
      </c>
      <c r="AG10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7">
        <f>TblRezone[[#This Row],[Hour]]</f>
        <v>99</v>
      </c>
      <c r="B102" s="224">
        <f ca="1">TblConstr[[#This Row],[Land]]</f>
        <v>250</v>
      </c>
      <c r="C102" s="225"/>
      <c r="D102" s="226">
        <f ca="1">TblConstr[[#This Row],[Plain]]</f>
        <v>40</v>
      </c>
      <c r="E102" s="184">
        <f ca="1">TblConstr[[#This Row],[Forest]]</f>
        <v>20</v>
      </c>
      <c r="F102" s="384">
        <f ca="1">TblConstr[[#This Row],[Mountain]]</f>
        <v>20</v>
      </c>
      <c r="G102" s="388">
        <f ca="1">TblConstr[[#This Row],[Hill]]</f>
        <v>20</v>
      </c>
      <c r="H102" s="392">
        <f ca="1">TblConstr[[#This Row],[Swamp]]</f>
        <v>20</v>
      </c>
      <c r="I102" s="187">
        <f ca="1">TblConstr[[#This Row],[Cavern]]</f>
        <v>20</v>
      </c>
      <c r="J102" s="188">
        <f ca="1">TblConstr[[#This Row],[Water]]</f>
        <v>20</v>
      </c>
      <c r="K102" s="220"/>
      <c r="L102" s="220"/>
      <c r="M102" s="233"/>
      <c r="N102" s="227">
        <f ca="1">TblMili[[#This Row],[Smithies]]</f>
        <v>0</v>
      </c>
      <c r="O102" s="227">
        <f ca="1">TblPop[[#This Row],[Employment]]</f>
        <v>1</v>
      </c>
      <c r="P102" s="227">
        <f ca="1">TblImps[[#This Row],[Population]]</f>
        <v>1</v>
      </c>
      <c r="Q102" s="177">
        <f ca="1">TblExplore[[#This Row],[Land]]</f>
        <v>250</v>
      </c>
      <c r="R102" s="177">
        <f>TblExplore[[#This Row],[Hour]]</f>
        <v>99</v>
      </c>
      <c r="S102" s="228"/>
      <c r="T102" s="160"/>
      <c r="U102" s="181"/>
      <c r="V102" s="181"/>
      <c r="W102" s="181"/>
      <c r="X102" s="181"/>
      <c r="Y102" s="181"/>
      <c r="Z102" s="181"/>
      <c r="AA102" s="161">
        <f ca="1">TblImps[[#This Row],[Real time]]</f>
        <v>45736.083333333096</v>
      </c>
      <c r="AB102" s="96">
        <f ca="1">TblMili[[#This Row],[Draftees]]</f>
        <v>626</v>
      </c>
      <c r="AC102" s="96">
        <f ca="1">TblProd[[#This Row],[Platinum]]</f>
        <v>658506</v>
      </c>
      <c r="AD102" s="225"/>
      <c r="AE102" s="45">
        <f ca="1">TblExplore[[#This Row],[Land]]-TblExplore[[#This Row],[Land Bonus]]*20</f>
        <v>250</v>
      </c>
      <c r="AF102" s="96">
        <f ca="1">ROUND(MAX(0.6*TblExplore[[#This Row],[Land-DB]]^1.299,850)*(1+ tech_2_6*Techs!AC102 + tech_2_9*Techs!AF102 + tech_3_7*Techs!AN102 + Overview!$I$32),0)</f>
        <v>850</v>
      </c>
      <c r="AG10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7">
        <f>TblRezone[[#This Row],[Hour]]</f>
        <v>100</v>
      </c>
      <c r="B103" s="224">
        <f ca="1">TblConstr[[#This Row],[Land]]</f>
        <v>250</v>
      </c>
      <c r="C103" s="225"/>
      <c r="D103" s="226">
        <f ca="1">TblConstr[[#This Row],[Plain]]</f>
        <v>40</v>
      </c>
      <c r="E103" s="184">
        <f ca="1">TblConstr[[#This Row],[Forest]]</f>
        <v>20</v>
      </c>
      <c r="F103" s="384">
        <f ca="1">TblConstr[[#This Row],[Mountain]]</f>
        <v>20</v>
      </c>
      <c r="G103" s="388">
        <f ca="1">TblConstr[[#This Row],[Hill]]</f>
        <v>20</v>
      </c>
      <c r="H103" s="392">
        <f ca="1">TblConstr[[#This Row],[Swamp]]</f>
        <v>20</v>
      </c>
      <c r="I103" s="187">
        <f ca="1">TblConstr[[#This Row],[Cavern]]</f>
        <v>20</v>
      </c>
      <c r="J103" s="188">
        <f ca="1">TblConstr[[#This Row],[Water]]</f>
        <v>20</v>
      </c>
      <c r="K103" s="220"/>
      <c r="L103" s="220"/>
      <c r="M103" s="233"/>
      <c r="N103" s="227">
        <f ca="1">TblMili[[#This Row],[Smithies]]</f>
        <v>0</v>
      </c>
      <c r="O103" s="227">
        <f ca="1">TblPop[[#This Row],[Employment]]</f>
        <v>1</v>
      </c>
      <c r="P103" s="227">
        <f ca="1">TblImps[[#This Row],[Population]]</f>
        <v>1</v>
      </c>
      <c r="Q103" s="177">
        <f ca="1">TblExplore[[#This Row],[Land]]</f>
        <v>250</v>
      </c>
      <c r="R103" s="177">
        <f>TblExplore[[#This Row],[Hour]]</f>
        <v>100</v>
      </c>
      <c r="S103" s="228"/>
      <c r="T103" s="160"/>
      <c r="U103" s="181"/>
      <c r="V103" s="181"/>
      <c r="W103" s="181"/>
      <c r="X103" s="181"/>
      <c r="Y103" s="181"/>
      <c r="Z103" s="181"/>
      <c r="AA103" s="161">
        <f ca="1">TblImps[[#This Row],[Real time]]</f>
        <v>45736.12499999976</v>
      </c>
      <c r="AB103" s="96">
        <f ca="1">TblMili[[#This Row],[Draftees]]</f>
        <v>626</v>
      </c>
      <c r="AC103" s="96">
        <f ca="1">TblProd[[#This Row],[Platinum]]</f>
        <v>663992</v>
      </c>
      <c r="AD103" s="225"/>
      <c r="AE103" s="45">
        <f ca="1">TblExplore[[#This Row],[Land]]-TblExplore[[#This Row],[Land Bonus]]*20</f>
        <v>250</v>
      </c>
      <c r="AF103" s="96">
        <f ca="1">ROUND(MAX(0.6*TblExplore[[#This Row],[Land-DB]]^1.299,850)*(1+ tech_2_6*Techs!AC103 + tech_2_9*Techs!AF103 + tech_3_7*Techs!AN103 + Overview!$I$32),0)</f>
        <v>850</v>
      </c>
      <c r="AG10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7">
        <f>TblRezone[[#This Row],[Hour]]</f>
        <v>101</v>
      </c>
      <c r="B104" s="224">
        <f ca="1">TblConstr[[#This Row],[Land]]</f>
        <v>250</v>
      </c>
      <c r="C104" s="225"/>
      <c r="D104" s="226">
        <f ca="1">TblConstr[[#This Row],[Plain]]</f>
        <v>40</v>
      </c>
      <c r="E104" s="184">
        <f ca="1">TblConstr[[#This Row],[Forest]]</f>
        <v>20</v>
      </c>
      <c r="F104" s="384">
        <f ca="1">TblConstr[[#This Row],[Mountain]]</f>
        <v>20</v>
      </c>
      <c r="G104" s="388">
        <f ca="1">TblConstr[[#This Row],[Hill]]</f>
        <v>20</v>
      </c>
      <c r="H104" s="392">
        <f ca="1">TblConstr[[#This Row],[Swamp]]</f>
        <v>20</v>
      </c>
      <c r="I104" s="187">
        <f ca="1">TblConstr[[#This Row],[Cavern]]</f>
        <v>20</v>
      </c>
      <c r="J104" s="188">
        <f ca="1">TblConstr[[#This Row],[Water]]</f>
        <v>20</v>
      </c>
      <c r="K104" s="220"/>
      <c r="L104" s="220"/>
      <c r="M104" s="233"/>
      <c r="N104" s="227">
        <f ca="1">TblMili[[#This Row],[Smithies]]</f>
        <v>0</v>
      </c>
      <c r="O104" s="227">
        <f ca="1">TblPop[[#This Row],[Employment]]</f>
        <v>1</v>
      </c>
      <c r="P104" s="227">
        <f ca="1">TblImps[[#This Row],[Population]]</f>
        <v>1</v>
      </c>
      <c r="Q104" s="177">
        <f ca="1">TblExplore[[#This Row],[Land]]</f>
        <v>250</v>
      </c>
      <c r="R104" s="177">
        <f>TblExplore[[#This Row],[Hour]]</f>
        <v>101</v>
      </c>
      <c r="S104" s="228"/>
      <c r="T104" s="160"/>
      <c r="U104" s="181"/>
      <c r="V104" s="181"/>
      <c r="W104" s="181"/>
      <c r="X104" s="181"/>
      <c r="Y104" s="181"/>
      <c r="Z104" s="181"/>
      <c r="AA104" s="161">
        <f ca="1">TblImps[[#This Row],[Real time]]</f>
        <v>45736.166666666424</v>
      </c>
      <c r="AB104" s="96">
        <f ca="1">TblMili[[#This Row],[Draftees]]</f>
        <v>626</v>
      </c>
      <c r="AC104" s="96">
        <f ca="1">TblProd[[#This Row],[Platinum]]</f>
        <v>669478</v>
      </c>
      <c r="AD104" s="225"/>
      <c r="AE104" s="45">
        <f ca="1">TblExplore[[#This Row],[Land]]-TblExplore[[#This Row],[Land Bonus]]*20</f>
        <v>250</v>
      </c>
      <c r="AF104" s="96">
        <f ca="1">ROUND(MAX(0.6*TblExplore[[#This Row],[Land-DB]]^1.299,850)*(1+ tech_2_6*Techs!AC104 + tech_2_9*Techs!AF104 + tech_3_7*Techs!AN104 + Overview!$I$32),0)</f>
        <v>850</v>
      </c>
      <c r="AG10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7">
        <f>TblRezone[[#This Row],[Hour]]</f>
        <v>102</v>
      </c>
      <c r="B105" s="224">
        <f ca="1">TblConstr[[#This Row],[Land]]</f>
        <v>250</v>
      </c>
      <c r="C105" s="225"/>
      <c r="D105" s="226">
        <f ca="1">TblConstr[[#This Row],[Plain]]</f>
        <v>40</v>
      </c>
      <c r="E105" s="184">
        <f ca="1">TblConstr[[#This Row],[Forest]]</f>
        <v>20</v>
      </c>
      <c r="F105" s="384">
        <f ca="1">TblConstr[[#This Row],[Mountain]]</f>
        <v>20</v>
      </c>
      <c r="G105" s="388">
        <f ca="1">TblConstr[[#This Row],[Hill]]</f>
        <v>20</v>
      </c>
      <c r="H105" s="392">
        <f ca="1">TblConstr[[#This Row],[Swamp]]</f>
        <v>20</v>
      </c>
      <c r="I105" s="187">
        <f ca="1">TblConstr[[#This Row],[Cavern]]</f>
        <v>20</v>
      </c>
      <c r="J105" s="188">
        <f ca="1">TblConstr[[#This Row],[Water]]</f>
        <v>20</v>
      </c>
      <c r="K105" s="220"/>
      <c r="L105" s="220"/>
      <c r="M105" s="220"/>
      <c r="N105" s="227">
        <f ca="1">TblMili[[#This Row],[Smithies]]</f>
        <v>0</v>
      </c>
      <c r="O105" s="227">
        <f ca="1">TblPop[[#This Row],[Employment]]</f>
        <v>1</v>
      </c>
      <c r="P105" s="227">
        <f ca="1">TblImps[[#This Row],[Population]]</f>
        <v>1</v>
      </c>
      <c r="Q105" s="177">
        <f ca="1">TblExplore[[#This Row],[Land]]</f>
        <v>250</v>
      </c>
      <c r="R105" s="177">
        <f>TblExplore[[#This Row],[Hour]]</f>
        <v>102</v>
      </c>
      <c r="S105" s="228"/>
      <c r="T105" s="181"/>
      <c r="U105" s="181"/>
      <c r="V105" s="181"/>
      <c r="W105" s="181"/>
      <c r="X105" s="181"/>
      <c r="Y105" s="181"/>
      <c r="Z105" s="181"/>
      <c r="AA105" s="161">
        <f ca="1">TblImps[[#This Row],[Real time]]</f>
        <v>45736.208333333088</v>
      </c>
      <c r="AB105" s="96">
        <f ca="1">TblMili[[#This Row],[Draftees]]</f>
        <v>626</v>
      </c>
      <c r="AC105" s="96">
        <f ca="1">TblProd[[#This Row],[Platinum]]</f>
        <v>674964</v>
      </c>
      <c r="AD105" s="225"/>
      <c r="AE105" s="45">
        <f ca="1">TblExplore[[#This Row],[Land]]-TblExplore[[#This Row],[Land Bonus]]*20</f>
        <v>250</v>
      </c>
      <c r="AF105" s="96">
        <f ca="1">ROUND(MAX(0.6*TblExplore[[#This Row],[Land-DB]]^1.299,850)*(1+ tech_2_6*Techs!AC105 + tech_2_9*Techs!AF105 + tech_3_7*Techs!AN105 + Overview!$I$32),0)</f>
        <v>850</v>
      </c>
      <c r="AG10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7">
        <f>TblRezone[[#This Row],[Hour]]</f>
        <v>103</v>
      </c>
      <c r="B106" s="224">
        <f ca="1">TblConstr[[#This Row],[Land]]</f>
        <v>250</v>
      </c>
      <c r="C106" s="225"/>
      <c r="D106" s="226">
        <f ca="1">TblConstr[[#This Row],[Plain]]</f>
        <v>40</v>
      </c>
      <c r="E106" s="184">
        <f ca="1">TblConstr[[#This Row],[Forest]]</f>
        <v>20</v>
      </c>
      <c r="F106" s="384">
        <f ca="1">TblConstr[[#This Row],[Mountain]]</f>
        <v>20</v>
      </c>
      <c r="G106" s="388">
        <f ca="1">TblConstr[[#This Row],[Hill]]</f>
        <v>20</v>
      </c>
      <c r="H106" s="392">
        <f ca="1">TblConstr[[#This Row],[Swamp]]</f>
        <v>20</v>
      </c>
      <c r="I106" s="187">
        <f ca="1">TblConstr[[#This Row],[Cavern]]</f>
        <v>20</v>
      </c>
      <c r="J106" s="188">
        <f ca="1">TblConstr[[#This Row],[Water]]</f>
        <v>20</v>
      </c>
      <c r="K106" s="220"/>
      <c r="L106" s="220"/>
      <c r="M106" s="237"/>
      <c r="N106" s="227">
        <f ca="1">TblMili[[#This Row],[Smithies]]</f>
        <v>0</v>
      </c>
      <c r="O106" s="227">
        <f ca="1">TblPop[[#This Row],[Employment]]</f>
        <v>1</v>
      </c>
      <c r="P106" s="227">
        <f ca="1">TblImps[[#This Row],[Population]]</f>
        <v>1</v>
      </c>
      <c r="Q106" s="177">
        <f ca="1">TblExplore[[#This Row],[Land]]</f>
        <v>250</v>
      </c>
      <c r="R106" s="177">
        <f>TblExplore[[#This Row],[Hour]]</f>
        <v>103</v>
      </c>
      <c r="S106" s="228"/>
      <c r="T106" s="181"/>
      <c r="U106" s="181"/>
      <c r="V106" s="181"/>
      <c r="W106" s="181"/>
      <c r="X106" s="181"/>
      <c r="Y106" s="181"/>
      <c r="Z106" s="181"/>
      <c r="AA106" s="161">
        <f ca="1">TblImps[[#This Row],[Real time]]</f>
        <v>45736.249999999753</v>
      </c>
      <c r="AB106" s="96">
        <f ca="1">TblMili[[#This Row],[Draftees]]</f>
        <v>626</v>
      </c>
      <c r="AC106" s="96">
        <f ca="1">TblProd[[#This Row],[Platinum]]</f>
        <v>680450</v>
      </c>
      <c r="AD106" s="225"/>
      <c r="AE106" s="45">
        <f ca="1">TblExplore[[#This Row],[Land]]-TblExplore[[#This Row],[Land Bonus]]*20</f>
        <v>250</v>
      </c>
      <c r="AF106" s="96">
        <f ca="1">ROUND(MAX(0.6*TblExplore[[#This Row],[Land-DB]]^1.299,850)*(1+ tech_2_6*Techs!AC106 + tech_2_9*Techs!AF106 + tech_3_7*Techs!AN106 + Overview!$I$32),0)</f>
        <v>850</v>
      </c>
      <c r="AG10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7">
        <f>TblRezone[[#This Row],[Hour]]</f>
        <v>104</v>
      </c>
      <c r="B107" s="224">
        <f ca="1">TblConstr[[#This Row],[Land]]</f>
        <v>250</v>
      </c>
      <c r="C107" s="225"/>
      <c r="D107" s="226">
        <f ca="1">TblConstr[[#This Row],[Plain]]</f>
        <v>40</v>
      </c>
      <c r="E107" s="184">
        <f ca="1">TblConstr[[#This Row],[Forest]]</f>
        <v>20</v>
      </c>
      <c r="F107" s="384">
        <f ca="1">TblConstr[[#This Row],[Mountain]]</f>
        <v>20</v>
      </c>
      <c r="G107" s="388">
        <f ca="1">TblConstr[[#This Row],[Hill]]</f>
        <v>20</v>
      </c>
      <c r="H107" s="392">
        <f ca="1">TblConstr[[#This Row],[Swamp]]</f>
        <v>20</v>
      </c>
      <c r="I107" s="187">
        <f ca="1">TblConstr[[#This Row],[Cavern]]</f>
        <v>20</v>
      </c>
      <c r="J107" s="188">
        <f ca="1">TblConstr[[#This Row],[Water]]</f>
        <v>20</v>
      </c>
      <c r="K107" s="220"/>
      <c r="L107" s="220"/>
      <c r="M107" s="237"/>
      <c r="N107" s="227">
        <f ca="1">TblMili[[#This Row],[Smithies]]</f>
        <v>0</v>
      </c>
      <c r="O107" s="227">
        <f ca="1">TblPop[[#This Row],[Employment]]</f>
        <v>1</v>
      </c>
      <c r="P107" s="227">
        <f ca="1">TblImps[[#This Row],[Population]]</f>
        <v>1</v>
      </c>
      <c r="Q107" s="177">
        <f ca="1">TblExplore[[#This Row],[Land]]</f>
        <v>250</v>
      </c>
      <c r="R107" s="177">
        <f>TblExplore[[#This Row],[Hour]]</f>
        <v>104</v>
      </c>
      <c r="S107" s="228"/>
      <c r="T107" s="181"/>
      <c r="U107" s="181"/>
      <c r="V107" s="181"/>
      <c r="W107" s="181"/>
      <c r="X107" s="181"/>
      <c r="Y107" s="181"/>
      <c r="Z107" s="181"/>
      <c r="AA107" s="161">
        <f ca="1">TblImps[[#This Row],[Real time]]</f>
        <v>45736.291666666417</v>
      </c>
      <c r="AB107" s="96">
        <f ca="1">TblMili[[#This Row],[Draftees]]</f>
        <v>626</v>
      </c>
      <c r="AC107" s="96">
        <f ca="1">TblProd[[#This Row],[Platinum]]</f>
        <v>685936</v>
      </c>
      <c r="AD107" s="225"/>
      <c r="AE107" s="45">
        <f ca="1">TblExplore[[#This Row],[Land]]-TblExplore[[#This Row],[Land Bonus]]*20</f>
        <v>250</v>
      </c>
      <c r="AF107" s="96">
        <f ca="1">ROUND(MAX(0.6*TblExplore[[#This Row],[Land-DB]]^1.299,850)*(1+ tech_2_6*Techs!AC107 + tech_2_9*Techs!AF107 + tech_3_7*Techs!AN107 + Overview!$I$32),0)</f>
        <v>850</v>
      </c>
      <c r="AG10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7">
        <f>TblRezone[[#This Row],[Hour]]</f>
        <v>105</v>
      </c>
      <c r="B108" s="224">
        <f ca="1">TblConstr[[#This Row],[Land]]</f>
        <v>250</v>
      </c>
      <c r="C108" s="225"/>
      <c r="D108" s="226">
        <f ca="1">TblConstr[[#This Row],[Plain]]</f>
        <v>40</v>
      </c>
      <c r="E108" s="184">
        <f ca="1">TblConstr[[#This Row],[Forest]]</f>
        <v>20</v>
      </c>
      <c r="F108" s="384">
        <f ca="1">TblConstr[[#This Row],[Mountain]]</f>
        <v>20</v>
      </c>
      <c r="G108" s="388">
        <f ca="1">TblConstr[[#This Row],[Hill]]</f>
        <v>20</v>
      </c>
      <c r="H108" s="392">
        <f ca="1">TblConstr[[#This Row],[Swamp]]</f>
        <v>20</v>
      </c>
      <c r="I108" s="187">
        <f ca="1">TblConstr[[#This Row],[Cavern]]</f>
        <v>20</v>
      </c>
      <c r="J108" s="188">
        <f ca="1">TblConstr[[#This Row],[Water]]</f>
        <v>20</v>
      </c>
      <c r="K108" s="220"/>
      <c r="L108" s="220"/>
      <c r="M108" s="220"/>
      <c r="N108" s="227">
        <f ca="1">TblMili[[#This Row],[Smithies]]</f>
        <v>0</v>
      </c>
      <c r="O108" s="227">
        <f ca="1">TblPop[[#This Row],[Employment]]</f>
        <v>1</v>
      </c>
      <c r="P108" s="227">
        <f ca="1">TblImps[[#This Row],[Population]]</f>
        <v>1</v>
      </c>
      <c r="Q108" s="177">
        <f ca="1">TblExplore[[#This Row],[Land]]</f>
        <v>250</v>
      </c>
      <c r="R108" s="177">
        <f>TblExplore[[#This Row],[Hour]]</f>
        <v>105</v>
      </c>
      <c r="S108" s="228"/>
      <c r="T108" s="181"/>
      <c r="U108" s="181"/>
      <c r="V108" s="181"/>
      <c r="W108" s="181"/>
      <c r="X108" s="181"/>
      <c r="Y108" s="181"/>
      <c r="Z108" s="181"/>
      <c r="AA108" s="161">
        <f ca="1">TblImps[[#This Row],[Real time]]</f>
        <v>45736.333333333081</v>
      </c>
      <c r="AB108" s="96">
        <f ca="1">TblMili[[#This Row],[Draftees]]</f>
        <v>626</v>
      </c>
      <c r="AC108" s="96">
        <f ca="1">TblProd[[#This Row],[Platinum]]</f>
        <v>691422</v>
      </c>
      <c r="AD108" s="225"/>
      <c r="AE108" s="45">
        <f ca="1">TblExplore[[#This Row],[Land]]-TblExplore[[#This Row],[Land Bonus]]*20</f>
        <v>250</v>
      </c>
      <c r="AF108" s="96">
        <f ca="1">ROUND(MAX(0.6*TblExplore[[#This Row],[Land-DB]]^1.299,850)*(1+ tech_2_6*Techs!AC108 + tech_2_9*Techs!AF108 + tech_3_7*Techs!AN108 + Overview!$I$32),0)</f>
        <v>850</v>
      </c>
      <c r="AG10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7">
        <f>TblRezone[[#This Row],[Hour]]</f>
        <v>106</v>
      </c>
      <c r="B109" s="224">
        <f ca="1">TblConstr[[#This Row],[Land]]</f>
        <v>250</v>
      </c>
      <c r="C109" s="225"/>
      <c r="D109" s="226">
        <f ca="1">TblConstr[[#This Row],[Plain]]</f>
        <v>40</v>
      </c>
      <c r="E109" s="184">
        <f ca="1">TblConstr[[#This Row],[Forest]]</f>
        <v>20</v>
      </c>
      <c r="F109" s="384">
        <f ca="1">TblConstr[[#This Row],[Mountain]]</f>
        <v>20</v>
      </c>
      <c r="G109" s="388">
        <f ca="1">TblConstr[[#This Row],[Hill]]</f>
        <v>20</v>
      </c>
      <c r="H109" s="392">
        <f ca="1">TblConstr[[#This Row],[Swamp]]</f>
        <v>20</v>
      </c>
      <c r="I109" s="187">
        <f ca="1">TblConstr[[#This Row],[Cavern]]</f>
        <v>20</v>
      </c>
      <c r="J109" s="188">
        <f ca="1">TblConstr[[#This Row],[Water]]</f>
        <v>20</v>
      </c>
      <c r="K109" s="220"/>
      <c r="L109" s="220"/>
      <c r="M109" s="220"/>
      <c r="N109" s="227">
        <f ca="1">TblMili[[#This Row],[Smithies]]</f>
        <v>0</v>
      </c>
      <c r="O109" s="227">
        <f ca="1">TblPop[[#This Row],[Employment]]</f>
        <v>1</v>
      </c>
      <c r="P109" s="227">
        <f ca="1">TblImps[[#This Row],[Population]]</f>
        <v>1</v>
      </c>
      <c r="Q109" s="177">
        <f ca="1">TblExplore[[#This Row],[Land]]</f>
        <v>250</v>
      </c>
      <c r="R109" s="177">
        <f>TblExplore[[#This Row],[Hour]]</f>
        <v>106</v>
      </c>
      <c r="S109" s="228"/>
      <c r="T109" s="181"/>
      <c r="U109" s="181"/>
      <c r="V109" s="181"/>
      <c r="W109" s="181"/>
      <c r="X109" s="181"/>
      <c r="Y109" s="181"/>
      <c r="Z109" s="181"/>
      <c r="AA109" s="161">
        <f ca="1">TblImps[[#This Row],[Real time]]</f>
        <v>45736.374999999745</v>
      </c>
      <c r="AB109" s="96">
        <f ca="1">TblMili[[#This Row],[Draftees]]</f>
        <v>626</v>
      </c>
      <c r="AC109" s="96">
        <f ca="1">TblProd[[#This Row],[Platinum]]</f>
        <v>696908</v>
      </c>
      <c r="AD109" s="225"/>
      <c r="AE109" s="45">
        <f ca="1">TblExplore[[#This Row],[Land]]-TblExplore[[#This Row],[Land Bonus]]*20</f>
        <v>250</v>
      </c>
      <c r="AF109" s="96">
        <f ca="1">ROUND(MAX(0.6*TblExplore[[#This Row],[Land-DB]]^1.299,850)*(1+ tech_2_6*Techs!AC109 + tech_2_9*Techs!AF109 + tech_3_7*Techs!AN109 + Overview!$I$32),0)</f>
        <v>850</v>
      </c>
      <c r="AG10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7">
        <f>TblRezone[[#This Row],[Hour]]</f>
        <v>107</v>
      </c>
      <c r="B110" s="224">
        <f ca="1">TblConstr[[#This Row],[Land]]</f>
        <v>250</v>
      </c>
      <c r="C110" s="225"/>
      <c r="D110" s="226">
        <f ca="1">TblConstr[[#This Row],[Plain]]</f>
        <v>40</v>
      </c>
      <c r="E110" s="184">
        <f ca="1">TblConstr[[#This Row],[Forest]]</f>
        <v>20</v>
      </c>
      <c r="F110" s="384">
        <f ca="1">TblConstr[[#This Row],[Mountain]]</f>
        <v>20</v>
      </c>
      <c r="G110" s="388">
        <f ca="1">TblConstr[[#This Row],[Hill]]</f>
        <v>20</v>
      </c>
      <c r="H110" s="392">
        <f ca="1">TblConstr[[#This Row],[Swamp]]</f>
        <v>20</v>
      </c>
      <c r="I110" s="187">
        <f ca="1">TblConstr[[#This Row],[Cavern]]</f>
        <v>20</v>
      </c>
      <c r="J110" s="188">
        <f ca="1">TblConstr[[#This Row],[Water]]</f>
        <v>20</v>
      </c>
      <c r="K110" s="220"/>
      <c r="L110" s="220"/>
      <c r="M110" s="220"/>
      <c r="N110" s="227">
        <f ca="1">TblMili[[#This Row],[Smithies]]</f>
        <v>0</v>
      </c>
      <c r="O110" s="227">
        <f ca="1">TblPop[[#This Row],[Employment]]</f>
        <v>1</v>
      </c>
      <c r="P110" s="227">
        <f ca="1">TblImps[[#This Row],[Population]]</f>
        <v>1</v>
      </c>
      <c r="Q110" s="177">
        <f ca="1">TblExplore[[#This Row],[Land]]</f>
        <v>250</v>
      </c>
      <c r="R110" s="177">
        <f>TblExplore[[#This Row],[Hour]]</f>
        <v>107</v>
      </c>
      <c r="S110" s="228"/>
      <c r="T110" s="160"/>
      <c r="U110" s="181"/>
      <c r="V110" s="181"/>
      <c r="W110" s="181"/>
      <c r="X110" s="181"/>
      <c r="Y110" s="181"/>
      <c r="Z110" s="181"/>
      <c r="AA110" s="161">
        <f ca="1">TblImps[[#This Row],[Real time]]</f>
        <v>45736.41666666641</v>
      </c>
      <c r="AB110" s="96">
        <f ca="1">TblMili[[#This Row],[Draftees]]</f>
        <v>626</v>
      </c>
      <c r="AC110" s="96">
        <f ca="1">TblProd[[#This Row],[Platinum]]</f>
        <v>702394</v>
      </c>
      <c r="AD110" s="225"/>
      <c r="AE110" s="45">
        <f ca="1">TblExplore[[#This Row],[Land]]-TblExplore[[#This Row],[Land Bonus]]*20</f>
        <v>250</v>
      </c>
      <c r="AF110" s="96">
        <f ca="1">ROUND(MAX(0.6*TblExplore[[#This Row],[Land-DB]]^1.299,850)*(1+ tech_2_6*Techs!AC110 + tech_2_9*Techs!AF110 + tech_3_7*Techs!AN110 + Overview!$I$32),0)</f>
        <v>850</v>
      </c>
      <c r="AG1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7">
        <f>TblRezone[[#This Row],[Hour]]</f>
        <v>108</v>
      </c>
      <c r="B111" s="224">
        <f ca="1">TblConstr[[#This Row],[Land]]</f>
        <v>250</v>
      </c>
      <c r="C111" s="225"/>
      <c r="D111" s="226">
        <f ca="1">TblConstr[[#This Row],[Plain]]</f>
        <v>40</v>
      </c>
      <c r="E111" s="184">
        <f ca="1">TblConstr[[#This Row],[Forest]]</f>
        <v>20</v>
      </c>
      <c r="F111" s="384">
        <f ca="1">TblConstr[[#This Row],[Mountain]]</f>
        <v>20</v>
      </c>
      <c r="G111" s="388">
        <f ca="1">TblConstr[[#This Row],[Hill]]</f>
        <v>20</v>
      </c>
      <c r="H111" s="392">
        <f ca="1">TblConstr[[#This Row],[Swamp]]</f>
        <v>20</v>
      </c>
      <c r="I111" s="187">
        <f ca="1">TblConstr[[#This Row],[Cavern]]</f>
        <v>20</v>
      </c>
      <c r="J111" s="188">
        <f ca="1">TblConstr[[#This Row],[Water]]</f>
        <v>20</v>
      </c>
      <c r="K111" s="220"/>
      <c r="L111" s="220"/>
      <c r="M111" s="220"/>
      <c r="N111" s="227">
        <f ca="1">TblMili[[#This Row],[Smithies]]</f>
        <v>0</v>
      </c>
      <c r="O111" s="227">
        <f ca="1">TblPop[[#This Row],[Employment]]</f>
        <v>1</v>
      </c>
      <c r="P111" s="227">
        <f ca="1">TblImps[[#This Row],[Population]]</f>
        <v>1</v>
      </c>
      <c r="Q111" s="177">
        <f ca="1">TblExplore[[#This Row],[Land]]</f>
        <v>250</v>
      </c>
      <c r="R111" s="177">
        <f>TblExplore[[#This Row],[Hour]]</f>
        <v>108</v>
      </c>
      <c r="S111" s="228"/>
      <c r="T111" s="181"/>
      <c r="U111" s="181"/>
      <c r="V111" s="181"/>
      <c r="W111" s="181"/>
      <c r="X111" s="181"/>
      <c r="Y111" s="181"/>
      <c r="Z111" s="181"/>
      <c r="AA111" s="161">
        <f ca="1">TblImps[[#This Row],[Real time]]</f>
        <v>45736.458333333074</v>
      </c>
      <c r="AB111" s="96">
        <f ca="1">TblMili[[#This Row],[Draftees]]</f>
        <v>626</v>
      </c>
      <c r="AC111" s="96">
        <f ca="1">TblProd[[#This Row],[Platinum]]</f>
        <v>707880</v>
      </c>
      <c r="AD111" s="225"/>
      <c r="AE111" s="45">
        <f ca="1">TblExplore[[#This Row],[Land]]-TblExplore[[#This Row],[Land Bonus]]*20</f>
        <v>250</v>
      </c>
      <c r="AF111" s="96">
        <f ca="1">ROUND(MAX(0.6*TblExplore[[#This Row],[Land-DB]]^1.299,850)*(1+ tech_2_6*Techs!AC111 + tech_2_9*Techs!AF111 + tech_3_7*Techs!AN111 + Overview!$I$32),0)</f>
        <v>850</v>
      </c>
      <c r="AG1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7">
        <f>TblRezone[[#This Row],[Hour]]</f>
        <v>109</v>
      </c>
      <c r="B112" s="224">
        <f ca="1">TblConstr[[#This Row],[Land]]</f>
        <v>250</v>
      </c>
      <c r="C112" s="225"/>
      <c r="D112" s="226">
        <f ca="1">TblConstr[[#This Row],[Plain]]</f>
        <v>40</v>
      </c>
      <c r="E112" s="184">
        <f ca="1">TblConstr[[#This Row],[Forest]]</f>
        <v>20</v>
      </c>
      <c r="F112" s="384">
        <f ca="1">TblConstr[[#This Row],[Mountain]]</f>
        <v>20</v>
      </c>
      <c r="G112" s="388">
        <f ca="1">TblConstr[[#This Row],[Hill]]</f>
        <v>20</v>
      </c>
      <c r="H112" s="392">
        <f ca="1">TblConstr[[#This Row],[Swamp]]</f>
        <v>20</v>
      </c>
      <c r="I112" s="187">
        <f ca="1">TblConstr[[#This Row],[Cavern]]</f>
        <v>20</v>
      </c>
      <c r="J112" s="188">
        <f ca="1">TblConstr[[#This Row],[Water]]</f>
        <v>20</v>
      </c>
      <c r="K112" s="220"/>
      <c r="L112" s="220"/>
      <c r="M112" s="220"/>
      <c r="N112" s="227">
        <f ca="1">TblMili[[#This Row],[Smithies]]</f>
        <v>0</v>
      </c>
      <c r="O112" s="227">
        <f ca="1">TblPop[[#This Row],[Employment]]</f>
        <v>1</v>
      </c>
      <c r="P112" s="227">
        <f ca="1">TblImps[[#This Row],[Population]]</f>
        <v>1</v>
      </c>
      <c r="Q112" s="177">
        <f ca="1">TblExplore[[#This Row],[Land]]</f>
        <v>250</v>
      </c>
      <c r="R112" s="177">
        <f>TblExplore[[#This Row],[Hour]]</f>
        <v>109</v>
      </c>
      <c r="S112" s="228"/>
      <c r="T112" s="181"/>
      <c r="U112" s="181"/>
      <c r="V112" s="181"/>
      <c r="W112" s="181"/>
      <c r="X112" s="181"/>
      <c r="Y112" s="181"/>
      <c r="Z112" s="181"/>
      <c r="AA112" s="161">
        <f ca="1">TblImps[[#This Row],[Real time]]</f>
        <v>45736.499999999738</v>
      </c>
      <c r="AB112" s="96">
        <f ca="1">TblMili[[#This Row],[Draftees]]</f>
        <v>626</v>
      </c>
      <c r="AC112" s="96">
        <f ca="1">TblProd[[#This Row],[Platinum]]</f>
        <v>713366</v>
      </c>
      <c r="AD112" s="225"/>
      <c r="AE112" s="45">
        <f ca="1">TblExplore[[#This Row],[Land]]-TblExplore[[#This Row],[Land Bonus]]*20</f>
        <v>250</v>
      </c>
      <c r="AF112" s="96">
        <f ca="1">ROUND(MAX(0.6*TblExplore[[#This Row],[Land-DB]]^1.299,850)*(1+ tech_2_6*Techs!AC112 + tech_2_9*Techs!AF112 + tech_3_7*Techs!AN112 + Overview!$I$32),0)</f>
        <v>850</v>
      </c>
      <c r="AG1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7">
        <f>TblRezone[[#This Row],[Hour]]</f>
        <v>110</v>
      </c>
      <c r="B113" s="224">
        <f ca="1">TblConstr[[#This Row],[Land]]</f>
        <v>250</v>
      </c>
      <c r="C113" s="225"/>
      <c r="D113" s="226">
        <f ca="1">TblConstr[[#This Row],[Plain]]</f>
        <v>40</v>
      </c>
      <c r="E113" s="184">
        <f ca="1">TblConstr[[#This Row],[Forest]]</f>
        <v>20</v>
      </c>
      <c r="F113" s="384">
        <f ca="1">TblConstr[[#This Row],[Mountain]]</f>
        <v>20</v>
      </c>
      <c r="G113" s="388">
        <f ca="1">TblConstr[[#This Row],[Hill]]</f>
        <v>20</v>
      </c>
      <c r="H113" s="392">
        <f ca="1">TblConstr[[#This Row],[Swamp]]</f>
        <v>20</v>
      </c>
      <c r="I113" s="187">
        <f ca="1">TblConstr[[#This Row],[Cavern]]</f>
        <v>20</v>
      </c>
      <c r="J113" s="188">
        <f ca="1">TblConstr[[#This Row],[Water]]</f>
        <v>20</v>
      </c>
      <c r="K113" s="220"/>
      <c r="L113" s="220"/>
      <c r="M113" s="220"/>
      <c r="N113" s="227">
        <f ca="1">TblMili[[#This Row],[Smithies]]</f>
        <v>0</v>
      </c>
      <c r="O113" s="227">
        <f ca="1">TblPop[[#This Row],[Employment]]</f>
        <v>1</v>
      </c>
      <c r="P113" s="227">
        <f ca="1">TblImps[[#This Row],[Population]]</f>
        <v>1</v>
      </c>
      <c r="Q113" s="177">
        <f ca="1">TblExplore[[#This Row],[Land]]</f>
        <v>250</v>
      </c>
      <c r="R113" s="177">
        <f>TblExplore[[#This Row],[Hour]]</f>
        <v>110</v>
      </c>
      <c r="S113" s="228"/>
      <c r="T113" s="181"/>
      <c r="U113" s="181"/>
      <c r="V113" s="181"/>
      <c r="W113" s="181"/>
      <c r="X113" s="181"/>
      <c r="Y113" s="181"/>
      <c r="Z113" s="181"/>
      <c r="AA113" s="161">
        <f ca="1">TblImps[[#This Row],[Real time]]</f>
        <v>45736.541666666402</v>
      </c>
      <c r="AB113" s="96">
        <f ca="1">TblMili[[#This Row],[Draftees]]</f>
        <v>626</v>
      </c>
      <c r="AC113" s="96">
        <f ca="1">TblProd[[#This Row],[Platinum]]</f>
        <v>718852</v>
      </c>
      <c r="AD113" s="225"/>
      <c r="AE113" s="45">
        <f ca="1">TblExplore[[#This Row],[Land]]-TblExplore[[#This Row],[Land Bonus]]*20</f>
        <v>250</v>
      </c>
      <c r="AF113" s="96">
        <f ca="1">ROUND(MAX(0.6*TblExplore[[#This Row],[Land-DB]]^1.299,850)*(1+ tech_2_6*Techs!AC113 + tech_2_9*Techs!AF113 + tech_3_7*Techs!AN113 + Overview!$I$32),0)</f>
        <v>850</v>
      </c>
      <c r="AG1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7">
        <f>TblRezone[[#This Row],[Hour]]</f>
        <v>111</v>
      </c>
      <c r="B114" s="224">
        <f ca="1">TblConstr[[#This Row],[Land]]</f>
        <v>250</v>
      </c>
      <c r="C114" s="225"/>
      <c r="D114" s="226">
        <f ca="1">TblConstr[[#This Row],[Plain]]</f>
        <v>40</v>
      </c>
      <c r="E114" s="184">
        <f ca="1">TblConstr[[#This Row],[Forest]]</f>
        <v>20</v>
      </c>
      <c r="F114" s="384">
        <f ca="1">TblConstr[[#This Row],[Mountain]]</f>
        <v>20</v>
      </c>
      <c r="G114" s="388">
        <f ca="1">TblConstr[[#This Row],[Hill]]</f>
        <v>20</v>
      </c>
      <c r="H114" s="392">
        <f ca="1">TblConstr[[#This Row],[Swamp]]</f>
        <v>20</v>
      </c>
      <c r="I114" s="187">
        <f ca="1">TblConstr[[#This Row],[Cavern]]</f>
        <v>20</v>
      </c>
      <c r="J114" s="188">
        <f ca="1">TblConstr[[#This Row],[Water]]</f>
        <v>20</v>
      </c>
      <c r="K114" s="220"/>
      <c r="L114" s="220"/>
      <c r="M114" s="220"/>
      <c r="N114" s="227">
        <f ca="1">TblMili[[#This Row],[Smithies]]</f>
        <v>0</v>
      </c>
      <c r="O114" s="227">
        <f ca="1">TblPop[[#This Row],[Employment]]</f>
        <v>1</v>
      </c>
      <c r="P114" s="227">
        <f ca="1">TblImps[[#This Row],[Population]]</f>
        <v>1</v>
      </c>
      <c r="Q114" s="177">
        <f ca="1">TblExplore[[#This Row],[Land]]</f>
        <v>250</v>
      </c>
      <c r="R114" s="177">
        <f>TblExplore[[#This Row],[Hour]]</f>
        <v>111</v>
      </c>
      <c r="S114" s="228"/>
      <c r="T114" s="181"/>
      <c r="U114" s="181"/>
      <c r="V114" s="181"/>
      <c r="W114" s="181"/>
      <c r="X114" s="181"/>
      <c r="Y114" s="181"/>
      <c r="Z114" s="181"/>
      <c r="AA114" s="161">
        <f ca="1">TblImps[[#This Row],[Real time]]</f>
        <v>45736.583333333067</v>
      </c>
      <c r="AB114" s="96">
        <f ca="1">TblMili[[#This Row],[Draftees]]</f>
        <v>626</v>
      </c>
      <c r="AC114" s="96">
        <f ca="1">TblProd[[#This Row],[Platinum]]</f>
        <v>724338</v>
      </c>
      <c r="AD114" s="225"/>
      <c r="AE114" s="45">
        <f ca="1">TblExplore[[#This Row],[Land]]-TblExplore[[#This Row],[Land Bonus]]*20</f>
        <v>250</v>
      </c>
      <c r="AF114" s="96">
        <f ca="1">ROUND(MAX(0.6*TblExplore[[#This Row],[Land-DB]]^1.299,850)*(1+ tech_2_6*Techs!AC114 + tech_2_9*Techs!AF114 + tech_3_7*Techs!AN114 + Overview!$I$32),0)</f>
        <v>850</v>
      </c>
      <c r="AG1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7">
        <f>TblRezone[[#This Row],[Hour]]</f>
        <v>112</v>
      </c>
      <c r="B115" s="224">
        <f ca="1">TblConstr[[#This Row],[Land]]</f>
        <v>250</v>
      </c>
      <c r="C115" s="225"/>
      <c r="D115" s="226">
        <f ca="1">TblConstr[[#This Row],[Plain]]</f>
        <v>40</v>
      </c>
      <c r="E115" s="184">
        <f ca="1">TblConstr[[#This Row],[Forest]]</f>
        <v>20</v>
      </c>
      <c r="F115" s="384">
        <f ca="1">TblConstr[[#This Row],[Mountain]]</f>
        <v>20</v>
      </c>
      <c r="G115" s="388">
        <f ca="1">TblConstr[[#This Row],[Hill]]</f>
        <v>20</v>
      </c>
      <c r="H115" s="392">
        <f ca="1">TblConstr[[#This Row],[Swamp]]</f>
        <v>20</v>
      </c>
      <c r="I115" s="187">
        <f ca="1">TblConstr[[#This Row],[Cavern]]</f>
        <v>20</v>
      </c>
      <c r="J115" s="188">
        <f ca="1">TblConstr[[#This Row],[Water]]</f>
        <v>20</v>
      </c>
      <c r="K115" s="220"/>
      <c r="L115" s="220"/>
      <c r="M115" s="220"/>
      <c r="N115" s="227">
        <f ca="1">TblMili[[#This Row],[Smithies]]</f>
        <v>0</v>
      </c>
      <c r="O115" s="227">
        <f ca="1">TblPop[[#This Row],[Employment]]</f>
        <v>1</v>
      </c>
      <c r="P115" s="227">
        <f ca="1">TblImps[[#This Row],[Population]]</f>
        <v>1</v>
      </c>
      <c r="Q115" s="177">
        <f ca="1">TblExplore[[#This Row],[Land]]</f>
        <v>250</v>
      </c>
      <c r="R115" s="177">
        <f>TblExplore[[#This Row],[Hour]]</f>
        <v>112</v>
      </c>
      <c r="S115" s="228"/>
      <c r="T115" s="181"/>
      <c r="U115" s="181"/>
      <c r="V115" s="181"/>
      <c r="W115" s="181"/>
      <c r="X115" s="181"/>
      <c r="Y115" s="181"/>
      <c r="Z115" s="181"/>
      <c r="AA115" s="161">
        <f ca="1">TblImps[[#This Row],[Real time]]</f>
        <v>45736.624999999731</v>
      </c>
      <c r="AB115" s="96">
        <f ca="1">TblMili[[#This Row],[Draftees]]</f>
        <v>626</v>
      </c>
      <c r="AC115" s="96">
        <f ca="1">TblProd[[#This Row],[Platinum]]</f>
        <v>729824</v>
      </c>
      <c r="AD115" s="225"/>
      <c r="AE115" s="45">
        <f ca="1">TblExplore[[#This Row],[Land]]-TblExplore[[#This Row],[Land Bonus]]*20</f>
        <v>250</v>
      </c>
      <c r="AF115" s="96">
        <f ca="1">ROUND(MAX(0.6*TblExplore[[#This Row],[Land-DB]]^1.299,850)*(1+ tech_2_6*Techs!AC115 + tech_2_9*Techs!AF115 + tech_3_7*Techs!AN115 + Overview!$I$32),0)</f>
        <v>850</v>
      </c>
      <c r="AG1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7">
        <f>TblRezone[[#This Row],[Hour]]</f>
        <v>113</v>
      </c>
      <c r="B116" s="224">
        <f ca="1">TblConstr[[#This Row],[Land]]</f>
        <v>250</v>
      </c>
      <c r="C116" s="225"/>
      <c r="D116" s="226">
        <f ca="1">TblConstr[[#This Row],[Plain]]</f>
        <v>40</v>
      </c>
      <c r="E116" s="184">
        <f ca="1">TblConstr[[#This Row],[Forest]]</f>
        <v>20</v>
      </c>
      <c r="F116" s="384">
        <f ca="1">TblConstr[[#This Row],[Mountain]]</f>
        <v>20</v>
      </c>
      <c r="G116" s="388">
        <f ca="1">TblConstr[[#This Row],[Hill]]</f>
        <v>20</v>
      </c>
      <c r="H116" s="392">
        <f ca="1">TblConstr[[#This Row],[Swamp]]</f>
        <v>20</v>
      </c>
      <c r="I116" s="187">
        <f ca="1">TblConstr[[#This Row],[Cavern]]</f>
        <v>20</v>
      </c>
      <c r="J116" s="188">
        <f ca="1">TblConstr[[#This Row],[Water]]</f>
        <v>20</v>
      </c>
      <c r="K116" s="220"/>
      <c r="L116" s="220"/>
      <c r="M116" s="220"/>
      <c r="N116" s="227">
        <f ca="1">TblMili[[#This Row],[Smithies]]</f>
        <v>0</v>
      </c>
      <c r="O116" s="227">
        <f ca="1">TblPop[[#This Row],[Employment]]</f>
        <v>1</v>
      </c>
      <c r="P116" s="227">
        <f ca="1">TblImps[[#This Row],[Population]]</f>
        <v>1</v>
      </c>
      <c r="Q116" s="177">
        <f ca="1">TblExplore[[#This Row],[Land]]</f>
        <v>250</v>
      </c>
      <c r="R116" s="177">
        <f>TblExplore[[#This Row],[Hour]]</f>
        <v>113</v>
      </c>
      <c r="S116" s="228"/>
      <c r="T116" s="181"/>
      <c r="U116" s="181"/>
      <c r="V116" s="181"/>
      <c r="W116" s="181"/>
      <c r="X116" s="181"/>
      <c r="Y116" s="181"/>
      <c r="Z116" s="181"/>
      <c r="AA116" s="161">
        <f ca="1">TblImps[[#This Row],[Real time]]</f>
        <v>45736.666666666395</v>
      </c>
      <c r="AB116" s="96">
        <f ca="1">TblMili[[#This Row],[Draftees]]</f>
        <v>626</v>
      </c>
      <c r="AC116" s="96">
        <f ca="1">TblProd[[#This Row],[Platinum]]</f>
        <v>735310</v>
      </c>
      <c r="AD116" s="225"/>
      <c r="AE116" s="45">
        <f ca="1">TblExplore[[#This Row],[Land]]-TblExplore[[#This Row],[Land Bonus]]*20</f>
        <v>250</v>
      </c>
      <c r="AF116" s="96">
        <f ca="1">ROUND(MAX(0.6*TblExplore[[#This Row],[Land-DB]]^1.299,850)*(1+ tech_2_6*Techs!AC116 + tech_2_9*Techs!AF116 + tech_3_7*Techs!AN116 + Overview!$I$32),0)</f>
        <v>850</v>
      </c>
      <c r="AG1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7">
        <f>TblRezone[[#This Row],[Hour]]</f>
        <v>114</v>
      </c>
      <c r="B117" s="224">
        <f ca="1">TblConstr[[#This Row],[Land]]</f>
        <v>250</v>
      </c>
      <c r="C117" s="225"/>
      <c r="D117" s="226">
        <f ca="1">TblConstr[[#This Row],[Plain]]</f>
        <v>40</v>
      </c>
      <c r="E117" s="184">
        <f ca="1">TblConstr[[#This Row],[Forest]]</f>
        <v>20</v>
      </c>
      <c r="F117" s="384">
        <f ca="1">TblConstr[[#This Row],[Mountain]]</f>
        <v>20</v>
      </c>
      <c r="G117" s="388">
        <f ca="1">TblConstr[[#This Row],[Hill]]</f>
        <v>20</v>
      </c>
      <c r="H117" s="392">
        <f ca="1">TblConstr[[#This Row],[Swamp]]</f>
        <v>20</v>
      </c>
      <c r="I117" s="187">
        <f ca="1">TblConstr[[#This Row],[Cavern]]</f>
        <v>20</v>
      </c>
      <c r="J117" s="188">
        <f ca="1">TblConstr[[#This Row],[Water]]</f>
        <v>20</v>
      </c>
      <c r="K117" s="220"/>
      <c r="L117" s="220"/>
      <c r="M117" s="220"/>
      <c r="N117" s="227">
        <f ca="1">TblMili[[#This Row],[Smithies]]</f>
        <v>0</v>
      </c>
      <c r="O117" s="227">
        <f ca="1">TblPop[[#This Row],[Employment]]</f>
        <v>1</v>
      </c>
      <c r="P117" s="227">
        <f ca="1">TblImps[[#This Row],[Population]]</f>
        <v>1</v>
      </c>
      <c r="Q117" s="177">
        <f ca="1">TblExplore[[#This Row],[Land]]</f>
        <v>250</v>
      </c>
      <c r="R117" s="177">
        <f>TblExplore[[#This Row],[Hour]]</f>
        <v>114</v>
      </c>
      <c r="S117" s="228"/>
      <c r="T117" s="181"/>
      <c r="U117" s="181"/>
      <c r="V117" s="181"/>
      <c r="W117" s="181"/>
      <c r="X117" s="181"/>
      <c r="Y117" s="181"/>
      <c r="Z117" s="181"/>
      <c r="AA117" s="161">
        <f ca="1">TblImps[[#This Row],[Real time]]</f>
        <v>45736.708333333059</v>
      </c>
      <c r="AB117" s="96">
        <f ca="1">TblMili[[#This Row],[Draftees]]</f>
        <v>626</v>
      </c>
      <c r="AC117" s="96">
        <f ca="1">TblProd[[#This Row],[Platinum]]</f>
        <v>740796</v>
      </c>
      <c r="AD117" s="225"/>
      <c r="AE117" s="45">
        <f ca="1">TblExplore[[#This Row],[Land]]-TblExplore[[#This Row],[Land Bonus]]*20</f>
        <v>250</v>
      </c>
      <c r="AF117" s="96">
        <f ca="1">ROUND(MAX(0.6*TblExplore[[#This Row],[Land-DB]]^1.299,850)*(1+ tech_2_6*Techs!AC117 + tech_2_9*Techs!AF117 + tech_3_7*Techs!AN117 + Overview!$I$32),0)</f>
        <v>850</v>
      </c>
      <c r="AG1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7">
        <f>TblRezone[[#This Row],[Hour]]</f>
        <v>115</v>
      </c>
      <c r="B118" s="224">
        <f ca="1">TblConstr[[#This Row],[Land]]</f>
        <v>250</v>
      </c>
      <c r="C118" s="225"/>
      <c r="D118" s="226">
        <f ca="1">TblConstr[[#This Row],[Plain]]</f>
        <v>40</v>
      </c>
      <c r="E118" s="184">
        <f ca="1">TblConstr[[#This Row],[Forest]]</f>
        <v>20</v>
      </c>
      <c r="F118" s="384">
        <f ca="1">TblConstr[[#This Row],[Mountain]]</f>
        <v>20</v>
      </c>
      <c r="G118" s="388">
        <f ca="1">TblConstr[[#This Row],[Hill]]</f>
        <v>20</v>
      </c>
      <c r="H118" s="392">
        <f ca="1">TblConstr[[#This Row],[Swamp]]</f>
        <v>20</v>
      </c>
      <c r="I118" s="187">
        <f ca="1">TblConstr[[#This Row],[Cavern]]</f>
        <v>20</v>
      </c>
      <c r="J118" s="188">
        <f ca="1">TblConstr[[#This Row],[Water]]</f>
        <v>20</v>
      </c>
      <c r="K118" s="220"/>
      <c r="L118" s="220"/>
      <c r="M118" s="220"/>
      <c r="N118" s="227">
        <f ca="1">TblMili[[#This Row],[Smithies]]</f>
        <v>0</v>
      </c>
      <c r="O118" s="227">
        <f ca="1">TblPop[[#This Row],[Employment]]</f>
        <v>1</v>
      </c>
      <c r="P118" s="227">
        <f ca="1">TblImps[[#This Row],[Population]]</f>
        <v>1</v>
      </c>
      <c r="Q118" s="177">
        <f ca="1">TblExplore[[#This Row],[Land]]</f>
        <v>250</v>
      </c>
      <c r="R118" s="177">
        <f>TblExplore[[#This Row],[Hour]]</f>
        <v>115</v>
      </c>
      <c r="S118" s="228"/>
      <c r="T118" s="181"/>
      <c r="U118" s="181"/>
      <c r="V118" s="181"/>
      <c r="W118" s="181"/>
      <c r="X118" s="181"/>
      <c r="Y118" s="181"/>
      <c r="Z118" s="181"/>
      <c r="AA118" s="161">
        <f ca="1">TblImps[[#This Row],[Real time]]</f>
        <v>45736.749999999724</v>
      </c>
      <c r="AB118" s="96">
        <f ca="1">TblMili[[#This Row],[Draftees]]</f>
        <v>626</v>
      </c>
      <c r="AC118" s="96">
        <f ca="1">TblProd[[#This Row],[Platinum]]</f>
        <v>746282</v>
      </c>
      <c r="AD118" s="225"/>
      <c r="AE118" s="45">
        <f ca="1">TblExplore[[#This Row],[Land]]-TblExplore[[#This Row],[Land Bonus]]*20</f>
        <v>250</v>
      </c>
      <c r="AF118" s="96">
        <f ca="1">ROUND(MAX(0.6*TblExplore[[#This Row],[Land-DB]]^1.299,850)*(1+ tech_2_6*Techs!AC118 + tech_2_9*Techs!AF118 + tech_3_7*Techs!AN118 + Overview!$I$32),0)</f>
        <v>850</v>
      </c>
      <c r="AG1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7">
        <f>TblRezone[[#This Row],[Hour]]</f>
        <v>116</v>
      </c>
      <c r="B119" s="224">
        <f ca="1">TblConstr[[#This Row],[Land]]</f>
        <v>250</v>
      </c>
      <c r="C119" s="225"/>
      <c r="D119" s="226">
        <f ca="1">TblConstr[[#This Row],[Plain]]</f>
        <v>40</v>
      </c>
      <c r="E119" s="184">
        <f ca="1">TblConstr[[#This Row],[Forest]]</f>
        <v>20</v>
      </c>
      <c r="F119" s="384">
        <f ca="1">TblConstr[[#This Row],[Mountain]]</f>
        <v>20</v>
      </c>
      <c r="G119" s="388">
        <f ca="1">TblConstr[[#This Row],[Hill]]</f>
        <v>20</v>
      </c>
      <c r="H119" s="392">
        <f ca="1">TblConstr[[#This Row],[Swamp]]</f>
        <v>20</v>
      </c>
      <c r="I119" s="187">
        <f ca="1">TblConstr[[#This Row],[Cavern]]</f>
        <v>20</v>
      </c>
      <c r="J119" s="188">
        <f ca="1">TblConstr[[#This Row],[Water]]</f>
        <v>20</v>
      </c>
      <c r="K119" s="220"/>
      <c r="L119" s="220"/>
      <c r="M119" s="220"/>
      <c r="N119" s="227">
        <f ca="1">TblMili[[#This Row],[Smithies]]</f>
        <v>0</v>
      </c>
      <c r="O119" s="227">
        <f ca="1">TblPop[[#This Row],[Employment]]</f>
        <v>1</v>
      </c>
      <c r="P119" s="227">
        <f ca="1">TblImps[[#This Row],[Population]]</f>
        <v>1</v>
      </c>
      <c r="Q119" s="177">
        <f ca="1">TblExplore[[#This Row],[Land]]</f>
        <v>250</v>
      </c>
      <c r="R119" s="177">
        <f>TblExplore[[#This Row],[Hour]]</f>
        <v>116</v>
      </c>
      <c r="S119" s="228"/>
      <c r="T119" s="181"/>
      <c r="U119" s="181"/>
      <c r="V119" s="181"/>
      <c r="W119" s="181"/>
      <c r="X119" s="181"/>
      <c r="Y119" s="181"/>
      <c r="Z119" s="181"/>
      <c r="AA119" s="161">
        <f ca="1">TblImps[[#This Row],[Real time]]</f>
        <v>45736.791666666388</v>
      </c>
      <c r="AB119" s="96">
        <f ca="1">TblMili[[#This Row],[Draftees]]</f>
        <v>626</v>
      </c>
      <c r="AC119" s="96">
        <f ca="1">TblProd[[#This Row],[Platinum]]</f>
        <v>751768</v>
      </c>
      <c r="AD119" s="225"/>
      <c r="AE119" s="45">
        <f ca="1">TblExplore[[#This Row],[Land]]-TblExplore[[#This Row],[Land Bonus]]*20</f>
        <v>250</v>
      </c>
      <c r="AF119" s="96">
        <f ca="1">ROUND(MAX(0.6*TblExplore[[#This Row],[Land-DB]]^1.299,850)*(1+ tech_2_6*Techs!AC119 + tech_2_9*Techs!AF119 + tech_3_7*Techs!AN119 + Overview!$I$32),0)</f>
        <v>850</v>
      </c>
      <c r="AG1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7">
        <f>TblRezone[[#This Row],[Hour]]</f>
        <v>117</v>
      </c>
      <c r="B120" s="224">
        <f ca="1">TblConstr[[#This Row],[Land]]</f>
        <v>250</v>
      </c>
      <c r="C120" s="225"/>
      <c r="D120" s="226">
        <f ca="1">TblConstr[[#This Row],[Plain]]</f>
        <v>40</v>
      </c>
      <c r="E120" s="184">
        <f ca="1">TblConstr[[#This Row],[Forest]]</f>
        <v>20</v>
      </c>
      <c r="F120" s="384">
        <f ca="1">TblConstr[[#This Row],[Mountain]]</f>
        <v>20</v>
      </c>
      <c r="G120" s="388">
        <f ca="1">TblConstr[[#This Row],[Hill]]</f>
        <v>20</v>
      </c>
      <c r="H120" s="392">
        <f ca="1">TblConstr[[#This Row],[Swamp]]</f>
        <v>20</v>
      </c>
      <c r="I120" s="187">
        <f ca="1">TblConstr[[#This Row],[Cavern]]</f>
        <v>20</v>
      </c>
      <c r="J120" s="188">
        <f ca="1">TblConstr[[#This Row],[Water]]</f>
        <v>20</v>
      </c>
      <c r="K120" s="220"/>
      <c r="L120" s="220"/>
      <c r="M120" s="220"/>
      <c r="N120" s="227">
        <f ca="1">TblMili[[#This Row],[Smithies]]</f>
        <v>0</v>
      </c>
      <c r="O120" s="227">
        <f ca="1">TblPop[[#This Row],[Employment]]</f>
        <v>1</v>
      </c>
      <c r="P120" s="227">
        <f ca="1">TblImps[[#This Row],[Population]]</f>
        <v>1</v>
      </c>
      <c r="Q120" s="177">
        <f ca="1">TblExplore[[#This Row],[Land]]</f>
        <v>250</v>
      </c>
      <c r="R120" s="177">
        <f>TblExplore[[#This Row],[Hour]]</f>
        <v>117</v>
      </c>
      <c r="S120" s="228"/>
      <c r="T120" s="181"/>
      <c r="U120" s="181"/>
      <c r="V120" s="181"/>
      <c r="W120" s="181"/>
      <c r="X120" s="181"/>
      <c r="Y120" s="181"/>
      <c r="Z120" s="181"/>
      <c r="AA120" s="161">
        <f ca="1">TblImps[[#This Row],[Real time]]</f>
        <v>45736.833333333052</v>
      </c>
      <c r="AB120" s="96">
        <f ca="1">TblMili[[#This Row],[Draftees]]</f>
        <v>626</v>
      </c>
      <c r="AC120" s="96">
        <f ca="1">TblProd[[#This Row],[Platinum]]</f>
        <v>757254</v>
      </c>
      <c r="AD120" s="225"/>
      <c r="AE120" s="45">
        <f ca="1">TblExplore[[#This Row],[Land]]-TblExplore[[#This Row],[Land Bonus]]*20</f>
        <v>250</v>
      </c>
      <c r="AF120" s="96">
        <f ca="1">ROUND(MAX(0.6*TblExplore[[#This Row],[Land-DB]]^1.299,850)*(1+ tech_2_6*Techs!AC120 + tech_2_9*Techs!AF120 + tech_3_7*Techs!AN120 + Overview!$I$32),0)</f>
        <v>850</v>
      </c>
      <c r="AG1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7">
        <f>TblRezone[[#This Row],[Hour]]</f>
        <v>118</v>
      </c>
      <c r="B121" s="224">
        <f ca="1">TblConstr[[#This Row],[Land]]</f>
        <v>250</v>
      </c>
      <c r="C121" s="225"/>
      <c r="D121" s="226">
        <f ca="1">TblConstr[[#This Row],[Plain]]</f>
        <v>40</v>
      </c>
      <c r="E121" s="184">
        <f ca="1">TblConstr[[#This Row],[Forest]]</f>
        <v>20</v>
      </c>
      <c r="F121" s="384">
        <f ca="1">TblConstr[[#This Row],[Mountain]]</f>
        <v>20</v>
      </c>
      <c r="G121" s="388">
        <f ca="1">TblConstr[[#This Row],[Hill]]</f>
        <v>20</v>
      </c>
      <c r="H121" s="392">
        <f ca="1">TblConstr[[#This Row],[Swamp]]</f>
        <v>20</v>
      </c>
      <c r="I121" s="187">
        <f ca="1">TblConstr[[#This Row],[Cavern]]</f>
        <v>20</v>
      </c>
      <c r="J121" s="188">
        <f ca="1">TblConstr[[#This Row],[Water]]</f>
        <v>20</v>
      </c>
      <c r="K121" s="220"/>
      <c r="L121" s="220"/>
      <c r="M121" s="220"/>
      <c r="N121" s="227">
        <f ca="1">TblMili[[#This Row],[Smithies]]</f>
        <v>0</v>
      </c>
      <c r="O121" s="227">
        <f ca="1">TblPop[[#This Row],[Employment]]</f>
        <v>1</v>
      </c>
      <c r="P121" s="227">
        <f ca="1">TblImps[[#This Row],[Population]]</f>
        <v>1</v>
      </c>
      <c r="Q121" s="177">
        <f ca="1">TblExplore[[#This Row],[Land]]</f>
        <v>250</v>
      </c>
      <c r="R121" s="177">
        <f>TblExplore[[#This Row],[Hour]]</f>
        <v>118</v>
      </c>
      <c r="S121" s="228"/>
      <c r="T121" s="181"/>
      <c r="U121" s="181"/>
      <c r="V121" s="181"/>
      <c r="W121" s="181"/>
      <c r="X121" s="181"/>
      <c r="Y121" s="181"/>
      <c r="Z121" s="181"/>
      <c r="AA121" s="161">
        <f ca="1">TblImps[[#This Row],[Real time]]</f>
        <v>45736.874999999716</v>
      </c>
      <c r="AB121" s="96">
        <f ca="1">TblMili[[#This Row],[Draftees]]</f>
        <v>626</v>
      </c>
      <c r="AC121" s="96">
        <f ca="1">TblProd[[#This Row],[Platinum]]</f>
        <v>762740</v>
      </c>
      <c r="AD121" s="225"/>
      <c r="AE121" s="45">
        <f ca="1">TblExplore[[#This Row],[Land]]-TblExplore[[#This Row],[Land Bonus]]*20</f>
        <v>250</v>
      </c>
      <c r="AF121" s="96">
        <f ca="1">ROUND(MAX(0.6*TblExplore[[#This Row],[Land-DB]]^1.299,850)*(1+ tech_2_6*Techs!AC121 + tech_2_9*Techs!AF121 + tech_3_7*Techs!AN121 + Overview!$I$32),0)</f>
        <v>850</v>
      </c>
      <c r="AG1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7">
        <f>TblRezone[[#This Row],[Hour]]</f>
        <v>119</v>
      </c>
      <c r="B122" s="224">
        <f ca="1">TblConstr[[#This Row],[Land]]</f>
        <v>250</v>
      </c>
      <c r="C122" s="225"/>
      <c r="D122" s="226">
        <f ca="1">TblConstr[[#This Row],[Plain]]</f>
        <v>40</v>
      </c>
      <c r="E122" s="184">
        <f ca="1">TblConstr[[#This Row],[Forest]]</f>
        <v>20</v>
      </c>
      <c r="F122" s="384">
        <f ca="1">TblConstr[[#This Row],[Mountain]]</f>
        <v>20</v>
      </c>
      <c r="G122" s="388">
        <f ca="1">TblConstr[[#This Row],[Hill]]</f>
        <v>20</v>
      </c>
      <c r="H122" s="392">
        <f ca="1">TblConstr[[#This Row],[Swamp]]</f>
        <v>20</v>
      </c>
      <c r="I122" s="187">
        <f ca="1">TblConstr[[#This Row],[Cavern]]</f>
        <v>20</v>
      </c>
      <c r="J122" s="188">
        <f ca="1">TblConstr[[#This Row],[Water]]</f>
        <v>20</v>
      </c>
      <c r="K122" s="220"/>
      <c r="L122" s="220"/>
      <c r="M122" s="220"/>
      <c r="N122" s="227">
        <f ca="1">TblMili[[#This Row],[Smithies]]</f>
        <v>0</v>
      </c>
      <c r="O122" s="227">
        <f ca="1">TblPop[[#This Row],[Employment]]</f>
        <v>1</v>
      </c>
      <c r="P122" s="227">
        <f ca="1">TblImps[[#This Row],[Population]]</f>
        <v>1</v>
      </c>
      <c r="Q122" s="177">
        <f ca="1">TblExplore[[#This Row],[Land]]</f>
        <v>250</v>
      </c>
      <c r="R122" s="177">
        <f>TblExplore[[#This Row],[Hour]]</f>
        <v>119</v>
      </c>
      <c r="S122" s="228"/>
      <c r="T122" s="181"/>
      <c r="U122" s="181"/>
      <c r="V122" s="181"/>
      <c r="W122" s="181"/>
      <c r="X122" s="181"/>
      <c r="Y122" s="181"/>
      <c r="Z122" s="181"/>
      <c r="AA122" s="161">
        <f ca="1">TblImps[[#This Row],[Real time]]</f>
        <v>45736.91666666638</v>
      </c>
      <c r="AB122" s="96">
        <f ca="1">TblMili[[#This Row],[Draftees]]</f>
        <v>626</v>
      </c>
      <c r="AC122" s="96">
        <f ca="1">TblProd[[#This Row],[Platinum]]</f>
        <v>768226</v>
      </c>
      <c r="AD122" s="225"/>
      <c r="AE122" s="45">
        <f ca="1">TblExplore[[#This Row],[Land]]-TblExplore[[#This Row],[Land Bonus]]*20</f>
        <v>250</v>
      </c>
      <c r="AF122" s="96">
        <f ca="1">ROUND(MAX(0.6*TblExplore[[#This Row],[Land-DB]]^1.299,850)*(1+ tech_2_6*Techs!AC122 + tech_2_9*Techs!AF122 + tech_3_7*Techs!AN122 + Overview!$I$32),0)</f>
        <v>850</v>
      </c>
      <c r="AG1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7">
        <f>TblRezone[[#This Row],[Hour]]</f>
        <v>120</v>
      </c>
      <c r="B123" s="224">
        <f ca="1">TblConstr[[#This Row],[Land]]</f>
        <v>250</v>
      </c>
      <c r="C123" s="225"/>
      <c r="D123" s="226">
        <f ca="1">TblConstr[[#This Row],[Plain]]</f>
        <v>40</v>
      </c>
      <c r="E123" s="184">
        <f ca="1">TblConstr[[#This Row],[Forest]]</f>
        <v>20</v>
      </c>
      <c r="F123" s="384">
        <f ca="1">TblConstr[[#This Row],[Mountain]]</f>
        <v>20</v>
      </c>
      <c r="G123" s="388">
        <f ca="1">TblConstr[[#This Row],[Hill]]</f>
        <v>20</v>
      </c>
      <c r="H123" s="392">
        <f ca="1">TblConstr[[#This Row],[Swamp]]</f>
        <v>20</v>
      </c>
      <c r="I123" s="187">
        <f ca="1">TblConstr[[#This Row],[Cavern]]</f>
        <v>20</v>
      </c>
      <c r="J123" s="188">
        <f ca="1">TblConstr[[#This Row],[Water]]</f>
        <v>20</v>
      </c>
      <c r="K123" s="220"/>
      <c r="L123" s="220"/>
      <c r="M123" s="220"/>
      <c r="N123" s="227">
        <f ca="1">TblMili[[#This Row],[Smithies]]</f>
        <v>0</v>
      </c>
      <c r="O123" s="227">
        <f ca="1">TblPop[[#This Row],[Employment]]</f>
        <v>1</v>
      </c>
      <c r="P123" s="227">
        <f ca="1">TblImps[[#This Row],[Population]]</f>
        <v>1</v>
      </c>
      <c r="Q123" s="177">
        <f ca="1">TblExplore[[#This Row],[Land]]</f>
        <v>250</v>
      </c>
      <c r="R123" s="177">
        <f>TblExplore[[#This Row],[Hour]]</f>
        <v>120</v>
      </c>
      <c r="S123" s="228"/>
      <c r="T123" s="181"/>
      <c r="U123" s="181"/>
      <c r="V123" s="181"/>
      <c r="W123" s="181"/>
      <c r="X123" s="181"/>
      <c r="Y123" s="181"/>
      <c r="Z123" s="181"/>
      <c r="AA123" s="161">
        <f ca="1">TblImps[[#This Row],[Real time]]</f>
        <v>45736.958333333045</v>
      </c>
      <c r="AB123" s="96">
        <f ca="1">TblMili[[#This Row],[Draftees]]</f>
        <v>626</v>
      </c>
      <c r="AC123" s="96">
        <f ca="1">TblProd[[#This Row],[Platinum]]</f>
        <v>773712</v>
      </c>
      <c r="AD123" s="225"/>
      <c r="AE123" s="45">
        <f ca="1">TblExplore[[#This Row],[Land]]-TblExplore[[#This Row],[Land Bonus]]*20</f>
        <v>250</v>
      </c>
      <c r="AF123" s="96">
        <f ca="1">ROUND(MAX(0.6*TblExplore[[#This Row],[Land-DB]]^1.299,850)*(1+ tech_2_6*Techs!AC123 + tech_2_9*Techs!AF123 + tech_3_7*Techs!AN123 + Overview!$I$32),0)</f>
        <v>850</v>
      </c>
      <c r="AG1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7">
        <f>TblRezone[[#This Row],[Hour]]</f>
        <v>121</v>
      </c>
      <c r="B124" s="224">
        <f ca="1">TblConstr[[#This Row],[Land]]</f>
        <v>250</v>
      </c>
      <c r="C124" s="225"/>
      <c r="D124" s="226">
        <f ca="1">TblConstr[[#This Row],[Plain]]</f>
        <v>40</v>
      </c>
      <c r="E124" s="184">
        <f ca="1">TblConstr[[#This Row],[Forest]]</f>
        <v>20</v>
      </c>
      <c r="F124" s="384">
        <f ca="1">TblConstr[[#This Row],[Mountain]]</f>
        <v>20</v>
      </c>
      <c r="G124" s="388">
        <f ca="1">TblConstr[[#This Row],[Hill]]</f>
        <v>20</v>
      </c>
      <c r="H124" s="392">
        <f ca="1">TblConstr[[#This Row],[Swamp]]</f>
        <v>20</v>
      </c>
      <c r="I124" s="187">
        <f ca="1">TblConstr[[#This Row],[Cavern]]</f>
        <v>20</v>
      </c>
      <c r="J124" s="188">
        <f ca="1">TblConstr[[#This Row],[Water]]</f>
        <v>20</v>
      </c>
      <c r="K124" s="220"/>
      <c r="L124" s="240" t="s">
        <v>298</v>
      </c>
      <c r="M124" s="239" t="s">
        <v>301</v>
      </c>
      <c r="N124" s="227">
        <f ca="1">TblMili[[#This Row],[Smithies]]</f>
        <v>0</v>
      </c>
      <c r="O124" s="227">
        <f ca="1">TblPop[[#This Row],[Employment]]</f>
        <v>1</v>
      </c>
      <c r="P124" s="227">
        <f ca="1">TblImps[[#This Row],[Population]]</f>
        <v>1</v>
      </c>
      <c r="Q124" s="177">
        <f ca="1">TblExplore[[#This Row],[Land]]</f>
        <v>250</v>
      </c>
      <c r="R124" s="177">
        <f>TblExplore[[#This Row],[Hour]]</f>
        <v>121</v>
      </c>
      <c r="S124" s="228"/>
      <c r="T124" s="181"/>
      <c r="U124" s="181"/>
      <c r="V124" s="181"/>
      <c r="W124" s="181"/>
      <c r="X124" s="181"/>
      <c r="Y124" s="181"/>
      <c r="Z124" s="181"/>
      <c r="AA124" s="161">
        <f ca="1">TblImps[[#This Row],[Real time]]</f>
        <v>45736.999999999709</v>
      </c>
      <c r="AB124" s="96">
        <f ca="1">TblMili[[#This Row],[Draftees]]</f>
        <v>626</v>
      </c>
      <c r="AC124" s="96">
        <f ca="1">TblProd[[#This Row],[Platinum]]</f>
        <v>779198</v>
      </c>
      <c r="AD124" s="225"/>
      <c r="AE124" s="45">
        <f ca="1">TblExplore[[#This Row],[Land]]-TblExplore[[#This Row],[Land Bonus]]*20</f>
        <v>250</v>
      </c>
      <c r="AF124" s="96">
        <f ca="1">ROUND(MAX(0.6*TblExplore[[#This Row],[Land-DB]]^1.299,850)*(1+ tech_2_6*Techs!AC124 + tech_2_9*Techs!AF124 + tech_3_7*Techs!AN124 + Overview!$I$32),0)</f>
        <v>850</v>
      </c>
      <c r="AG1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7">
        <f>TblRezone[[#This Row],[Hour]]</f>
        <v>122</v>
      </c>
      <c r="B125" s="224">
        <f ca="1">TblConstr[[#This Row],[Land]]</f>
        <v>250</v>
      </c>
      <c r="C125" s="225"/>
      <c r="D125" s="226">
        <f ca="1">TblConstr[[#This Row],[Plain]]</f>
        <v>40</v>
      </c>
      <c r="E125" s="184">
        <f ca="1">TblConstr[[#This Row],[Forest]]</f>
        <v>20</v>
      </c>
      <c r="F125" s="384">
        <f ca="1">TblConstr[[#This Row],[Mountain]]</f>
        <v>20</v>
      </c>
      <c r="G125" s="388">
        <f ca="1">TblConstr[[#This Row],[Hill]]</f>
        <v>20</v>
      </c>
      <c r="H125" s="392">
        <f ca="1">TblConstr[[#This Row],[Swamp]]</f>
        <v>20</v>
      </c>
      <c r="I125" s="187">
        <f ca="1">TblConstr[[#This Row],[Cavern]]</f>
        <v>20</v>
      </c>
      <c r="J125" s="188">
        <f ca="1">TblConstr[[#This Row],[Water]]</f>
        <v>20</v>
      </c>
      <c r="K125" s="220"/>
      <c r="L125" s="240"/>
      <c r="M125" s="239"/>
      <c r="N125" s="227">
        <f ca="1">TblMili[[#This Row],[Smithies]]</f>
        <v>0</v>
      </c>
      <c r="O125" s="227">
        <f ca="1">TblPop[[#This Row],[Employment]]</f>
        <v>1</v>
      </c>
      <c r="P125" s="227">
        <f ca="1">TblImps[[#This Row],[Population]]</f>
        <v>1</v>
      </c>
      <c r="Q125" s="177">
        <f ca="1">TblExplore[[#This Row],[Land]]</f>
        <v>250</v>
      </c>
      <c r="R125" s="177">
        <f>TblExplore[[#This Row],[Hour]]</f>
        <v>122</v>
      </c>
      <c r="S125" s="228"/>
      <c r="T125" s="181"/>
      <c r="U125" s="181"/>
      <c r="V125" s="181"/>
      <c r="W125" s="181"/>
      <c r="X125" s="181"/>
      <c r="Y125" s="181"/>
      <c r="Z125" s="181"/>
      <c r="AA125" s="161">
        <f ca="1">TblImps[[#This Row],[Real time]]</f>
        <v>45737.041666666373</v>
      </c>
      <c r="AB125" s="96">
        <f ca="1">TblMili[[#This Row],[Draftees]]</f>
        <v>626</v>
      </c>
      <c r="AC125" s="96">
        <f ca="1">TblProd[[#This Row],[Platinum]]</f>
        <v>784684</v>
      </c>
      <c r="AD125" s="225"/>
      <c r="AE125" s="45">
        <f ca="1">TblExplore[[#This Row],[Land]]-TblExplore[[#This Row],[Land Bonus]]*20</f>
        <v>250</v>
      </c>
      <c r="AF125" s="96">
        <f ca="1">ROUND(MAX(0.6*TblExplore[[#This Row],[Land-DB]]^1.299,850)*(1+ tech_2_6*Techs!AC125 + tech_2_9*Techs!AF125 + tech_3_7*Techs!AN125 + Overview!$I$32),0)</f>
        <v>850</v>
      </c>
      <c r="AG1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7">
        <f>TblRezone[[#This Row],[Hour]]</f>
        <v>123</v>
      </c>
      <c r="B126" s="224">
        <f ca="1">TblConstr[[#This Row],[Land]]</f>
        <v>250</v>
      </c>
      <c r="C126" s="225"/>
      <c r="D126" s="226">
        <f ca="1">TblConstr[[#This Row],[Plain]]</f>
        <v>40</v>
      </c>
      <c r="E126" s="184">
        <f ca="1">TblConstr[[#This Row],[Forest]]</f>
        <v>20</v>
      </c>
      <c r="F126" s="384">
        <f ca="1">TblConstr[[#This Row],[Mountain]]</f>
        <v>20</v>
      </c>
      <c r="G126" s="388">
        <f ca="1">TblConstr[[#This Row],[Hill]]</f>
        <v>20</v>
      </c>
      <c r="H126" s="392">
        <f ca="1">TblConstr[[#This Row],[Swamp]]</f>
        <v>20</v>
      </c>
      <c r="I126" s="187">
        <f ca="1">TblConstr[[#This Row],[Cavern]]</f>
        <v>20</v>
      </c>
      <c r="J126" s="188">
        <f ca="1">TblConstr[[#This Row],[Water]]</f>
        <v>20</v>
      </c>
      <c r="K126" s="220"/>
      <c r="L126" s="240"/>
      <c r="M126" s="239"/>
      <c r="N126" s="227">
        <f ca="1">TblMili[[#This Row],[Smithies]]</f>
        <v>0</v>
      </c>
      <c r="O126" s="227">
        <f ca="1">TblPop[[#This Row],[Employment]]</f>
        <v>1</v>
      </c>
      <c r="P126" s="227">
        <f ca="1">TblImps[[#This Row],[Population]]</f>
        <v>1</v>
      </c>
      <c r="Q126" s="177">
        <f ca="1">TblExplore[[#This Row],[Land]]</f>
        <v>250</v>
      </c>
      <c r="R126" s="177">
        <f>TblExplore[[#This Row],[Hour]]</f>
        <v>123</v>
      </c>
      <c r="S126" s="228"/>
      <c r="T126" s="181"/>
      <c r="U126" s="181"/>
      <c r="V126" s="181"/>
      <c r="W126" s="181"/>
      <c r="X126" s="181"/>
      <c r="Y126" s="181"/>
      <c r="Z126" s="181"/>
      <c r="AA126" s="161">
        <f ca="1">TblImps[[#This Row],[Real time]]</f>
        <v>45737.083333333037</v>
      </c>
      <c r="AB126" s="96">
        <f ca="1">TblMili[[#This Row],[Draftees]]</f>
        <v>626</v>
      </c>
      <c r="AC126" s="96">
        <f ca="1">TblProd[[#This Row],[Platinum]]</f>
        <v>790170</v>
      </c>
      <c r="AD126" s="225"/>
      <c r="AE126" s="45">
        <f ca="1">TblExplore[[#This Row],[Land]]-TblExplore[[#This Row],[Land Bonus]]*20</f>
        <v>250</v>
      </c>
      <c r="AF126" s="96">
        <f ca="1">ROUND(MAX(0.6*TblExplore[[#This Row],[Land-DB]]^1.299,850)*(1+ tech_2_6*Techs!AC126 + tech_2_9*Techs!AF126 + tech_3_7*Techs!AN126 + Overview!$I$32),0)</f>
        <v>850</v>
      </c>
      <c r="AG1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7">
        <f>TblRezone[[#This Row],[Hour]]</f>
        <v>124</v>
      </c>
      <c r="B127" s="224">
        <f ca="1">TblConstr[[#This Row],[Land]]</f>
        <v>250</v>
      </c>
      <c r="C127" s="225"/>
      <c r="D127" s="226">
        <f ca="1">TblConstr[[#This Row],[Plain]]</f>
        <v>40</v>
      </c>
      <c r="E127" s="184">
        <f ca="1">TblConstr[[#This Row],[Forest]]</f>
        <v>20</v>
      </c>
      <c r="F127" s="384">
        <f ca="1">TblConstr[[#This Row],[Mountain]]</f>
        <v>20</v>
      </c>
      <c r="G127" s="388">
        <f ca="1">TblConstr[[#This Row],[Hill]]</f>
        <v>20</v>
      </c>
      <c r="H127" s="392">
        <f ca="1">TblConstr[[#This Row],[Swamp]]</f>
        <v>20</v>
      </c>
      <c r="I127" s="187">
        <f ca="1">TblConstr[[#This Row],[Cavern]]</f>
        <v>20</v>
      </c>
      <c r="J127" s="188">
        <f ca="1">TblConstr[[#This Row],[Water]]</f>
        <v>20</v>
      </c>
      <c r="K127" s="220"/>
      <c r="L127" s="220">
        <v>4</v>
      </c>
      <c r="M127" s="220">
        <v>299</v>
      </c>
      <c r="N127" s="227">
        <f ca="1">TblMili[[#This Row],[Smithies]]</f>
        <v>0</v>
      </c>
      <c r="O127" s="227">
        <f ca="1">TblPop[[#This Row],[Employment]]</f>
        <v>1</v>
      </c>
      <c r="P127" s="227">
        <f ca="1">TblImps[[#This Row],[Population]]</f>
        <v>1</v>
      </c>
      <c r="Q127" s="177">
        <f ca="1">TblExplore[[#This Row],[Land]]</f>
        <v>250</v>
      </c>
      <c r="R127" s="177">
        <f>TblExplore[[#This Row],[Hour]]</f>
        <v>124</v>
      </c>
      <c r="S127" s="228"/>
      <c r="T127" s="181"/>
      <c r="U127" s="181"/>
      <c r="V127" s="181"/>
      <c r="W127" s="181"/>
      <c r="X127" s="181"/>
      <c r="Y127" s="181"/>
      <c r="Z127" s="181"/>
      <c r="AA127" s="161">
        <f ca="1">TblImps[[#This Row],[Real time]]</f>
        <v>45737.124999999702</v>
      </c>
      <c r="AB127" s="96">
        <f ca="1">TblMili[[#This Row],[Draftees]]</f>
        <v>626</v>
      </c>
      <c r="AC127" s="96">
        <f ca="1">TblProd[[#This Row],[Platinum]]</f>
        <v>795656</v>
      </c>
      <c r="AD127" s="225"/>
      <c r="AE127" s="45">
        <f ca="1">TblExplore[[#This Row],[Land]]-TblExplore[[#This Row],[Land Bonus]]*20</f>
        <v>250</v>
      </c>
      <c r="AF127" s="96">
        <f ca="1">ROUND(MAX(0.6*TblExplore[[#This Row],[Land-DB]]^1.299,850)*(1+ tech_2_6*Techs!AC127 + tech_2_9*Techs!AF127 + tech_3_7*Techs!AN127 + Overview!$I$32),0)</f>
        <v>850</v>
      </c>
      <c r="AG1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7">
        <f>TblRezone[[#This Row],[Hour]]</f>
        <v>125</v>
      </c>
      <c r="B128" s="224">
        <f ca="1">TblConstr[[#This Row],[Land]]</f>
        <v>250</v>
      </c>
      <c r="C128" s="225"/>
      <c r="D128" s="226">
        <f ca="1">TblConstr[[#This Row],[Plain]]</f>
        <v>40</v>
      </c>
      <c r="E128" s="184">
        <f ca="1">TblConstr[[#This Row],[Forest]]</f>
        <v>20</v>
      </c>
      <c r="F128" s="384">
        <f ca="1">TblConstr[[#This Row],[Mountain]]</f>
        <v>20</v>
      </c>
      <c r="G128" s="388">
        <f ca="1">TblConstr[[#This Row],[Hill]]</f>
        <v>20</v>
      </c>
      <c r="H128" s="392">
        <f ca="1">TblConstr[[#This Row],[Swamp]]</f>
        <v>20</v>
      </c>
      <c r="I128" s="187">
        <f ca="1">TblConstr[[#This Row],[Cavern]]</f>
        <v>20</v>
      </c>
      <c r="J128" s="188">
        <f ca="1">TblConstr[[#This Row],[Water]]</f>
        <v>20</v>
      </c>
      <c r="K128" s="220"/>
      <c r="L128" s="220">
        <v>5</v>
      </c>
      <c r="M128" s="220">
        <v>419</v>
      </c>
      <c r="N128" s="227">
        <f ca="1">TblMili[[#This Row],[Smithies]]</f>
        <v>0</v>
      </c>
      <c r="O128" s="227">
        <f ca="1">TblPop[[#This Row],[Employment]]</f>
        <v>1</v>
      </c>
      <c r="P128" s="227">
        <f ca="1">TblImps[[#This Row],[Population]]</f>
        <v>1</v>
      </c>
      <c r="Q128" s="177">
        <f ca="1">TblExplore[[#This Row],[Land]]</f>
        <v>250</v>
      </c>
      <c r="R128" s="177">
        <f>TblExplore[[#This Row],[Hour]]</f>
        <v>125</v>
      </c>
      <c r="S128" s="228"/>
      <c r="T128" s="181"/>
      <c r="U128" s="181"/>
      <c r="V128" s="181"/>
      <c r="W128" s="181"/>
      <c r="X128" s="181"/>
      <c r="Y128" s="181"/>
      <c r="Z128" s="181"/>
      <c r="AA128" s="161">
        <f ca="1">TblImps[[#This Row],[Real time]]</f>
        <v>45737.166666666366</v>
      </c>
      <c r="AB128" s="96">
        <f ca="1">TblMili[[#This Row],[Draftees]]</f>
        <v>626</v>
      </c>
      <c r="AC128" s="96">
        <f ca="1">TblProd[[#This Row],[Platinum]]</f>
        <v>801142</v>
      </c>
      <c r="AD128" s="225"/>
      <c r="AE128" s="45">
        <f ca="1">TblExplore[[#This Row],[Land]]-TblExplore[[#This Row],[Land Bonus]]*20</f>
        <v>250</v>
      </c>
      <c r="AF128" s="96">
        <f ca="1">ROUND(MAX(0.6*TblExplore[[#This Row],[Land-DB]]^1.299,850)*(1+ tech_2_6*Techs!AC128 + tech_2_9*Techs!AF128 + tech_3_7*Techs!AN128 + Overview!$I$32),0)</f>
        <v>850</v>
      </c>
      <c r="AG1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7">
        <f>TblRezone[[#This Row],[Hour]]</f>
        <v>126</v>
      </c>
      <c r="B129" s="224">
        <f ca="1">TblConstr[[#This Row],[Land]]</f>
        <v>250</v>
      </c>
      <c r="C129" s="225"/>
      <c r="D129" s="226">
        <f ca="1">TblConstr[[#This Row],[Plain]]</f>
        <v>40</v>
      </c>
      <c r="E129" s="184">
        <f ca="1">TblConstr[[#This Row],[Forest]]</f>
        <v>20</v>
      </c>
      <c r="F129" s="384">
        <f ca="1">TblConstr[[#This Row],[Mountain]]</f>
        <v>20</v>
      </c>
      <c r="G129" s="388">
        <f ca="1">TblConstr[[#This Row],[Hill]]</f>
        <v>20</v>
      </c>
      <c r="H129" s="392">
        <f ca="1">TblConstr[[#This Row],[Swamp]]</f>
        <v>20</v>
      </c>
      <c r="I129" s="187">
        <f ca="1">TblConstr[[#This Row],[Cavern]]</f>
        <v>20</v>
      </c>
      <c r="J129" s="188">
        <f ca="1">TblConstr[[#This Row],[Water]]</f>
        <v>20</v>
      </c>
      <c r="K129" s="220"/>
      <c r="L129" s="220">
        <v>6</v>
      </c>
      <c r="M129" s="220">
        <v>632</v>
      </c>
      <c r="N129" s="227">
        <f ca="1">TblMili[[#This Row],[Smithies]]</f>
        <v>0</v>
      </c>
      <c r="O129" s="227">
        <f ca="1">TblPop[[#This Row],[Employment]]</f>
        <v>1</v>
      </c>
      <c r="P129" s="227">
        <f ca="1">TblImps[[#This Row],[Population]]</f>
        <v>1</v>
      </c>
      <c r="Q129" s="177">
        <f ca="1">TblExplore[[#This Row],[Land]]</f>
        <v>250</v>
      </c>
      <c r="R129" s="177">
        <f>TblExplore[[#This Row],[Hour]]</f>
        <v>126</v>
      </c>
      <c r="S129" s="228"/>
      <c r="T129" s="181"/>
      <c r="U129" s="181"/>
      <c r="V129" s="181"/>
      <c r="W129" s="181"/>
      <c r="X129" s="181"/>
      <c r="Y129" s="181"/>
      <c r="Z129" s="181"/>
      <c r="AA129" s="161">
        <f ca="1">TblImps[[#This Row],[Real time]]</f>
        <v>45737.20833333303</v>
      </c>
      <c r="AB129" s="96">
        <f ca="1">TblMili[[#This Row],[Draftees]]</f>
        <v>626</v>
      </c>
      <c r="AC129" s="96">
        <f ca="1">TblProd[[#This Row],[Platinum]]</f>
        <v>806628</v>
      </c>
      <c r="AD129" s="225"/>
      <c r="AE129" s="45">
        <f ca="1">TblExplore[[#This Row],[Land]]-TblExplore[[#This Row],[Land Bonus]]*20</f>
        <v>250</v>
      </c>
      <c r="AF129" s="96">
        <f ca="1">ROUND(MAX(0.6*TblExplore[[#This Row],[Land-DB]]^1.299,850)*(1+ tech_2_6*Techs!AC129 + tech_2_9*Techs!AF129 + tech_3_7*Techs!AN129 + Overview!$I$32),0)</f>
        <v>850</v>
      </c>
      <c r="AG1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7">
        <f>TblRezone[[#This Row],[Hour]]</f>
        <v>127</v>
      </c>
      <c r="B130" s="224">
        <f ca="1">TblConstr[[#This Row],[Land]]</f>
        <v>250</v>
      </c>
      <c r="C130" s="225"/>
      <c r="D130" s="226">
        <f ca="1">TblConstr[[#This Row],[Plain]]</f>
        <v>40</v>
      </c>
      <c r="E130" s="184">
        <f ca="1">TblConstr[[#This Row],[Forest]]</f>
        <v>20</v>
      </c>
      <c r="F130" s="384">
        <f ca="1">TblConstr[[#This Row],[Mountain]]</f>
        <v>20</v>
      </c>
      <c r="G130" s="388">
        <f ca="1">TblConstr[[#This Row],[Hill]]</f>
        <v>20</v>
      </c>
      <c r="H130" s="392">
        <f ca="1">TblConstr[[#This Row],[Swamp]]</f>
        <v>20</v>
      </c>
      <c r="I130" s="187">
        <f ca="1">TblConstr[[#This Row],[Cavern]]</f>
        <v>20</v>
      </c>
      <c r="J130" s="188">
        <f ca="1">TblConstr[[#This Row],[Water]]</f>
        <v>20</v>
      </c>
      <c r="K130" s="220"/>
      <c r="L130" s="220">
        <v>7</v>
      </c>
      <c r="M130" s="220">
        <v>836</v>
      </c>
      <c r="N130" s="227">
        <f ca="1">TblMili[[#This Row],[Smithies]]</f>
        <v>0</v>
      </c>
      <c r="O130" s="227">
        <f ca="1">TblPop[[#This Row],[Employment]]</f>
        <v>1</v>
      </c>
      <c r="P130" s="227">
        <f ca="1">TblImps[[#This Row],[Population]]</f>
        <v>1</v>
      </c>
      <c r="Q130" s="177">
        <f ca="1">TblExplore[[#This Row],[Land]]</f>
        <v>250</v>
      </c>
      <c r="R130" s="177">
        <f>TblExplore[[#This Row],[Hour]]</f>
        <v>127</v>
      </c>
      <c r="S130" s="228"/>
      <c r="T130" s="181"/>
      <c r="U130" s="181"/>
      <c r="V130" s="181"/>
      <c r="W130" s="181"/>
      <c r="X130" s="181"/>
      <c r="Y130" s="181"/>
      <c r="Z130" s="181"/>
      <c r="AA130" s="161">
        <f ca="1">TblImps[[#This Row],[Real time]]</f>
        <v>45737.249999999694</v>
      </c>
      <c r="AB130" s="96">
        <f ca="1">TblMili[[#This Row],[Draftees]]</f>
        <v>626</v>
      </c>
      <c r="AC130" s="96">
        <f ca="1">TblProd[[#This Row],[Platinum]]</f>
        <v>812114</v>
      </c>
      <c r="AD130" s="225"/>
      <c r="AE130" s="45">
        <f ca="1">TblExplore[[#This Row],[Land]]-TblExplore[[#This Row],[Land Bonus]]*20</f>
        <v>250</v>
      </c>
      <c r="AF130" s="96">
        <f ca="1">ROUND(MAX(0.6*TblExplore[[#This Row],[Land-DB]]^1.299,850)*(1+ tech_2_6*Techs!AC130 + tech_2_9*Techs!AF130 + tech_3_7*Techs!AN130 + Overview!$I$32),0)</f>
        <v>850</v>
      </c>
      <c r="AG1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7">
        <f>TblRezone[[#This Row],[Hour]]</f>
        <v>128</v>
      </c>
      <c r="B131" s="224">
        <f ca="1">TblConstr[[#This Row],[Land]]</f>
        <v>250</v>
      </c>
      <c r="C131" s="225"/>
      <c r="D131" s="226">
        <f ca="1">TblConstr[[#This Row],[Plain]]</f>
        <v>40</v>
      </c>
      <c r="E131" s="184">
        <f ca="1">TblConstr[[#This Row],[Forest]]</f>
        <v>20</v>
      </c>
      <c r="F131" s="384">
        <f ca="1">TblConstr[[#This Row],[Mountain]]</f>
        <v>20</v>
      </c>
      <c r="G131" s="388">
        <f ca="1">TblConstr[[#This Row],[Hill]]</f>
        <v>20</v>
      </c>
      <c r="H131" s="392">
        <f ca="1">TblConstr[[#This Row],[Swamp]]</f>
        <v>20</v>
      </c>
      <c r="I131" s="187">
        <f ca="1">TblConstr[[#This Row],[Cavern]]</f>
        <v>20</v>
      </c>
      <c r="J131" s="188">
        <f ca="1">TblConstr[[#This Row],[Water]]</f>
        <v>20</v>
      </c>
      <c r="K131" s="220"/>
      <c r="L131" s="220">
        <v>8</v>
      </c>
      <c r="M131" s="220">
        <v>1035</v>
      </c>
      <c r="N131" s="227">
        <f ca="1">TblMili[[#This Row],[Smithies]]</f>
        <v>0</v>
      </c>
      <c r="O131" s="227">
        <f ca="1">TblPop[[#This Row],[Employment]]</f>
        <v>1</v>
      </c>
      <c r="P131" s="227">
        <f ca="1">TblImps[[#This Row],[Population]]</f>
        <v>1</v>
      </c>
      <c r="Q131" s="177">
        <f ca="1">TblExplore[[#This Row],[Land]]</f>
        <v>250</v>
      </c>
      <c r="R131" s="177">
        <f>TblExplore[[#This Row],[Hour]]</f>
        <v>128</v>
      </c>
      <c r="S131" s="228"/>
      <c r="T131" s="181"/>
      <c r="U131" s="181"/>
      <c r="V131" s="181"/>
      <c r="W131" s="181"/>
      <c r="X131" s="181"/>
      <c r="Y131" s="181"/>
      <c r="Z131" s="181"/>
      <c r="AA131" s="161">
        <f ca="1">TblImps[[#This Row],[Real time]]</f>
        <v>45737.291666666359</v>
      </c>
      <c r="AB131" s="96">
        <f ca="1">TblMili[[#This Row],[Draftees]]</f>
        <v>626</v>
      </c>
      <c r="AC131" s="96">
        <f ca="1">TblProd[[#This Row],[Platinum]]</f>
        <v>817600</v>
      </c>
      <c r="AD131" s="225"/>
      <c r="AE131" s="45">
        <f ca="1">TblExplore[[#This Row],[Land]]-TblExplore[[#This Row],[Land Bonus]]*20</f>
        <v>250</v>
      </c>
      <c r="AF131" s="96">
        <f ca="1">ROUND(MAX(0.6*TblExplore[[#This Row],[Land-DB]]^1.299,850)*(1+ tech_2_6*Techs!AC131 + tech_2_9*Techs!AF131 + tech_3_7*Techs!AN131 + Overview!$I$32),0)</f>
        <v>850</v>
      </c>
      <c r="AG1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7">
        <f>TblRezone[[#This Row],[Hour]]</f>
        <v>129</v>
      </c>
      <c r="B132" s="224">
        <f ca="1">TblConstr[[#This Row],[Land]]</f>
        <v>250</v>
      </c>
      <c r="C132" s="225"/>
      <c r="D132" s="226">
        <f ca="1">TblConstr[[#This Row],[Plain]]</f>
        <v>40</v>
      </c>
      <c r="E132" s="184">
        <f ca="1">TblConstr[[#This Row],[Forest]]</f>
        <v>20</v>
      </c>
      <c r="F132" s="384">
        <f ca="1">TblConstr[[#This Row],[Mountain]]</f>
        <v>20</v>
      </c>
      <c r="G132" s="388">
        <f ca="1">TblConstr[[#This Row],[Hill]]</f>
        <v>20</v>
      </c>
      <c r="H132" s="392">
        <f ca="1">TblConstr[[#This Row],[Swamp]]</f>
        <v>20</v>
      </c>
      <c r="I132" s="187">
        <f ca="1">TblConstr[[#This Row],[Cavern]]</f>
        <v>20</v>
      </c>
      <c r="J132" s="188">
        <f ca="1">TblConstr[[#This Row],[Water]]</f>
        <v>20</v>
      </c>
      <c r="K132" s="220"/>
      <c r="L132" s="220">
        <v>9</v>
      </c>
      <c r="M132" s="220">
        <v>1229</v>
      </c>
      <c r="N132" s="227">
        <f ca="1">TblMili[[#This Row],[Smithies]]</f>
        <v>0</v>
      </c>
      <c r="O132" s="227">
        <f ca="1">TblPop[[#This Row],[Employment]]</f>
        <v>1</v>
      </c>
      <c r="P132" s="227">
        <f ca="1">TblImps[[#This Row],[Population]]</f>
        <v>1</v>
      </c>
      <c r="Q132" s="177">
        <f ca="1">TblExplore[[#This Row],[Land]]</f>
        <v>250</v>
      </c>
      <c r="R132" s="177">
        <f>TblExplore[[#This Row],[Hour]]</f>
        <v>129</v>
      </c>
      <c r="S132" s="228"/>
      <c r="T132" s="181"/>
      <c r="U132" s="181"/>
      <c r="V132" s="181"/>
      <c r="W132" s="181"/>
      <c r="X132" s="181"/>
      <c r="Y132" s="181"/>
      <c r="Z132" s="181"/>
      <c r="AA132" s="161">
        <f ca="1">TblImps[[#This Row],[Real time]]</f>
        <v>45737.333333333023</v>
      </c>
      <c r="AB132" s="96">
        <f ca="1">TblMili[[#This Row],[Draftees]]</f>
        <v>626</v>
      </c>
      <c r="AC132" s="96">
        <f ca="1">TblProd[[#This Row],[Platinum]]</f>
        <v>823086</v>
      </c>
      <c r="AD132" s="225"/>
      <c r="AE132" s="45">
        <f ca="1">TblExplore[[#This Row],[Land]]-TblExplore[[#This Row],[Land Bonus]]*20</f>
        <v>250</v>
      </c>
      <c r="AF132" s="96">
        <f ca="1">ROUND(MAX(0.6*TblExplore[[#This Row],[Land-DB]]^1.299,850)*(1+ tech_2_6*Techs!AC132 + tech_2_9*Techs!AF132 + tech_3_7*Techs!AN132 + Overview!$I$32),0)</f>
        <v>850</v>
      </c>
      <c r="AG1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7">
        <f>TblRezone[[#This Row],[Hour]]</f>
        <v>130</v>
      </c>
      <c r="B133" s="224">
        <f ca="1">TblConstr[[#This Row],[Land]]</f>
        <v>250</v>
      </c>
      <c r="C133" s="225"/>
      <c r="D133" s="226">
        <f ca="1">TblConstr[[#This Row],[Plain]]</f>
        <v>40</v>
      </c>
      <c r="E133" s="184">
        <f ca="1">TblConstr[[#This Row],[Forest]]</f>
        <v>20</v>
      </c>
      <c r="F133" s="384">
        <f ca="1">TblConstr[[#This Row],[Mountain]]</f>
        <v>20</v>
      </c>
      <c r="G133" s="388">
        <f ca="1">TblConstr[[#This Row],[Hill]]</f>
        <v>20</v>
      </c>
      <c r="H133" s="392">
        <f ca="1">TblConstr[[#This Row],[Swamp]]</f>
        <v>20</v>
      </c>
      <c r="I133" s="187">
        <f ca="1">TblConstr[[#This Row],[Cavern]]</f>
        <v>20</v>
      </c>
      <c r="J133" s="188">
        <f ca="1">TblConstr[[#This Row],[Water]]</f>
        <v>20</v>
      </c>
      <c r="K133" s="220"/>
      <c r="L133" s="220">
        <v>10</v>
      </c>
      <c r="M133" s="220">
        <v>1421</v>
      </c>
      <c r="N133" s="227">
        <f ca="1">TblMili[[#This Row],[Smithies]]</f>
        <v>0</v>
      </c>
      <c r="O133" s="227">
        <f ca="1">TblPop[[#This Row],[Employment]]</f>
        <v>1</v>
      </c>
      <c r="P133" s="227">
        <f ca="1">TblImps[[#This Row],[Population]]</f>
        <v>1</v>
      </c>
      <c r="Q133" s="177">
        <f ca="1">TblExplore[[#This Row],[Land]]</f>
        <v>250</v>
      </c>
      <c r="R133" s="177">
        <f>TblExplore[[#This Row],[Hour]]</f>
        <v>130</v>
      </c>
      <c r="S133" s="228"/>
      <c r="T133" s="181"/>
      <c r="U133" s="181"/>
      <c r="V133" s="181"/>
      <c r="W133" s="181"/>
      <c r="X133" s="181"/>
      <c r="Y133" s="181"/>
      <c r="Z133" s="181"/>
      <c r="AA133" s="161">
        <f ca="1">TblImps[[#This Row],[Real time]]</f>
        <v>45737.374999999687</v>
      </c>
      <c r="AB133" s="96">
        <f ca="1">TblMili[[#This Row],[Draftees]]</f>
        <v>626</v>
      </c>
      <c r="AC133" s="96">
        <f ca="1">TblProd[[#This Row],[Platinum]]</f>
        <v>828572</v>
      </c>
      <c r="AD133" s="225"/>
      <c r="AE133" s="45">
        <f ca="1">TblExplore[[#This Row],[Land]]-TblExplore[[#This Row],[Land Bonus]]*20</f>
        <v>250</v>
      </c>
      <c r="AF133" s="96">
        <f ca="1">ROUND(MAX(0.6*TblExplore[[#This Row],[Land-DB]]^1.299,850)*(1+ tech_2_6*Techs!AC133 + tech_2_9*Techs!AF133 + tech_3_7*Techs!AN133 + Overview!$I$32),0)</f>
        <v>850</v>
      </c>
      <c r="AG1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7">
        <f>TblRezone[[#This Row],[Hour]]</f>
        <v>131</v>
      </c>
      <c r="B134" s="224">
        <f ca="1">TblConstr[[#This Row],[Land]]</f>
        <v>250</v>
      </c>
      <c r="C134" s="225"/>
      <c r="D134" s="226">
        <f ca="1">TblConstr[[#This Row],[Plain]]</f>
        <v>40</v>
      </c>
      <c r="E134" s="184">
        <f ca="1">TblConstr[[#This Row],[Forest]]</f>
        <v>20</v>
      </c>
      <c r="F134" s="384">
        <f ca="1">TblConstr[[#This Row],[Mountain]]</f>
        <v>20</v>
      </c>
      <c r="G134" s="388">
        <f ca="1">TblConstr[[#This Row],[Hill]]</f>
        <v>20</v>
      </c>
      <c r="H134" s="392">
        <f ca="1">TblConstr[[#This Row],[Swamp]]</f>
        <v>20</v>
      </c>
      <c r="I134" s="187">
        <f ca="1">TblConstr[[#This Row],[Cavern]]</f>
        <v>20</v>
      </c>
      <c r="J134" s="188">
        <f ca="1">TblConstr[[#This Row],[Water]]</f>
        <v>20</v>
      </c>
      <c r="K134" s="220"/>
      <c r="L134" s="220">
        <v>11</v>
      </c>
      <c r="M134" s="220">
        <v>1610</v>
      </c>
      <c r="N134" s="227">
        <f ca="1">TblMili[[#This Row],[Smithies]]</f>
        <v>0</v>
      </c>
      <c r="O134" s="227">
        <f ca="1">TblPop[[#This Row],[Employment]]</f>
        <v>1</v>
      </c>
      <c r="P134" s="227">
        <f ca="1">TblImps[[#This Row],[Population]]</f>
        <v>1</v>
      </c>
      <c r="Q134" s="177">
        <f ca="1">TblExplore[[#This Row],[Land]]</f>
        <v>250</v>
      </c>
      <c r="R134" s="177">
        <f>TblExplore[[#This Row],[Hour]]</f>
        <v>131</v>
      </c>
      <c r="S134" s="228"/>
      <c r="T134" s="181"/>
      <c r="U134" s="181"/>
      <c r="V134" s="181"/>
      <c r="W134" s="181"/>
      <c r="X134" s="181"/>
      <c r="Y134" s="181"/>
      <c r="Z134" s="181"/>
      <c r="AA134" s="161">
        <f ca="1">TblImps[[#This Row],[Real time]]</f>
        <v>45737.416666666351</v>
      </c>
      <c r="AB134" s="96">
        <f ca="1">TblMili[[#This Row],[Draftees]]</f>
        <v>626</v>
      </c>
      <c r="AC134" s="96">
        <f ca="1">TblProd[[#This Row],[Platinum]]</f>
        <v>834058</v>
      </c>
      <c r="AD134" s="225"/>
      <c r="AE134" s="45">
        <f ca="1">TblExplore[[#This Row],[Land]]-TblExplore[[#This Row],[Land Bonus]]*20</f>
        <v>250</v>
      </c>
      <c r="AF134" s="96">
        <f ca="1">ROUND(MAX(0.6*TblExplore[[#This Row],[Land-DB]]^1.299,850)*(1+ tech_2_6*Techs!AC134 + tech_2_9*Techs!AF134 + tech_3_7*Techs!AN134 + Overview!$I$32),0)</f>
        <v>850</v>
      </c>
      <c r="AG1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7">
        <f>TblRezone[[#This Row],[Hour]]</f>
        <v>132</v>
      </c>
      <c r="B135" s="224">
        <f ca="1">TblConstr[[#This Row],[Land]]</f>
        <v>250</v>
      </c>
      <c r="C135" s="225"/>
      <c r="D135" s="226">
        <f ca="1">TblConstr[[#This Row],[Plain]]</f>
        <v>40</v>
      </c>
      <c r="E135" s="184">
        <f ca="1">TblConstr[[#This Row],[Forest]]</f>
        <v>20</v>
      </c>
      <c r="F135" s="384">
        <f ca="1">TblConstr[[#This Row],[Mountain]]</f>
        <v>20</v>
      </c>
      <c r="G135" s="388">
        <f ca="1">TblConstr[[#This Row],[Hill]]</f>
        <v>20</v>
      </c>
      <c r="H135" s="392">
        <f ca="1">TblConstr[[#This Row],[Swamp]]</f>
        <v>20</v>
      </c>
      <c r="I135" s="187">
        <f ca="1">TblConstr[[#This Row],[Cavern]]</f>
        <v>20</v>
      </c>
      <c r="J135" s="188">
        <f ca="1">TblConstr[[#This Row],[Water]]</f>
        <v>20</v>
      </c>
      <c r="K135" s="220"/>
      <c r="L135" s="220">
        <v>12</v>
      </c>
      <c r="M135" s="220">
        <v>1798</v>
      </c>
      <c r="N135" s="227">
        <f ca="1">TblMili[[#This Row],[Smithies]]</f>
        <v>0</v>
      </c>
      <c r="O135" s="227">
        <f ca="1">TblPop[[#This Row],[Employment]]</f>
        <v>1</v>
      </c>
      <c r="P135" s="227">
        <f ca="1">TblImps[[#This Row],[Population]]</f>
        <v>1</v>
      </c>
      <c r="Q135" s="177">
        <f ca="1">TblExplore[[#This Row],[Land]]</f>
        <v>250</v>
      </c>
      <c r="R135" s="177">
        <f>TblExplore[[#This Row],[Hour]]</f>
        <v>132</v>
      </c>
      <c r="S135" s="228"/>
      <c r="T135" s="181"/>
      <c r="U135" s="181"/>
      <c r="V135" s="181"/>
      <c r="W135" s="181"/>
      <c r="X135" s="181"/>
      <c r="Y135" s="181"/>
      <c r="Z135" s="181"/>
      <c r="AA135" s="161">
        <f ca="1">TblImps[[#This Row],[Real time]]</f>
        <v>45737.458333333016</v>
      </c>
      <c r="AB135" s="96">
        <f ca="1">TblMili[[#This Row],[Draftees]]</f>
        <v>626</v>
      </c>
      <c r="AC135" s="96">
        <f ca="1">TblProd[[#This Row],[Platinum]]</f>
        <v>839544</v>
      </c>
      <c r="AD135" s="225"/>
      <c r="AE135" s="45">
        <f ca="1">TblExplore[[#This Row],[Land]]-TblExplore[[#This Row],[Land Bonus]]*20</f>
        <v>250</v>
      </c>
      <c r="AF135" s="96">
        <f ca="1">ROUND(MAX(0.6*TblExplore[[#This Row],[Land-DB]]^1.299,850)*(1+ tech_2_6*Techs!AC135 + tech_2_9*Techs!AF135 + tech_3_7*Techs!AN135 + Overview!$I$32),0)</f>
        <v>850</v>
      </c>
      <c r="AG1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7">
        <f>TblRezone[[#This Row],[Hour]]</f>
        <v>133</v>
      </c>
      <c r="B136" s="224">
        <f ca="1">TblConstr[[#This Row],[Land]]</f>
        <v>250</v>
      </c>
      <c r="C136" s="225"/>
      <c r="D136" s="226">
        <f ca="1">TblConstr[[#This Row],[Plain]]</f>
        <v>40</v>
      </c>
      <c r="E136" s="184">
        <f ca="1">TblConstr[[#This Row],[Forest]]</f>
        <v>20</v>
      </c>
      <c r="F136" s="384">
        <f ca="1">TblConstr[[#This Row],[Mountain]]</f>
        <v>20</v>
      </c>
      <c r="G136" s="388">
        <f ca="1">TblConstr[[#This Row],[Hill]]</f>
        <v>20</v>
      </c>
      <c r="H136" s="392">
        <f ca="1">TblConstr[[#This Row],[Swamp]]</f>
        <v>20</v>
      </c>
      <c r="I136" s="187">
        <f ca="1">TblConstr[[#This Row],[Cavern]]</f>
        <v>20</v>
      </c>
      <c r="J136" s="188">
        <f ca="1">TblConstr[[#This Row],[Water]]</f>
        <v>20</v>
      </c>
      <c r="K136" s="220"/>
      <c r="L136" s="220">
        <v>13</v>
      </c>
      <c r="M136" s="220">
        <v>1984</v>
      </c>
      <c r="N136" s="227">
        <f ca="1">TblMili[[#This Row],[Smithies]]</f>
        <v>0</v>
      </c>
      <c r="O136" s="227">
        <f ca="1">TblPop[[#This Row],[Employment]]</f>
        <v>0</v>
      </c>
      <c r="P136" s="227">
        <f ca="1">TblImps[[#This Row],[Population]]</f>
        <v>1</v>
      </c>
      <c r="Q136" s="177">
        <f ca="1">TblExplore[[#This Row],[Land]]</f>
        <v>250</v>
      </c>
      <c r="R136" s="177">
        <f>TblExplore[[#This Row],[Hour]]</f>
        <v>133</v>
      </c>
      <c r="S136" s="228"/>
      <c r="T136" s="181"/>
      <c r="U136" s="181"/>
      <c r="V136" s="181"/>
      <c r="W136" s="181"/>
      <c r="X136" s="181"/>
      <c r="Y136" s="181"/>
      <c r="Z136" s="181"/>
      <c r="AA136" s="161">
        <f ca="1">TblImps[[#This Row],[Real time]]</f>
        <v>45737.49999999968</v>
      </c>
      <c r="AB136" s="96">
        <f ca="1">TblMili[[#This Row],[Draftees]]</f>
        <v>626</v>
      </c>
      <c r="AC136" s="96">
        <f ca="1">TblProd[[#This Row],[Platinum]]</f>
        <v>845030</v>
      </c>
      <c r="AD136" s="225"/>
      <c r="AE136" s="45">
        <f ca="1">TblExplore[[#This Row],[Land]]-TblExplore[[#This Row],[Land Bonus]]*20</f>
        <v>250</v>
      </c>
      <c r="AF136" s="96">
        <f ca="1">ROUND(MAX(0.6*TblExplore[[#This Row],[Land-DB]]^1.299,850)*(1+ tech_2_6*Techs!AC136 + tech_2_9*Techs!AF136 + tech_3_7*Techs!AN136 + Overview!$I$32),0)</f>
        <v>850</v>
      </c>
      <c r="AG1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500" t="s">
        <v>314</v>
      </c>
      <c r="C1269" s="500"/>
      <c r="L1269" s="246"/>
      <c r="M1269" s="246"/>
    </row>
    <row r="1270" spans="2:13" x14ac:dyDescent="0.2">
      <c r="B1270" s="28">
        <f>Overview!E17</f>
        <v>0</v>
      </c>
      <c r="C1270" s="28"/>
      <c r="L1270" s="246"/>
      <c r="M1270" s="24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9:AJ136 A41:S48 U41:AJ48 A16:AJ23 A13:V15 X13:AJ15 A27:AJ40 A24:V26 X24:AJ26">
    <cfRule type="expression" dxfId="481" priority="9">
      <formula>$A4=73</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$A13=73</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$A24=73</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8"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48"/>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1021</v>
      </c>
      <c r="M3" s="137" t="s">
        <v>1022</v>
      </c>
      <c r="N3" s="137" t="s">
        <v>1023</v>
      </c>
      <c r="O3" s="137" t="s">
        <v>1024</v>
      </c>
      <c r="P3" s="137" t="s">
        <v>1025</v>
      </c>
      <c r="Q3" s="137" t="s">
        <v>1026</v>
      </c>
      <c r="R3" s="137" t="s">
        <v>1027</v>
      </c>
      <c r="S3" s="137" t="s">
        <v>300</v>
      </c>
      <c r="T3" s="137" t="s">
        <v>193</v>
      </c>
      <c r="U3" s="137" t="s">
        <v>770</v>
      </c>
      <c r="V3" s="137" t="s">
        <v>2</v>
      </c>
      <c r="W3" s="137" t="s">
        <v>771</v>
      </c>
      <c r="X3" s="137" t="s">
        <v>57</v>
      </c>
      <c r="Y3" s="137" t="s">
        <v>896</v>
      </c>
      <c r="Z3" s="137" t="s">
        <v>785</v>
      </c>
      <c r="AA3" s="137" t="s">
        <v>259</v>
      </c>
      <c r="AB3" s="137" t="s">
        <v>786</v>
      </c>
      <c r="AC3" s="137" t="s">
        <v>189</v>
      </c>
    </row>
    <row r="4" spans="1:29" ht="12.75" customHeight="1" x14ac:dyDescent="0.2">
      <c r="A4" s="224">
        <f ca="1">TblConstr[[#This Row],[Land]]</f>
        <v>250</v>
      </c>
      <c r="B4" s="226">
        <f ca="1">TblConstr[[#This Row],[Plain]]</f>
        <v>40</v>
      </c>
      <c r="C4" s="184">
        <f ca="1">TblConstr[[#This Row],[Forest]]</f>
        <v>20</v>
      </c>
      <c r="D4" s="384">
        <f ca="1">TblConstr[[#This Row],[Mountain]]</f>
        <v>20</v>
      </c>
      <c r="E4" s="388">
        <f ca="1">TblConstr[[#This Row],[Hill]]</f>
        <v>20</v>
      </c>
      <c r="F4" s="392">
        <f ca="1">TblConstr[[#This Row],[Swamp]]</f>
        <v>20</v>
      </c>
      <c r="G4" s="187">
        <f ca="1">TblConstr[[#This Row],[Cavern]]</f>
        <v>20</v>
      </c>
      <c r="H4" s="188">
        <f ca="1">TblConstr[[#This Row],[Water]]</f>
        <v>20</v>
      </c>
      <c r="I4" s="225"/>
      <c r="J4" s="177">
        <v>1</v>
      </c>
      <c r="K4" s="249">
        <f>TblImps[[#This Row],[Real time]]</f>
        <v>45732</v>
      </c>
      <c r="L4" s="160"/>
      <c r="M4" s="160"/>
      <c r="N4" s="181"/>
      <c r="O4" s="160"/>
      <c r="P4" s="160"/>
      <c r="Q4" s="160"/>
      <c r="R4" s="160"/>
      <c r="S4" s="96">
        <f>SUMIF(TblRezone[[#This Row],[Plains Rezone]:[Water Rezone]],"&gt;0")</f>
        <v>0</v>
      </c>
      <c r="T4" s="61" t="str">
        <f>IF(SUM(TblRezone[[#This Row],[Plains Rezone]:[Water Rezone]])=0,"Ok","Nope")</f>
        <v>Ok</v>
      </c>
      <c r="U4" s="225"/>
      <c r="V4" s="96">
        <f ca="1">TblProd[[#This Row],[Platinum]]</f>
        <v>120000</v>
      </c>
      <c r="W4" s="225"/>
      <c r="X4" s="96">
        <f ca="1">ROUNDUP( (1-MIN(ROUND(facs_rezone_factor*TblRezone[[#This Row],[Facs]],4),facs_rezone_max) + tech_6_4*TblTech[[#This Row],[6-4]] + tech_10_2*TblTech[[#This Row],[10-2]] - IF(TblMagic[[#This Row],[Active Mechanical Genius]]&gt;0,mech_genius_bonus,0) + race_rezone_cost) * TblRezone[[#This Row],[Plat/acre*]],0)</f>
        <v>250</v>
      </c>
      <c r="Y4" s="96">
        <f ca="1">TblRezone[[#This Row],[Total acres]]*TblRezone[[#This Row],[Plat/acre]]</f>
        <v>0</v>
      </c>
      <c r="Z4" s="225"/>
      <c r="AA4" s="96">
        <f ca="1">250+0.6*(TblRezone[[#This Row],[Land]]-250)</f>
        <v>250</v>
      </c>
      <c r="AB4" s="225"/>
      <c r="AC4" s="159">
        <f ca="1">TblConstr[[#This Row],[Facs DB]]</f>
        <v>0</v>
      </c>
    </row>
    <row r="5" spans="1:29" x14ac:dyDescent="0.2">
      <c r="A5" s="224">
        <f ca="1">TblConstr[[#This Row],[Land]]</f>
        <v>250</v>
      </c>
      <c r="B5" s="226">
        <f ca="1">TblConstr[[#This Row],[Plain]]</f>
        <v>40</v>
      </c>
      <c r="C5" s="184">
        <f ca="1">TblConstr[[#This Row],[Forest]]</f>
        <v>20</v>
      </c>
      <c r="D5" s="384">
        <f ca="1">TblConstr[[#This Row],[Mountain]]</f>
        <v>20</v>
      </c>
      <c r="E5" s="388">
        <f ca="1">TblConstr[[#This Row],[Hill]]</f>
        <v>20</v>
      </c>
      <c r="F5" s="392">
        <f ca="1">TblConstr[[#This Row],[Swamp]]</f>
        <v>20</v>
      </c>
      <c r="G5" s="187">
        <f ca="1">TblConstr[[#This Row],[Cavern]]</f>
        <v>20</v>
      </c>
      <c r="H5" s="188">
        <f ca="1">TblConstr[[#This Row],[Water]]</f>
        <v>20</v>
      </c>
      <c r="I5" s="225"/>
      <c r="J5" s="177">
        <f t="shared" ref="J5:J15" si="0">J4+1</f>
        <v>2</v>
      </c>
      <c r="K5" s="249">
        <f ca="1">TblImps[[#This Row],[Real time]]</f>
        <v>45732.041666666664</v>
      </c>
      <c r="L5" s="181"/>
      <c r="M5" s="181"/>
      <c r="N5" s="181"/>
      <c r="O5" s="181"/>
      <c r="P5" s="181"/>
      <c r="Q5" s="181"/>
      <c r="R5" s="181"/>
      <c r="S5" s="96">
        <f>SUMIF(TblRezone[[#This Row],[Plains Rezone]:[Water Rezone]],"&gt;0")</f>
        <v>0</v>
      </c>
      <c r="T5" s="61" t="str">
        <f>IF(SUM(TblRezone[[#This Row],[Plains Rezone]:[Water Rezone]])=0,"Ok","Nope")</f>
        <v>Ok</v>
      </c>
      <c r="U5" s="225"/>
      <c r="V5" s="96">
        <f ca="1">TblProd[[#This Row],[Platinum]]</f>
        <v>124860</v>
      </c>
      <c r="W5" s="225"/>
      <c r="X5" s="96">
        <f ca="1">ROUNDUP( (1-MIN(ROUND(facs_rezone_factor*TblRezone[[#This Row],[Facs]],4),facs_rezone_max) + tech_6_4*TblTech[[#This Row],[6-4]] + tech_10_2*TblTech[[#This Row],[10-2]] - IF(TblMagic[[#This Row],[Active Mechanical Genius]]&gt;0,mech_genius_bonus,0) + race_rezone_cost) * TblRezone[[#This Row],[Plat/acre*]],0)</f>
        <v>250</v>
      </c>
      <c r="Y5" s="96">
        <f ca="1">TblRezone[[#This Row],[Total acres]]*TblRezone[[#This Row],[Plat/acre]]</f>
        <v>0</v>
      </c>
      <c r="Z5" s="225"/>
      <c r="AA5" s="96">
        <f ca="1">250+0.6*(TblRezone[[#This Row],[Land]]-250)</f>
        <v>250</v>
      </c>
      <c r="AB5" s="225"/>
      <c r="AC5" s="159">
        <f ca="1">TblConstr[[#This Row],[Facs DB]]</f>
        <v>0</v>
      </c>
    </row>
    <row r="6" spans="1:29" x14ac:dyDescent="0.2">
      <c r="A6" s="224">
        <f ca="1">TblConstr[[#This Row],[Land]]</f>
        <v>250</v>
      </c>
      <c r="B6" s="226">
        <f ca="1">TblConstr[[#This Row],[Plain]]</f>
        <v>40</v>
      </c>
      <c r="C6" s="184">
        <f ca="1">TblConstr[[#This Row],[Forest]]</f>
        <v>20</v>
      </c>
      <c r="D6" s="384">
        <f ca="1">TblConstr[[#This Row],[Mountain]]</f>
        <v>20</v>
      </c>
      <c r="E6" s="388">
        <f ca="1">TblConstr[[#This Row],[Hill]]</f>
        <v>20</v>
      </c>
      <c r="F6" s="392">
        <f ca="1">TblConstr[[#This Row],[Swamp]]</f>
        <v>20</v>
      </c>
      <c r="G6" s="187">
        <f ca="1">TblConstr[[#This Row],[Cavern]]</f>
        <v>20</v>
      </c>
      <c r="H6" s="188">
        <f ca="1">TblConstr[[#This Row],[Water]]</f>
        <v>20</v>
      </c>
      <c r="I6" s="225"/>
      <c r="J6" s="177">
        <f t="shared" si="0"/>
        <v>3</v>
      </c>
      <c r="K6" s="249">
        <f ca="1">TblImps[[#This Row],[Real time]]</f>
        <v>45732.083333333328</v>
      </c>
      <c r="L6" s="181"/>
      <c r="M6" s="181"/>
      <c r="N6" s="181"/>
      <c r="O6" s="181"/>
      <c r="P6" s="181"/>
      <c r="Q6" s="181"/>
      <c r="R6" s="181"/>
      <c r="S6" s="96">
        <f>SUMIF(TblRezone[[#This Row],[Plains Rezone]:[Water Rezone]],"&gt;0")</f>
        <v>0</v>
      </c>
      <c r="T6" s="61" t="str">
        <f>IF(SUM(TblRezone[[#This Row],[Plains Rezone]:[Water Rezone]])=0,"Ok","Nope")</f>
        <v>Ok</v>
      </c>
      <c r="U6" s="225"/>
      <c r="V6" s="96">
        <f ca="1">TblProd[[#This Row],[Platinum]]</f>
        <v>129790</v>
      </c>
      <c r="W6" s="225"/>
      <c r="X6" s="96">
        <f ca="1">ROUNDUP( (1-MIN(ROUND(facs_rezone_factor*TblRezone[[#This Row],[Facs]],4),facs_rezone_max) + tech_6_4*TblTech[[#This Row],[6-4]] + tech_10_2*TblTech[[#This Row],[10-2]] - IF(TblMagic[[#This Row],[Active Mechanical Genius]]&gt;0,mech_genius_bonus,0) + race_rezone_cost) * TblRezone[[#This Row],[Plat/acre*]],0)</f>
        <v>250</v>
      </c>
      <c r="Y6" s="96">
        <f ca="1">TblRezone[[#This Row],[Total acres]]*TblRezone[[#This Row],[Plat/acre]]</f>
        <v>0</v>
      </c>
      <c r="Z6" s="225"/>
      <c r="AA6" s="96">
        <f ca="1">250+0.6*(TblRezone[[#This Row],[Land]]-250)</f>
        <v>250</v>
      </c>
      <c r="AB6" s="225"/>
      <c r="AC6" s="159">
        <f ca="1">TblConstr[[#This Row],[Facs DB]]</f>
        <v>0</v>
      </c>
    </row>
    <row r="7" spans="1:29" x14ac:dyDescent="0.2">
      <c r="A7" s="224">
        <f ca="1">TblConstr[[#This Row],[Land]]</f>
        <v>250</v>
      </c>
      <c r="B7" s="226">
        <f ca="1">TblConstr[[#This Row],[Plain]]</f>
        <v>40</v>
      </c>
      <c r="C7" s="184">
        <f ca="1">TblConstr[[#This Row],[Forest]]</f>
        <v>20</v>
      </c>
      <c r="D7" s="384">
        <f ca="1">TblConstr[[#This Row],[Mountain]]</f>
        <v>20</v>
      </c>
      <c r="E7" s="388">
        <f ca="1">TblConstr[[#This Row],[Hill]]</f>
        <v>20</v>
      </c>
      <c r="F7" s="392">
        <f ca="1">TblConstr[[#This Row],[Swamp]]</f>
        <v>20</v>
      </c>
      <c r="G7" s="187">
        <f ca="1">TblConstr[[#This Row],[Cavern]]</f>
        <v>20</v>
      </c>
      <c r="H7" s="188">
        <f ca="1">TblConstr[[#This Row],[Water]]</f>
        <v>20</v>
      </c>
      <c r="I7" s="225"/>
      <c r="J7" s="177">
        <f t="shared" si="0"/>
        <v>4</v>
      </c>
      <c r="K7" s="249">
        <f ca="1">TblImps[[#This Row],[Real time]]</f>
        <v>45732.124999999993</v>
      </c>
      <c r="L7" s="181"/>
      <c r="M7" s="181"/>
      <c r="N7" s="181"/>
      <c r="O7" s="181"/>
      <c r="P7" s="181"/>
      <c r="Q7" s="181"/>
      <c r="R7" s="181"/>
      <c r="S7" s="96">
        <f>SUMIF(TblRezone[[#This Row],[Plains Rezone]:[Water Rezone]],"&gt;0")</f>
        <v>0</v>
      </c>
      <c r="T7" s="61" t="str">
        <f>IF(SUM(TblRezone[[#This Row],[Plains Rezone]:[Water Rezone]])=0,"Ok","Nope")</f>
        <v>Ok</v>
      </c>
      <c r="U7" s="225"/>
      <c r="V7" s="96">
        <f ca="1">TblProd[[#This Row],[Platinum]]</f>
        <v>134790</v>
      </c>
      <c r="W7" s="225"/>
      <c r="X7" s="96">
        <f ca="1">ROUNDUP( (1-MIN(ROUND(facs_rezone_factor*TblRezone[[#This Row],[Facs]],4),facs_rezone_max) + tech_6_4*TblTech[[#This Row],[6-4]] + tech_10_2*TblTech[[#This Row],[10-2]] - IF(TblMagic[[#This Row],[Active Mechanical Genius]]&gt;0,mech_genius_bonus,0) + race_rezone_cost) * TblRezone[[#This Row],[Plat/acre*]],0)</f>
        <v>250</v>
      </c>
      <c r="Y7" s="96">
        <f ca="1">TblRezone[[#This Row],[Total acres]]*TblRezone[[#This Row],[Plat/acre]]</f>
        <v>0</v>
      </c>
      <c r="Z7" s="225"/>
      <c r="AA7" s="96">
        <f ca="1">250+0.6*(TblRezone[[#This Row],[Land]]-250)</f>
        <v>250</v>
      </c>
      <c r="AB7" s="225"/>
      <c r="AC7" s="159">
        <f ca="1">TblConstr[[#This Row],[Facs DB]]</f>
        <v>0</v>
      </c>
    </row>
    <row r="8" spans="1:29" x14ac:dyDescent="0.2">
      <c r="A8" s="224">
        <f ca="1">TblConstr[[#This Row],[Land]]</f>
        <v>250</v>
      </c>
      <c r="B8" s="226">
        <f ca="1">TblConstr[[#This Row],[Plain]]</f>
        <v>40</v>
      </c>
      <c r="C8" s="184">
        <f ca="1">TblConstr[[#This Row],[Forest]]</f>
        <v>20</v>
      </c>
      <c r="D8" s="384">
        <f ca="1">TblConstr[[#This Row],[Mountain]]</f>
        <v>20</v>
      </c>
      <c r="E8" s="388">
        <f ca="1">TblConstr[[#This Row],[Hill]]</f>
        <v>20</v>
      </c>
      <c r="F8" s="392">
        <f ca="1">TblConstr[[#This Row],[Swamp]]</f>
        <v>20</v>
      </c>
      <c r="G8" s="187">
        <f ca="1">TblConstr[[#This Row],[Cavern]]</f>
        <v>20</v>
      </c>
      <c r="H8" s="188">
        <f ca="1">TblConstr[[#This Row],[Water]]</f>
        <v>20</v>
      </c>
      <c r="I8" s="225"/>
      <c r="J8" s="177">
        <f t="shared" si="0"/>
        <v>5</v>
      </c>
      <c r="K8" s="249">
        <f ca="1">TblImps[[#This Row],[Real time]]</f>
        <v>45732.166666666657</v>
      </c>
      <c r="L8" s="181"/>
      <c r="M8" s="181"/>
      <c r="N8" s="181"/>
      <c r="O8" s="181"/>
      <c r="P8" s="181"/>
      <c r="Q8" s="181"/>
      <c r="R8" s="181"/>
      <c r="S8" s="96">
        <f>SUMIF(TblRezone[[#This Row],[Plains Rezone]:[Water Rezone]],"&gt;0")</f>
        <v>0</v>
      </c>
      <c r="T8" s="61" t="str">
        <f>IF(SUM(TblRezone[[#This Row],[Plains Rezone]:[Water Rezone]])=0,"Ok","Nope")</f>
        <v>Ok</v>
      </c>
      <c r="U8" s="225"/>
      <c r="V8" s="96">
        <f ca="1">TblProd[[#This Row],[Platinum]]</f>
        <v>139860</v>
      </c>
      <c r="W8" s="225"/>
      <c r="X8" s="96">
        <f ca="1">ROUNDUP( (1-MIN(ROUND(facs_rezone_factor*TblRezone[[#This Row],[Facs]],4),facs_rezone_max) + tech_6_4*TblTech[[#This Row],[6-4]] + tech_10_2*TblTech[[#This Row],[10-2]] - IF(TblMagic[[#This Row],[Active Mechanical Genius]]&gt;0,mech_genius_bonus,0) + race_rezone_cost) * TblRezone[[#This Row],[Plat/acre*]],0)</f>
        <v>250</v>
      </c>
      <c r="Y8" s="96">
        <f ca="1">TblRezone[[#This Row],[Total acres]]*TblRezone[[#This Row],[Plat/acre]]</f>
        <v>0</v>
      </c>
      <c r="Z8" s="225"/>
      <c r="AA8" s="96">
        <f ca="1">250+0.6*(TblRezone[[#This Row],[Land]]-250)</f>
        <v>250</v>
      </c>
      <c r="AB8" s="225"/>
      <c r="AC8" s="159">
        <f ca="1">TblConstr[[#This Row],[Facs DB]]</f>
        <v>0</v>
      </c>
    </row>
    <row r="9" spans="1:29" x14ac:dyDescent="0.2">
      <c r="A9" s="224">
        <f ca="1">TblConstr[[#This Row],[Land]]</f>
        <v>250</v>
      </c>
      <c r="B9" s="226">
        <f ca="1">TblConstr[[#This Row],[Plain]]</f>
        <v>40</v>
      </c>
      <c r="C9" s="184">
        <f ca="1">TblConstr[[#This Row],[Forest]]</f>
        <v>20</v>
      </c>
      <c r="D9" s="384">
        <f ca="1">TblConstr[[#This Row],[Mountain]]</f>
        <v>20</v>
      </c>
      <c r="E9" s="388">
        <f ca="1">TblConstr[[#This Row],[Hill]]</f>
        <v>20</v>
      </c>
      <c r="F9" s="392">
        <f ca="1">TblConstr[[#This Row],[Swamp]]</f>
        <v>20</v>
      </c>
      <c r="G9" s="187">
        <f ca="1">TblConstr[[#This Row],[Cavern]]</f>
        <v>20</v>
      </c>
      <c r="H9" s="188">
        <f ca="1">TblConstr[[#This Row],[Water]]</f>
        <v>20</v>
      </c>
      <c r="I9" s="225"/>
      <c r="J9" s="177">
        <f t="shared" si="0"/>
        <v>6</v>
      </c>
      <c r="K9" s="249">
        <f ca="1">TblImps[[#This Row],[Real time]]</f>
        <v>45732.208333333321</v>
      </c>
      <c r="L9" s="181"/>
      <c r="M9" s="181"/>
      <c r="N9" s="181"/>
      <c r="O9" s="181"/>
      <c r="P9" s="181"/>
      <c r="Q9" s="181"/>
      <c r="R9" s="181"/>
      <c r="S9" s="96">
        <f>SUMIF(TblRezone[[#This Row],[Plains Rezone]:[Water Rezone]],"&gt;0")</f>
        <v>0</v>
      </c>
      <c r="T9" s="61" t="str">
        <f>IF(SUM(TblRezone[[#This Row],[Plains Rezone]:[Water Rezone]])=0,"Ok","Nope")</f>
        <v>Ok</v>
      </c>
      <c r="U9" s="225"/>
      <c r="V9" s="96">
        <f ca="1">TblProd[[#This Row],[Platinum]]</f>
        <v>145003</v>
      </c>
      <c r="W9" s="225"/>
      <c r="X9" s="96">
        <f ca="1">ROUNDUP( (1-MIN(ROUND(facs_rezone_factor*TblRezone[[#This Row],[Facs]],4),facs_rezone_max) + tech_6_4*TblTech[[#This Row],[6-4]] + tech_10_2*TblTech[[#This Row],[10-2]] - IF(TblMagic[[#This Row],[Active Mechanical Genius]]&gt;0,mech_genius_bonus,0) + race_rezone_cost) * TblRezone[[#This Row],[Plat/acre*]],0)</f>
        <v>250</v>
      </c>
      <c r="Y9" s="96">
        <f ca="1">TblRezone[[#This Row],[Total acres]]*TblRezone[[#This Row],[Plat/acre]]</f>
        <v>0</v>
      </c>
      <c r="Z9" s="225"/>
      <c r="AA9" s="96">
        <f ca="1">250+0.6*(TblRezone[[#This Row],[Land]]-250)</f>
        <v>250</v>
      </c>
      <c r="AB9" s="225"/>
      <c r="AC9" s="159">
        <f ca="1">TblConstr[[#This Row],[Facs DB]]</f>
        <v>0</v>
      </c>
    </row>
    <row r="10" spans="1:29" x14ac:dyDescent="0.2">
      <c r="A10" s="224">
        <f ca="1">TblConstr[[#This Row],[Land]]</f>
        <v>250</v>
      </c>
      <c r="B10" s="226">
        <f ca="1">TblConstr[[#This Row],[Plain]]</f>
        <v>40</v>
      </c>
      <c r="C10" s="184">
        <f ca="1">TblConstr[[#This Row],[Forest]]</f>
        <v>20</v>
      </c>
      <c r="D10" s="384">
        <f ca="1">TblConstr[[#This Row],[Mountain]]</f>
        <v>20</v>
      </c>
      <c r="E10" s="388">
        <f ca="1">TblConstr[[#This Row],[Hill]]</f>
        <v>20</v>
      </c>
      <c r="F10" s="392">
        <f ca="1">TblConstr[[#This Row],[Swamp]]</f>
        <v>20</v>
      </c>
      <c r="G10" s="187">
        <f ca="1">TblConstr[[#This Row],[Cavern]]</f>
        <v>20</v>
      </c>
      <c r="H10" s="188">
        <f ca="1">TblConstr[[#This Row],[Water]]</f>
        <v>20</v>
      </c>
      <c r="I10" s="225"/>
      <c r="J10" s="177">
        <f t="shared" si="0"/>
        <v>7</v>
      </c>
      <c r="K10" s="249">
        <f ca="1">TblImps[[#This Row],[Real time]]</f>
        <v>45732.249999999985</v>
      </c>
      <c r="L10" s="181"/>
      <c r="M10" s="181"/>
      <c r="N10" s="181"/>
      <c r="O10" s="181"/>
      <c r="P10" s="181"/>
      <c r="Q10" s="181"/>
      <c r="R10" s="181"/>
      <c r="S10" s="96">
        <f>SUMIF(TblRezone[[#This Row],[Plains Rezone]:[Water Rezone]],"&gt;0")</f>
        <v>0</v>
      </c>
      <c r="T10" s="61" t="str">
        <f>IF(SUM(TblRezone[[#This Row],[Plains Rezone]:[Water Rezone]])=0,"Ok","Nope")</f>
        <v>Ok</v>
      </c>
      <c r="U10" s="225"/>
      <c r="V10" s="96">
        <f ca="1">TblProd[[#This Row],[Platinum]]</f>
        <v>150222</v>
      </c>
      <c r="W10" s="225"/>
      <c r="X10" s="96">
        <f ca="1">ROUNDUP( (1-MIN(ROUND(facs_rezone_factor*TblRezone[[#This Row],[Facs]],4),facs_rezone_max) + tech_6_4*TblTech[[#This Row],[6-4]] + tech_10_2*TblTech[[#This Row],[10-2]] - IF(TblMagic[[#This Row],[Active Mechanical Genius]]&gt;0,mech_genius_bonus,0) + race_rezone_cost) * TblRezone[[#This Row],[Plat/acre*]],0)</f>
        <v>250</v>
      </c>
      <c r="Y10" s="96">
        <f ca="1">TblRezone[[#This Row],[Total acres]]*TblRezone[[#This Row],[Plat/acre]]</f>
        <v>0</v>
      </c>
      <c r="Z10" s="225"/>
      <c r="AA10" s="96">
        <f ca="1">250+0.6*(TblRezone[[#This Row],[Land]]-250)</f>
        <v>250</v>
      </c>
      <c r="AB10" s="225"/>
      <c r="AC10" s="159">
        <f ca="1">TblConstr[[#This Row],[Facs DB]]</f>
        <v>0</v>
      </c>
    </row>
    <row r="11" spans="1:29" x14ac:dyDescent="0.2">
      <c r="A11" s="224">
        <f ca="1">TblConstr[[#This Row],[Land]]</f>
        <v>250</v>
      </c>
      <c r="B11" s="226">
        <f ca="1">TblConstr[[#This Row],[Plain]]</f>
        <v>40</v>
      </c>
      <c r="C11" s="184">
        <f ca="1">TblConstr[[#This Row],[Forest]]</f>
        <v>20</v>
      </c>
      <c r="D11" s="384">
        <f ca="1">TblConstr[[#This Row],[Mountain]]</f>
        <v>20</v>
      </c>
      <c r="E11" s="388">
        <f ca="1">TblConstr[[#This Row],[Hill]]</f>
        <v>20</v>
      </c>
      <c r="F11" s="392">
        <f ca="1">TblConstr[[#This Row],[Swamp]]</f>
        <v>20</v>
      </c>
      <c r="G11" s="187">
        <f ca="1">TblConstr[[#This Row],[Cavern]]</f>
        <v>20</v>
      </c>
      <c r="H11" s="188">
        <f ca="1">TblConstr[[#This Row],[Water]]</f>
        <v>20</v>
      </c>
      <c r="I11" s="225"/>
      <c r="J11" s="177">
        <f t="shared" si="0"/>
        <v>8</v>
      </c>
      <c r="K11" s="249">
        <f ca="1">TblImps[[#This Row],[Real time]]</f>
        <v>45732.29166666665</v>
      </c>
      <c r="L11" s="181"/>
      <c r="M11" s="181"/>
      <c r="N11" s="181"/>
      <c r="O11" s="181"/>
      <c r="P11" s="181"/>
      <c r="Q11" s="181"/>
      <c r="R11" s="181"/>
      <c r="S11" s="96">
        <f>SUMIF(TblRezone[[#This Row],[Plains Rezone]:[Water Rezone]],"&gt;0")</f>
        <v>0</v>
      </c>
      <c r="T11" s="61" t="str">
        <f>IF(SUM(TblRezone[[#This Row],[Plains Rezone]:[Water Rezone]])=0,"Ok","Nope")</f>
        <v>Ok</v>
      </c>
      <c r="U11" s="225"/>
      <c r="V11" s="96">
        <f ca="1">TblProd[[#This Row],[Platinum]]</f>
        <v>155519</v>
      </c>
      <c r="W11" s="225"/>
      <c r="X11" s="96">
        <f ca="1">ROUNDUP( (1-MIN(ROUND(facs_rezone_factor*TblRezone[[#This Row],[Facs]],4),facs_rezone_max) + tech_6_4*TblTech[[#This Row],[6-4]] + tech_10_2*TblTech[[#This Row],[10-2]] - IF(TblMagic[[#This Row],[Active Mechanical Genius]]&gt;0,mech_genius_bonus,0) + race_rezone_cost) * TblRezone[[#This Row],[Plat/acre*]],0)</f>
        <v>250</v>
      </c>
      <c r="Y11" s="96">
        <f ca="1">TblRezone[[#This Row],[Total acres]]*TblRezone[[#This Row],[Plat/acre]]</f>
        <v>0</v>
      </c>
      <c r="Z11" s="225"/>
      <c r="AA11" s="96">
        <f ca="1">250+0.6*(TblRezone[[#This Row],[Land]]-250)</f>
        <v>250</v>
      </c>
      <c r="AB11" s="225"/>
      <c r="AC11" s="159">
        <f ca="1">TblConstr[[#This Row],[Facs DB]]</f>
        <v>0</v>
      </c>
    </row>
    <row r="12" spans="1:29" x14ac:dyDescent="0.2">
      <c r="A12" s="224">
        <f ca="1">TblConstr[[#This Row],[Land]]</f>
        <v>250</v>
      </c>
      <c r="B12" s="226">
        <f ca="1">TblConstr[[#This Row],[Plain]]</f>
        <v>40</v>
      </c>
      <c r="C12" s="184">
        <f ca="1">TblConstr[[#This Row],[Forest]]</f>
        <v>20</v>
      </c>
      <c r="D12" s="384">
        <f ca="1">TblConstr[[#This Row],[Mountain]]</f>
        <v>20</v>
      </c>
      <c r="E12" s="388">
        <f ca="1">TblConstr[[#This Row],[Hill]]</f>
        <v>20</v>
      </c>
      <c r="F12" s="392">
        <f ca="1">TblConstr[[#This Row],[Swamp]]</f>
        <v>20</v>
      </c>
      <c r="G12" s="187">
        <f ca="1">TblConstr[[#This Row],[Cavern]]</f>
        <v>20</v>
      </c>
      <c r="H12" s="188">
        <f ca="1">TblConstr[[#This Row],[Water]]</f>
        <v>20</v>
      </c>
      <c r="I12" s="225"/>
      <c r="J12" s="177">
        <f t="shared" si="0"/>
        <v>9</v>
      </c>
      <c r="K12" s="249">
        <f ca="1">TblImps[[#This Row],[Real time]]</f>
        <v>45732.333333333314</v>
      </c>
      <c r="L12" s="181"/>
      <c r="M12" s="181"/>
      <c r="N12" s="181"/>
      <c r="O12" s="181"/>
      <c r="P12" s="181"/>
      <c r="Q12" s="181"/>
      <c r="R12" s="181"/>
      <c r="S12" s="96">
        <f>SUMIF(TblRezone[[#This Row],[Plains Rezone]:[Water Rezone]],"&gt;0")</f>
        <v>0</v>
      </c>
      <c r="T12" s="61" t="str">
        <f>IF(SUM(TblRezone[[#This Row],[Plains Rezone]:[Water Rezone]])=0,"Ok","Nope")</f>
        <v>Ok</v>
      </c>
      <c r="U12" s="225"/>
      <c r="V12" s="96">
        <f ca="1">TblProd[[#This Row],[Platinum]]</f>
        <v>160892</v>
      </c>
      <c r="W12" s="225"/>
      <c r="X12" s="96">
        <f ca="1">ROUNDUP( (1-MIN(ROUND(facs_rezone_factor*TblRezone[[#This Row],[Facs]],4),facs_rezone_max) + tech_6_4*TblTech[[#This Row],[6-4]] + tech_10_2*TblTech[[#This Row],[10-2]] - IF(TblMagic[[#This Row],[Active Mechanical Genius]]&gt;0,mech_genius_bonus,0) + race_rezone_cost) * TblRezone[[#This Row],[Plat/acre*]],0)</f>
        <v>250</v>
      </c>
      <c r="Y12" s="96">
        <f ca="1">TblRezone[[#This Row],[Total acres]]*TblRezone[[#This Row],[Plat/acre]]</f>
        <v>0</v>
      </c>
      <c r="Z12" s="225"/>
      <c r="AA12" s="96">
        <f ca="1">250+0.6*(TblRezone[[#This Row],[Land]]-250)</f>
        <v>250</v>
      </c>
      <c r="AB12" s="225"/>
      <c r="AC12" s="159">
        <f ca="1">TblConstr[[#This Row],[Facs DB]]</f>
        <v>0</v>
      </c>
    </row>
    <row r="13" spans="1:29" x14ac:dyDescent="0.2">
      <c r="A13" s="224">
        <f ca="1">TblConstr[[#This Row],[Land]]</f>
        <v>250</v>
      </c>
      <c r="B13" s="226">
        <f ca="1">TblConstr[[#This Row],[Plain]]</f>
        <v>40</v>
      </c>
      <c r="C13" s="184">
        <f ca="1">TblConstr[[#This Row],[Forest]]</f>
        <v>20</v>
      </c>
      <c r="D13" s="384">
        <f ca="1">TblConstr[[#This Row],[Mountain]]</f>
        <v>20</v>
      </c>
      <c r="E13" s="388">
        <f ca="1">TblConstr[[#This Row],[Hill]]</f>
        <v>20</v>
      </c>
      <c r="F13" s="392">
        <f ca="1">TblConstr[[#This Row],[Swamp]]</f>
        <v>20</v>
      </c>
      <c r="G13" s="187">
        <f ca="1">TblConstr[[#This Row],[Cavern]]</f>
        <v>20</v>
      </c>
      <c r="H13" s="188">
        <f ca="1">TblConstr[[#This Row],[Water]]</f>
        <v>20</v>
      </c>
      <c r="I13" s="225"/>
      <c r="J13" s="177">
        <f t="shared" si="0"/>
        <v>10</v>
      </c>
      <c r="K13" s="249">
        <f ca="1">TblImps[[#This Row],[Real time]]</f>
        <v>45732.374999999978</v>
      </c>
      <c r="L13" s="181"/>
      <c r="M13" s="181"/>
      <c r="N13" s="181"/>
      <c r="O13" s="181"/>
      <c r="P13" s="181"/>
      <c r="Q13" s="181"/>
      <c r="R13" s="181"/>
      <c r="S13" s="96">
        <f>SUMIF(TblRezone[[#This Row],[Plains Rezone]:[Water Rezone]],"&gt;0")</f>
        <v>0</v>
      </c>
      <c r="T13" s="61" t="str">
        <f>IF(SUM(TblRezone[[#This Row],[Plains Rezone]:[Water Rezone]])=0,"Ok","Nope")</f>
        <v>Ok</v>
      </c>
      <c r="U13" s="225"/>
      <c r="V13" s="96">
        <f ca="1">TblProd[[#This Row],[Platinum]]</f>
        <v>166343</v>
      </c>
      <c r="W13" s="225"/>
      <c r="X13" s="96">
        <f ca="1">ROUNDUP( (1-MIN(ROUND(facs_rezone_factor*TblRezone[[#This Row],[Facs]],4),facs_rezone_max) + tech_6_4*TblTech[[#This Row],[6-4]] + tech_10_2*TblTech[[#This Row],[10-2]] - IF(TblMagic[[#This Row],[Active Mechanical Genius]]&gt;0,mech_genius_bonus,0) + race_rezone_cost) * TblRezone[[#This Row],[Plat/acre*]],0)</f>
        <v>250</v>
      </c>
      <c r="Y13" s="96">
        <f ca="1">TblRezone[[#This Row],[Total acres]]*TblRezone[[#This Row],[Plat/acre]]</f>
        <v>0</v>
      </c>
      <c r="Z13" s="225"/>
      <c r="AA13" s="96">
        <f ca="1">250+0.6*(TblRezone[[#This Row],[Land]]-250)</f>
        <v>250</v>
      </c>
      <c r="AB13" s="225"/>
      <c r="AC13" s="159">
        <f ca="1">TblConstr[[#This Row],[Facs DB]]</f>
        <v>0</v>
      </c>
    </row>
    <row r="14" spans="1:29" x14ac:dyDescent="0.2">
      <c r="A14" s="224">
        <f ca="1">TblConstr[[#This Row],[Land]]</f>
        <v>250</v>
      </c>
      <c r="B14" s="226">
        <f ca="1">TblConstr[[#This Row],[Plain]]</f>
        <v>40</v>
      </c>
      <c r="C14" s="184">
        <f ca="1">TblConstr[[#This Row],[Forest]]</f>
        <v>20</v>
      </c>
      <c r="D14" s="384">
        <f ca="1">TblConstr[[#This Row],[Mountain]]</f>
        <v>20</v>
      </c>
      <c r="E14" s="388">
        <f ca="1">TblConstr[[#This Row],[Hill]]</f>
        <v>20</v>
      </c>
      <c r="F14" s="392">
        <f ca="1">TblConstr[[#This Row],[Swamp]]</f>
        <v>20</v>
      </c>
      <c r="G14" s="187">
        <f ca="1">TblConstr[[#This Row],[Cavern]]</f>
        <v>20</v>
      </c>
      <c r="H14" s="188">
        <f ca="1">TblConstr[[#This Row],[Water]]</f>
        <v>20</v>
      </c>
      <c r="I14" s="225"/>
      <c r="J14" s="177">
        <f t="shared" si="0"/>
        <v>11</v>
      </c>
      <c r="K14" s="249">
        <f ca="1">TblImps[[#This Row],[Real time]]</f>
        <v>45732.416666666642</v>
      </c>
      <c r="L14" s="181"/>
      <c r="M14" s="181"/>
      <c r="N14" s="181"/>
      <c r="O14" s="181"/>
      <c r="P14" s="181"/>
      <c r="Q14" s="181"/>
      <c r="R14" s="181"/>
      <c r="S14" s="96">
        <f>SUMIF(TblRezone[[#This Row],[Plains Rezone]:[Water Rezone]],"&gt;0")</f>
        <v>0</v>
      </c>
      <c r="T14" s="61" t="str">
        <f>IF(SUM(TblRezone[[#This Row],[Plains Rezone]:[Water Rezone]])=0,"Ok","Nope")</f>
        <v>Ok</v>
      </c>
      <c r="U14" s="225"/>
      <c r="V14" s="96">
        <f ca="1">TblProd[[#This Row],[Platinum]]</f>
        <v>171875</v>
      </c>
      <c r="W14" s="225"/>
      <c r="X14" s="96">
        <f ca="1">ROUNDUP( (1-MIN(ROUND(facs_rezone_factor*TblRezone[[#This Row],[Facs]],4),facs_rezone_max) + tech_6_4*TblTech[[#This Row],[6-4]] + tech_10_2*TblTech[[#This Row],[10-2]] - IF(TblMagic[[#This Row],[Active Mechanical Genius]]&gt;0,mech_genius_bonus,0) + race_rezone_cost) * TblRezone[[#This Row],[Plat/acre*]],0)</f>
        <v>250</v>
      </c>
      <c r="Y14" s="96">
        <f ca="1">TblRezone[[#This Row],[Total acres]]*TblRezone[[#This Row],[Plat/acre]]</f>
        <v>0</v>
      </c>
      <c r="Z14" s="225"/>
      <c r="AA14" s="96">
        <f ca="1">250+0.6*(TblRezone[[#This Row],[Land]]-250)</f>
        <v>250</v>
      </c>
      <c r="AB14" s="225"/>
      <c r="AC14" s="159">
        <f ca="1">TblConstr[[#This Row],[Facs DB]]</f>
        <v>0</v>
      </c>
    </row>
    <row r="15" spans="1:29" x14ac:dyDescent="0.2">
      <c r="A15" s="224">
        <f ca="1">TblConstr[[#This Row],[Land]]</f>
        <v>250</v>
      </c>
      <c r="B15" s="226">
        <f ca="1">TblConstr[[#This Row],[Plain]]</f>
        <v>40</v>
      </c>
      <c r="C15" s="184">
        <f ca="1">TblConstr[[#This Row],[Forest]]</f>
        <v>20</v>
      </c>
      <c r="D15" s="384">
        <f ca="1">TblConstr[[#This Row],[Mountain]]</f>
        <v>20</v>
      </c>
      <c r="E15" s="388">
        <f ca="1">TblConstr[[#This Row],[Hill]]</f>
        <v>20</v>
      </c>
      <c r="F15" s="392">
        <f ca="1">TblConstr[[#This Row],[Swamp]]</f>
        <v>20</v>
      </c>
      <c r="G15" s="187">
        <f ca="1">TblConstr[[#This Row],[Cavern]]</f>
        <v>20</v>
      </c>
      <c r="H15" s="188">
        <f ca="1">TblConstr[[#This Row],[Water]]</f>
        <v>20</v>
      </c>
      <c r="I15" s="225"/>
      <c r="J15" s="177">
        <f t="shared" si="0"/>
        <v>12</v>
      </c>
      <c r="K15" s="249">
        <f ca="1">TblImps[[#This Row],[Real time]]</f>
        <v>45732.458333333307</v>
      </c>
      <c r="L15" s="181"/>
      <c r="M15" s="181"/>
      <c r="N15" s="181"/>
      <c r="O15" s="181"/>
      <c r="P15" s="181"/>
      <c r="Q15" s="181"/>
      <c r="R15" s="181"/>
      <c r="S15" s="96">
        <f>SUMIF(TblRezone[[#This Row],[Plains Rezone]:[Water Rezone]],"&gt;0")</f>
        <v>0</v>
      </c>
      <c r="T15" s="61" t="str">
        <f>IF(SUM(TblRezone[[#This Row],[Plains Rezone]:[Water Rezone]])=0,"Ok","Nope")</f>
        <v>Ok</v>
      </c>
      <c r="U15" s="225"/>
      <c r="V15" s="96">
        <f ca="1">TblProd[[#This Row],[Platinum]]</f>
        <v>177491</v>
      </c>
      <c r="W15" s="225"/>
      <c r="X15" s="96">
        <f ca="1">ROUNDUP( (1-MIN(ROUND(facs_rezone_factor*TblRezone[[#This Row],[Facs]],4),facs_rezone_max) + tech_6_4*TblTech[[#This Row],[6-4]] + tech_10_2*TblTech[[#This Row],[10-2]] - IF(TblMagic[[#This Row],[Active Mechanical Genius]]&gt;0,mech_genius_bonus,0) + race_rezone_cost) * TblRezone[[#This Row],[Plat/acre*]],0)</f>
        <v>250</v>
      </c>
      <c r="Y15" s="96">
        <f ca="1">TblRezone[[#This Row],[Total acres]]*TblRezone[[#This Row],[Plat/acre]]</f>
        <v>0</v>
      </c>
      <c r="Z15" s="225"/>
      <c r="AA15" s="96">
        <f ca="1">250+0.6*(TblRezone[[#This Row],[Land]]-250)</f>
        <v>250</v>
      </c>
      <c r="AB15" s="225"/>
      <c r="AC15" s="159">
        <f ca="1">TblConstr[[#This Row],[Facs DB]]</f>
        <v>0</v>
      </c>
    </row>
    <row r="16" spans="1:29" x14ac:dyDescent="0.2">
      <c r="A16" s="224">
        <f ca="1">TblConstr[[#This Row],[Land]]</f>
        <v>250</v>
      </c>
      <c r="B16" s="226">
        <f ca="1">TblConstr[[#This Row],[Plain]]</f>
        <v>40</v>
      </c>
      <c r="C16" s="184">
        <f ca="1">TblConstr[[#This Row],[Forest]]</f>
        <v>20</v>
      </c>
      <c r="D16" s="384">
        <f ca="1">TblConstr[[#This Row],[Mountain]]</f>
        <v>20</v>
      </c>
      <c r="E16" s="388">
        <f ca="1">TblConstr[[#This Row],[Hill]]</f>
        <v>20</v>
      </c>
      <c r="F16" s="392">
        <f ca="1">TblConstr[[#This Row],[Swamp]]</f>
        <v>20</v>
      </c>
      <c r="G16" s="187">
        <f ca="1">TblConstr[[#This Row],[Cavern]]</f>
        <v>20</v>
      </c>
      <c r="H16" s="188">
        <f ca="1">TblConstr[[#This Row],[Water]]</f>
        <v>20</v>
      </c>
      <c r="I16" s="225"/>
      <c r="J16" s="177">
        <f>J15+1</f>
        <v>13</v>
      </c>
      <c r="K16" s="249">
        <f ca="1">TblImps[[#This Row],[Real time]]</f>
        <v>45732.499999999971</v>
      </c>
      <c r="L16" s="160"/>
      <c r="M16" s="160"/>
      <c r="N16" s="181"/>
      <c r="O16" s="181"/>
      <c r="P16" s="181"/>
      <c r="Q16" s="160"/>
      <c r="R16" s="160"/>
      <c r="S16" s="96">
        <f>SUMIF(TblRezone[[#This Row],[Plains Rezone]:[Water Rezone]],"&gt;0")</f>
        <v>0</v>
      </c>
      <c r="T16" s="61" t="str">
        <f>IF(SUM(TblRezone[[#This Row],[Plains Rezone]:[Water Rezone]])=0,"Ok","Nope")</f>
        <v>Ok</v>
      </c>
      <c r="U16" s="225"/>
      <c r="V16" s="96">
        <f ca="1">TblProd[[#This Row],[Platinum]]</f>
        <v>183161</v>
      </c>
      <c r="W16" s="225"/>
      <c r="X16" s="96">
        <f ca="1">ROUNDUP( (1-MIN(ROUND(facs_rezone_factor*TblRezone[[#This Row],[Facs]],4),facs_rezone_max) + tech_6_4*TblTech[[#This Row],[6-4]] + tech_10_2*TblTech[[#This Row],[10-2]] - IF(TblMagic[[#This Row],[Active Mechanical Genius]]&gt;0,mech_genius_bonus,0) + race_rezone_cost) * TblRezone[[#This Row],[Plat/acre*]],0)</f>
        <v>250</v>
      </c>
      <c r="Y16" s="96">
        <f ca="1">TblRezone[[#This Row],[Total acres]]*TblRezone[[#This Row],[Plat/acre]]</f>
        <v>0</v>
      </c>
      <c r="Z16" s="225"/>
      <c r="AA16" s="96">
        <f ca="1">250+0.6*(TblRezone[[#This Row],[Land]]-250)</f>
        <v>250</v>
      </c>
      <c r="AB16" s="225"/>
      <c r="AC16" s="159">
        <f ca="1">TblConstr[[#This Row],[Facs DB]]</f>
        <v>0</v>
      </c>
    </row>
    <row r="17" spans="1:29" x14ac:dyDescent="0.2">
      <c r="A17" s="224">
        <f ca="1">TblConstr[[#This Row],[Land]]</f>
        <v>250</v>
      </c>
      <c r="B17" s="226">
        <f ca="1">TblConstr[[#This Row],[Plain]]</f>
        <v>40</v>
      </c>
      <c r="C17" s="184">
        <f ca="1">TblConstr[[#This Row],[Forest]]</f>
        <v>20</v>
      </c>
      <c r="D17" s="384">
        <f ca="1">TblConstr[[#This Row],[Mountain]]</f>
        <v>20</v>
      </c>
      <c r="E17" s="388">
        <f ca="1">TblConstr[[#This Row],[Hill]]</f>
        <v>20</v>
      </c>
      <c r="F17" s="392">
        <f ca="1">TblConstr[[#This Row],[Swamp]]</f>
        <v>20</v>
      </c>
      <c r="G17" s="187">
        <f ca="1">TblConstr[[#This Row],[Cavern]]</f>
        <v>20</v>
      </c>
      <c r="H17" s="188">
        <f ca="1">TblConstr[[#This Row],[Water]]</f>
        <v>20</v>
      </c>
      <c r="I17" s="225"/>
      <c r="J17" s="177">
        <f t="shared" ref="J17:J76" si="1">J16+1</f>
        <v>14</v>
      </c>
      <c r="K17" s="249">
        <f ca="1">TblImps[[#This Row],[Real time]]</f>
        <v>45732.541666666635</v>
      </c>
      <c r="L17" s="181"/>
      <c r="M17" s="181"/>
      <c r="N17" s="181"/>
      <c r="O17" s="181"/>
      <c r="P17" s="181"/>
      <c r="Q17" s="181"/>
      <c r="R17" s="181"/>
      <c r="S17" s="96">
        <f>SUMIF(TblRezone[[#This Row],[Plains Rezone]:[Water Rezone]],"&gt;0")</f>
        <v>0</v>
      </c>
      <c r="T17" s="61" t="str">
        <f>IF(SUM(TblRezone[[#This Row],[Plains Rezone]:[Water Rezone]])=0,"Ok","Nope")</f>
        <v>Ok</v>
      </c>
      <c r="U17" s="225"/>
      <c r="V17" s="96">
        <f ca="1">TblProd[[#This Row],[Platinum]]</f>
        <v>188831</v>
      </c>
      <c r="W17" s="225"/>
      <c r="X17" s="96">
        <f ca="1">ROUNDUP( (1-MIN(ROUND(facs_rezone_factor*TblRezone[[#This Row],[Facs]],4),facs_rezone_max) + tech_6_4*TblTech[[#This Row],[6-4]] + tech_10_2*TblTech[[#This Row],[10-2]] - IF(TblMagic[[#This Row],[Active Mechanical Genius]]&gt;0,mech_genius_bonus,0) + race_rezone_cost) * TblRezone[[#This Row],[Plat/acre*]],0)</f>
        <v>250</v>
      </c>
      <c r="Y17" s="96">
        <f ca="1">TblRezone[[#This Row],[Total acres]]*TblRezone[[#This Row],[Plat/acre]]</f>
        <v>0</v>
      </c>
      <c r="Z17" s="225"/>
      <c r="AA17" s="96">
        <f ca="1">250+0.6*(TblRezone[[#This Row],[Land]]-250)</f>
        <v>250</v>
      </c>
      <c r="AB17" s="225"/>
      <c r="AC17" s="159">
        <f ca="1">TblConstr[[#This Row],[Facs DB]]</f>
        <v>0</v>
      </c>
    </row>
    <row r="18" spans="1:29" x14ac:dyDescent="0.2">
      <c r="A18" s="224">
        <f ca="1">TblConstr[[#This Row],[Land]]</f>
        <v>250</v>
      </c>
      <c r="B18" s="226">
        <f ca="1">TblConstr[[#This Row],[Plain]]</f>
        <v>40</v>
      </c>
      <c r="C18" s="184">
        <f ca="1">TblConstr[[#This Row],[Forest]]</f>
        <v>20</v>
      </c>
      <c r="D18" s="384">
        <f ca="1">TblConstr[[#This Row],[Mountain]]</f>
        <v>20</v>
      </c>
      <c r="E18" s="388">
        <f ca="1">TblConstr[[#This Row],[Hill]]</f>
        <v>20</v>
      </c>
      <c r="F18" s="392">
        <f ca="1">TblConstr[[#This Row],[Swamp]]</f>
        <v>20</v>
      </c>
      <c r="G18" s="187">
        <f ca="1">TblConstr[[#This Row],[Cavern]]</f>
        <v>20</v>
      </c>
      <c r="H18" s="188">
        <f ca="1">TblConstr[[#This Row],[Water]]</f>
        <v>20</v>
      </c>
      <c r="I18" s="225"/>
      <c r="J18" s="177">
        <f t="shared" si="1"/>
        <v>15</v>
      </c>
      <c r="K18" s="249">
        <f ca="1">TblImps[[#This Row],[Real time]]</f>
        <v>45732.583333333299</v>
      </c>
      <c r="L18" s="181"/>
      <c r="M18" s="181"/>
      <c r="N18" s="181"/>
      <c r="O18" s="181"/>
      <c r="P18" s="181"/>
      <c r="Q18" s="181"/>
      <c r="R18" s="181"/>
      <c r="S18" s="96">
        <f>SUMIF(TblRezone[[#This Row],[Plains Rezone]:[Water Rezone]],"&gt;0")</f>
        <v>0</v>
      </c>
      <c r="T18" s="61" t="str">
        <f>IF(SUM(TblRezone[[#This Row],[Plains Rezone]:[Water Rezone]])=0,"Ok","Nope")</f>
        <v>Ok</v>
      </c>
      <c r="U18" s="225"/>
      <c r="V18" s="96">
        <f ca="1">TblProd[[#This Row],[Platinum]]</f>
        <v>194501</v>
      </c>
      <c r="W18" s="225"/>
      <c r="X18" s="96">
        <f ca="1">ROUNDUP( (1-MIN(ROUND(facs_rezone_factor*TblRezone[[#This Row],[Facs]],4),facs_rezone_max) + tech_6_4*TblTech[[#This Row],[6-4]] + tech_10_2*TblTech[[#This Row],[10-2]] - IF(TblMagic[[#This Row],[Active Mechanical Genius]]&gt;0,mech_genius_bonus,0) + race_rezone_cost) * TblRezone[[#This Row],[Plat/acre*]],0)</f>
        <v>250</v>
      </c>
      <c r="Y18" s="96">
        <f ca="1">TblRezone[[#This Row],[Total acres]]*TblRezone[[#This Row],[Plat/acre]]</f>
        <v>0</v>
      </c>
      <c r="Z18" s="225"/>
      <c r="AA18" s="96">
        <f ca="1">250+0.6*(TblRezone[[#This Row],[Land]]-250)</f>
        <v>250</v>
      </c>
      <c r="AB18" s="225"/>
      <c r="AC18" s="159">
        <f ca="1">TblConstr[[#This Row],[Facs DB]]</f>
        <v>0</v>
      </c>
    </row>
    <row r="19" spans="1:29" x14ac:dyDescent="0.2">
      <c r="A19" s="224">
        <f ca="1">TblConstr[[#This Row],[Land]]</f>
        <v>250</v>
      </c>
      <c r="B19" s="226">
        <f ca="1">TblConstr[[#This Row],[Plain]]</f>
        <v>40</v>
      </c>
      <c r="C19" s="184">
        <f ca="1">TblConstr[[#This Row],[Forest]]</f>
        <v>20</v>
      </c>
      <c r="D19" s="384">
        <f ca="1">TblConstr[[#This Row],[Mountain]]</f>
        <v>20</v>
      </c>
      <c r="E19" s="388">
        <f ca="1">TblConstr[[#This Row],[Hill]]</f>
        <v>20</v>
      </c>
      <c r="F19" s="392">
        <f ca="1">TblConstr[[#This Row],[Swamp]]</f>
        <v>20</v>
      </c>
      <c r="G19" s="187">
        <f ca="1">TblConstr[[#This Row],[Cavern]]</f>
        <v>20</v>
      </c>
      <c r="H19" s="188">
        <f ca="1">TblConstr[[#This Row],[Water]]</f>
        <v>20</v>
      </c>
      <c r="I19" s="225"/>
      <c r="J19" s="177">
        <f t="shared" si="1"/>
        <v>16</v>
      </c>
      <c r="K19" s="249">
        <f ca="1">TblImps[[#This Row],[Real time]]</f>
        <v>45732.624999999964</v>
      </c>
      <c r="L19" s="181"/>
      <c r="M19" s="181"/>
      <c r="N19" s="181"/>
      <c r="O19" s="181"/>
      <c r="P19" s="181"/>
      <c r="Q19" s="181"/>
      <c r="R19" s="181"/>
      <c r="S19" s="96">
        <f>SUMIF(TblRezone[[#This Row],[Plains Rezone]:[Water Rezone]],"&gt;0")</f>
        <v>0</v>
      </c>
      <c r="T19" s="61" t="str">
        <f>IF(SUM(TblRezone[[#This Row],[Plains Rezone]:[Water Rezone]])=0,"Ok","Nope")</f>
        <v>Ok</v>
      </c>
      <c r="U19" s="225"/>
      <c r="V19" s="96">
        <f ca="1">TblProd[[#This Row],[Platinum]]</f>
        <v>200171</v>
      </c>
      <c r="W19" s="225"/>
      <c r="X19" s="96">
        <f ca="1">ROUNDUP( (1-MIN(ROUND(facs_rezone_factor*TblRezone[[#This Row],[Facs]],4),facs_rezone_max) + tech_6_4*TblTech[[#This Row],[6-4]] + tech_10_2*TblTech[[#This Row],[10-2]] - IF(TblMagic[[#This Row],[Active Mechanical Genius]]&gt;0,mech_genius_bonus,0) + race_rezone_cost) * TblRezone[[#This Row],[Plat/acre*]],0)</f>
        <v>250</v>
      </c>
      <c r="Y19" s="96">
        <f ca="1">TblRezone[[#This Row],[Total acres]]*TblRezone[[#This Row],[Plat/acre]]</f>
        <v>0</v>
      </c>
      <c r="Z19" s="225"/>
      <c r="AA19" s="96">
        <f ca="1">250+0.6*(TblRezone[[#This Row],[Land]]-250)</f>
        <v>250</v>
      </c>
      <c r="AB19" s="225"/>
      <c r="AC19" s="159">
        <f ca="1">TblConstr[[#This Row],[Facs DB]]</f>
        <v>0</v>
      </c>
    </row>
    <row r="20" spans="1:29" x14ac:dyDescent="0.2">
      <c r="A20" s="224">
        <f ca="1">TblConstr[[#This Row],[Land]]</f>
        <v>250</v>
      </c>
      <c r="B20" s="226">
        <f ca="1">TblConstr[[#This Row],[Plain]]</f>
        <v>40</v>
      </c>
      <c r="C20" s="184">
        <f ca="1">TblConstr[[#This Row],[Forest]]</f>
        <v>20</v>
      </c>
      <c r="D20" s="384">
        <f ca="1">TblConstr[[#This Row],[Mountain]]</f>
        <v>20</v>
      </c>
      <c r="E20" s="388">
        <f ca="1">TblConstr[[#This Row],[Hill]]</f>
        <v>20</v>
      </c>
      <c r="F20" s="392">
        <f ca="1">TblConstr[[#This Row],[Swamp]]</f>
        <v>20</v>
      </c>
      <c r="G20" s="187">
        <f ca="1">TblConstr[[#This Row],[Cavern]]</f>
        <v>20</v>
      </c>
      <c r="H20" s="188">
        <f ca="1">TblConstr[[#This Row],[Water]]</f>
        <v>20</v>
      </c>
      <c r="I20" s="225"/>
      <c r="J20" s="177">
        <f t="shared" si="1"/>
        <v>17</v>
      </c>
      <c r="K20" s="249">
        <f ca="1">TblImps[[#This Row],[Real time]]</f>
        <v>45732.666666666628</v>
      </c>
      <c r="L20" s="181"/>
      <c r="M20" s="181"/>
      <c r="N20" s="181"/>
      <c r="O20" s="181"/>
      <c r="P20" s="181"/>
      <c r="Q20" s="181"/>
      <c r="R20" s="181"/>
      <c r="S20" s="96">
        <f>SUMIF(TblRezone[[#This Row],[Plains Rezone]:[Water Rezone]],"&gt;0")</f>
        <v>0</v>
      </c>
      <c r="T20" s="61" t="str">
        <f>IF(SUM(TblRezone[[#This Row],[Plains Rezone]:[Water Rezone]])=0,"Ok","Nope")</f>
        <v>Ok</v>
      </c>
      <c r="U20" s="225"/>
      <c r="V20" s="96">
        <f ca="1">TblProd[[#This Row],[Platinum]]</f>
        <v>205841</v>
      </c>
      <c r="W20" s="225"/>
      <c r="X20" s="96">
        <f ca="1">ROUNDUP( (1-MIN(ROUND(facs_rezone_factor*TblRezone[[#This Row],[Facs]],4),facs_rezone_max) + tech_6_4*TblTech[[#This Row],[6-4]] + tech_10_2*TblTech[[#This Row],[10-2]] - IF(TblMagic[[#This Row],[Active Mechanical Genius]]&gt;0,mech_genius_bonus,0) + race_rezone_cost) * TblRezone[[#This Row],[Plat/acre*]],0)</f>
        <v>250</v>
      </c>
      <c r="Y20" s="96">
        <f ca="1">TblRezone[[#This Row],[Total acres]]*TblRezone[[#This Row],[Plat/acre]]</f>
        <v>0</v>
      </c>
      <c r="Z20" s="225"/>
      <c r="AA20" s="96">
        <f ca="1">250+0.6*(TblRezone[[#This Row],[Land]]-250)</f>
        <v>250</v>
      </c>
      <c r="AB20" s="225"/>
      <c r="AC20" s="159">
        <f ca="1">TblConstr[[#This Row],[Facs DB]]</f>
        <v>0</v>
      </c>
    </row>
    <row r="21" spans="1:29" x14ac:dyDescent="0.2">
      <c r="A21" s="224">
        <f ca="1">TblConstr[[#This Row],[Land]]</f>
        <v>250</v>
      </c>
      <c r="B21" s="226">
        <f ca="1">TblConstr[[#This Row],[Plain]]</f>
        <v>40</v>
      </c>
      <c r="C21" s="184">
        <f ca="1">TblConstr[[#This Row],[Forest]]</f>
        <v>20</v>
      </c>
      <c r="D21" s="384">
        <f ca="1">TblConstr[[#This Row],[Mountain]]</f>
        <v>20</v>
      </c>
      <c r="E21" s="388">
        <f ca="1">TblConstr[[#This Row],[Hill]]</f>
        <v>20</v>
      </c>
      <c r="F21" s="392">
        <f ca="1">TblConstr[[#This Row],[Swamp]]</f>
        <v>20</v>
      </c>
      <c r="G21" s="187">
        <f ca="1">TblConstr[[#This Row],[Cavern]]</f>
        <v>20</v>
      </c>
      <c r="H21" s="188">
        <f ca="1">TblConstr[[#This Row],[Water]]</f>
        <v>20</v>
      </c>
      <c r="I21" s="225"/>
      <c r="J21" s="177">
        <f t="shared" si="1"/>
        <v>18</v>
      </c>
      <c r="K21" s="249">
        <f ca="1">TblImps[[#This Row],[Real time]]</f>
        <v>45732.708333333292</v>
      </c>
      <c r="L21" s="181"/>
      <c r="M21" s="181"/>
      <c r="N21" s="181"/>
      <c r="O21" s="181"/>
      <c r="P21" s="181"/>
      <c r="Q21" s="181"/>
      <c r="R21" s="181"/>
      <c r="S21" s="96">
        <f>SUMIF(TblRezone[[#This Row],[Plains Rezone]:[Water Rezone]],"&gt;0")</f>
        <v>0</v>
      </c>
      <c r="T21" s="61" t="str">
        <f>IF(SUM(TblRezone[[#This Row],[Plains Rezone]:[Water Rezone]])=0,"Ok","Nope")</f>
        <v>Ok</v>
      </c>
      <c r="U21" s="225"/>
      <c r="V21" s="96">
        <f ca="1">TblProd[[#This Row],[Platinum]]</f>
        <v>211511</v>
      </c>
      <c r="W21" s="225"/>
      <c r="X21" s="96">
        <f ca="1">ROUNDUP( (1-MIN(ROUND(facs_rezone_factor*TblRezone[[#This Row],[Facs]],4),facs_rezone_max) + tech_6_4*TblTech[[#This Row],[6-4]] + tech_10_2*TblTech[[#This Row],[10-2]] - IF(TblMagic[[#This Row],[Active Mechanical Genius]]&gt;0,mech_genius_bonus,0) + race_rezone_cost) * TblRezone[[#This Row],[Plat/acre*]],0)</f>
        <v>250</v>
      </c>
      <c r="Y21" s="96">
        <f ca="1">TblRezone[[#This Row],[Total acres]]*TblRezone[[#This Row],[Plat/acre]]</f>
        <v>0</v>
      </c>
      <c r="Z21" s="225"/>
      <c r="AA21" s="96">
        <f ca="1">250+0.6*(TblRezone[[#This Row],[Land]]-250)</f>
        <v>250</v>
      </c>
      <c r="AB21" s="225"/>
      <c r="AC21" s="159">
        <f ca="1">TblConstr[[#This Row],[Facs DB]]</f>
        <v>0</v>
      </c>
    </row>
    <row r="22" spans="1:29" x14ac:dyDescent="0.2">
      <c r="A22" s="224">
        <f ca="1">TblConstr[[#This Row],[Land]]</f>
        <v>250</v>
      </c>
      <c r="B22" s="226">
        <f ca="1">TblConstr[[#This Row],[Plain]]</f>
        <v>40</v>
      </c>
      <c r="C22" s="184">
        <f ca="1">TblConstr[[#This Row],[Forest]]</f>
        <v>20</v>
      </c>
      <c r="D22" s="384">
        <f ca="1">TblConstr[[#This Row],[Mountain]]</f>
        <v>20</v>
      </c>
      <c r="E22" s="388">
        <f ca="1">TblConstr[[#This Row],[Hill]]</f>
        <v>20</v>
      </c>
      <c r="F22" s="392">
        <f ca="1">TblConstr[[#This Row],[Swamp]]</f>
        <v>20</v>
      </c>
      <c r="G22" s="187">
        <f ca="1">TblConstr[[#This Row],[Cavern]]</f>
        <v>20</v>
      </c>
      <c r="H22" s="188">
        <f ca="1">TblConstr[[#This Row],[Water]]</f>
        <v>20</v>
      </c>
      <c r="I22" s="225"/>
      <c r="J22" s="177">
        <f t="shared" si="1"/>
        <v>19</v>
      </c>
      <c r="K22" s="249">
        <f ca="1">TblImps[[#This Row],[Real time]]</f>
        <v>45732.749999999956</v>
      </c>
      <c r="L22" s="181"/>
      <c r="M22" s="181"/>
      <c r="N22" s="181"/>
      <c r="O22" s="181"/>
      <c r="P22" s="181"/>
      <c r="Q22" s="181"/>
      <c r="R22" s="181"/>
      <c r="S22" s="96">
        <f>SUMIF(TblRezone[[#This Row],[Plains Rezone]:[Water Rezone]],"&gt;0")</f>
        <v>0</v>
      </c>
      <c r="T22" s="61" t="str">
        <f>IF(SUM(TblRezone[[#This Row],[Plains Rezone]:[Water Rezone]])=0,"Ok","Nope")</f>
        <v>Ok</v>
      </c>
      <c r="U22" s="225"/>
      <c r="V22" s="96">
        <f ca="1">TblProd[[#This Row],[Platinum]]</f>
        <v>217181</v>
      </c>
      <c r="W22" s="225"/>
      <c r="X22" s="96">
        <f ca="1">ROUNDUP( (1-MIN(ROUND(facs_rezone_factor*TblRezone[[#This Row],[Facs]],4),facs_rezone_max) + tech_6_4*TblTech[[#This Row],[6-4]] + tech_10_2*TblTech[[#This Row],[10-2]] - IF(TblMagic[[#This Row],[Active Mechanical Genius]]&gt;0,mech_genius_bonus,0) + race_rezone_cost) * TblRezone[[#This Row],[Plat/acre*]],0)</f>
        <v>250</v>
      </c>
      <c r="Y22" s="96">
        <f ca="1">TblRezone[[#This Row],[Total acres]]*TblRezone[[#This Row],[Plat/acre]]</f>
        <v>0</v>
      </c>
      <c r="Z22" s="225"/>
      <c r="AA22" s="96">
        <f ca="1">250+0.6*(TblRezone[[#This Row],[Land]]-250)</f>
        <v>250</v>
      </c>
      <c r="AB22" s="225"/>
      <c r="AC22" s="159">
        <f ca="1">TblConstr[[#This Row],[Facs DB]]</f>
        <v>0</v>
      </c>
    </row>
    <row r="23" spans="1:29" x14ac:dyDescent="0.2">
      <c r="A23" s="224">
        <f ca="1">TblConstr[[#This Row],[Land]]</f>
        <v>250</v>
      </c>
      <c r="B23" s="226">
        <f ca="1">TblConstr[[#This Row],[Plain]]</f>
        <v>40</v>
      </c>
      <c r="C23" s="184">
        <f ca="1">TblConstr[[#This Row],[Forest]]</f>
        <v>20</v>
      </c>
      <c r="D23" s="384">
        <f ca="1">TblConstr[[#This Row],[Mountain]]</f>
        <v>20</v>
      </c>
      <c r="E23" s="388">
        <f ca="1">TblConstr[[#This Row],[Hill]]</f>
        <v>20</v>
      </c>
      <c r="F23" s="392">
        <f ca="1">TblConstr[[#This Row],[Swamp]]</f>
        <v>20</v>
      </c>
      <c r="G23" s="187">
        <f ca="1">TblConstr[[#This Row],[Cavern]]</f>
        <v>20</v>
      </c>
      <c r="H23" s="188">
        <f ca="1">TblConstr[[#This Row],[Water]]</f>
        <v>20</v>
      </c>
      <c r="I23" s="225"/>
      <c r="J23" s="177">
        <f t="shared" si="1"/>
        <v>20</v>
      </c>
      <c r="K23" s="249">
        <f ca="1">TblImps[[#This Row],[Real time]]</f>
        <v>45732.791666666621</v>
      </c>
      <c r="L23" s="181"/>
      <c r="M23" s="181"/>
      <c r="N23" s="181"/>
      <c r="O23" s="181"/>
      <c r="P23" s="181"/>
      <c r="Q23" s="181"/>
      <c r="R23" s="181"/>
      <c r="S23" s="96">
        <f>SUMIF(TblRezone[[#This Row],[Plains Rezone]:[Water Rezone]],"&gt;0")</f>
        <v>0</v>
      </c>
      <c r="T23" s="61" t="str">
        <f>IF(SUM(TblRezone[[#This Row],[Plains Rezone]:[Water Rezone]])=0,"Ok","Nope")</f>
        <v>Ok</v>
      </c>
      <c r="U23" s="225"/>
      <c r="V23" s="96">
        <f ca="1">TblProd[[#This Row],[Platinum]]</f>
        <v>222851</v>
      </c>
      <c r="W23" s="225"/>
      <c r="X23" s="96">
        <f ca="1">ROUNDUP( (1-MIN(ROUND(facs_rezone_factor*TblRezone[[#This Row],[Facs]],4),facs_rezone_max) + tech_6_4*TblTech[[#This Row],[6-4]] + tech_10_2*TblTech[[#This Row],[10-2]] - IF(TblMagic[[#This Row],[Active Mechanical Genius]]&gt;0,mech_genius_bonus,0) + race_rezone_cost) * TblRezone[[#This Row],[Plat/acre*]],0)</f>
        <v>250</v>
      </c>
      <c r="Y23" s="96">
        <f ca="1">TblRezone[[#This Row],[Total acres]]*TblRezone[[#This Row],[Plat/acre]]</f>
        <v>0</v>
      </c>
      <c r="Z23" s="225"/>
      <c r="AA23" s="96">
        <f ca="1">250+0.6*(TblRezone[[#This Row],[Land]]-250)</f>
        <v>250</v>
      </c>
      <c r="AB23" s="225"/>
      <c r="AC23" s="159">
        <f ca="1">TblConstr[[#This Row],[Facs DB]]</f>
        <v>0</v>
      </c>
    </row>
    <row r="24" spans="1:29" x14ac:dyDescent="0.2">
      <c r="A24" s="224">
        <f ca="1">TblConstr[[#This Row],[Land]]</f>
        <v>250</v>
      </c>
      <c r="B24" s="226">
        <f ca="1">TblConstr[[#This Row],[Plain]]</f>
        <v>40</v>
      </c>
      <c r="C24" s="184">
        <f ca="1">TblConstr[[#This Row],[Forest]]</f>
        <v>20</v>
      </c>
      <c r="D24" s="384">
        <f ca="1">TblConstr[[#This Row],[Mountain]]</f>
        <v>20</v>
      </c>
      <c r="E24" s="388">
        <f ca="1">TblConstr[[#This Row],[Hill]]</f>
        <v>20</v>
      </c>
      <c r="F24" s="392">
        <f ca="1">TblConstr[[#This Row],[Swamp]]</f>
        <v>20</v>
      </c>
      <c r="G24" s="187">
        <f ca="1">TblConstr[[#This Row],[Cavern]]</f>
        <v>20</v>
      </c>
      <c r="H24" s="188">
        <f ca="1">TblConstr[[#This Row],[Water]]</f>
        <v>20</v>
      </c>
      <c r="I24" s="225"/>
      <c r="J24" s="177">
        <f t="shared" si="1"/>
        <v>21</v>
      </c>
      <c r="K24" s="249">
        <f ca="1">TblImps[[#This Row],[Real time]]</f>
        <v>45732.833333333285</v>
      </c>
      <c r="L24" s="181"/>
      <c r="M24" s="181"/>
      <c r="N24" s="181"/>
      <c r="O24" s="181"/>
      <c r="P24" s="181"/>
      <c r="Q24" s="181"/>
      <c r="R24" s="181"/>
      <c r="S24" s="96">
        <f>SUMIF(TblRezone[[#This Row],[Plains Rezone]:[Water Rezone]],"&gt;0")</f>
        <v>0</v>
      </c>
      <c r="T24" s="61" t="str">
        <f>IF(SUM(TblRezone[[#This Row],[Plains Rezone]:[Water Rezone]])=0,"Ok","Nope")</f>
        <v>Ok</v>
      </c>
      <c r="U24" s="225"/>
      <c r="V24" s="96">
        <f ca="1">TblProd[[#This Row],[Platinum]]</f>
        <v>228521</v>
      </c>
      <c r="W24" s="225"/>
      <c r="X24" s="96">
        <f ca="1">ROUNDUP( (1-MIN(ROUND(facs_rezone_factor*TblRezone[[#This Row],[Facs]],4),facs_rezone_max) + tech_6_4*TblTech[[#This Row],[6-4]] + tech_10_2*TblTech[[#This Row],[10-2]] - IF(TblMagic[[#This Row],[Active Mechanical Genius]]&gt;0,mech_genius_bonus,0) + race_rezone_cost) * TblRezone[[#This Row],[Plat/acre*]],0)</f>
        <v>250</v>
      </c>
      <c r="Y24" s="96">
        <f ca="1">TblRezone[[#This Row],[Total acres]]*TblRezone[[#This Row],[Plat/acre]]</f>
        <v>0</v>
      </c>
      <c r="Z24" s="225"/>
      <c r="AA24" s="96">
        <f ca="1">250+0.6*(TblRezone[[#This Row],[Land]]-250)</f>
        <v>250</v>
      </c>
      <c r="AB24" s="225"/>
      <c r="AC24" s="159">
        <f ca="1">TblConstr[[#This Row],[Facs DB]]</f>
        <v>0</v>
      </c>
    </row>
    <row r="25" spans="1:29" x14ac:dyDescent="0.2">
      <c r="A25" s="224">
        <f ca="1">TblConstr[[#This Row],[Land]]</f>
        <v>250</v>
      </c>
      <c r="B25" s="226">
        <f ca="1">TblConstr[[#This Row],[Plain]]</f>
        <v>40</v>
      </c>
      <c r="C25" s="184">
        <f ca="1">TblConstr[[#This Row],[Forest]]</f>
        <v>20</v>
      </c>
      <c r="D25" s="384">
        <f ca="1">TblConstr[[#This Row],[Mountain]]</f>
        <v>20</v>
      </c>
      <c r="E25" s="388">
        <f ca="1">TblConstr[[#This Row],[Hill]]</f>
        <v>20</v>
      </c>
      <c r="F25" s="392">
        <f ca="1">TblConstr[[#This Row],[Swamp]]</f>
        <v>20</v>
      </c>
      <c r="G25" s="187">
        <f ca="1">TblConstr[[#This Row],[Cavern]]</f>
        <v>20</v>
      </c>
      <c r="H25" s="188">
        <f ca="1">TblConstr[[#This Row],[Water]]</f>
        <v>20</v>
      </c>
      <c r="I25" s="225"/>
      <c r="J25" s="177">
        <f t="shared" si="1"/>
        <v>22</v>
      </c>
      <c r="K25" s="249">
        <f ca="1">TblImps[[#This Row],[Real time]]</f>
        <v>45732.874999999949</v>
      </c>
      <c r="L25" s="181"/>
      <c r="M25" s="181"/>
      <c r="N25" s="181"/>
      <c r="O25" s="181"/>
      <c r="P25" s="181"/>
      <c r="Q25" s="181"/>
      <c r="R25" s="181"/>
      <c r="S25" s="96">
        <f>SUMIF(TblRezone[[#This Row],[Plains Rezone]:[Water Rezone]],"&gt;0")</f>
        <v>0</v>
      </c>
      <c r="T25" s="61" t="str">
        <f>IF(SUM(TblRezone[[#This Row],[Plains Rezone]:[Water Rezone]])=0,"Ok","Nope")</f>
        <v>Ok</v>
      </c>
      <c r="U25" s="225"/>
      <c r="V25" s="96">
        <f ca="1">TblProd[[#This Row],[Platinum]]</f>
        <v>234191</v>
      </c>
      <c r="W25" s="225"/>
      <c r="X25" s="96">
        <f ca="1">ROUNDUP( (1-MIN(ROUND(facs_rezone_factor*TblRezone[[#This Row],[Facs]],4),facs_rezone_max) + tech_6_4*TblTech[[#This Row],[6-4]] + tech_10_2*TblTech[[#This Row],[10-2]] - IF(TblMagic[[#This Row],[Active Mechanical Genius]]&gt;0,mech_genius_bonus,0) + race_rezone_cost) * TblRezone[[#This Row],[Plat/acre*]],0)</f>
        <v>250</v>
      </c>
      <c r="Y25" s="96">
        <f ca="1">TblRezone[[#This Row],[Total acres]]*TblRezone[[#This Row],[Plat/acre]]</f>
        <v>0</v>
      </c>
      <c r="Z25" s="225"/>
      <c r="AA25" s="96">
        <f ca="1">250+0.6*(TblRezone[[#This Row],[Land]]-250)</f>
        <v>250</v>
      </c>
      <c r="AB25" s="225"/>
      <c r="AC25" s="159">
        <f ca="1">TblConstr[[#This Row],[Facs DB]]</f>
        <v>0</v>
      </c>
    </row>
    <row r="26" spans="1:29" x14ac:dyDescent="0.2">
      <c r="A26" s="224">
        <f ca="1">TblConstr[[#This Row],[Land]]</f>
        <v>250</v>
      </c>
      <c r="B26" s="226">
        <f ca="1">TblConstr[[#This Row],[Plain]]</f>
        <v>40</v>
      </c>
      <c r="C26" s="184">
        <f ca="1">TblConstr[[#This Row],[Forest]]</f>
        <v>20</v>
      </c>
      <c r="D26" s="384">
        <f ca="1">TblConstr[[#This Row],[Mountain]]</f>
        <v>20</v>
      </c>
      <c r="E26" s="388">
        <f ca="1">TblConstr[[#This Row],[Hill]]</f>
        <v>20</v>
      </c>
      <c r="F26" s="392">
        <f ca="1">TblConstr[[#This Row],[Swamp]]</f>
        <v>20</v>
      </c>
      <c r="G26" s="187">
        <f ca="1">TblConstr[[#This Row],[Cavern]]</f>
        <v>20</v>
      </c>
      <c r="H26" s="188">
        <f ca="1">TblConstr[[#This Row],[Water]]</f>
        <v>20</v>
      </c>
      <c r="I26" s="225"/>
      <c r="J26" s="177">
        <f t="shared" si="1"/>
        <v>23</v>
      </c>
      <c r="K26" s="249">
        <f ca="1">TblImps[[#This Row],[Real time]]</f>
        <v>45732.916666666613</v>
      </c>
      <c r="L26" s="181"/>
      <c r="M26" s="181"/>
      <c r="N26" s="181"/>
      <c r="O26" s="181"/>
      <c r="P26" s="181"/>
      <c r="Q26" s="181"/>
      <c r="R26" s="181"/>
      <c r="S26" s="96">
        <f>SUMIF(TblRezone[[#This Row],[Plains Rezone]:[Water Rezone]],"&gt;0")</f>
        <v>0</v>
      </c>
      <c r="T26" s="61" t="str">
        <f>IF(SUM(TblRezone[[#This Row],[Plains Rezone]:[Water Rezone]])=0,"Ok","Nope")</f>
        <v>Ok</v>
      </c>
      <c r="U26" s="225"/>
      <c r="V26" s="96">
        <f ca="1">TblProd[[#This Row],[Platinum]]</f>
        <v>239861</v>
      </c>
      <c r="W26" s="225"/>
      <c r="X26" s="96">
        <f ca="1">ROUNDUP( (1-MIN(ROUND(facs_rezone_factor*TblRezone[[#This Row],[Facs]],4),facs_rezone_max) + tech_6_4*TblTech[[#This Row],[6-4]] + tech_10_2*TblTech[[#This Row],[10-2]] - IF(TblMagic[[#This Row],[Active Mechanical Genius]]&gt;0,mech_genius_bonus,0) + race_rezone_cost) * TblRezone[[#This Row],[Plat/acre*]],0)</f>
        <v>250</v>
      </c>
      <c r="Y26" s="96">
        <f ca="1">TblRezone[[#This Row],[Total acres]]*TblRezone[[#This Row],[Plat/acre]]</f>
        <v>0</v>
      </c>
      <c r="Z26" s="225"/>
      <c r="AA26" s="96">
        <f ca="1">250+0.6*(TblRezone[[#This Row],[Land]]-250)</f>
        <v>250</v>
      </c>
      <c r="AB26" s="225"/>
      <c r="AC26" s="159">
        <f ca="1">TblConstr[[#This Row],[Facs DB]]</f>
        <v>0</v>
      </c>
    </row>
    <row r="27" spans="1:29" x14ac:dyDescent="0.2">
      <c r="A27" s="224">
        <f ca="1">TblConstr[[#This Row],[Land]]</f>
        <v>250</v>
      </c>
      <c r="B27" s="226">
        <f ca="1">TblConstr[[#This Row],[Plain]]</f>
        <v>40</v>
      </c>
      <c r="C27" s="184">
        <f ca="1">TblConstr[[#This Row],[Forest]]</f>
        <v>20</v>
      </c>
      <c r="D27" s="384">
        <f ca="1">TblConstr[[#This Row],[Mountain]]</f>
        <v>20</v>
      </c>
      <c r="E27" s="388">
        <f ca="1">TblConstr[[#This Row],[Hill]]</f>
        <v>20</v>
      </c>
      <c r="F27" s="392">
        <f ca="1">TblConstr[[#This Row],[Swamp]]</f>
        <v>20</v>
      </c>
      <c r="G27" s="187">
        <f ca="1">TblConstr[[#This Row],[Cavern]]</f>
        <v>20</v>
      </c>
      <c r="H27" s="188">
        <f ca="1">TblConstr[[#This Row],[Water]]</f>
        <v>20</v>
      </c>
      <c r="I27" s="225"/>
      <c r="J27" s="177">
        <f t="shared" si="1"/>
        <v>24</v>
      </c>
      <c r="K27" s="249">
        <f ca="1">TblImps[[#This Row],[Real time]]</f>
        <v>45732.958333333278</v>
      </c>
      <c r="L27" s="181"/>
      <c r="M27" s="181"/>
      <c r="N27" s="181"/>
      <c r="O27" s="181"/>
      <c r="P27" s="181"/>
      <c r="Q27" s="181"/>
      <c r="R27" s="181"/>
      <c r="S27" s="96">
        <f>SUMIF(TblRezone[[#This Row],[Plains Rezone]:[Water Rezone]],"&gt;0")</f>
        <v>0</v>
      </c>
      <c r="T27" s="61" t="str">
        <f>IF(SUM(TblRezone[[#This Row],[Plains Rezone]:[Water Rezone]])=0,"Ok","Nope")</f>
        <v>Ok</v>
      </c>
      <c r="U27" s="225"/>
      <c r="V27" s="96">
        <f ca="1">TblProd[[#This Row],[Platinum]]</f>
        <v>245531</v>
      </c>
      <c r="W27" s="225"/>
      <c r="X27" s="96">
        <f ca="1">ROUNDUP( (1-MIN(ROUND(facs_rezone_factor*TblRezone[[#This Row],[Facs]],4),facs_rezone_max) + tech_6_4*TblTech[[#This Row],[6-4]] + tech_10_2*TblTech[[#This Row],[10-2]] - IF(TblMagic[[#This Row],[Active Mechanical Genius]]&gt;0,mech_genius_bonus,0) + race_rezone_cost) * TblRezone[[#This Row],[Plat/acre*]],0)</f>
        <v>250</v>
      </c>
      <c r="Y27" s="96">
        <f ca="1">TblRezone[[#This Row],[Total acres]]*TblRezone[[#This Row],[Plat/acre]]</f>
        <v>0</v>
      </c>
      <c r="Z27" s="225"/>
      <c r="AA27" s="96">
        <f ca="1">250+0.6*(TblRezone[[#This Row],[Land]]-250)</f>
        <v>250</v>
      </c>
      <c r="AB27" s="225"/>
      <c r="AC27" s="159">
        <f ca="1">TblConstr[[#This Row],[Facs DB]]</f>
        <v>0</v>
      </c>
    </row>
    <row r="28" spans="1:29" x14ac:dyDescent="0.2">
      <c r="A28" s="224">
        <f ca="1">TblConstr[[#This Row],[Land]]</f>
        <v>250</v>
      </c>
      <c r="B28" s="226">
        <f ca="1">TblConstr[[#This Row],[Plain]]</f>
        <v>40</v>
      </c>
      <c r="C28" s="184">
        <f ca="1">TblConstr[[#This Row],[Forest]]</f>
        <v>20</v>
      </c>
      <c r="D28" s="384">
        <f ca="1">TblConstr[[#This Row],[Mountain]]</f>
        <v>20</v>
      </c>
      <c r="E28" s="388">
        <f ca="1">TblConstr[[#This Row],[Hill]]</f>
        <v>20</v>
      </c>
      <c r="F28" s="392">
        <f ca="1">TblConstr[[#This Row],[Swamp]]</f>
        <v>20</v>
      </c>
      <c r="G28" s="187">
        <f ca="1">TblConstr[[#This Row],[Cavern]]</f>
        <v>20</v>
      </c>
      <c r="H28" s="188">
        <f ca="1">TblConstr[[#This Row],[Water]]</f>
        <v>20</v>
      </c>
      <c r="I28" s="225"/>
      <c r="J28" s="177">
        <f t="shared" si="1"/>
        <v>25</v>
      </c>
      <c r="K28" s="249">
        <f ca="1">TblImps[[#This Row],[Real time]]</f>
        <v>45732.999999999942</v>
      </c>
      <c r="L28" s="181"/>
      <c r="M28" s="181"/>
      <c r="N28" s="181"/>
      <c r="O28" s="181"/>
      <c r="P28" s="181"/>
      <c r="Q28" s="181"/>
      <c r="R28" s="181"/>
      <c r="S28" s="96">
        <f>SUMIF(TblRezone[[#This Row],[Plains Rezone]:[Water Rezone]],"&gt;0")</f>
        <v>0</v>
      </c>
      <c r="T28" s="61" t="str">
        <f>IF(SUM(TblRezone[[#This Row],[Plains Rezone]:[Water Rezone]])=0,"Ok","Nope")</f>
        <v>Ok</v>
      </c>
      <c r="U28" s="225"/>
      <c r="V28" s="96">
        <f ca="1">TblProd[[#This Row],[Platinum]]</f>
        <v>251201</v>
      </c>
      <c r="W28" s="225"/>
      <c r="X28" s="96">
        <f ca="1">ROUNDUP( (1-MIN(ROUND(facs_rezone_factor*TblRezone[[#This Row],[Facs]],4),facs_rezone_max) + tech_6_4*TblTech[[#This Row],[6-4]] + tech_10_2*TblTech[[#This Row],[10-2]] - IF(TblMagic[[#This Row],[Active Mechanical Genius]]&gt;0,mech_genius_bonus,0) + race_rezone_cost) * TblRezone[[#This Row],[Plat/acre*]],0)</f>
        <v>250</v>
      </c>
      <c r="Y28" s="96">
        <f ca="1">TblRezone[[#This Row],[Total acres]]*TblRezone[[#This Row],[Plat/acre]]</f>
        <v>0</v>
      </c>
      <c r="Z28" s="225"/>
      <c r="AA28" s="96">
        <f ca="1">250+0.6*(TblRezone[[#This Row],[Land]]-250)</f>
        <v>250</v>
      </c>
      <c r="AB28" s="225"/>
      <c r="AC28" s="159">
        <f ca="1">TblConstr[[#This Row],[Facs DB]]</f>
        <v>0</v>
      </c>
    </row>
    <row r="29" spans="1:29" x14ac:dyDescent="0.2">
      <c r="A29" s="224">
        <f ca="1">TblConstr[[#This Row],[Land]]</f>
        <v>250</v>
      </c>
      <c r="B29" s="226">
        <f ca="1">TblConstr[[#This Row],[Plain]]</f>
        <v>40</v>
      </c>
      <c r="C29" s="184">
        <f ca="1">TblConstr[[#This Row],[Forest]]</f>
        <v>20</v>
      </c>
      <c r="D29" s="384">
        <f ca="1">TblConstr[[#This Row],[Mountain]]</f>
        <v>20</v>
      </c>
      <c r="E29" s="388">
        <f ca="1">TblConstr[[#This Row],[Hill]]</f>
        <v>20</v>
      </c>
      <c r="F29" s="392">
        <f ca="1">TblConstr[[#This Row],[Swamp]]</f>
        <v>20</v>
      </c>
      <c r="G29" s="187">
        <f ca="1">TblConstr[[#This Row],[Cavern]]</f>
        <v>20</v>
      </c>
      <c r="H29" s="188">
        <f ca="1">TblConstr[[#This Row],[Water]]</f>
        <v>20</v>
      </c>
      <c r="I29" s="225"/>
      <c r="J29" s="177">
        <f t="shared" si="1"/>
        <v>26</v>
      </c>
      <c r="K29" s="249">
        <f ca="1">TblImps[[#This Row],[Real time]]</f>
        <v>45733.041666666606</v>
      </c>
      <c r="L29" s="181"/>
      <c r="M29" s="181"/>
      <c r="N29" s="181"/>
      <c r="O29" s="181"/>
      <c r="P29" s="181"/>
      <c r="Q29" s="181"/>
      <c r="R29" s="181"/>
      <c r="S29" s="96">
        <f>SUMIF(TblRezone[[#This Row],[Plains Rezone]:[Water Rezone]],"&gt;0")</f>
        <v>0</v>
      </c>
      <c r="T29" s="61" t="str">
        <f>IF(SUM(TblRezone[[#This Row],[Plains Rezone]:[Water Rezone]])=0,"Ok","Nope")</f>
        <v>Ok</v>
      </c>
      <c r="U29" s="225"/>
      <c r="V29" s="96">
        <f ca="1">TblProd[[#This Row],[Platinum]]</f>
        <v>256871</v>
      </c>
      <c r="W29" s="225"/>
      <c r="X29" s="96">
        <f ca="1">ROUNDUP( (1-MIN(ROUND(facs_rezone_factor*TblRezone[[#This Row],[Facs]],4),facs_rezone_max) + tech_6_4*TblTech[[#This Row],[6-4]] + tech_10_2*TblTech[[#This Row],[10-2]] - IF(TblMagic[[#This Row],[Active Mechanical Genius]]&gt;0,mech_genius_bonus,0) + race_rezone_cost) * TblRezone[[#This Row],[Plat/acre*]],0)</f>
        <v>250</v>
      </c>
      <c r="Y29" s="96">
        <f ca="1">TblRezone[[#This Row],[Total acres]]*TblRezone[[#This Row],[Plat/acre]]</f>
        <v>0</v>
      </c>
      <c r="Z29" s="225"/>
      <c r="AA29" s="96">
        <f ca="1">250+0.6*(TblRezone[[#This Row],[Land]]-250)</f>
        <v>250</v>
      </c>
      <c r="AB29" s="225"/>
      <c r="AC29" s="159">
        <f ca="1">TblConstr[[#This Row],[Facs DB]]</f>
        <v>0</v>
      </c>
    </row>
    <row r="30" spans="1:29" x14ac:dyDescent="0.2">
      <c r="A30" s="224">
        <f ca="1">TblConstr[[#This Row],[Land]]</f>
        <v>250</v>
      </c>
      <c r="B30" s="226">
        <f ca="1">TblConstr[[#This Row],[Plain]]</f>
        <v>40</v>
      </c>
      <c r="C30" s="184">
        <f ca="1">TblConstr[[#This Row],[Forest]]</f>
        <v>20</v>
      </c>
      <c r="D30" s="384">
        <f ca="1">TblConstr[[#This Row],[Mountain]]</f>
        <v>20</v>
      </c>
      <c r="E30" s="388">
        <f ca="1">TblConstr[[#This Row],[Hill]]</f>
        <v>20</v>
      </c>
      <c r="F30" s="392">
        <f ca="1">TblConstr[[#This Row],[Swamp]]</f>
        <v>20</v>
      </c>
      <c r="G30" s="187">
        <f ca="1">TblConstr[[#This Row],[Cavern]]</f>
        <v>20</v>
      </c>
      <c r="H30" s="188">
        <f ca="1">TblConstr[[#This Row],[Water]]</f>
        <v>20</v>
      </c>
      <c r="I30" s="225"/>
      <c r="J30" s="177">
        <f t="shared" si="1"/>
        <v>27</v>
      </c>
      <c r="K30" s="249">
        <f ca="1">TblImps[[#This Row],[Real time]]</f>
        <v>45733.08333333327</v>
      </c>
      <c r="L30" s="181"/>
      <c r="M30" s="181"/>
      <c r="N30" s="181"/>
      <c r="O30" s="181"/>
      <c r="P30" s="181"/>
      <c r="Q30" s="181"/>
      <c r="R30" s="181"/>
      <c r="S30" s="96">
        <f>SUMIF(TblRezone[[#This Row],[Plains Rezone]:[Water Rezone]],"&gt;0")</f>
        <v>0</v>
      </c>
      <c r="T30" s="61" t="str">
        <f>IF(SUM(TblRezone[[#This Row],[Plains Rezone]:[Water Rezone]])=0,"Ok","Nope")</f>
        <v>Ok</v>
      </c>
      <c r="U30" s="225"/>
      <c r="V30" s="96">
        <f ca="1">TblProd[[#This Row],[Platinum]]</f>
        <v>262541</v>
      </c>
      <c r="W30" s="225"/>
      <c r="X30" s="96">
        <f ca="1">ROUNDUP( (1-MIN(ROUND(facs_rezone_factor*TblRezone[[#This Row],[Facs]],4),facs_rezone_max) + tech_6_4*TblTech[[#This Row],[6-4]] + tech_10_2*TblTech[[#This Row],[10-2]] - IF(TblMagic[[#This Row],[Active Mechanical Genius]]&gt;0,mech_genius_bonus,0) + race_rezone_cost) * TblRezone[[#This Row],[Plat/acre*]],0)</f>
        <v>250</v>
      </c>
      <c r="Y30" s="96">
        <f ca="1">TblRezone[[#This Row],[Total acres]]*TblRezone[[#This Row],[Plat/acre]]</f>
        <v>0</v>
      </c>
      <c r="Z30" s="225"/>
      <c r="AA30" s="96">
        <f ca="1">250+0.6*(TblRezone[[#This Row],[Land]]-250)</f>
        <v>250</v>
      </c>
      <c r="AB30" s="225"/>
      <c r="AC30" s="159">
        <f ca="1">TblConstr[[#This Row],[Facs DB]]</f>
        <v>0</v>
      </c>
    </row>
    <row r="31" spans="1:29" x14ac:dyDescent="0.2">
      <c r="A31" s="224">
        <f ca="1">TblConstr[[#This Row],[Land]]</f>
        <v>250</v>
      </c>
      <c r="B31" s="226">
        <f ca="1">TblConstr[[#This Row],[Plain]]</f>
        <v>40</v>
      </c>
      <c r="C31" s="184">
        <f ca="1">TblConstr[[#This Row],[Forest]]</f>
        <v>20</v>
      </c>
      <c r="D31" s="384">
        <f ca="1">TblConstr[[#This Row],[Mountain]]</f>
        <v>20</v>
      </c>
      <c r="E31" s="388">
        <f ca="1">TblConstr[[#This Row],[Hill]]</f>
        <v>20</v>
      </c>
      <c r="F31" s="392">
        <f ca="1">TblConstr[[#This Row],[Swamp]]</f>
        <v>20</v>
      </c>
      <c r="G31" s="187">
        <f ca="1">TblConstr[[#This Row],[Cavern]]</f>
        <v>20</v>
      </c>
      <c r="H31" s="188">
        <f ca="1">TblConstr[[#This Row],[Water]]</f>
        <v>20</v>
      </c>
      <c r="I31" s="225"/>
      <c r="J31" s="177">
        <f t="shared" si="1"/>
        <v>28</v>
      </c>
      <c r="K31" s="249">
        <f ca="1">TblImps[[#This Row],[Real time]]</f>
        <v>45733.124999999935</v>
      </c>
      <c r="L31" s="181"/>
      <c r="M31" s="181"/>
      <c r="N31" s="181"/>
      <c r="O31" s="181"/>
      <c r="P31" s="181"/>
      <c r="Q31" s="181"/>
      <c r="R31" s="181"/>
      <c r="S31" s="96">
        <f>SUMIF(TblRezone[[#This Row],[Plains Rezone]:[Water Rezone]],"&gt;0")</f>
        <v>0</v>
      </c>
      <c r="T31" s="61" t="str">
        <f>IF(SUM(TblRezone[[#This Row],[Plains Rezone]:[Water Rezone]])=0,"Ok","Nope")</f>
        <v>Ok</v>
      </c>
      <c r="U31" s="225"/>
      <c r="V31" s="96">
        <f ca="1">TblProd[[#This Row],[Platinum]]</f>
        <v>268211</v>
      </c>
      <c r="W31" s="225"/>
      <c r="X31" s="96">
        <f ca="1">ROUNDUP( (1-MIN(ROUND(facs_rezone_factor*TblRezone[[#This Row],[Facs]],4),facs_rezone_max) + tech_6_4*TblTech[[#This Row],[6-4]] + tech_10_2*TblTech[[#This Row],[10-2]] - IF(TblMagic[[#This Row],[Active Mechanical Genius]]&gt;0,mech_genius_bonus,0) + race_rezone_cost) * TblRezone[[#This Row],[Plat/acre*]],0)</f>
        <v>250</v>
      </c>
      <c r="Y31" s="96">
        <f ca="1">TblRezone[[#This Row],[Total acres]]*TblRezone[[#This Row],[Plat/acre]]</f>
        <v>0</v>
      </c>
      <c r="Z31" s="225"/>
      <c r="AA31" s="96">
        <f ca="1">250+0.6*(TblRezone[[#This Row],[Land]]-250)</f>
        <v>250</v>
      </c>
      <c r="AB31" s="225"/>
      <c r="AC31" s="159">
        <f ca="1">TblConstr[[#This Row],[Facs DB]]</f>
        <v>0</v>
      </c>
    </row>
    <row r="32" spans="1:29" x14ac:dyDescent="0.2">
      <c r="A32" s="224">
        <f ca="1">TblConstr[[#This Row],[Land]]</f>
        <v>250</v>
      </c>
      <c r="B32" s="226">
        <f ca="1">TblConstr[[#This Row],[Plain]]</f>
        <v>40</v>
      </c>
      <c r="C32" s="184">
        <f ca="1">TblConstr[[#This Row],[Forest]]</f>
        <v>20</v>
      </c>
      <c r="D32" s="384">
        <f ca="1">TblConstr[[#This Row],[Mountain]]</f>
        <v>20</v>
      </c>
      <c r="E32" s="388">
        <f ca="1">TblConstr[[#This Row],[Hill]]</f>
        <v>20</v>
      </c>
      <c r="F32" s="392">
        <f ca="1">TblConstr[[#This Row],[Swamp]]</f>
        <v>20</v>
      </c>
      <c r="G32" s="187">
        <f ca="1">TblConstr[[#This Row],[Cavern]]</f>
        <v>20</v>
      </c>
      <c r="H32" s="188">
        <f ca="1">TblConstr[[#This Row],[Water]]</f>
        <v>20</v>
      </c>
      <c r="I32" s="225"/>
      <c r="J32" s="177">
        <f t="shared" si="1"/>
        <v>29</v>
      </c>
      <c r="K32" s="249">
        <f ca="1">TblImps[[#This Row],[Real time]]</f>
        <v>45733.166666666599</v>
      </c>
      <c r="L32" s="181"/>
      <c r="M32" s="181"/>
      <c r="N32" s="181"/>
      <c r="O32" s="181"/>
      <c r="P32" s="181"/>
      <c r="Q32" s="181"/>
      <c r="R32" s="181"/>
      <c r="S32" s="96">
        <f>SUMIF(TblRezone[[#This Row],[Plains Rezone]:[Water Rezone]],"&gt;0")</f>
        <v>0</v>
      </c>
      <c r="T32" s="61" t="str">
        <f>IF(SUM(TblRezone[[#This Row],[Plains Rezone]:[Water Rezone]])=0,"Ok","Nope")</f>
        <v>Ok</v>
      </c>
      <c r="U32" s="225"/>
      <c r="V32" s="96">
        <f ca="1">TblProd[[#This Row],[Platinum]]</f>
        <v>273881</v>
      </c>
      <c r="W32" s="225"/>
      <c r="X32" s="96">
        <f ca="1">ROUNDUP( (1-MIN(ROUND(facs_rezone_factor*TblRezone[[#This Row],[Facs]],4),facs_rezone_max) + tech_6_4*TblTech[[#This Row],[6-4]] + tech_10_2*TblTech[[#This Row],[10-2]] - IF(TblMagic[[#This Row],[Active Mechanical Genius]]&gt;0,mech_genius_bonus,0) + race_rezone_cost) * TblRezone[[#This Row],[Plat/acre*]],0)</f>
        <v>250</v>
      </c>
      <c r="Y32" s="96">
        <f ca="1">TblRezone[[#This Row],[Total acres]]*TblRezone[[#This Row],[Plat/acre]]</f>
        <v>0</v>
      </c>
      <c r="Z32" s="225"/>
      <c r="AA32" s="96">
        <f ca="1">250+0.6*(TblRezone[[#This Row],[Land]]-250)</f>
        <v>250</v>
      </c>
      <c r="AB32" s="225"/>
      <c r="AC32" s="159">
        <f ca="1">TblConstr[[#This Row],[Facs DB]]</f>
        <v>0</v>
      </c>
    </row>
    <row r="33" spans="1:29" x14ac:dyDescent="0.2">
      <c r="A33" s="224">
        <f ca="1">TblConstr[[#This Row],[Land]]</f>
        <v>250</v>
      </c>
      <c r="B33" s="226">
        <f ca="1">TblConstr[[#This Row],[Plain]]</f>
        <v>40</v>
      </c>
      <c r="C33" s="184">
        <f ca="1">TblConstr[[#This Row],[Forest]]</f>
        <v>20</v>
      </c>
      <c r="D33" s="384">
        <f ca="1">TblConstr[[#This Row],[Mountain]]</f>
        <v>20</v>
      </c>
      <c r="E33" s="388">
        <f ca="1">TblConstr[[#This Row],[Hill]]</f>
        <v>20</v>
      </c>
      <c r="F33" s="392">
        <f ca="1">TblConstr[[#This Row],[Swamp]]</f>
        <v>20</v>
      </c>
      <c r="G33" s="187">
        <f ca="1">TblConstr[[#This Row],[Cavern]]</f>
        <v>20</v>
      </c>
      <c r="H33" s="188">
        <f ca="1">TblConstr[[#This Row],[Water]]</f>
        <v>20</v>
      </c>
      <c r="I33" s="225"/>
      <c r="J33" s="177">
        <f t="shared" si="1"/>
        <v>30</v>
      </c>
      <c r="K33" s="249">
        <f ca="1">TblImps[[#This Row],[Real time]]</f>
        <v>45733.208333333263</v>
      </c>
      <c r="L33" s="181"/>
      <c r="M33" s="181"/>
      <c r="N33" s="181"/>
      <c r="O33" s="181"/>
      <c r="P33" s="181"/>
      <c r="Q33" s="181"/>
      <c r="R33" s="181"/>
      <c r="S33" s="96">
        <f>SUMIF(TblRezone[[#This Row],[Plains Rezone]:[Water Rezone]],"&gt;0")</f>
        <v>0</v>
      </c>
      <c r="T33" s="61" t="str">
        <f>IF(SUM(TblRezone[[#This Row],[Plains Rezone]:[Water Rezone]])=0,"Ok","Nope")</f>
        <v>Ok</v>
      </c>
      <c r="U33" s="225"/>
      <c r="V33" s="96">
        <f ca="1">TblProd[[#This Row],[Platinum]]</f>
        <v>279551</v>
      </c>
      <c r="W33" s="225"/>
      <c r="X33" s="96">
        <f ca="1">ROUNDUP( (1-MIN(ROUND(facs_rezone_factor*TblRezone[[#This Row],[Facs]],4),facs_rezone_max) + tech_6_4*TblTech[[#This Row],[6-4]] + tech_10_2*TblTech[[#This Row],[10-2]] - IF(TblMagic[[#This Row],[Active Mechanical Genius]]&gt;0,mech_genius_bonus,0) + race_rezone_cost) * TblRezone[[#This Row],[Plat/acre*]],0)</f>
        <v>250</v>
      </c>
      <c r="Y33" s="96">
        <f ca="1">TblRezone[[#This Row],[Total acres]]*TblRezone[[#This Row],[Plat/acre]]</f>
        <v>0</v>
      </c>
      <c r="Z33" s="225"/>
      <c r="AA33" s="96">
        <f ca="1">250+0.6*(TblRezone[[#This Row],[Land]]-250)</f>
        <v>250</v>
      </c>
      <c r="AB33" s="225"/>
      <c r="AC33" s="159">
        <f ca="1">TblConstr[[#This Row],[Facs DB]]</f>
        <v>0</v>
      </c>
    </row>
    <row r="34" spans="1:29" x14ac:dyDescent="0.2">
      <c r="A34" s="224">
        <f ca="1">TblConstr[[#This Row],[Land]]</f>
        <v>250</v>
      </c>
      <c r="B34" s="226">
        <f ca="1">TblConstr[[#This Row],[Plain]]</f>
        <v>40</v>
      </c>
      <c r="C34" s="184">
        <f ca="1">TblConstr[[#This Row],[Forest]]</f>
        <v>20</v>
      </c>
      <c r="D34" s="384">
        <f ca="1">TblConstr[[#This Row],[Mountain]]</f>
        <v>20</v>
      </c>
      <c r="E34" s="388">
        <f ca="1">TblConstr[[#This Row],[Hill]]</f>
        <v>20</v>
      </c>
      <c r="F34" s="392">
        <f ca="1">TblConstr[[#This Row],[Swamp]]</f>
        <v>20</v>
      </c>
      <c r="G34" s="187">
        <f ca="1">TblConstr[[#This Row],[Cavern]]</f>
        <v>20</v>
      </c>
      <c r="H34" s="188">
        <f ca="1">TblConstr[[#This Row],[Water]]</f>
        <v>20</v>
      </c>
      <c r="I34" s="225"/>
      <c r="J34" s="177">
        <f t="shared" si="1"/>
        <v>31</v>
      </c>
      <c r="K34" s="249">
        <f ca="1">TblImps[[#This Row],[Real time]]</f>
        <v>45733.249999999927</v>
      </c>
      <c r="L34" s="181"/>
      <c r="M34" s="181"/>
      <c r="N34" s="181"/>
      <c r="O34" s="181"/>
      <c r="P34" s="181"/>
      <c r="Q34" s="181"/>
      <c r="R34" s="181"/>
      <c r="S34" s="96">
        <f>SUMIF(TblRezone[[#This Row],[Plains Rezone]:[Water Rezone]],"&gt;0")</f>
        <v>0</v>
      </c>
      <c r="T34" s="61" t="str">
        <f>IF(SUM(TblRezone[[#This Row],[Plains Rezone]:[Water Rezone]])=0,"Ok","Nope")</f>
        <v>Ok</v>
      </c>
      <c r="U34" s="225"/>
      <c r="V34" s="96">
        <f ca="1">TblProd[[#This Row],[Platinum]]</f>
        <v>285207</v>
      </c>
      <c r="W34" s="225"/>
      <c r="X34" s="96">
        <f ca="1">ROUNDUP( (1-MIN(ROUND(facs_rezone_factor*TblRezone[[#This Row],[Facs]],4),facs_rezone_max) + tech_6_4*TblTech[[#This Row],[6-4]] + tech_10_2*TblTech[[#This Row],[10-2]] - IF(TblMagic[[#This Row],[Active Mechanical Genius]]&gt;0,mech_genius_bonus,0) + race_rezone_cost) * TblRezone[[#This Row],[Plat/acre*]],0)</f>
        <v>250</v>
      </c>
      <c r="Y34" s="96">
        <f ca="1">TblRezone[[#This Row],[Total acres]]*TblRezone[[#This Row],[Plat/acre]]</f>
        <v>0</v>
      </c>
      <c r="Z34" s="225"/>
      <c r="AA34" s="96">
        <f ca="1">250+0.6*(TblRezone[[#This Row],[Land]]-250)</f>
        <v>250</v>
      </c>
      <c r="AB34" s="225"/>
      <c r="AC34" s="159">
        <f ca="1">TblConstr[[#This Row],[Facs DB]]</f>
        <v>0</v>
      </c>
    </row>
    <row r="35" spans="1:29" x14ac:dyDescent="0.2">
      <c r="A35" s="224">
        <f ca="1">TblConstr[[#This Row],[Land]]</f>
        <v>250</v>
      </c>
      <c r="B35" s="226">
        <f ca="1">TblConstr[[#This Row],[Plain]]</f>
        <v>40</v>
      </c>
      <c r="C35" s="184">
        <f ca="1">TblConstr[[#This Row],[Forest]]</f>
        <v>20</v>
      </c>
      <c r="D35" s="384">
        <f ca="1">TblConstr[[#This Row],[Mountain]]</f>
        <v>20</v>
      </c>
      <c r="E35" s="388">
        <f ca="1">TblConstr[[#This Row],[Hill]]</f>
        <v>20</v>
      </c>
      <c r="F35" s="392">
        <f ca="1">TblConstr[[#This Row],[Swamp]]</f>
        <v>20</v>
      </c>
      <c r="G35" s="187">
        <f ca="1">TblConstr[[#This Row],[Cavern]]</f>
        <v>20</v>
      </c>
      <c r="H35" s="188">
        <f ca="1">TblConstr[[#This Row],[Water]]</f>
        <v>20</v>
      </c>
      <c r="I35" s="225"/>
      <c r="J35" s="177">
        <f t="shared" si="1"/>
        <v>32</v>
      </c>
      <c r="K35" s="249">
        <f ca="1">TblImps[[#This Row],[Real time]]</f>
        <v>45733.291666666591</v>
      </c>
      <c r="L35" s="181"/>
      <c r="M35" s="181"/>
      <c r="N35" s="181"/>
      <c r="O35" s="181"/>
      <c r="P35" s="181"/>
      <c r="Q35" s="181"/>
      <c r="R35" s="181"/>
      <c r="S35" s="96">
        <f>SUMIF(TblRezone[[#This Row],[Plains Rezone]:[Water Rezone]],"&gt;0")</f>
        <v>0</v>
      </c>
      <c r="T35" s="61" t="str">
        <f>IF(SUM(TblRezone[[#This Row],[Plains Rezone]:[Water Rezone]])=0,"Ok","Nope")</f>
        <v>Ok</v>
      </c>
      <c r="U35" s="225"/>
      <c r="V35" s="96">
        <f ca="1">TblProd[[#This Row],[Platinum]]</f>
        <v>290820</v>
      </c>
      <c r="W35" s="225"/>
      <c r="X35" s="96">
        <f ca="1">ROUNDUP( (1-MIN(ROUND(facs_rezone_factor*TblRezone[[#This Row],[Facs]],4),facs_rezone_max) + tech_6_4*TblTech[[#This Row],[6-4]] + tech_10_2*TblTech[[#This Row],[10-2]] - IF(TblMagic[[#This Row],[Active Mechanical Genius]]&gt;0,mech_genius_bonus,0) + race_rezone_cost) * TblRezone[[#This Row],[Plat/acre*]],0)</f>
        <v>250</v>
      </c>
      <c r="Y35" s="96">
        <f ca="1">TblRezone[[#This Row],[Total acres]]*TblRezone[[#This Row],[Plat/acre]]</f>
        <v>0</v>
      </c>
      <c r="Z35" s="225"/>
      <c r="AA35" s="96">
        <f ca="1">250+0.6*(TblRezone[[#This Row],[Land]]-250)</f>
        <v>250</v>
      </c>
      <c r="AB35" s="225"/>
      <c r="AC35" s="159">
        <f ca="1">TblConstr[[#This Row],[Facs DB]]</f>
        <v>0</v>
      </c>
    </row>
    <row r="36" spans="1:29" x14ac:dyDescent="0.2">
      <c r="A36" s="224">
        <f ca="1">TblConstr[[#This Row],[Land]]</f>
        <v>250</v>
      </c>
      <c r="B36" s="226">
        <f ca="1">TblConstr[[#This Row],[Plain]]</f>
        <v>40</v>
      </c>
      <c r="C36" s="184">
        <f ca="1">TblConstr[[#This Row],[Forest]]</f>
        <v>20</v>
      </c>
      <c r="D36" s="384">
        <f ca="1">TblConstr[[#This Row],[Mountain]]</f>
        <v>20</v>
      </c>
      <c r="E36" s="388">
        <f ca="1">TblConstr[[#This Row],[Hill]]</f>
        <v>20</v>
      </c>
      <c r="F36" s="392">
        <f ca="1">TblConstr[[#This Row],[Swamp]]</f>
        <v>20</v>
      </c>
      <c r="G36" s="187">
        <f ca="1">TblConstr[[#This Row],[Cavern]]</f>
        <v>20</v>
      </c>
      <c r="H36" s="188">
        <f ca="1">TblConstr[[#This Row],[Water]]</f>
        <v>20</v>
      </c>
      <c r="I36" s="225"/>
      <c r="J36" s="177">
        <f t="shared" si="1"/>
        <v>33</v>
      </c>
      <c r="K36" s="249">
        <f ca="1">TblImps[[#This Row],[Real time]]</f>
        <v>45733.333333333256</v>
      </c>
      <c r="L36" s="181"/>
      <c r="M36" s="181"/>
      <c r="N36" s="181"/>
      <c r="O36" s="181"/>
      <c r="P36" s="181"/>
      <c r="Q36" s="181"/>
      <c r="R36" s="181"/>
      <c r="S36" s="96">
        <f>SUMIF(TblRezone[[#This Row],[Plains Rezone]:[Water Rezone]],"&gt;0")</f>
        <v>0</v>
      </c>
      <c r="T36" s="61" t="str">
        <f>IF(SUM(TblRezone[[#This Row],[Plains Rezone]:[Water Rezone]])=0,"Ok","Nope")</f>
        <v>Ok</v>
      </c>
      <c r="U36" s="225"/>
      <c r="V36" s="96">
        <f ca="1">TblProd[[#This Row],[Platinum]]</f>
        <v>296390</v>
      </c>
      <c r="W36" s="225"/>
      <c r="X36" s="96">
        <f ca="1">ROUNDUP( (1-MIN(ROUND(facs_rezone_factor*TblRezone[[#This Row],[Facs]],4),facs_rezone_max) + tech_6_4*TblTech[[#This Row],[6-4]] + tech_10_2*TblTech[[#This Row],[10-2]] - IF(TblMagic[[#This Row],[Active Mechanical Genius]]&gt;0,mech_genius_bonus,0) + race_rezone_cost) * TblRezone[[#This Row],[Plat/acre*]],0)</f>
        <v>250</v>
      </c>
      <c r="Y36" s="96">
        <f ca="1">TblRezone[[#This Row],[Total acres]]*TblRezone[[#This Row],[Plat/acre]]</f>
        <v>0</v>
      </c>
      <c r="Z36" s="225"/>
      <c r="AA36" s="96">
        <f ca="1">250+0.6*(TblRezone[[#This Row],[Land]]-250)</f>
        <v>250</v>
      </c>
      <c r="AB36" s="225"/>
      <c r="AC36" s="159">
        <f ca="1">TblConstr[[#This Row],[Facs DB]]</f>
        <v>0</v>
      </c>
    </row>
    <row r="37" spans="1:29" x14ac:dyDescent="0.2">
      <c r="A37" s="224">
        <f ca="1">TblConstr[[#This Row],[Land]]</f>
        <v>250</v>
      </c>
      <c r="B37" s="226">
        <f ca="1">TblConstr[[#This Row],[Plain]]</f>
        <v>40</v>
      </c>
      <c r="C37" s="184">
        <f ca="1">TblConstr[[#This Row],[Forest]]</f>
        <v>20</v>
      </c>
      <c r="D37" s="384">
        <f ca="1">TblConstr[[#This Row],[Mountain]]</f>
        <v>20</v>
      </c>
      <c r="E37" s="388">
        <f ca="1">TblConstr[[#This Row],[Hill]]</f>
        <v>20</v>
      </c>
      <c r="F37" s="392">
        <f ca="1">TblConstr[[#This Row],[Swamp]]</f>
        <v>20</v>
      </c>
      <c r="G37" s="187">
        <f ca="1">TblConstr[[#This Row],[Cavern]]</f>
        <v>20</v>
      </c>
      <c r="H37" s="188">
        <f ca="1">TblConstr[[#This Row],[Water]]</f>
        <v>20</v>
      </c>
      <c r="I37" s="225"/>
      <c r="J37" s="177">
        <f t="shared" si="1"/>
        <v>34</v>
      </c>
      <c r="K37" s="249">
        <f ca="1">TblImps[[#This Row],[Real time]]</f>
        <v>45733.37499999992</v>
      </c>
      <c r="L37" s="181"/>
      <c r="M37" s="181"/>
      <c r="N37" s="181"/>
      <c r="O37" s="181"/>
      <c r="P37" s="181"/>
      <c r="Q37" s="181"/>
      <c r="R37" s="181"/>
      <c r="S37" s="96">
        <f>SUMIF(TblRezone[[#This Row],[Plains Rezone]:[Water Rezone]],"&gt;0")</f>
        <v>0</v>
      </c>
      <c r="T37" s="61" t="str">
        <f>IF(SUM(TblRezone[[#This Row],[Plains Rezone]:[Water Rezone]])=0,"Ok","Nope")</f>
        <v>Ok</v>
      </c>
      <c r="U37" s="225"/>
      <c r="V37" s="96">
        <f ca="1">TblProd[[#This Row],[Platinum]]</f>
        <v>301916</v>
      </c>
      <c r="W37" s="225"/>
      <c r="X37" s="96">
        <f ca="1">ROUNDUP( (1-MIN(ROUND(facs_rezone_factor*TblRezone[[#This Row],[Facs]],4),facs_rezone_max) + tech_6_4*TblTech[[#This Row],[6-4]] + tech_10_2*TblTech[[#This Row],[10-2]] - IF(TblMagic[[#This Row],[Active Mechanical Genius]]&gt;0,mech_genius_bonus,0) + race_rezone_cost) * TblRezone[[#This Row],[Plat/acre*]],0)</f>
        <v>250</v>
      </c>
      <c r="Y37" s="96">
        <f ca="1">TblRezone[[#This Row],[Total acres]]*TblRezone[[#This Row],[Plat/acre]]</f>
        <v>0</v>
      </c>
      <c r="Z37" s="225"/>
      <c r="AA37" s="96">
        <f ca="1">250+0.6*(TblRezone[[#This Row],[Land]]-250)</f>
        <v>250</v>
      </c>
      <c r="AB37" s="225"/>
      <c r="AC37" s="159">
        <f ca="1">TblConstr[[#This Row],[Facs DB]]</f>
        <v>0</v>
      </c>
    </row>
    <row r="38" spans="1:29" x14ac:dyDescent="0.2">
      <c r="A38" s="224">
        <f ca="1">TblConstr[[#This Row],[Land]]</f>
        <v>250</v>
      </c>
      <c r="B38" s="226">
        <f ca="1">TblConstr[[#This Row],[Plain]]</f>
        <v>40</v>
      </c>
      <c r="C38" s="184">
        <f ca="1">TblConstr[[#This Row],[Forest]]</f>
        <v>20</v>
      </c>
      <c r="D38" s="384">
        <f ca="1">TblConstr[[#This Row],[Mountain]]</f>
        <v>20</v>
      </c>
      <c r="E38" s="388">
        <f ca="1">TblConstr[[#This Row],[Hill]]</f>
        <v>20</v>
      </c>
      <c r="F38" s="392">
        <f ca="1">TblConstr[[#This Row],[Swamp]]</f>
        <v>20</v>
      </c>
      <c r="G38" s="187">
        <f ca="1">TblConstr[[#This Row],[Cavern]]</f>
        <v>20</v>
      </c>
      <c r="H38" s="188">
        <f ca="1">TblConstr[[#This Row],[Water]]</f>
        <v>20</v>
      </c>
      <c r="I38" s="225"/>
      <c r="J38" s="177">
        <f t="shared" si="1"/>
        <v>35</v>
      </c>
      <c r="K38" s="249">
        <f ca="1">TblImps[[#This Row],[Real time]]</f>
        <v>45733.416666666584</v>
      </c>
      <c r="L38" s="181"/>
      <c r="M38" s="181"/>
      <c r="N38" s="181"/>
      <c r="O38" s="181"/>
      <c r="P38" s="181"/>
      <c r="Q38" s="181"/>
      <c r="R38" s="181"/>
      <c r="S38" s="96">
        <f>SUMIF(TblRezone[[#This Row],[Plains Rezone]:[Water Rezone]],"&gt;0")</f>
        <v>0</v>
      </c>
      <c r="T38" s="61" t="str">
        <f>IF(SUM(TblRezone[[#This Row],[Plains Rezone]:[Water Rezone]])=0,"Ok","Nope")</f>
        <v>Ok</v>
      </c>
      <c r="U38" s="225"/>
      <c r="V38" s="96">
        <f ca="1">TblProd[[#This Row],[Platinum]]</f>
        <v>307402</v>
      </c>
      <c r="W38" s="225"/>
      <c r="X38" s="96">
        <f ca="1">ROUNDUP( (1-MIN(ROUND(facs_rezone_factor*TblRezone[[#This Row],[Facs]],4),facs_rezone_max) + tech_6_4*TblTech[[#This Row],[6-4]] + tech_10_2*TblTech[[#This Row],[10-2]] - IF(TblMagic[[#This Row],[Active Mechanical Genius]]&gt;0,mech_genius_bonus,0) + race_rezone_cost) * TblRezone[[#This Row],[Plat/acre*]],0)</f>
        <v>250</v>
      </c>
      <c r="Y38" s="96">
        <f ca="1">TblRezone[[#This Row],[Total acres]]*TblRezone[[#This Row],[Plat/acre]]</f>
        <v>0</v>
      </c>
      <c r="Z38" s="225"/>
      <c r="AA38" s="96">
        <f ca="1">250+0.6*(TblRezone[[#This Row],[Land]]-250)</f>
        <v>250</v>
      </c>
      <c r="AB38" s="225"/>
      <c r="AC38" s="159">
        <f ca="1">TblConstr[[#This Row],[Facs DB]]</f>
        <v>0</v>
      </c>
    </row>
    <row r="39" spans="1:29" x14ac:dyDescent="0.2">
      <c r="A39" s="224">
        <f ca="1">TblConstr[[#This Row],[Land]]</f>
        <v>250</v>
      </c>
      <c r="B39" s="226">
        <f ca="1">TblConstr[[#This Row],[Plain]]</f>
        <v>40</v>
      </c>
      <c r="C39" s="184">
        <f ca="1">TblConstr[[#This Row],[Forest]]</f>
        <v>20</v>
      </c>
      <c r="D39" s="384">
        <f ca="1">TblConstr[[#This Row],[Mountain]]</f>
        <v>20</v>
      </c>
      <c r="E39" s="388">
        <f ca="1">TblConstr[[#This Row],[Hill]]</f>
        <v>20</v>
      </c>
      <c r="F39" s="392">
        <f ca="1">TblConstr[[#This Row],[Swamp]]</f>
        <v>20</v>
      </c>
      <c r="G39" s="187">
        <f ca="1">TblConstr[[#This Row],[Cavern]]</f>
        <v>20</v>
      </c>
      <c r="H39" s="188">
        <f ca="1">TblConstr[[#This Row],[Water]]</f>
        <v>20</v>
      </c>
      <c r="I39" s="225"/>
      <c r="J39" s="177">
        <f t="shared" si="1"/>
        <v>36</v>
      </c>
      <c r="K39" s="249">
        <f ca="1">TblImps[[#This Row],[Real time]]</f>
        <v>45733.458333333248</v>
      </c>
      <c r="L39" s="181"/>
      <c r="M39" s="181"/>
      <c r="N39" s="181"/>
      <c r="O39" s="181"/>
      <c r="P39" s="181"/>
      <c r="Q39" s="181"/>
      <c r="R39" s="181"/>
      <c r="S39" s="96">
        <f>SUMIF(TblRezone[[#This Row],[Plains Rezone]:[Water Rezone]],"&gt;0")</f>
        <v>0</v>
      </c>
      <c r="T39" s="61" t="str">
        <f>IF(SUM(TblRezone[[#This Row],[Plains Rezone]:[Water Rezone]])=0,"Ok","Nope")</f>
        <v>Ok</v>
      </c>
      <c r="U39" s="225"/>
      <c r="V39" s="96">
        <f ca="1">TblProd[[#This Row],[Platinum]]</f>
        <v>312888</v>
      </c>
      <c r="W39" s="225"/>
      <c r="X39" s="96">
        <f ca="1">ROUNDUP( (1-MIN(ROUND(facs_rezone_factor*TblRezone[[#This Row],[Facs]],4),facs_rezone_max) + tech_6_4*TblTech[[#This Row],[6-4]] + tech_10_2*TblTech[[#This Row],[10-2]] - IF(TblMagic[[#This Row],[Active Mechanical Genius]]&gt;0,mech_genius_bonus,0) + race_rezone_cost) * TblRezone[[#This Row],[Plat/acre*]],0)</f>
        <v>250</v>
      </c>
      <c r="Y39" s="96">
        <f ca="1">TblRezone[[#This Row],[Total acres]]*TblRezone[[#This Row],[Plat/acre]]</f>
        <v>0</v>
      </c>
      <c r="Z39" s="225"/>
      <c r="AA39" s="96">
        <f ca="1">250+0.6*(TblRezone[[#This Row],[Land]]-250)</f>
        <v>250</v>
      </c>
      <c r="AB39" s="225"/>
      <c r="AC39" s="159">
        <f ca="1">TblConstr[[#This Row],[Facs DB]]</f>
        <v>0</v>
      </c>
    </row>
    <row r="40" spans="1:29" x14ac:dyDescent="0.2">
      <c r="A40" s="224">
        <f ca="1">TblConstr[[#This Row],[Land]]</f>
        <v>250</v>
      </c>
      <c r="B40" s="226">
        <f ca="1">TblConstr[[#This Row],[Plain]]</f>
        <v>40</v>
      </c>
      <c r="C40" s="184">
        <f ca="1">TblConstr[[#This Row],[Forest]]</f>
        <v>20</v>
      </c>
      <c r="D40" s="384">
        <f ca="1">TblConstr[[#This Row],[Mountain]]</f>
        <v>20</v>
      </c>
      <c r="E40" s="388">
        <f ca="1">TblConstr[[#This Row],[Hill]]</f>
        <v>20</v>
      </c>
      <c r="F40" s="392">
        <f ca="1">TblConstr[[#This Row],[Swamp]]</f>
        <v>20</v>
      </c>
      <c r="G40" s="187">
        <f ca="1">TblConstr[[#This Row],[Cavern]]</f>
        <v>20</v>
      </c>
      <c r="H40" s="188">
        <f ca="1">TblConstr[[#This Row],[Water]]</f>
        <v>20</v>
      </c>
      <c r="I40" s="225"/>
      <c r="J40" s="177">
        <f t="shared" si="1"/>
        <v>37</v>
      </c>
      <c r="K40" s="249">
        <f ca="1">TblImps[[#This Row],[Real time]]</f>
        <v>45733.499999999913</v>
      </c>
      <c r="L40" s="181"/>
      <c r="M40" s="181"/>
      <c r="N40" s="181"/>
      <c r="O40" s="181"/>
      <c r="P40" s="181"/>
      <c r="Q40" s="181"/>
      <c r="R40" s="181"/>
      <c r="S40" s="96">
        <f>SUMIF(TblRezone[[#This Row],[Plains Rezone]:[Water Rezone]],"&gt;0")</f>
        <v>0</v>
      </c>
      <c r="T40" s="61" t="str">
        <f>IF(SUM(TblRezone[[#This Row],[Plains Rezone]:[Water Rezone]])=0,"Ok","Nope")</f>
        <v>Ok</v>
      </c>
      <c r="U40" s="225"/>
      <c r="V40" s="96">
        <f ca="1">TblProd[[#This Row],[Platinum]]</f>
        <v>318374</v>
      </c>
      <c r="W40" s="225"/>
      <c r="X40" s="96">
        <f ca="1">ROUNDUP( (1-MIN(ROUND(facs_rezone_factor*TblRezone[[#This Row],[Facs]],4),facs_rezone_max) + tech_6_4*TblTech[[#This Row],[6-4]] + tech_10_2*TblTech[[#This Row],[10-2]] - IF(TblMagic[[#This Row],[Active Mechanical Genius]]&gt;0,mech_genius_bonus,0) + race_rezone_cost) * TblRezone[[#This Row],[Plat/acre*]],0)</f>
        <v>250</v>
      </c>
      <c r="Y40" s="96">
        <f ca="1">TblRezone[[#This Row],[Total acres]]*TblRezone[[#This Row],[Plat/acre]]</f>
        <v>0</v>
      </c>
      <c r="Z40" s="225"/>
      <c r="AA40" s="96">
        <f ca="1">250+0.6*(TblRezone[[#This Row],[Land]]-250)</f>
        <v>250</v>
      </c>
      <c r="AB40" s="225"/>
      <c r="AC40" s="159">
        <f ca="1">TblConstr[[#This Row],[Facs DB]]</f>
        <v>0</v>
      </c>
    </row>
    <row r="41" spans="1:29" x14ac:dyDescent="0.2">
      <c r="A41" s="224">
        <f ca="1">TblConstr[[#This Row],[Land]]</f>
        <v>250</v>
      </c>
      <c r="B41" s="226">
        <f ca="1">TblConstr[[#This Row],[Plain]]</f>
        <v>40</v>
      </c>
      <c r="C41" s="184">
        <f ca="1">TblConstr[[#This Row],[Forest]]</f>
        <v>20</v>
      </c>
      <c r="D41" s="384">
        <f ca="1">TblConstr[[#This Row],[Mountain]]</f>
        <v>20</v>
      </c>
      <c r="E41" s="388">
        <f ca="1">TblConstr[[#This Row],[Hill]]</f>
        <v>20</v>
      </c>
      <c r="F41" s="392">
        <f ca="1">TblConstr[[#This Row],[Swamp]]</f>
        <v>20</v>
      </c>
      <c r="G41" s="187">
        <f ca="1">TblConstr[[#This Row],[Cavern]]</f>
        <v>20</v>
      </c>
      <c r="H41" s="188">
        <f ca="1">TblConstr[[#This Row],[Water]]</f>
        <v>20</v>
      </c>
      <c r="I41" s="225"/>
      <c r="J41" s="177">
        <f t="shared" si="1"/>
        <v>38</v>
      </c>
      <c r="K41" s="249">
        <f ca="1">TblImps[[#This Row],[Real time]]</f>
        <v>45733.541666666577</v>
      </c>
      <c r="L41" s="181"/>
      <c r="M41" s="181"/>
      <c r="N41" s="181"/>
      <c r="O41" s="181"/>
      <c r="P41" s="181"/>
      <c r="Q41" s="181"/>
      <c r="R41" s="181"/>
      <c r="S41" s="96">
        <f>SUMIF(TblRezone[[#This Row],[Plains Rezone]:[Water Rezone]],"&gt;0")</f>
        <v>0</v>
      </c>
      <c r="T41" s="61" t="str">
        <f>IF(SUM(TblRezone[[#This Row],[Plains Rezone]:[Water Rezone]])=0,"Ok","Nope")</f>
        <v>Ok</v>
      </c>
      <c r="U41" s="225"/>
      <c r="V41" s="96">
        <f ca="1">TblProd[[#This Row],[Platinum]]</f>
        <v>323860</v>
      </c>
      <c r="W41" s="225"/>
      <c r="X41" s="96">
        <f ca="1">ROUNDUP( (1-MIN(ROUND(facs_rezone_factor*TblRezone[[#This Row],[Facs]],4),facs_rezone_max) + tech_6_4*TblTech[[#This Row],[6-4]] + tech_10_2*TblTech[[#This Row],[10-2]] - IF(TblMagic[[#This Row],[Active Mechanical Genius]]&gt;0,mech_genius_bonus,0) + race_rezone_cost) * TblRezone[[#This Row],[Plat/acre*]],0)</f>
        <v>250</v>
      </c>
      <c r="Y41" s="96">
        <f ca="1">TblRezone[[#This Row],[Total acres]]*TblRezone[[#This Row],[Plat/acre]]</f>
        <v>0</v>
      </c>
      <c r="Z41" s="225"/>
      <c r="AA41" s="96">
        <f ca="1">250+0.6*(TblRezone[[#This Row],[Land]]-250)</f>
        <v>250</v>
      </c>
      <c r="AB41" s="225"/>
      <c r="AC41" s="159">
        <f ca="1">TblConstr[[#This Row],[Facs DB]]</f>
        <v>0</v>
      </c>
    </row>
    <row r="42" spans="1:29" x14ac:dyDescent="0.2">
      <c r="A42" s="224">
        <f ca="1">TblConstr[[#This Row],[Land]]</f>
        <v>250</v>
      </c>
      <c r="B42" s="226">
        <f ca="1">TblConstr[[#This Row],[Plain]]</f>
        <v>40</v>
      </c>
      <c r="C42" s="184">
        <f ca="1">TblConstr[[#This Row],[Forest]]</f>
        <v>20</v>
      </c>
      <c r="D42" s="384">
        <f ca="1">TblConstr[[#This Row],[Mountain]]</f>
        <v>20</v>
      </c>
      <c r="E42" s="388">
        <f ca="1">TblConstr[[#This Row],[Hill]]</f>
        <v>20</v>
      </c>
      <c r="F42" s="392">
        <f ca="1">TblConstr[[#This Row],[Swamp]]</f>
        <v>20</v>
      </c>
      <c r="G42" s="187">
        <f ca="1">TblConstr[[#This Row],[Cavern]]</f>
        <v>20</v>
      </c>
      <c r="H42" s="188">
        <f ca="1">TblConstr[[#This Row],[Water]]</f>
        <v>20</v>
      </c>
      <c r="I42" s="225"/>
      <c r="J42" s="177">
        <f t="shared" si="1"/>
        <v>39</v>
      </c>
      <c r="K42" s="249">
        <f ca="1">TblImps[[#This Row],[Real time]]</f>
        <v>45733.583333333241</v>
      </c>
      <c r="L42" s="181"/>
      <c r="M42" s="181"/>
      <c r="N42" s="181"/>
      <c r="O42" s="181"/>
      <c r="P42" s="181"/>
      <c r="Q42" s="181"/>
      <c r="R42" s="181"/>
      <c r="S42" s="96">
        <f>SUMIF(TblRezone[[#This Row],[Plains Rezone]:[Water Rezone]],"&gt;0")</f>
        <v>0</v>
      </c>
      <c r="T42" s="61" t="str">
        <f>IF(SUM(TblRezone[[#This Row],[Plains Rezone]:[Water Rezone]])=0,"Ok","Nope")</f>
        <v>Ok</v>
      </c>
      <c r="U42" s="225"/>
      <c r="V42" s="96">
        <f ca="1">TblProd[[#This Row],[Platinum]]</f>
        <v>329346</v>
      </c>
      <c r="W42" s="225"/>
      <c r="X42" s="96">
        <f ca="1">ROUNDUP( (1-MIN(ROUND(facs_rezone_factor*TblRezone[[#This Row],[Facs]],4),facs_rezone_max) + tech_6_4*TblTech[[#This Row],[6-4]] + tech_10_2*TblTech[[#This Row],[10-2]] - IF(TblMagic[[#This Row],[Active Mechanical Genius]]&gt;0,mech_genius_bonus,0) + race_rezone_cost) * TblRezone[[#This Row],[Plat/acre*]],0)</f>
        <v>250</v>
      </c>
      <c r="Y42" s="96">
        <f ca="1">TblRezone[[#This Row],[Total acres]]*TblRezone[[#This Row],[Plat/acre]]</f>
        <v>0</v>
      </c>
      <c r="Z42" s="225"/>
      <c r="AA42" s="96">
        <f ca="1">250+0.6*(TblRezone[[#This Row],[Land]]-250)</f>
        <v>250</v>
      </c>
      <c r="AB42" s="225"/>
      <c r="AC42" s="159">
        <f ca="1">TblConstr[[#This Row],[Facs DB]]</f>
        <v>0</v>
      </c>
    </row>
    <row r="43" spans="1:29" x14ac:dyDescent="0.2">
      <c r="A43" s="224">
        <f ca="1">TblConstr[[#This Row],[Land]]</f>
        <v>250</v>
      </c>
      <c r="B43" s="226">
        <f ca="1">TblConstr[[#This Row],[Plain]]</f>
        <v>40</v>
      </c>
      <c r="C43" s="184">
        <f ca="1">TblConstr[[#This Row],[Forest]]</f>
        <v>20</v>
      </c>
      <c r="D43" s="384">
        <f ca="1">TblConstr[[#This Row],[Mountain]]</f>
        <v>20</v>
      </c>
      <c r="E43" s="388">
        <f ca="1">TblConstr[[#This Row],[Hill]]</f>
        <v>20</v>
      </c>
      <c r="F43" s="392">
        <f ca="1">TblConstr[[#This Row],[Swamp]]</f>
        <v>20</v>
      </c>
      <c r="G43" s="187">
        <f ca="1">TblConstr[[#This Row],[Cavern]]</f>
        <v>20</v>
      </c>
      <c r="H43" s="188">
        <f ca="1">TblConstr[[#This Row],[Water]]</f>
        <v>20</v>
      </c>
      <c r="I43" s="225"/>
      <c r="J43" s="177">
        <f t="shared" si="1"/>
        <v>40</v>
      </c>
      <c r="K43" s="249">
        <f ca="1">TblImps[[#This Row],[Real time]]</f>
        <v>45733.624999999905</v>
      </c>
      <c r="L43" s="181"/>
      <c r="M43" s="181"/>
      <c r="N43" s="181"/>
      <c r="O43" s="181"/>
      <c r="P43" s="181"/>
      <c r="Q43" s="181"/>
      <c r="R43" s="181"/>
      <c r="S43" s="96">
        <f>SUMIF(TblRezone[[#This Row],[Plains Rezone]:[Water Rezone]],"&gt;0")</f>
        <v>0</v>
      </c>
      <c r="T43" s="61" t="str">
        <f>IF(SUM(TblRezone[[#This Row],[Plains Rezone]:[Water Rezone]])=0,"Ok","Nope")</f>
        <v>Ok</v>
      </c>
      <c r="U43" s="225"/>
      <c r="V43" s="96">
        <f ca="1">TblProd[[#This Row],[Platinum]]</f>
        <v>334832</v>
      </c>
      <c r="W43" s="225"/>
      <c r="X43" s="96">
        <f ca="1">ROUNDUP( (1-MIN(ROUND(facs_rezone_factor*TblRezone[[#This Row],[Facs]],4),facs_rezone_max) + tech_6_4*TblTech[[#This Row],[6-4]] + tech_10_2*TblTech[[#This Row],[10-2]] - IF(TblMagic[[#This Row],[Active Mechanical Genius]]&gt;0,mech_genius_bonus,0) + race_rezone_cost) * TblRezone[[#This Row],[Plat/acre*]],0)</f>
        <v>250</v>
      </c>
      <c r="Y43" s="96">
        <f ca="1">TblRezone[[#This Row],[Total acres]]*TblRezone[[#This Row],[Plat/acre]]</f>
        <v>0</v>
      </c>
      <c r="Z43" s="225"/>
      <c r="AA43" s="96">
        <f ca="1">250+0.6*(TblRezone[[#This Row],[Land]]-250)</f>
        <v>250</v>
      </c>
      <c r="AB43" s="225"/>
      <c r="AC43" s="159">
        <f ca="1">TblConstr[[#This Row],[Facs DB]]</f>
        <v>0</v>
      </c>
    </row>
    <row r="44" spans="1:29" x14ac:dyDescent="0.2">
      <c r="A44" s="224">
        <f ca="1">TblConstr[[#This Row],[Land]]</f>
        <v>250</v>
      </c>
      <c r="B44" s="226">
        <f ca="1">TblConstr[[#This Row],[Plain]]</f>
        <v>40</v>
      </c>
      <c r="C44" s="184">
        <f ca="1">TblConstr[[#This Row],[Forest]]</f>
        <v>20</v>
      </c>
      <c r="D44" s="384">
        <f ca="1">TblConstr[[#This Row],[Mountain]]</f>
        <v>20</v>
      </c>
      <c r="E44" s="388">
        <f ca="1">TblConstr[[#This Row],[Hill]]</f>
        <v>20</v>
      </c>
      <c r="F44" s="392">
        <f ca="1">TblConstr[[#This Row],[Swamp]]</f>
        <v>20</v>
      </c>
      <c r="G44" s="187">
        <f ca="1">TblConstr[[#This Row],[Cavern]]</f>
        <v>20</v>
      </c>
      <c r="H44" s="188">
        <f ca="1">TblConstr[[#This Row],[Water]]</f>
        <v>20</v>
      </c>
      <c r="I44" s="225"/>
      <c r="J44" s="177">
        <f t="shared" si="1"/>
        <v>41</v>
      </c>
      <c r="K44" s="249">
        <f ca="1">TblImps[[#This Row],[Real time]]</f>
        <v>45733.66666666657</v>
      </c>
      <c r="L44" s="181"/>
      <c r="M44" s="181"/>
      <c r="N44" s="181"/>
      <c r="O44" s="181"/>
      <c r="P44" s="181"/>
      <c r="Q44" s="181"/>
      <c r="R44" s="181"/>
      <c r="S44" s="96">
        <f>SUMIF(TblRezone[[#This Row],[Plains Rezone]:[Water Rezone]],"&gt;0")</f>
        <v>0</v>
      </c>
      <c r="T44" s="61" t="str">
        <f>IF(SUM(TblRezone[[#This Row],[Plains Rezone]:[Water Rezone]])=0,"Ok","Nope")</f>
        <v>Ok</v>
      </c>
      <c r="U44" s="225"/>
      <c r="V44" s="96">
        <f ca="1">TblProd[[#This Row],[Platinum]]</f>
        <v>340318</v>
      </c>
      <c r="W44" s="225"/>
      <c r="X44" s="96">
        <f ca="1">ROUNDUP( (1-MIN(ROUND(facs_rezone_factor*TblRezone[[#This Row],[Facs]],4),facs_rezone_max) + tech_6_4*TblTech[[#This Row],[6-4]] + tech_10_2*TblTech[[#This Row],[10-2]] - IF(TblMagic[[#This Row],[Active Mechanical Genius]]&gt;0,mech_genius_bonus,0) + race_rezone_cost) * TblRezone[[#This Row],[Plat/acre*]],0)</f>
        <v>250</v>
      </c>
      <c r="Y44" s="96">
        <f ca="1">TblRezone[[#This Row],[Total acres]]*TblRezone[[#This Row],[Plat/acre]]</f>
        <v>0</v>
      </c>
      <c r="Z44" s="225"/>
      <c r="AA44" s="96">
        <f ca="1">250+0.6*(TblRezone[[#This Row],[Land]]-250)</f>
        <v>250</v>
      </c>
      <c r="AB44" s="225"/>
      <c r="AC44" s="159">
        <f ca="1">TblConstr[[#This Row],[Facs DB]]</f>
        <v>0</v>
      </c>
    </row>
    <row r="45" spans="1:29" x14ac:dyDescent="0.2">
      <c r="A45" s="224">
        <f ca="1">TblConstr[[#This Row],[Land]]</f>
        <v>250</v>
      </c>
      <c r="B45" s="226">
        <f ca="1">TblConstr[[#This Row],[Plain]]</f>
        <v>40</v>
      </c>
      <c r="C45" s="184">
        <f ca="1">TblConstr[[#This Row],[Forest]]</f>
        <v>20</v>
      </c>
      <c r="D45" s="384">
        <f ca="1">TblConstr[[#This Row],[Mountain]]</f>
        <v>20</v>
      </c>
      <c r="E45" s="388">
        <f ca="1">TblConstr[[#This Row],[Hill]]</f>
        <v>20</v>
      </c>
      <c r="F45" s="392">
        <f ca="1">TblConstr[[#This Row],[Swamp]]</f>
        <v>20</v>
      </c>
      <c r="G45" s="187">
        <f ca="1">TblConstr[[#This Row],[Cavern]]</f>
        <v>20</v>
      </c>
      <c r="H45" s="188">
        <f ca="1">TblConstr[[#This Row],[Water]]</f>
        <v>20</v>
      </c>
      <c r="I45" s="225"/>
      <c r="J45" s="177">
        <f t="shared" si="1"/>
        <v>42</v>
      </c>
      <c r="K45" s="249">
        <f ca="1">TblImps[[#This Row],[Real time]]</f>
        <v>45733.708333333234</v>
      </c>
      <c r="L45" s="181"/>
      <c r="M45" s="181"/>
      <c r="N45" s="181"/>
      <c r="O45" s="181"/>
      <c r="P45" s="181"/>
      <c r="Q45" s="181"/>
      <c r="R45" s="181"/>
      <c r="S45" s="96">
        <f>SUMIF(TblRezone[[#This Row],[Plains Rezone]:[Water Rezone]],"&gt;0")</f>
        <v>0</v>
      </c>
      <c r="T45" s="61" t="str">
        <f>IF(SUM(TblRezone[[#This Row],[Plains Rezone]:[Water Rezone]])=0,"Ok","Nope")</f>
        <v>Ok</v>
      </c>
      <c r="U45" s="225"/>
      <c r="V45" s="96">
        <f ca="1">TblProd[[#This Row],[Platinum]]</f>
        <v>345804</v>
      </c>
      <c r="W45" s="225"/>
      <c r="X45" s="96">
        <f ca="1">ROUNDUP( (1-MIN(ROUND(facs_rezone_factor*TblRezone[[#This Row],[Facs]],4),facs_rezone_max) + tech_6_4*TblTech[[#This Row],[6-4]] + tech_10_2*TblTech[[#This Row],[10-2]] - IF(TblMagic[[#This Row],[Active Mechanical Genius]]&gt;0,mech_genius_bonus,0) + race_rezone_cost) * TblRezone[[#This Row],[Plat/acre*]],0)</f>
        <v>250</v>
      </c>
      <c r="Y45" s="96">
        <f ca="1">TblRezone[[#This Row],[Total acres]]*TblRezone[[#This Row],[Plat/acre]]</f>
        <v>0</v>
      </c>
      <c r="Z45" s="225"/>
      <c r="AA45" s="96">
        <f ca="1">250+0.6*(TblRezone[[#This Row],[Land]]-250)</f>
        <v>250</v>
      </c>
      <c r="AB45" s="225"/>
      <c r="AC45" s="159">
        <f ca="1">TblConstr[[#This Row],[Facs DB]]</f>
        <v>0</v>
      </c>
    </row>
    <row r="46" spans="1:29" x14ac:dyDescent="0.2">
      <c r="A46" s="224">
        <f ca="1">TblConstr[[#This Row],[Land]]</f>
        <v>250</v>
      </c>
      <c r="B46" s="226">
        <f ca="1">TblConstr[[#This Row],[Plain]]</f>
        <v>40</v>
      </c>
      <c r="C46" s="184">
        <f ca="1">TblConstr[[#This Row],[Forest]]</f>
        <v>20</v>
      </c>
      <c r="D46" s="384">
        <f ca="1">TblConstr[[#This Row],[Mountain]]</f>
        <v>20</v>
      </c>
      <c r="E46" s="388">
        <f ca="1">TblConstr[[#This Row],[Hill]]</f>
        <v>20</v>
      </c>
      <c r="F46" s="392">
        <f ca="1">TblConstr[[#This Row],[Swamp]]</f>
        <v>20</v>
      </c>
      <c r="G46" s="187">
        <f ca="1">TblConstr[[#This Row],[Cavern]]</f>
        <v>20</v>
      </c>
      <c r="H46" s="188">
        <f ca="1">TblConstr[[#This Row],[Water]]</f>
        <v>20</v>
      </c>
      <c r="I46" s="225"/>
      <c r="J46" s="177">
        <f t="shared" si="1"/>
        <v>43</v>
      </c>
      <c r="K46" s="249">
        <f ca="1">TblImps[[#This Row],[Real time]]</f>
        <v>45733.749999999898</v>
      </c>
      <c r="L46" s="181"/>
      <c r="M46" s="181"/>
      <c r="N46" s="181"/>
      <c r="O46" s="181"/>
      <c r="P46" s="181"/>
      <c r="Q46" s="181"/>
      <c r="R46" s="181"/>
      <c r="S46" s="96">
        <f>SUMIF(TblRezone[[#This Row],[Plains Rezone]:[Water Rezone]],"&gt;0")</f>
        <v>0</v>
      </c>
      <c r="T46" s="61" t="str">
        <f>IF(SUM(TblRezone[[#This Row],[Plains Rezone]:[Water Rezone]])=0,"Ok","Nope")</f>
        <v>Ok</v>
      </c>
      <c r="U46" s="225"/>
      <c r="V46" s="96">
        <f ca="1">TblProd[[#This Row],[Platinum]]</f>
        <v>351290</v>
      </c>
      <c r="W46" s="225"/>
      <c r="X46" s="96">
        <f ca="1">ROUNDUP( (1-MIN(ROUND(facs_rezone_factor*TblRezone[[#This Row],[Facs]],4),facs_rezone_max) + tech_6_4*TblTech[[#This Row],[6-4]] + tech_10_2*TblTech[[#This Row],[10-2]] - IF(TblMagic[[#This Row],[Active Mechanical Genius]]&gt;0,mech_genius_bonus,0) + race_rezone_cost) * TblRezone[[#This Row],[Plat/acre*]],0)</f>
        <v>250</v>
      </c>
      <c r="Y46" s="96">
        <f ca="1">TblRezone[[#This Row],[Total acres]]*TblRezone[[#This Row],[Plat/acre]]</f>
        <v>0</v>
      </c>
      <c r="Z46" s="225"/>
      <c r="AA46" s="96">
        <f ca="1">250+0.6*(TblRezone[[#This Row],[Land]]-250)</f>
        <v>250</v>
      </c>
      <c r="AB46" s="225"/>
      <c r="AC46" s="159">
        <f ca="1">TblConstr[[#This Row],[Facs DB]]</f>
        <v>0</v>
      </c>
    </row>
    <row r="47" spans="1:29" x14ac:dyDescent="0.2">
      <c r="A47" s="224">
        <f ca="1">TblConstr[[#This Row],[Land]]</f>
        <v>250</v>
      </c>
      <c r="B47" s="226">
        <f ca="1">TblConstr[[#This Row],[Plain]]</f>
        <v>40</v>
      </c>
      <c r="C47" s="184">
        <f ca="1">TblConstr[[#This Row],[Forest]]</f>
        <v>20</v>
      </c>
      <c r="D47" s="384">
        <f ca="1">TblConstr[[#This Row],[Mountain]]</f>
        <v>20</v>
      </c>
      <c r="E47" s="388">
        <f ca="1">TblConstr[[#This Row],[Hill]]</f>
        <v>20</v>
      </c>
      <c r="F47" s="392">
        <f ca="1">TblConstr[[#This Row],[Swamp]]</f>
        <v>20</v>
      </c>
      <c r="G47" s="187">
        <f ca="1">TblConstr[[#This Row],[Cavern]]</f>
        <v>20</v>
      </c>
      <c r="H47" s="188">
        <f ca="1">TblConstr[[#This Row],[Water]]</f>
        <v>20</v>
      </c>
      <c r="I47" s="225"/>
      <c r="J47" s="177">
        <f t="shared" si="1"/>
        <v>44</v>
      </c>
      <c r="K47" s="249">
        <f ca="1">TblImps[[#This Row],[Real time]]</f>
        <v>45733.791666666562</v>
      </c>
      <c r="L47" s="181"/>
      <c r="M47" s="181"/>
      <c r="N47" s="181"/>
      <c r="O47" s="181"/>
      <c r="P47" s="181"/>
      <c r="Q47" s="181"/>
      <c r="R47" s="181"/>
      <c r="S47" s="96">
        <f>SUMIF(TblRezone[[#This Row],[Plains Rezone]:[Water Rezone]],"&gt;0")</f>
        <v>0</v>
      </c>
      <c r="T47" s="61" t="str">
        <f>IF(SUM(TblRezone[[#This Row],[Plains Rezone]:[Water Rezone]])=0,"Ok","Nope")</f>
        <v>Ok</v>
      </c>
      <c r="U47" s="225"/>
      <c r="V47" s="96">
        <f ca="1">TblProd[[#This Row],[Platinum]]</f>
        <v>356776</v>
      </c>
      <c r="W47" s="225"/>
      <c r="X47" s="96">
        <f ca="1">ROUNDUP( (1-MIN(ROUND(facs_rezone_factor*TblRezone[[#This Row],[Facs]],4),facs_rezone_max) + tech_6_4*TblTech[[#This Row],[6-4]] + tech_10_2*TblTech[[#This Row],[10-2]] - IF(TblMagic[[#This Row],[Active Mechanical Genius]]&gt;0,mech_genius_bonus,0) + race_rezone_cost) * TblRezone[[#This Row],[Plat/acre*]],0)</f>
        <v>250</v>
      </c>
      <c r="Y47" s="96">
        <f ca="1">TblRezone[[#This Row],[Total acres]]*TblRezone[[#This Row],[Plat/acre]]</f>
        <v>0</v>
      </c>
      <c r="Z47" s="225"/>
      <c r="AA47" s="96">
        <f ca="1">250+0.6*(TblRezone[[#This Row],[Land]]-250)</f>
        <v>250</v>
      </c>
      <c r="AB47" s="225"/>
      <c r="AC47" s="159">
        <f ca="1">TblConstr[[#This Row],[Facs DB]]</f>
        <v>0</v>
      </c>
    </row>
    <row r="48" spans="1:29" x14ac:dyDescent="0.2">
      <c r="A48" s="224">
        <f ca="1">TblConstr[[#This Row],[Land]]</f>
        <v>250</v>
      </c>
      <c r="B48" s="226">
        <f ca="1">TblConstr[[#This Row],[Plain]]</f>
        <v>40</v>
      </c>
      <c r="C48" s="184">
        <f ca="1">TblConstr[[#This Row],[Forest]]</f>
        <v>20</v>
      </c>
      <c r="D48" s="384">
        <f ca="1">TblConstr[[#This Row],[Mountain]]</f>
        <v>20</v>
      </c>
      <c r="E48" s="388">
        <f ca="1">TblConstr[[#This Row],[Hill]]</f>
        <v>20</v>
      </c>
      <c r="F48" s="392">
        <f ca="1">TblConstr[[#This Row],[Swamp]]</f>
        <v>20</v>
      </c>
      <c r="G48" s="187">
        <f ca="1">TblConstr[[#This Row],[Cavern]]</f>
        <v>20</v>
      </c>
      <c r="H48" s="188">
        <f ca="1">TblConstr[[#This Row],[Water]]</f>
        <v>20</v>
      </c>
      <c r="I48" s="225"/>
      <c r="J48" s="177">
        <f t="shared" si="1"/>
        <v>45</v>
      </c>
      <c r="K48" s="249">
        <f ca="1">TblImps[[#This Row],[Real time]]</f>
        <v>45733.833333333227</v>
      </c>
      <c r="L48" s="181"/>
      <c r="M48" s="181"/>
      <c r="N48" s="181"/>
      <c r="O48" s="181"/>
      <c r="P48" s="181"/>
      <c r="Q48" s="181"/>
      <c r="R48" s="181"/>
      <c r="S48" s="96">
        <f>SUMIF(TblRezone[[#This Row],[Plains Rezone]:[Water Rezone]],"&gt;0")</f>
        <v>0</v>
      </c>
      <c r="T48" s="61" t="str">
        <f>IF(SUM(TblRezone[[#This Row],[Plains Rezone]:[Water Rezone]])=0,"Ok","Nope")</f>
        <v>Ok</v>
      </c>
      <c r="U48" s="225"/>
      <c r="V48" s="96">
        <f ca="1">TblProd[[#This Row],[Platinum]]</f>
        <v>362262</v>
      </c>
      <c r="W48" s="225"/>
      <c r="X48" s="96">
        <f ca="1">ROUNDUP( (1-MIN(ROUND(facs_rezone_factor*TblRezone[[#This Row],[Facs]],4),facs_rezone_max) + tech_6_4*TblTech[[#This Row],[6-4]] + tech_10_2*TblTech[[#This Row],[10-2]] - IF(TblMagic[[#This Row],[Active Mechanical Genius]]&gt;0,mech_genius_bonus,0) + race_rezone_cost) * TblRezone[[#This Row],[Plat/acre*]],0)</f>
        <v>250</v>
      </c>
      <c r="Y48" s="96">
        <f ca="1">TblRezone[[#This Row],[Total acres]]*TblRezone[[#This Row],[Plat/acre]]</f>
        <v>0</v>
      </c>
      <c r="Z48" s="225"/>
      <c r="AA48" s="96">
        <f ca="1">250+0.6*(TblRezone[[#This Row],[Land]]-250)</f>
        <v>250</v>
      </c>
      <c r="AB48" s="225"/>
      <c r="AC48" s="159">
        <f ca="1">TblConstr[[#This Row],[Facs DB]]</f>
        <v>0</v>
      </c>
    </row>
    <row r="49" spans="1:29" x14ac:dyDescent="0.2">
      <c r="A49" s="224">
        <f ca="1">TblConstr[[#This Row],[Land]]</f>
        <v>250</v>
      </c>
      <c r="B49" s="226">
        <f ca="1">TblConstr[[#This Row],[Plain]]</f>
        <v>40</v>
      </c>
      <c r="C49" s="184">
        <f ca="1">TblConstr[[#This Row],[Forest]]</f>
        <v>20</v>
      </c>
      <c r="D49" s="384">
        <f ca="1">TblConstr[[#This Row],[Mountain]]</f>
        <v>20</v>
      </c>
      <c r="E49" s="388">
        <f ca="1">TblConstr[[#This Row],[Hill]]</f>
        <v>20</v>
      </c>
      <c r="F49" s="392">
        <f ca="1">TblConstr[[#This Row],[Swamp]]</f>
        <v>20</v>
      </c>
      <c r="G49" s="187">
        <f ca="1">TblConstr[[#This Row],[Cavern]]</f>
        <v>20</v>
      </c>
      <c r="H49" s="188">
        <f ca="1">TblConstr[[#This Row],[Water]]</f>
        <v>20</v>
      </c>
      <c r="I49" s="225"/>
      <c r="J49" s="177">
        <f t="shared" si="1"/>
        <v>46</v>
      </c>
      <c r="K49" s="249">
        <f ca="1">TblImps[[#This Row],[Real time]]</f>
        <v>45733.874999999891</v>
      </c>
      <c r="L49" s="181"/>
      <c r="M49" s="181"/>
      <c r="N49" s="181"/>
      <c r="O49" s="181"/>
      <c r="P49" s="181"/>
      <c r="Q49" s="181"/>
      <c r="R49" s="181"/>
      <c r="S49" s="96">
        <f>SUMIF(TblRezone[[#This Row],[Plains Rezone]:[Water Rezone]],"&gt;0")</f>
        <v>0</v>
      </c>
      <c r="T49" s="61" t="str">
        <f>IF(SUM(TblRezone[[#This Row],[Plains Rezone]:[Water Rezone]])=0,"Ok","Nope")</f>
        <v>Ok</v>
      </c>
      <c r="U49" s="225"/>
      <c r="V49" s="96">
        <f ca="1">TblProd[[#This Row],[Platinum]]</f>
        <v>367748</v>
      </c>
      <c r="W49" s="225"/>
      <c r="X49" s="96">
        <f ca="1">ROUNDUP( (1-MIN(ROUND(facs_rezone_factor*TblRezone[[#This Row],[Facs]],4),facs_rezone_max) + tech_6_4*TblTech[[#This Row],[6-4]] + tech_10_2*TblTech[[#This Row],[10-2]] - IF(TblMagic[[#This Row],[Active Mechanical Genius]]&gt;0,mech_genius_bonus,0) + race_rezone_cost) * TblRezone[[#This Row],[Plat/acre*]],0)</f>
        <v>250</v>
      </c>
      <c r="Y49" s="96">
        <f ca="1">TblRezone[[#This Row],[Total acres]]*TblRezone[[#This Row],[Plat/acre]]</f>
        <v>0</v>
      </c>
      <c r="Z49" s="225"/>
      <c r="AA49" s="96">
        <f ca="1">250+0.6*(TblRezone[[#This Row],[Land]]-250)</f>
        <v>250</v>
      </c>
      <c r="AB49" s="225"/>
      <c r="AC49" s="159">
        <f ca="1">TblConstr[[#This Row],[Facs DB]]</f>
        <v>0</v>
      </c>
    </row>
    <row r="50" spans="1:29" x14ac:dyDescent="0.2">
      <c r="A50" s="224">
        <f ca="1">TblConstr[[#This Row],[Land]]</f>
        <v>250</v>
      </c>
      <c r="B50" s="226">
        <f ca="1">TblConstr[[#This Row],[Plain]]</f>
        <v>40</v>
      </c>
      <c r="C50" s="184">
        <f ca="1">TblConstr[[#This Row],[Forest]]</f>
        <v>20</v>
      </c>
      <c r="D50" s="384">
        <f ca="1">TblConstr[[#This Row],[Mountain]]</f>
        <v>20</v>
      </c>
      <c r="E50" s="388">
        <f ca="1">TblConstr[[#This Row],[Hill]]</f>
        <v>20</v>
      </c>
      <c r="F50" s="392">
        <f ca="1">TblConstr[[#This Row],[Swamp]]</f>
        <v>20</v>
      </c>
      <c r="G50" s="187">
        <f ca="1">TblConstr[[#This Row],[Cavern]]</f>
        <v>20</v>
      </c>
      <c r="H50" s="188">
        <f ca="1">TblConstr[[#This Row],[Water]]</f>
        <v>20</v>
      </c>
      <c r="I50" s="225"/>
      <c r="J50" s="177">
        <f t="shared" si="1"/>
        <v>47</v>
      </c>
      <c r="K50" s="249">
        <f ca="1">TblImps[[#This Row],[Real time]]</f>
        <v>45733.916666666555</v>
      </c>
      <c r="L50" s="181"/>
      <c r="M50" s="181"/>
      <c r="N50" s="181"/>
      <c r="O50" s="181"/>
      <c r="P50" s="181"/>
      <c r="Q50" s="181"/>
      <c r="R50" s="181"/>
      <c r="S50" s="96">
        <f>SUMIF(TblRezone[[#This Row],[Plains Rezone]:[Water Rezone]],"&gt;0")</f>
        <v>0</v>
      </c>
      <c r="T50" s="61" t="str">
        <f>IF(SUM(TblRezone[[#This Row],[Plains Rezone]:[Water Rezone]])=0,"Ok","Nope")</f>
        <v>Ok</v>
      </c>
      <c r="U50" s="225"/>
      <c r="V50" s="96">
        <f ca="1">TblProd[[#This Row],[Platinum]]</f>
        <v>373234</v>
      </c>
      <c r="W50" s="225"/>
      <c r="X50" s="96">
        <f ca="1">ROUNDUP( (1-MIN(ROUND(facs_rezone_factor*TblRezone[[#This Row],[Facs]],4),facs_rezone_max) + tech_6_4*TblTech[[#This Row],[6-4]] + tech_10_2*TblTech[[#This Row],[10-2]] - IF(TblMagic[[#This Row],[Active Mechanical Genius]]&gt;0,mech_genius_bonus,0) + race_rezone_cost) * TblRezone[[#This Row],[Plat/acre*]],0)</f>
        <v>250</v>
      </c>
      <c r="Y50" s="96">
        <f ca="1">TblRezone[[#This Row],[Total acres]]*TblRezone[[#This Row],[Plat/acre]]</f>
        <v>0</v>
      </c>
      <c r="Z50" s="225"/>
      <c r="AA50" s="96">
        <f ca="1">250+0.6*(TblRezone[[#This Row],[Land]]-250)</f>
        <v>250</v>
      </c>
      <c r="AB50" s="225"/>
      <c r="AC50" s="159">
        <f ca="1">TblConstr[[#This Row],[Facs DB]]</f>
        <v>0</v>
      </c>
    </row>
    <row r="51" spans="1:29" x14ac:dyDescent="0.2">
      <c r="A51" s="224">
        <f ca="1">TblConstr[[#This Row],[Land]]</f>
        <v>250</v>
      </c>
      <c r="B51" s="226">
        <f ca="1">TblConstr[[#This Row],[Plain]]</f>
        <v>40</v>
      </c>
      <c r="C51" s="184">
        <f ca="1">TblConstr[[#This Row],[Forest]]</f>
        <v>20</v>
      </c>
      <c r="D51" s="384">
        <f ca="1">TblConstr[[#This Row],[Mountain]]</f>
        <v>20</v>
      </c>
      <c r="E51" s="388">
        <f ca="1">TblConstr[[#This Row],[Hill]]</f>
        <v>20</v>
      </c>
      <c r="F51" s="392">
        <f ca="1">TblConstr[[#This Row],[Swamp]]</f>
        <v>20</v>
      </c>
      <c r="G51" s="187">
        <f ca="1">TblConstr[[#This Row],[Cavern]]</f>
        <v>20</v>
      </c>
      <c r="H51" s="188">
        <f ca="1">TblConstr[[#This Row],[Water]]</f>
        <v>20</v>
      </c>
      <c r="I51" s="225"/>
      <c r="J51" s="177">
        <f t="shared" si="1"/>
        <v>48</v>
      </c>
      <c r="K51" s="249">
        <f ca="1">TblImps[[#This Row],[Real time]]</f>
        <v>45733.958333333219</v>
      </c>
      <c r="L51" s="181"/>
      <c r="M51" s="181"/>
      <c r="N51" s="181"/>
      <c r="O51" s="181"/>
      <c r="P51" s="181"/>
      <c r="Q51" s="181"/>
      <c r="R51" s="181"/>
      <c r="S51" s="96">
        <f>SUMIF(TblRezone[[#This Row],[Plains Rezone]:[Water Rezone]],"&gt;0")</f>
        <v>0</v>
      </c>
      <c r="T51" s="61" t="str">
        <f>IF(SUM(TblRezone[[#This Row],[Plains Rezone]:[Water Rezone]])=0,"Ok","Nope")</f>
        <v>Ok</v>
      </c>
      <c r="U51" s="225"/>
      <c r="V51" s="96">
        <f ca="1">TblProd[[#This Row],[Platinum]]</f>
        <v>378720</v>
      </c>
      <c r="W51" s="225"/>
      <c r="X51" s="96">
        <f ca="1">ROUNDUP( (1-MIN(ROUND(facs_rezone_factor*TblRezone[[#This Row],[Facs]],4),facs_rezone_max) + tech_6_4*TblTech[[#This Row],[6-4]] + tech_10_2*TblTech[[#This Row],[10-2]] - IF(TblMagic[[#This Row],[Active Mechanical Genius]]&gt;0,mech_genius_bonus,0) + race_rezone_cost) * TblRezone[[#This Row],[Plat/acre*]],0)</f>
        <v>250</v>
      </c>
      <c r="Y51" s="96">
        <f ca="1">TblRezone[[#This Row],[Total acres]]*TblRezone[[#This Row],[Plat/acre]]</f>
        <v>0</v>
      </c>
      <c r="Z51" s="225"/>
      <c r="AA51" s="96">
        <f ca="1">250+0.6*(TblRezone[[#This Row],[Land]]-250)</f>
        <v>250</v>
      </c>
      <c r="AB51" s="225"/>
      <c r="AC51" s="159">
        <f ca="1">TblConstr[[#This Row],[Facs DB]]</f>
        <v>0</v>
      </c>
    </row>
    <row r="52" spans="1:29" x14ac:dyDescent="0.2">
      <c r="A52" s="224">
        <f ca="1">TblConstr[[#This Row],[Land]]</f>
        <v>250</v>
      </c>
      <c r="B52" s="226">
        <f ca="1">TblConstr[[#This Row],[Plain]]</f>
        <v>40</v>
      </c>
      <c r="C52" s="184">
        <f ca="1">TblConstr[[#This Row],[Forest]]</f>
        <v>20</v>
      </c>
      <c r="D52" s="384">
        <f ca="1">TblConstr[[#This Row],[Mountain]]</f>
        <v>20</v>
      </c>
      <c r="E52" s="388">
        <f ca="1">TblConstr[[#This Row],[Hill]]</f>
        <v>20</v>
      </c>
      <c r="F52" s="392">
        <f ca="1">TblConstr[[#This Row],[Swamp]]</f>
        <v>20</v>
      </c>
      <c r="G52" s="187">
        <f ca="1">TblConstr[[#This Row],[Cavern]]</f>
        <v>20</v>
      </c>
      <c r="H52" s="188">
        <f ca="1">TblConstr[[#This Row],[Water]]</f>
        <v>20</v>
      </c>
      <c r="I52" s="225"/>
      <c r="J52" s="177">
        <f t="shared" si="1"/>
        <v>49</v>
      </c>
      <c r="K52" s="249">
        <f ca="1">TblImps[[#This Row],[Real time]]</f>
        <v>45733.999999999884</v>
      </c>
      <c r="L52" s="181"/>
      <c r="M52" s="181"/>
      <c r="N52" s="181"/>
      <c r="O52" s="181"/>
      <c r="P52" s="181"/>
      <c r="Q52" s="181"/>
      <c r="R52" s="181"/>
      <c r="S52" s="96">
        <f>SUMIF(TblRezone[[#This Row],[Plains Rezone]:[Water Rezone]],"&gt;0")</f>
        <v>0</v>
      </c>
      <c r="T52" s="61" t="str">
        <f>IF(SUM(TblRezone[[#This Row],[Plains Rezone]:[Water Rezone]])=0,"Ok","Nope")</f>
        <v>Ok</v>
      </c>
      <c r="U52" s="225"/>
      <c r="V52" s="96">
        <f ca="1">TblProd[[#This Row],[Platinum]]</f>
        <v>384206</v>
      </c>
      <c r="W52" s="225"/>
      <c r="X52" s="96">
        <f ca="1">ROUNDUP( (1-MIN(ROUND(facs_rezone_factor*TblRezone[[#This Row],[Facs]],4),facs_rezone_max) + tech_6_4*TblTech[[#This Row],[6-4]] + tech_10_2*TblTech[[#This Row],[10-2]] - IF(TblMagic[[#This Row],[Active Mechanical Genius]]&gt;0,mech_genius_bonus,0) + race_rezone_cost) * TblRezone[[#This Row],[Plat/acre*]],0)</f>
        <v>250</v>
      </c>
      <c r="Y52" s="96">
        <f ca="1">TblRezone[[#This Row],[Total acres]]*TblRezone[[#This Row],[Plat/acre]]</f>
        <v>0</v>
      </c>
      <c r="Z52" s="225"/>
      <c r="AA52" s="96">
        <f ca="1">250+0.6*(TblRezone[[#This Row],[Land]]-250)</f>
        <v>250</v>
      </c>
      <c r="AB52" s="225"/>
      <c r="AC52" s="159">
        <f ca="1">TblConstr[[#This Row],[Facs DB]]</f>
        <v>0</v>
      </c>
    </row>
    <row r="53" spans="1:29" x14ac:dyDescent="0.2">
      <c r="A53" s="224">
        <f ca="1">TblConstr[[#This Row],[Land]]</f>
        <v>250</v>
      </c>
      <c r="B53" s="226">
        <f ca="1">TblConstr[[#This Row],[Plain]]</f>
        <v>40</v>
      </c>
      <c r="C53" s="184">
        <f ca="1">TblConstr[[#This Row],[Forest]]</f>
        <v>20</v>
      </c>
      <c r="D53" s="384">
        <f ca="1">TblConstr[[#This Row],[Mountain]]</f>
        <v>20</v>
      </c>
      <c r="E53" s="388">
        <f ca="1">TblConstr[[#This Row],[Hill]]</f>
        <v>20</v>
      </c>
      <c r="F53" s="392">
        <f ca="1">TblConstr[[#This Row],[Swamp]]</f>
        <v>20</v>
      </c>
      <c r="G53" s="187">
        <f ca="1">TblConstr[[#This Row],[Cavern]]</f>
        <v>20</v>
      </c>
      <c r="H53" s="188">
        <f ca="1">TblConstr[[#This Row],[Water]]</f>
        <v>20</v>
      </c>
      <c r="I53" s="225"/>
      <c r="J53" s="177">
        <f t="shared" si="1"/>
        <v>50</v>
      </c>
      <c r="K53" s="249">
        <f ca="1">TblImps[[#This Row],[Real time]]</f>
        <v>45734.041666666548</v>
      </c>
      <c r="L53" s="181"/>
      <c r="M53" s="181"/>
      <c r="N53" s="181"/>
      <c r="O53" s="181"/>
      <c r="P53" s="181"/>
      <c r="Q53" s="181"/>
      <c r="R53" s="181"/>
      <c r="S53" s="96">
        <f>SUMIF(TblRezone[[#This Row],[Plains Rezone]:[Water Rezone]],"&gt;0")</f>
        <v>0</v>
      </c>
      <c r="T53" s="61" t="str">
        <f>IF(SUM(TblRezone[[#This Row],[Plains Rezone]:[Water Rezone]])=0,"Ok","Nope")</f>
        <v>Ok</v>
      </c>
      <c r="U53" s="225"/>
      <c r="V53" s="96">
        <f ca="1">TblProd[[#This Row],[Platinum]]</f>
        <v>389692</v>
      </c>
      <c r="W53" s="225"/>
      <c r="X53" s="96">
        <f ca="1">ROUNDUP( (1-MIN(ROUND(facs_rezone_factor*TblRezone[[#This Row],[Facs]],4),facs_rezone_max) + tech_6_4*TblTech[[#This Row],[6-4]] + tech_10_2*TblTech[[#This Row],[10-2]] - IF(TblMagic[[#This Row],[Active Mechanical Genius]]&gt;0,mech_genius_bonus,0) + race_rezone_cost) * TblRezone[[#This Row],[Plat/acre*]],0)</f>
        <v>250</v>
      </c>
      <c r="Y53" s="96">
        <f ca="1">TblRezone[[#This Row],[Total acres]]*TblRezone[[#This Row],[Plat/acre]]</f>
        <v>0</v>
      </c>
      <c r="Z53" s="225"/>
      <c r="AA53" s="96">
        <f ca="1">250+0.6*(TblRezone[[#This Row],[Land]]-250)</f>
        <v>250</v>
      </c>
      <c r="AB53" s="225"/>
      <c r="AC53" s="159">
        <f ca="1">TblConstr[[#This Row],[Facs DB]]</f>
        <v>0</v>
      </c>
    </row>
    <row r="54" spans="1:29" x14ac:dyDescent="0.2">
      <c r="A54" s="224">
        <f ca="1">TblConstr[[#This Row],[Land]]</f>
        <v>250</v>
      </c>
      <c r="B54" s="226">
        <f ca="1">TblConstr[[#This Row],[Plain]]</f>
        <v>40</v>
      </c>
      <c r="C54" s="184">
        <f ca="1">TblConstr[[#This Row],[Forest]]</f>
        <v>20</v>
      </c>
      <c r="D54" s="384">
        <f ca="1">TblConstr[[#This Row],[Mountain]]</f>
        <v>20</v>
      </c>
      <c r="E54" s="388">
        <f ca="1">TblConstr[[#This Row],[Hill]]</f>
        <v>20</v>
      </c>
      <c r="F54" s="392">
        <f ca="1">TblConstr[[#This Row],[Swamp]]</f>
        <v>20</v>
      </c>
      <c r="G54" s="187">
        <f ca="1">TblConstr[[#This Row],[Cavern]]</f>
        <v>20</v>
      </c>
      <c r="H54" s="188">
        <f ca="1">TblConstr[[#This Row],[Water]]</f>
        <v>20</v>
      </c>
      <c r="I54" s="225"/>
      <c r="J54" s="177">
        <f t="shared" si="1"/>
        <v>51</v>
      </c>
      <c r="K54" s="249">
        <f ca="1">TblImps[[#This Row],[Real time]]</f>
        <v>45734.083333333212</v>
      </c>
      <c r="L54" s="181"/>
      <c r="M54" s="181"/>
      <c r="N54" s="181"/>
      <c r="O54" s="181"/>
      <c r="P54" s="181"/>
      <c r="Q54" s="181"/>
      <c r="R54" s="181"/>
      <c r="S54" s="96">
        <f>SUMIF(TblRezone[[#This Row],[Plains Rezone]:[Water Rezone]],"&gt;0")</f>
        <v>0</v>
      </c>
      <c r="T54" s="61" t="str">
        <f>IF(SUM(TblRezone[[#This Row],[Plains Rezone]:[Water Rezone]])=0,"Ok","Nope")</f>
        <v>Ok</v>
      </c>
      <c r="U54" s="225"/>
      <c r="V54" s="96">
        <f ca="1">TblProd[[#This Row],[Platinum]]</f>
        <v>395178</v>
      </c>
      <c r="W54" s="225"/>
      <c r="X54" s="96">
        <f ca="1">ROUNDUP( (1-MIN(ROUND(facs_rezone_factor*TblRezone[[#This Row],[Facs]],4),facs_rezone_max) + tech_6_4*TblTech[[#This Row],[6-4]] + tech_10_2*TblTech[[#This Row],[10-2]] - IF(TblMagic[[#This Row],[Active Mechanical Genius]]&gt;0,mech_genius_bonus,0) + race_rezone_cost) * TblRezone[[#This Row],[Plat/acre*]],0)</f>
        <v>250</v>
      </c>
      <c r="Y54" s="96">
        <f ca="1">TblRezone[[#This Row],[Total acres]]*TblRezone[[#This Row],[Plat/acre]]</f>
        <v>0</v>
      </c>
      <c r="Z54" s="225"/>
      <c r="AA54" s="96">
        <f ca="1">250+0.6*(TblRezone[[#This Row],[Land]]-250)</f>
        <v>250</v>
      </c>
      <c r="AB54" s="225"/>
      <c r="AC54" s="159">
        <f ca="1">TblConstr[[#This Row],[Facs DB]]</f>
        <v>0</v>
      </c>
    </row>
    <row r="55" spans="1:29" x14ac:dyDescent="0.2">
      <c r="A55" s="224">
        <f ca="1">TblConstr[[#This Row],[Land]]</f>
        <v>250</v>
      </c>
      <c r="B55" s="226">
        <f ca="1">TblConstr[[#This Row],[Plain]]</f>
        <v>40</v>
      </c>
      <c r="C55" s="184">
        <f ca="1">TblConstr[[#This Row],[Forest]]</f>
        <v>20</v>
      </c>
      <c r="D55" s="384">
        <f ca="1">TblConstr[[#This Row],[Mountain]]</f>
        <v>20</v>
      </c>
      <c r="E55" s="388">
        <f ca="1">TblConstr[[#This Row],[Hill]]</f>
        <v>20</v>
      </c>
      <c r="F55" s="392">
        <f ca="1">TblConstr[[#This Row],[Swamp]]</f>
        <v>20</v>
      </c>
      <c r="G55" s="187">
        <f ca="1">TblConstr[[#This Row],[Cavern]]</f>
        <v>20</v>
      </c>
      <c r="H55" s="188">
        <f ca="1">TblConstr[[#This Row],[Water]]</f>
        <v>20</v>
      </c>
      <c r="I55" s="225"/>
      <c r="J55" s="177">
        <f t="shared" si="1"/>
        <v>52</v>
      </c>
      <c r="K55" s="249">
        <f ca="1">TblImps[[#This Row],[Real time]]</f>
        <v>45734.124999999876</v>
      </c>
      <c r="L55" s="181"/>
      <c r="M55" s="181"/>
      <c r="N55" s="181"/>
      <c r="O55" s="181"/>
      <c r="P55" s="181"/>
      <c r="Q55" s="181"/>
      <c r="R55" s="181"/>
      <c r="S55" s="96">
        <f>SUMIF(TblRezone[[#This Row],[Plains Rezone]:[Water Rezone]],"&gt;0")</f>
        <v>0</v>
      </c>
      <c r="T55" s="61" t="str">
        <f>IF(SUM(TblRezone[[#This Row],[Plains Rezone]:[Water Rezone]])=0,"Ok","Nope")</f>
        <v>Ok</v>
      </c>
      <c r="U55" s="225"/>
      <c r="V55" s="96">
        <f ca="1">TblProd[[#This Row],[Platinum]]</f>
        <v>400664</v>
      </c>
      <c r="W55" s="225"/>
      <c r="X55" s="96">
        <f ca="1">ROUNDUP( (1-MIN(ROUND(facs_rezone_factor*TblRezone[[#This Row],[Facs]],4),facs_rezone_max) + tech_6_4*TblTech[[#This Row],[6-4]] + tech_10_2*TblTech[[#This Row],[10-2]] - IF(TblMagic[[#This Row],[Active Mechanical Genius]]&gt;0,mech_genius_bonus,0) + race_rezone_cost) * TblRezone[[#This Row],[Plat/acre*]],0)</f>
        <v>250</v>
      </c>
      <c r="Y55" s="96">
        <f ca="1">TblRezone[[#This Row],[Total acres]]*TblRezone[[#This Row],[Plat/acre]]</f>
        <v>0</v>
      </c>
      <c r="Z55" s="225"/>
      <c r="AA55" s="96">
        <f ca="1">250+0.6*(TblRezone[[#This Row],[Land]]-250)</f>
        <v>250</v>
      </c>
      <c r="AB55" s="225"/>
      <c r="AC55" s="159">
        <f ca="1">TblConstr[[#This Row],[Facs DB]]</f>
        <v>0</v>
      </c>
    </row>
    <row r="56" spans="1:29" x14ac:dyDescent="0.2">
      <c r="A56" s="224">
        <f ca="1">TblConstr[[#This Row],[Land]]</f>
        <v>250</v>
      </c>
      <c r="B56" s="226">
        <f ca="1">TblConstr[[#This Row],[Plain]]</f>
        <v>40</v>
      </c>
      <c r="C56" s="184">
        <f ca="1">TblConstr[[#This Row],[Forest]]</f>
        <v>20</v>
      </c>
      <c r="D56" s="384">
        <f ca="1">TblConstr[[#This Row],[Mountain]]</f>
        <v>20</v>
      </c>
      <c r="E56" s="388">
        <f ca="1">TblConstr[[#This Row],[Hill]]</f>
        <v>20</v>
      </c>
      <c r="F56" s="392">
        <f ca="1">TblConstr[[#This Row],[Swamp]]</f>
        <v>20</v>
      </c>
      <c r="G56" s="187">
        <f ca="1">TblConstr[[#This Row],[Cavern]]</f>
        <v>20</v>
      </c>
      <c r="H56" s="188">
        <f ca="1">TblConstr[[#This Row],[Water]]</f>
        <v>20</v>
      </c>
      <c r="I56" s="225"/>
      <c r="J56" s="177">
        <f t="shared" si="1"/>
        <v>53</v>
      </c>
      <c r="K56" s="249">
        <f ca="1">TblImps[[#This Row],[Real time]]</f>
        <v>45734.166666666541</v>
      </c>
      <c r="L56" s="181"/>
      <c r="M56" s="181"/>
      <c r="N56" s="181"/>
      <c r="O56" s="181"/>
      <c r="P56" s="181"/>
      <c r="Q56" s="181"/>
      <c r="R56" s="181"/>
      <c r="S56" s="96">
        <f>SUMIF(TblRezone[[#This Row],[Plains Rezone]:[Water Rezone]],"&gt;0")</f>
        <v>0</v>
      </c>
      <c r="T56" s="61" t="str">
        <f>IF(SUM(TblRezone[[#This Row],[Plains Rezone]:[Water Rezone]])=0,"Ok","Nope")</f>
        <v>Ok</v>
      </c>
      <c r="U56" s="225"/>
      <c r="V56" s="96">
        <f ca="1">TblProd[[#This Row],[Platinum]]</f>
        <v>406150</v>
      </c>
      <c r="W56" s="225"/>
      <c r="X56" s="96">
        <f ca="1">ROUNDUP( (1-MIN(ROUND(facs_rezone_factor*TblRezone[[#This Row],[Facs]],4),facs_rezone_max) + tech_6_4*TblTech[[#This Row],[6-4]] + tech_10_2*TblTech[[#This Row],[10-2]] - IF(TblMagic[[#This Row],[Active Mechanical Genius]]&gt;0,mech_genius_bonus,0) + race_rezone_cost) * TblRezone[[#This Row],[Plat/acre*]],0)</f>
        <v>250</v>
      </c>
      <c r="Y56" s="96">
        <f ca="1">TblRezone[[#This Row],[Total acres]]*TblRezone[[#This Row],[Plat/acre]]</f>
        <v>0</v>
      </c>
      <c r="Z56" s="225"/>
      <c r="AA56" s="96">
        <f ca="1">250+0.6*(TblRezone[[#This Row],[Land]]-250)</f>
        <v>250</v>
      </c>
      <c r="AB56" s="225"/>
      <c r="AC56" s="159">
        <f ca="1">TblConstr[[#This Row],[Facs DB]]</f>
        <v>0</v>
      </c>
    </row>
    <row r="57" spans="1:29" x14ac:dyDescent="0.2">
      <c r="A57" s="224">
        <f ca="1">TblConstr[[#This Row],[Land]]</f>
        <v>250</v>
      </c>
      <c r="B57" s="226">
        <f ca="1">TblConstr[[#This Row],[Plain]]</f>
        <v>40</v>
      </c>
      <c r="C57" s="184">
        <f ca="1">TblConstr[[#This Row],[Forest]]</f>
        <v>20</v>
      </c>
      <c r="D57" s="384">
        <f ca="1">TblConstr[[#This Row],[Mountain]]</f>
        <v>20</v>
      </c>
      <c r="E57" s="388">
        <f ca="1">TblConstr[[#This Row],[Hill]]</f>
        <v>20</v>
      </c>
      <c r="F57" s="392">
        <f ca="1">TblConstr[[#This Row],[Swamp]]</f>
        <v>20</v>
      </c>
      <c r="G57" s="187">
        <f ca="1">TblConstr[[#This Row],[Cavern]]</f>
        <v>20</v>
      </c>
      <c r="H57" s="188">
        <f ca="1">TblConstr[[#This Row],[Water]]</f>
        <v>20</v>
      </c>
      <c r="I57" s="225"/>
      <c r="J57" s="177">
        <f t="shared" si="1"/>
        <v>54</v>
      </c>
      <c r="K57" s="249">
        <f ca="1">TblImps[[#This Row],[Real time]]</f>
        <v>45734.208333333205</v>
      </c>
      <c r="L57" s="181"/>
      <c r="M57" s="181"/>
      <c r="N57" s="181"/>
      <c r="O57" s="181"/>
      <c r="P57" s="181"/>
      <c r="Q57" s="181"/>
      <c r="R57" s="181"/>
      <c r="S57" s="96">
        <f>SUMIF(TblRezone[[#This Row],[Plains Rezone]:[Water Rezone]],"&gt;0")</f>
        <v>0</v>
      </c>
      <c r="T57" s="61" t="str">
        <f>IF(SUM(TblRezone[[#This Row],[Plains Rezone]:[Water Rezone]])=0,"Ok","Nope")</f>
        <v>Ok</v>
      </c>
      <c r="U57" s="225"/>
      <c r="V57" s="96">
        <f ca="1">TblProd[[#This Row],[Platinum]]</f>
        <v>411636</v>
      </c>
      <c r="W57" s="225"/>
      <c r="X57" s="96">
        <f ca="1">ROUNDUP( (1-MIN(ROUND(facs_rezone_factor*TblRezone[[#This Row],[Facs]],4),facs_rezone_max) + tech_6_4*TblTech[[#This Row],[6-4]] + tech_10_2*TblTech[[#This Row],[10-2]] - IF(TblMagic[[#This Row],[Active Mechanical Genius]]&gt;0,mech_genius_bonus,0) + race_rezone_cost) * TblRezone[[#This Row],[Plat/acre*]],0)</f>
        <v>250</v>
      </c>
      <c r="Y57" s="96">
        <f ca="1">TblRezone[[#This Row],[Total acres]]*TblRezone[[#This Row],[Plat/acre]]</f>
        <v>0</v>
      </c>
      <c r="Z57" s="225"/>
      <c r="AA57" s="96">
        <f ca="1">250+0.6*(TblRezone[[#This Row],[Land]]-250)</f>
        <v>250</v>
      </c>
      <c r="AB57" s="225"/>
      <c r="AC57" s="159">
        <f ca="1">TblConstr[[#This Row],[Facs DB]]</f>
        <v>0</v>
      </c>
    </row>
    <row r="58" spans="1:29" x14ac:dyDescent="0.2">
      <c r="A58" s="224">
        <f ca="1">TblConstr[[#This Row],[Land]]</f>
        <v>250</v>
      </c>
      <c r="B58" s="226">
        <f ca="1">TblConstr[[#This Row],[Plain]]</f>
        <v>40</v>
      </c>
      <c r="C58" s="184">
        <f ca="1">TblConstr[[#This Row],[Forest]]</f>
        <v>20</v>
      </c>
      <c r="D58" s="384">
        <f ca="1">TblConstr[[#This Row],[Mountain]]</f>
        <v>20</v>
      </c>
      <c r="E58" s="388">
        <f ca="1">TblConstr[[#This Row],[Hill]]</f>
        <v>20</v>
      </c>
      <c r="F58" s="392">
        <f ca="1">TblConstr[[#This Row],[Swamp]]</f>
        <v>20</v>
      </c>
      <c r="G58" s="187">
        <f ca="1">TblConstr[[#This Row],[Cavern]]</f>
        <v>20</v>
      </c>
      <c r="H58" s="188">
        <f ca="1">TblConstr[[#This Row],[Water]]</f>
        <v>20</v>
      </c>
      <c r="I58" s="225"/>
      <c r="J58" s="177">
        <f t="shared" si="1"/>
        <v>55</v>
      </c>
      <c r="K58" s="249">
        <f ca="1">TblImps[[#This Row],[Real time]]</f>
        <v>45734.249999999869</v>
      </c>
      <c r="L58" s="181"/>
      <c r="M58" s="181"/>
      <c r="N58" s="181"/>
      <c r="O58" s="181"/>
      <c r="P58" s="181"/>
      <c r="Q58" s="181"/>
      <c r="R58" s="181"/>
      <c r="S58" s="96">
        <f>SUMIF(TblRezone[[#This Row],[Plains Rezone]:[Water Rezone]],"&gt;0")</f>
        <v>0</v>
      </c>
      <c r="T58" s="61" t="str">
        <f>IF(SUM(TblRezone[[#This Row],[Plains Rezone]:[Water Rezone]])=0,"Ok","Nope")</f>
        <v>Ok</v>
      </c>
      <c r="U58" s="225"/>
      <c r="V58" s="96">
        <f ca="1">TblProd[[#This Row],[Platinum]]</f>
        <v>417122</v>
      </c>
      <c r="W58" s="225"/>
      <c r="X58" s="96">
        <f ca="1">ROUNDUP( (1-MIN(ROUND(facs_rezone_factor*TblRezone[[#This Row],[Facs]],4),facs_rezone_max) + tech_6_4*TblTech[[#This Row],[6-4]] + tech_10_2*TblTech[[#This Row],[10-2]] - IF(TblMagic[[#This Row],[Active Mechanical Genius]]&gt;0,mech_genius_bonus,0) + race_rezone_cost) * TblRezone[[#This Row],[Plat/acre*]],0)</f>
        <v>250</v>
      </c>
      <c r="Y58" s="96">
        <f ca="1">TblRezone[[#This Row],[Total acres]]*TblRezone[[#This Row],[Plat/acre]]</f>
        <v>0</v>
      </c>
      <c r="Z58" s="225"/>
      <c r="AA58" s="96">
        <f ca="1">250+0.6*(TblRezone[[#This Row],[Land]]-250)</f>
        <v>250</v>
      </c>
      <c r="AB58" s="225"/>
      <c r="AC58" s="159">
        <f ca="1">TblConstr[[#This Row],[Facs DB]]</f>
        <v>0</v>
      </c>
    </row>
    <row r="59" spans="1:29" x14ac:dyDescent="0.2">
      <c r="A59" s="224">
        <f ca="1">TblConstr[[#This Row],[Land]]</f>
        <v>250</v>
      </c>
      <c r="B59" s="226">
        <f ca="1">TblConstr[[#This Row],[Plain]]</f>
        <v>40</v>
      </c>
      <c r="C59" s="184">
        <f ca="1">TblConstr[[#This Row],[Forest]]</f>
        <v>20</v>
      </c>
      <c r="D59" s="384">
        <f ca="1">TblConstr[[#This Row],[Mountain]]</f>
        <v>20</v>
      </c>
      <c r="E59" s="388">
        <f ca="1">TblConstr[[#This Row],[Hill]]</f>
        <v>20</v>
      </c>
      <c r="F59" s="392">
        <f ca="1">TblConstr[[#This Row],[Swamp]]</f>
        <v>20</v>
      </c>
      <c r="G59" s="187">
        <f ca="1">TblConstr[[#This Row],[Cavern]]</f>
        <v>20</v>
      </c>
      <c r="H59" s="188">
        <f ca="1">TblConstr[[#This Row],[Water]]</f>
        <v>20</v>
      </c>
      <c r="I59" s="225"/>
      <c r="J59" s="177">
        <f t="shared" si="1"/>
        <v>56</v>
      </c>
      <c r="K59" s="249">
        <f ca="1">TblImps[[#This Row],[Real time]]</f>
        <v>45734.291666666533</v>
      </c>
      <c r="L59" s="181"/>
      <c r="M59" s="181"/>
      <c r="N59" s="181"/>
      <c r="O59" s="181"/>
      <c r="P59" s="181"/>
      <c r="Q59" s="181"/>
      <c r="R59" s="181"/>
      <c r="S59" s="96">
        <f>SUMIF(TblRezone[[#This Row],[Plains Rezone]:[Water Rezone]],"&gt;0")</f>
        <v>0</v>
      </c>
      <c r="T59" s="61" t="str">
        <f>IF(SUM(TblRezone[[#This Row],[Plains Rezone]:[Water Rezone]])=0,"Ok","Nope")</f>
        <v>Ok</v>
      </c>
      <c r="U59" s="225"/>
      <c r="V59" s="96">
        <f ca="1">TblProd[[#This Row],[Platinum]]</f>
        <v>422608</v>
      </c>
      <c r="W59" s="225"/>
      <c r="X59" s="96">
        <f ca="1">ROUNDUP( (1-MIN(ROUND(facs_rezone_factor*TblRezone[[#This Row],[Facs]],4),facs_rezone_max) + tech_6_4*TblTech[[#This Row],[6-4]] + tech_10_2*TblTech[[#This Row],[10-2]] - IF(TblMagic[[#This Row],[Active Mechanical Genius]]&gt;0,mech_genius_bonus,0) + race_rezone_cost) * TblRezone[[#This Row],[Plat/acre*]],0)</f>
        <v>250</v>
      </c>
      <c r="Y59" s="96">
        <f ca="1">TblRezone[[#This Row],[Total acres]]*TblRezone[[#This Row],[Plat/acre]]</f>
        <v>0</v>
      </c>
      <c r="Z59" s="225"/>
      <c r="AA59" s="96">
        <f ca="1">250+0.6*(TblRezone[[#This Row],[Land]]-250)</f>
        <v>250</v>
      </c>
      <c r="AB59" s="225"/>
      <c r="AC59" s="159">
        <f ca="1">TblConstr[[#This Row],[Facs DB]]</f>
        <v>0</v>
      </c>
    </row>
    <row r="60" spans="1:29" x14ac:dyDescent="0.2">
      <c r="A60" s="224">
        <f ca="1">TblConstr[[#This Row],[Land]]</f>
        <v>250</v>
      </c>
      <c r="B60" s="226">
        <f ca="1">TblConstr[[#This Row],[Plain]]</f>
        <v>40</v>
      </c>
      <c r="C60" s="184">
        <f ca="1">TblConstr[[#This Row],[Forest]]</f>
        <v>20</v>
      </c>
      <c r="D60" s="384">
        <f ca="1">TblConstr[[#This Row],[Mountain]]</f>
        <v>20</v>
      </c>
      <c r="E60" s="388">
        <f ca="1">TblConstr[[#This Row],[Hill]]</f>
        <v>20</v>
      </c>
      <c r="F60" s="392">
        <f ca="1">TblConstr[[#This Row],[Swamp]]</f>
        <v>20</v>
      </c>
      <c r="G60" s="187">
        <f ca="1">TblConstr[[#This Row],[Cavern]]</f>
        <v>20</v>
      </c>
      <c r="H60" s="188">
        <f ca="1">TblConstr[[#This Row],[Water]]</f>
        <v>20</v>
      </c>
      <c r="I60" s="225"/>
      <c r="J60" s="177">
        <f t="shared" si="1"/>
        <v>57</v>
      </c>
      <c r="K60" s="249">
        <f ca="1">TblImps[[#This Row],[Real time]]</f>
        <v>45734.333333333198</v>
      </c>
      <c r="L60" s="181"/>
      <c r="M60" s="181"/>
      <c r="N60" s="181"/>
      <c r="O60" s="181"/>
      <c r="P60" s="181"/>
      <c r="Q60" s="181"/>
      <c r="R60" s="181"/>
      <c r="S60" s="96">
        <f>SUMIF(TblRezone[[#This Row],[Plains Rezone]:[Water Rezone]],"&gt;0")</f>
        <v>0</v>
      </c>
      <c r="T60" s="61" t="str">
        <f>IF(SUM(TblRezone[[#This Row],[Plains Rezone]:[Water Rezone]])=0,"Ok","Nope")</f>
        <v>Ok</v>
      </c>
      <c r="U60" s="225"/>
      <c r="V60" s="96">
        <f ca="1">TblProd[[#This Row],[Platinum]]</f>
        <v>428094</v>
      </c>
      <c r="W60" s="225"/>
      <c r="X60" s="96">
        <f ca="1">ROUNDUP( (1-MIN(ROUND(facs_rezone_factor*TblRezone[[#This Row],[Facs]],4),facs_rezone_max) + tech_6_4*TblTech[[#This Row],[6-4]] + tech_10_2*TblTech[[#This Row],[10-2]] - IF(TblMagic[[#This Row],[Active Mechanical Genius]]&gt;0,mech_genius_bonus,0) + race_rezone_cost) * TblRezone[[#This Row],[Plat/acre*]],0)</f>
        <v>250</v>
      </c>
      <c r="Y60" s="96">
        <f ca="1">TblRezone[[#This Row],[Total acres]]*TblRezone[[#This Row],[Plat/acre]]</f>
        <v>0</v>
      </c>
      <c r="Z60" s="225"/>
      <c r="AA60" s="96">
        <f ca="1">250+0.6*(TblRezone[[#This Row],[Land]]-250)</f>
        <v>250</v>
      </c>
      <c r="AB60" s="225"/>
      <c r="AC60" s="159">
        <f ca="1">TblConstr[[#This Row],[Facs DB]]</f>
        <v>0</v>
      </c>
    </row>
    <row r="61" spans="1:29" x14ac:dyDescent="0.2">
      <c r="A61" s="224">
        <f ca="1">TblConstr[[#This Row],[Land]]</f>
        <v>250</v>
      </c>
      <c r="B61" s="226">
        <f ca="1">TblConstr[[#This Row],[Plain]]</f>
        <v>40</v>
      </c>
      <c r="C61" s="184">
        <f ca="1">TblConstr[[#This Row],[Forest]]</f>
        <v>20</v>
      </c>
      <c r="D61" s="384">
        <f ca="1">TblConstr[[#This Row],[Mountain]]</f>
        <v>20</v>
      </c>
      <c r="E61" s="388">
        <f ca="1">TblConstr[[#This Row],[Hill]]</f>
        <v>20</v>
      </c>
      <c r="F61" s="392">
        <f ca="1">TblConstr[[#This Row],[Swamp]]</f>
        <v>20</v>
      </c>
      <c r="G61" s="187">
        <f ca="1">TblConstr[[#This Row],[Cavern]]</f>
        <v>20</v>
      </c>
      <c r="H61" s="188">
        <f ca="1">TblConstr[[#This Row],[Water]]</f>
        <v>20</v>
      </c>
      <c r="I61" s="225"/>
      <c r="J61" s="177">
        <f t="shared" si="1"/>
        <v>58</v>
      </c>
      <c r="K61" s="249">
        <f ca="1">TblImps[[#This Row],[Real time]]</f>
        <v>45734.374999999862</v>
      </c>
      <c r="L61" s="181"/>
      <c r="M61" s="181"/>
      <c r="N61" s="181"/>
      <c r="O61" s="181"/>
      <c r="P61" s="181"/>
      <c r="Q61" s="181"/>
      <c r="R61" s="181"/>
      <c r="S61" s="96">
        <f>SUMIF(TblRezone[[#This Row],[Plains Rezone]:[Water Rezone]],"&gt;0")</f>
        <v>0</v>
      </c>
      <c r="T61" s="61" t="str">
        <f>IF(SUM(TblRezone[[#This Row],[Plains Rezone]:[Water Rezone]])=0,"Ok","Nope")</f>
        <v>Ok</v>
      </c>
      <c r="U61" s="225"/>
      <c r="V61" s="96">
        <f ca="1">TblProd[[#This Row],[Platinum]]</f>
        <v>433580</v>
      </c>
      <c r="W61" s="225"/>
      <c r="X61" s="96">
        <f ca="1">ROUNDUP( (1-MIN(ROUND(facs_rezone_factor*TblRezone[[#This Row],[Facs]],4),facs_rezone_max) + tech_6_4*TblTech[[#This Row],[6-4]] + tech_10_2*TblTech[[#This Row],[10-2]] - IF(TblMagic[[#This Row],[Active Mechanical Genius]]&gt;0,mech_genius_bonus,0) + race_rezone_cost) * TblRezone[[#This Row],[Plat/acre*]],0)</f>
        <v>250</v>
      </c>
      <c r="Y61" s="96">
        <f ca="1">TblRezone[[#This Row],[Total acres]]*TblRezone[[#This Row],[Plat/acre]]</f>
        <v>0</v>
      </c>
      <c r="Z61" s="225"/>
      <c r="AA61" s="96">
        <f ca="1">250+0.6*(TblRezone[[#This Row],[Land]]-250)</f>
        <v>250</v>
      </c>
      <c r="AB61" s="225"/>
      <c r="AC61" s="159">
        <f ca="1">TblConstr[[#This Row],[Facs DB]]</f>
        <v>0</v>
      </c>
    </row>
    <row r="62" spans="1:29" x14ac:dyDescent="0.2">
      <c r="A62" s="224">
        <f ca="1">TblConstr[[#This Row],[Land]]</f>
        <v>250</v>
      </c>
      <c r="B62" s="226">
        <f ca="1">TblConstr[[#This Row],[Plain]]</f>
        <v>40</v>
      </c>
      <c r="C62" s="184">
        <f ca="1">TblConstr[[#This Row],[Forest]]</f>
        <v>20</v>
      </c>
      <c r="D62" s="384">
        <f ca="1">TblConstr[[#This Row],[Mountain]]</f>
        <v>20</v>
      </c>
      <c r="E62" s="388">
        <f ca="1">TblConstr[[#This Row],[Hill]]</f>
        <v>20</v>
      </c>
      <c r="F62" s="392">
        <f ca="1">TblConstr[[#This Row],[Swamp]]</f>
        <v>20</v>
      </c>
      <c r="G62" s="187">
        <f ca="1">TblConstr[[#This Row],[Cavern]]</f>
        <v>20</v>
      </c>
      <c r="H62" s="188">
        <f ca="1">TblConstr[[#This Row],[Water]]</f>
        <v>20</v>
      </c>
      <c r="I62" s="225"/>
      <c r="J62" s="177">
        <f t="shared" si="1"/>
        <v>59</v>
      </c>
      <c r="K62" s="249">
        <f ca="1">TblImps[[#This Row],[Real time]]</f>
        <v>45734.416666666526</v>
      </c>
      <c r="L62" s="181"/>
      <c r="M62" s="181"/>
      <c r="N62" s="181"/>
      <c r="O62" s="181"/>
      <c r="P62" s="181"/>
      <c r="Q62" s="181"/>
      <c r="R62" s="181"/>
      <c r="S62" s="96">
        <f>SUMIF(TblRezone[[#This Row],[Plains Rezone]:[Water Rezone]],"&gt;0")</f>
        <v>0</v>
      </c>
      <c r="T62" s="61" t="str">
        <f>IF(SUM(TblRezone[[#This Row],[Plains Rezone]:[Water Rezone]])=0,"Ok","Nope")</f>
        <v>Ok</v>
      </c>
      <c r="U62" s="225"/>
      <c r="V62" s="96">
        <f ca="1">TblProd[[#This Row],[Platinum]]</f>
        <v>439066</v>
      </c>
      <c r="W62" s="225"/>
      <c r="X62" s="96">
        <f ca="1">ROUNDUP( (1-MIN(ROUND(facs_rezone_factor*TblRezone[[#This Row],[Facs]],4),facs_rezone_max) + tech_6_4*TblTech[[#This Row],[6-4]] + tech_10_2*TblTech[[#This Row],[10-2]] - IF(TblMagic[[#This Row],[Active Mechanical Genius]]&gt;0,mech_genius_bonus,0) + race_rezone_cost) * TblRezone[[#This Row],[Plat/acre*]],0)</f>
        <v>250</v>
      </c>
      <c r="Y62" s="96">
        <f ca="1">TblRezone[[#This Row],[Total acres]]*TblRezone[[#This Row],[Plat/acre]]</f>
        <v>0</v>
      </c>
      <c r="Z62" s="225"/>
      <c r="AA62" s="96">
        <f ca="1">250+0.6*(TblRezone[[#This Row],[Land]]-250)</f>
        <v>250</v>
      </c>
      <c r="AB62" s="225"/>
      <c r="AC62" s="159">
        <f ca="1">TblConstr[[#This Row],[Facs DB]]</f>
        <v>0</v>
      </c>
    </row>
    <row r="63" spans="1:29" x14ac:dyDescent="0.2">
      <c r="A63" s="224">
        <f ca="1">TblConstr[[#This Row],[Land]]</f>
        <v>250</v>
      </c>
      <c r="B63" s="226">
        <f ca="1">TblConstr[[#This Row],[Plain]]</f>
        <v>40</v>
      </c>
      <c r="C63" s="184">
        <f ca="1">TblConstr[[#This Row],[Forest]]</f>
        <v>20</v>
      </c>
      <c r="D63" s="384">
        <f ca="1">TblConstr[[#This Row],[Mountain]]</f>
        <v>20</v>
      </c>
      <c r="E63" s="388">
        <f ca="1">TblConstr[[#This Row],[Hill]]</f>
        <v>20</v>
      </c>
      <c r="F63" s="392">
        <f ca="1">TblConstr[[#This Row],[Swamp]]</f>
        <v>20</v>
      </c>
      <c r="G63" s="187">
        <f ca="1">TblConstr[[#This Row],[Cavern]]</f>
        <v>20</v>
      </c>
      <c r="H63" s="188">
        <f ca="1">TblConstr[[#This Row],[Water]]</f>
        <v>20</v>
      </c>
      <c r="I63" s="225"/>
      <c r="J63" s="177">
        <f t="shared" si="1"/>
        <v>60</v>
      </c>
      <c r="K63" s="249">
        <f ca="1">TblImps[[#This Row],[Real time]]</f>
        <v>45734.45833333319</v>
      </c>
      <c r="L63" s="181"/>
      <c r="M63" s="181"/>
      <c r="N63" s="181"/>
      <c r="O63" s="181"/>
      <c r="P63" s="181"/>
      <c r="Q63" s="181"/>
      <c r="R63" s="181"/>
      <c r="S63" s="96">
        <f>SUMIF(TblRezone[[#This Row],[Plains Rezone]:[Water Rezone]],"&gt;0")</f>
        <v>0</v>
      </c>
      <c r="T63" s="61" t="str">
        <f>IF(SUM(TblRezone[[#This Row],[Plains Rezone]:[Water Rezone]])=0,"Ok","Nope")</f>
        <v>Ok</v>
      </c>
      <c r="U63" s="225"/>
      <c r="V63" s="96">
        <f ca="1">TblProd[[#This Row],[Platinum]]</f>
        <v>444552</v>
      </c>
      <c r="W63" s="225"/>
      <c r="X63" s="96">
        <f ca="1">ROUNDUP( (1-MIN(ROUND(facs_rezone_factor*TblRezone[[#This Row],[Facs]],4),facs_rezone_max) + tech_6_4*TblTech[[#This Row],[6-4]] + tech_10_2*TblTech[[#This Row],[10-2]] - IF(TblMagic[[#This Row],[Active Mechanical Genius]]&gt;0,mech_genius_bonus,0) + race_rezone_cost) * TblRezone[[#This Row],[Plat/acre*]],0)</f>
        <v>250</v>
      </c>
      <c r="Y63" s="96">
        <f ca="1">TblRezone[[#This Row],[Total acres]]*TblRezone[[#This Row],[Plat/acre]]</f>
        <v>0</v>
      </c>
      <c r="Z63" s="225"/>
      <c r="AA63" s="96">
        <f ca="1">250+0.6*(TblRezone[[#This Row],[Land]]-250)</f>
        <v>250</v>
      </c>
      <c r="AB63" s="225"/>
      <c r="AC63" s="159">
        <f ca="1">TblConstr[[#This Row],[Facs DB]]</f>
        <v>0</v>
      </c>
    </row>
    <row r="64" spans="1:29" x14ac:dyDescent="0.2">
      <c r="A64" s="224">
        <f ca="1">TblConstr[[#This Row],[Land]]</f>
        <v>250</v>
      </c>
      <c r="B64" s="226">
        <f ca="1">TblConstr[[#This Row],[Plain]]</f>
        <v>40</v>
      </c>
      <c r="C64" s="184">
        <f ca="1">TblConstr[[#This Row],[Forest]]</f>
        <v>20</v>
      </c>
      <c r="D64" s="384">
        <f ca="1">TblConstr[[#This Row],[Mountain]]</f>
        <v>20</v>
      </c>
      <c r="E64" s="388">
        <f ca="1">TblConstr[[#This Row],[Hill]]</f>
        <v>20</v>
      </c>
      <c r="F64" s="392">
        <f ca="1">TblConstr[[#This Row],[Swamp]]</f>
        <v>20</v>
      </c>
      <c r="G64" s="187">
        <f ca="1">TblConstr[[#This Row],[Cavern]]</f>
        <v>20</v>
      </c>
      <c r="H64" s="188">
        <f ca="1">TblConstr[[#This Row],[Water]]</f>
        <v>20</v>
      </c>
      <c r="I64" s="225"/>
      <c r="J64" s="177">
        <f t="shared" si="1"/>
        <v>61</v>
      </c>
      <c r="K64" s="249">
        <f ca="1">TblImps[[#This Row],[Real time]]</f>
        <v>45734.499999999854</v>
      </c>
      <c r="L64" s="181"/>
      <c r="M64" s="181"/>
      <c r="N64" s="181"/>
      <c r="O64" s="181"/>
      <c r="P64" s="181"/>
      <c r="Q64" s="181"/>
      <c r="R64" s="181"/>
      <c r="S64" s="96">
        <f>SUMIF(TblRezone[[#This Row],[Plains Rezone]:[Water Rezone]],"&gt;0")</f>
        <v>0</v>
      </c>
      <c r="T64" s="61" t="str">
        <f>IF(SUM(TblRezone[[#This Row],[Plains Rezone]:[Water Rezone]])=0,"Ok","Nope")</f>
        <v>Ok</v>
      </c>
      <c r="U64" s="225"/>
      <c r="V64" s="96">
        <f ca="1">TblProd[[#This Row],[Platinum]]</f>
        <v>450038</v>
      </c>
      <c r="W64" s="225"/>
      <c r="X64" s="96">
        <f ca="1">ROUNDUP( (1-MIN(ROUND(facs_rezone_factor*TblRezone[[#This Row],[Facs]],4),facs_rezone_max) + tech_6_4*TblTech[[#This Row],[6-4]] + tech_10_2*TblTech[[#This Row],[10-2]] - IF(TblMagic[[#This Row],[Active Mechanical Genius]]&gt;0,mech_genius_bonus,0) + race_rezone_cost) * TblRezone[[#This Row],[Plat/acre*]],0)</f>
        <v>250</v>
      </c>
      <c r="Y64" s="96">
        <f ca="1">TblRezone[[#This Row],[Total acres]]*TblRezone[[#This Row],[Plat/acre]]</f>
        <v>0</v>
      </c>
      <c r="Z64" s="225"/>
      <c r="AA64" s="96">
        <f ca="1">250+0.6*(TblRezone[[#This Row],[Land]]-250)</f>
        <v>250</v>
      </c>
      <c r="AB64" s="225"/>
      <c r="AC64" s="159">
        <f ca="1">TblConstr[[#This Row],[Facs DB]]</f>
        <v>0</v>
      </c>
    </row>
    <row r="65" spans="1:29" x14ac:dyDescent="0.2">
      <c r="A65" s="224">
        <f ca="1">TblConstr[[#This Row],[Land]]</f>
        <v>250</v>
      </c>
      <c r="B65" s="226">
        <f ca="1">TblConstr[[#This Row],[Plain]]</f>
        <v>40</v>
      </c>
      <c r="C65" s="184">
        <f ca="1">TblConstr[[#This Row],[Forest]]</f>
        <v>20</v>
      </c>
      <c r="D65" s="384">
        <f ca="1">TblConstr[[#This Row],[Mountain]]</f>
        <v>20</v>
      </c>
      <c r="E65" s="388">
        <f ca="1">TblConstr[[#This Row],[Hill]]</f>
        <v>20</v>
      </c>
      <c r="F65" s="392">
        <f ca="1">TblConstr[[#This Row],[Swamp]]</f>
        <v>20</v>
      </c>
      <c r="G65" s="187">
        <f ca="1">TblConstr[[#This Row],[Cavern]]</f>
        <v>20</v>
      </c>
      <c r="H65" s="188">
        <f ca="1">TblConstr[[#This Row],[Water]]</f>
        <v>20</v>
      </c>
      <c r="I65" s="225"/>
      <c r="J65" s="177">
        <f t="shared" si="1"/>
        <v>62</v>
      </c>
      <c r="K65" s="249">
        <f ca="1">TblImps[[#This Row],[Real time]]</f>
        <v>45734.541666666519</v>
      </c>
      <c r="L65" s="181"/>
      <c r="M65" s="181"/>
      <c r="N65" s="181"/>
      <c r="O65" s="181"/>
      <c r="P65" s="181"/>
      <c r="Q65" s="181"/>
      <c r="R65" s="181"/>
      <c r="S65" s="96">
        <f>SUMIF(TblRezone[[#This Row],[Plains Rezone]:[Water Rezone]],"&gt;0")</f>
        <v>0</v>
      </c>
      <c r="T65" s="61" t="str">
        <f>IF(SUM(TblRezone[[#This Row],[Plains Rezone]:[Water Rezone]])=0,"Ok","Nope")</f>
        <v>Ok</v>
      </c>
      <c r="U65" s="225"/>
      <c r="V65" s="96">
        <f ca="1">TblProd[[#This Row],[Platinum]]</f>
        <v>455524</v>
      </c>
      <c r="W65" s="225"/>
      <c r="X65" s="96">
        <f ca="1">ROUNDUP( (1-MIN(ROUND(facs_rezone_factor*TblRezone[[#This Row],[Facs]],4),facs_rezone_max) + tech_6_4*TblTech[[#This Row],[6-4]] + tech_10_2*TblTech[[#This Row],[10-2]] - IF(TblMagic[[#This Row],[Active Mechanical Genius]]&gt;0,mech_genius_bonus,0) + race_rezone_cost) * TblRezone[[#This Row],[Plat/acre*]],0)</f>
        <v>250</v>
      </c>
      <c r="Y65" s="96">
        <f ca="1">TblRezone[[#This Row],[Total acres]]*TblRezone[[#This Row],[Plat/acre]]</f>
        <v>0</v>
      </c>
      <c r="Z65" s="225"/>
      <c r="AA65" s="96">
        <f ca="1">250+0.6*(TblRezone[[#This Row],[Land]]-250)</f>
        <v>250</v>
      </c>
      <c r="AB65" s="225"/>
      <c r="AC65" s="159">
        <f ca="1">TblConstr[[#This Row],[Facs DB]]</f>
        <v>0</v>
      </c>
    </row>
    <row r="66" spans="1:29" x14ac:dyDescent="0.2">
      <c r="A66" s="224">
        <f ca="1">TblConstr[[#This Row],[Land]]</f>
        <v>250</v>
      </c>
      <c r="B66" s="226">
        <f ca="1">TblConstr[[#This Row],[Plain]]</f>
        <v>40</v>
      </c>
      <c r="C66" s="184">
        <f ca="1">TblConstr[[#This Row],[Forest]]</f>
        <v>20</v>
      </c>
      <c r="D66" s="384">
        <f ca="1">TblConstr[[#This Row],[Mountain]]</f>
        <v>20</v>
      </c>
      <c r="E66" s="388">
        <f ca="1">TblConstr[[#This Row],[Hill]]</f>
        <v>20</v>
      </c>
      <c r="F66" s="392">
        <f ca="1">TblConstr[[#This Row],[Swamp]]</f>
        <v>20</v>
      </c>
      <c r="G66" s="187">
        <f ca="1">TblConstr[[#This Row],[Cavern]]</f>
        <v>20</v>
      </c>
      <c r="H66" s="188">
        <f ca="1">TblConstr[[#This Row],[Water]]</f>
        <v>20</v>
      </c>
      <c r="I66" s="225"/>
      <c r="J66" s="177">
        <f t="shared" si="1"/>
        <v>63</v>
      </c>
      <c r="K66" s="249">
        <f ca="1">TblImps[[#This Row],[Real time]]</f>
        <v>45734.583333333183</v>
      </c>
      <c r="L66" s="181"/>
      <c r="M66" s="181"/>
      <c r="N66" s="181"/>
      <c r="O66" s="181"/>
      <c r="P66" s="181"/>
      <c r="Q66" s="181"/>
      <c r="R66" s="181"/>
      <c r="S66" s="96">
        <f>SUMIF(TblRezone[[#This Row],[Plains Rezone]:[Water Rezone]],"&gt;0")</f>
        <v>0</v>
      </c>
      <c r="T66" s="61" t="str">
        <f>IF(SUM(TblRezone[[#This Row],[Plains Rezone]:[Water Rezone]])=0,"Ok","Nope")</f>
        <v>Ok</v>
      </c>
      <c r="U66" s="225"/>
      <c r="V66" s="96">
        <f ca="1">TblProd[[#This Row],[Platinum]]</f>
        <v>461010</v>
      </c>
      <c r="W66" s="225"/>
      <c r="X66" s="96">
        <f ca="1">ROUNDUP( (1-MIN(ROUND(facs_rezone_factor*TblRezone[[#This Row],[Facs]],4),facs_rezone_max) + tech_6_4*TblTech[[#This Row],[6-4]] + tech_10_2*TblTech[[#This Row],[10-2]] - IF(TblMagic[[#This Row],[Active Mechanical Genius]]&gt;0,mech_genius_bonus,0) + race_rezone_cost) * TblRezone[[#This Row],[Plat/acre*]],0)</f>
        <v>250</v>
      </c>
      <c r="Y66" s="96">
        <f ca="1">TblRezone[[#This Row],[Total acres]]*TblRezone[[#This Row],[Plat/acre]]</f>
        <v>0</v>
      </c>
      <c r="Z66" s="225"/>
      <c r="AA66" s="96">
        <f ca="1">250+0.6*(TblRezone[[#This Row],[Land]]-250)</f>
        <v>250</v>
      </c>
      <c r="AB66" s="225"/>
      <c r="AC66" s="159">
        <f ca="1">TblConstr[[#This Row],[Facs DB]]</f>
        <v>0</v>
      </c>
    </row>
    <row r="67" spans="1:29" x14ac:dyDescent="0.2">
      <c r="A67" s="224">
        <f ca="1">TblConstr[[#This Row],[Land]]</f>
        <v>250</v>
      </c>
      <c r="B67" s="226">
        <f ca="1">TblConstr[[#This Row],[Plain]]</f>
        <v>40</v>
      </c>
      <c r="C67" s="184">
        <f ca="1">TblConstr[[#This Row],[Forest]]</f>
        <v>20</v>
      </c>
      <c r="D67" s="384">
        <f ca="1">TblConstr[[#This Row],[Mountain]]</f>
        <v>20</v>
      </c>
      <c r="E67" s="388">
        <f ca="1">TblConstr[[#This Row],[Hill]]</f>
        <v>20</v>
      </c>
      <c r="F67" s="392">
        <f ca="1">TblConstr[[#This Row],[Swamp]]</f>
        <v>20</v>
      </c>
      <c r="G67" s="187">
        <f ca="1">TblConstr[[#This Row],[Cavern]]</f>
        <v>20</v>
      </c>
      <c r="H67" s="188">
        <f ca="1">TblConstr[[#This Row],[Water]]</f>
        <v>20</v>
      </c>
      <c r="I67" s="225"/>
      <c r="J67" s="177">
        <f t="shared" si="1"/>
        <v>64</v>
      </c>
      <c r="K67" s="249">
        <f ca="1">TblImps[[#This Row],[Real time]]</f>
        <v>45734.624999999847</v>
      </c>
      <c r="L67" s="181"/>
      <c r="M67" s="181"/>
      <c r="N67" s="181"/>
      <c r="O67" s="181"/>
      <c r="P67" s="181"/>
      <c r="Q67" s="181"/>
      <c r="R67" s="181"/>
      <c r="S67" s="96">
        <f>SUMIF(TblRezone[[#This Row],[Plains Rezone]:[Water Rezone]],"&gt;0")</f>
        <v>0</v>
      </c>
      <c r="T67" s="61" t="str">
        <f>IF(SUM(TblRezone[[#This Row],[Plains Rezone]:[Water Rezone]])=0,"Ok","Nope")</f>
        <v>Ok</v>
      </c>
      <c r="U67" s="225"/>
      <c r="V67" s="96">
        <f ca="1">TblProd[[#This Row],[Platinum]]</f>
        <v>466496</v>
      </c>
      <c r="W67" s="225"/>
      <c r="X67" s="96">
        <f ca="1">ROUNDUP( (1-MIN(ROUND(facs_rezone_factor*TblRezone[[#This Row],[Facs]],4),facs_rezone_max) + tech_6_4*TblTech[[#This Row],[6-4]] + tech_10_2*TblTech[[#This Row],[10-2]] - IF(TblMagic[[#This Row],[Active Mechanical Genius]]&gt;0,mech_genius_bonus,0) + race_rezone_cost) * TblRezone[[#This Row],[Plat/acre*]],0)</f>
        <v>250</v>
      </c>
      <c r="Y67" s="96">
        <f ca="1">TblRezone[[#This Row],[Total acres]]*TblRezone[[#This Row],[Plat/acre]]</f>
        <v>0</v>
      </c>
      <c r="Z67" s="225"/>
      <c r="AA67" s="96">
        <f ca="1">250+0.6*(TblRezone[[#This Row],[Land]]-250)</f>
        <v>250</v>
      </c>
      <c r="AB67" s="225"/>
      <c r="AC67" s="159">
        <f ca="1">TblConstr[[#This Row],[Facs DB]]</f>
        <v>0</v>
      </c>
    </row>
    <row r="68" spans="1:29" x14ac:dyDescent="0.2">
      <c r="A68" s="224">
        <f ca="1">TblConstr[[#This Row],[Land]]</f>
        <v>250</v>
      </c>
      <c r="B68" s="226">
        <f ca="1">TblConstr[[#This Row],[Plain]]</f>
        <v>40</v>
      </c>
      <c r="C68" s="184">
        <f ca="1">TblConstr[[#This Row],[Forest]]</f>
        <v>20</v>
      </c>
      <c r="D68" s="384">
        <f ca="1">TblConstr[[#This Row],[Mountain]]</f>
        <v>20</v>
      </c>
      <c r="E68" s="388">
        <f ca="1">TblConstr[[#This Row],[Hill]]</f>
        <v>20</v>
      </c>
      <c r="F68" s="392">
        <f ca="1">TblConstr[[#This Row],[Swamp]]</f>
        <v>20</v>
      </c>
      <c r="G68" s="187">
        <f ca="1">TblConstr[[#This Row],[Cavern]]</f>
        <v>20</v>
      </c>
      <c r="H68" s="188">
        <f ca="1">TblConstr[[#This Row],[Water]]</f>
        <v>20</v>
      </c>
      <c r="I68" s="225"/>
      <c r="J68" s="177">
        <f t="shared" si="1"/>
        <v>65</v>
      </c>
      <c r="K68" s="249">
        <f ca="1">TblImps[[#This Row],[Real time]]</f>
        <v>45734.666666666511</v>
      </c>
      <c r="L68" s="181"/>
      <c r="M68" s="181"/>
      <c r="N68" s="181"/>
      <c r="O68" s="181"/>
      <c r="P68" s="181"/>
      <c r="Q68" s="181"/>
      <c r="R68" s="181"/>
      <c r="S68" s="96">
        <f>SUMIF(TblRezone[[#This Row],[Plains Rezone]:[Water Rezone]],"&gt;0")</f>
        <v>0</v>
      </c>
      <c r="T68" s="61" t="str">
        <f>IF(SUM(TblRezone[[#This Row],[Plains Rezone]:[Water Rezone]])=0,"Ok","Nope")</f>
        <v>Ok</v>
      </c>
      <c r="U68" s="225"/>
      <c r="V68" s="96">
        <f ca="1">TblProd[[#This Row],[Platinum]]</f>
        <v>471982</v>
      </c>
      <c r="W68" s="225"/>
      <c r="X68" s="96">
        <f ca="1">ROUNDUP( (1-MIN(ROUND(facs_rezone_factor*TblRezone[[#This Row],[Facs]],4),facs_rezone_max) + tech_6_4*TblTech[[#This Row],[6-4]] + tech_10_2*TblTech[[#This Row],[10-2]] - IF(TblMagic[[#This Row],[Active Mechanical Genius]]&gt;0,mech_genius_bonus,0) + race_rezone_cost) * TblRezone[[#This Row],[Plat/acre*]],0)</f>
        <v>250</v>
      </c>
      <c r="Y68" s="96">
        <f ca="1">TblRezone[[#This Row],[Total acres]]*TblRezone[[#This Row],[Plat/acre]]</f>
        <v>0</v>
      </c>
      <c r="Z68" s="225"/>
      <c r="AA68" s="96">
        <f ca="1">250+0.6*(TblRezone[[#This Row],[Land]]-250)</f>
        <v>250</v>
      </c>
      <c r="AB68" s="225"/>
      <c r="AC68" s="159">
        <f ca="1">TblConstr[[#This Row],[Facs DB]]</f>
        <v>0</v>
      </c>
    </row>
    <row r="69" spans="1:29" x14ac:dyDescent="0.2">
      <c r="A69" s="224">
        <f ca="1">TblConstr[[#This Row],[Land]]</f>
        <v>250</v>
      </c>
      <c r="B69" s="226">
        <f ca="1">TblConstr[[#This Row],[Plain]]</f>
        <v>40</v>
      </c>
      <c r="C69" s="184">
        <f ca="1">TblConstr[[#This Row],[Forest]]</f>
        <v>20</v>
      </c>
      <c r="D69" s="384">
        <f ca="1">TblConstr[[#This Row],[Mountain]]</f>
        <v>20</v>
      </c>
      <c r="E69" s="388">
        <f ca="1">TblConstr[[#This Row],[Hill]]</f>
        <v>20</v>
      </c>
      <c r="F69" s="392">
        <f ca="1">TblConstr[[#This Row],[Swamp]]</f>
        <v>20</v>
      </c>
      <c r="G69" s="187">
        <f ca="1">TblConstr[[#This Row],[Cavern]]</f>
        <v>20</v>
      </c>
      <c r="H69" s="188">
        <f ca="1">TblConstr[[#This Row],[Water]]</f>
        <v>20</v>
      </c>
      <c r="I69" s="225"/>
      <c r="J69" s="177">
        <f t="shared" si="1"/>
        <v>66</v>
      </c>
      <c r="K69" s="249">
        <f ca="1">TblImps[[#This Row],[Real time]]</f>
        <v>45734.708333333176</v>
      </c>
      <c r="L69" s="181"/>
      <c r="M69" s="181"/>
      <c r="N69" s="181"/>
      <c r="O69" s="181"/>
      <c r="P69" s="181"/>
      <c r="Q69" s="181"/>
      <c r="R69" s="181"/>
      <c r="S69" s="96">
        <f>SUMIF(TblRezone[[#This Row],[Plains Rezone]:[Water Rezone]],"&gt;0")</f>
        <v>0</v>
      </c>
      <c r="T69" s="61" t="str">
        <f>IF(SUM(TblRezone[[#This Row],[Plains Rezone]:[Water Rezone]])=0,"Ok","Nope")</f>
        <v>Ok</v>
      </c>
      <c r="U69" s="225"/>
      <c r="V69" s="96">
        <f ca="1">TblProd[[#This Row],[Platinum]]</f>
        <v>477468</v>
      </c>
      <c r="W69" s="225"/>
      <c r="X69" s="96">
        <f ca="1">ROUNDUP( (1-MIN(ROUND(facs_rezone_factor*TblRezone[[#This Row],[Facs]],4),facs_rezone_max) + tech_6_4*TblTech[[#This Row],[6-4]] + tech_10_2*TblTech[[#This Row],[10-2]] - IF(TblMagic[[#This Row],[Active Mechanical Genius]]&gt;0,mech_genius_bonus,0) + race_rezone_cost) * TblRezone[[#This Row],[Plat/acre*]],0)</f>
        <v>250</v>
      </c>
      <c r="Y69" s="96">
        <f ca="1">TblRezone[[#This Row],[Total acres]]*TblRezone[[#This Row],[Plat/acre]]</f>
        <v>0</v>
      </c>
      <c r="Z69" s="225"/>
      <c r="AA69" s="96">
        <f ca="1">250+0.6*(TblRezone[[#This Row],[Land]]-250)</f>
        <v>250</v>
      </c>
      <c r="AB69" s="225"/>
      <c r="AC69" s="159">
        <f ca="1">TblConstr[[#This Row],[Facs DB]]</f>
        <v>0</v>
      </c>
    </row>
    <row r="70" spans="1:29" x14ac:dyDescent="0.2">
      <c r="A70" s="224">
        <f ca="1">TblConstr[[#This Row],[Land]]</f>
        <v>250</v>
      </c>
      <c r="B70" s="226">
        <f ca="1">TblConstr[[#This Row],[Plain]]</f>
        <v>40</v>
      </c>
      <c r="C70" s="184">
        <f ca="1">TblConstr[[#This Row],[Forest]]</f>
        <v>20</v>
      </c>
      <c r="D70" s="384">
        <f ca="1">TblConstr[[#This Row],[Mountain]]</f>
        <v>20</v>
      </c>
      <c r="E70" s="388">
        <f ca="1">TblConstr[[#This Row],[Hill]]</f>
        <v>20</v>
      </c>
      <c r="F70" s="392">
        <f ca="1">TblConstr[[#This Row],[Swamp]]</f>
        <v>20</v>
      </c>
      <c r="G70" s="187">
        <f ca="1">TblConstr[[#This Row],[Cavern]]</f>
        <v>20</v>
      </c>
      <c r="H70" s="188">
        <f ca="1">TblConstr[[#This Row],[Water]]</f>
        <v>20</v>
      </c>
      <c r="I70" s="225"/>
      <c r="J70" s="177">
        <f t="shared" si="1"/>
        <v>67</v>
      </c>
      <c r="K70" s="249">
        <f ca="1">TblImps[[#This Row],[Real time]]</f>
        <v>45734.74999999984</v>
      </c>
      <c r="L70" s="181"/>
      <c r="M70" s="181"/>
      <c r="N70" s="181"/>
      <c r="O70" s="181"/>
      <c r="P70" s="181"/>
      <c r="Q70" s="181"/>
      <c r="R70" s="181"/>
      <c r="S70" s="96">
        <f>SUMIF(TblRezone[[#This Row],[Plains Rezone]:[Water Rezone]],"&gt;0")</f>
        <v>0</v>
      </c>
      <c r="T70" s="61" t="str">
        <f>IF(SUM(TblRezone[[#This Row],[Plains Rezone]:[Water Rezone]])=0,"Ok","Nope")</f>
        <v>Ok</v>
      </c>
      <c r="U70" s="225"/>
      <c r="V70" s="96">
        <f ca="1">TblProd[[#This Row],[Platinum]]</f>
        <v>482954</v>
      </c>
      <c r="W70" s="225"/>
      <c r="X70" s="96">
        <f ca="1">ROUNDUP( (1-MIN(ROUND(facs_rezone_factor*TblRezone[[#This Row],[Facs]],4),facs_rezone_max) + tech_6_4*TblTech[[#This Row],[6-4]] + tech_10_2*TblTech[[#This Row],[10-2]] - IF(TblMagic[[#This Row],[Active Mechanical Genius]]&gt;0,mech_genius_bonus,0) + race_rezone_cost) * TblRezone[[#This Row],[Plat/acre*]],0)</f>
        <v>250</v>
      </c>
      <c r="Y70" s="96">
        <f ca="1">TblRezone[[#This Row],[Total acres]]*TblRezone[[#This Row],[Plat/acre]]</f>
        <v>0</v>
      </c>
      <c r="Z70" s="225"/>
      <c r="AA70" s="96">
        <f ca="1">250+0.6*(TblRezone[[#This Row],[Land]]-250)</f>
        <v>250</v>
      </c>
      <c r="AB70" s="225"/>
      <c r="AC70" s="159">
        <f ca="1">TblConstr[[#This Row],[Facs DB]]</f>
        <v>0</v>
      </c>
    </row>
    <row r="71" spans="1:29" x14ac:dyDescent="0.2">
      <c r="A71" s="224">
        <f ca="1">TblConstr[[#This Row],[Land]]</f>
        <v>250</v>
      </c>
      <c r="B71" s="226">
        <f ca="1">TblConstr[[#This Row],[Plain]]</f>
        <v>40</v>
      </c>
      <c r="C71" s="184">
        <f ca="1">TblConstr[[#This Row],[Forest]]</f>
        <v>20</v>
      </c>
      <c r="D71" s="384">
        <f ca="1">TblConstr[[#This Row],[Mountain]]</f>
        <v>20</v>
      </c>
      <c r="E71" s="388">
        <f ca="1">TblConstr[[#This Row],[Hill]]</f>
        <v>20</v>
      </c>
      <c r="F71" s="392">
        <f ca="1">TblConstr[[#This Row],[Swamp]]</f>
        <v>20</v>
      </c>
      <c r="G71" s="187">
        <f ca="1">TblConstr[[#This Row],[Cavern]]</f>
        <v>20</v>
      </c>
      <c r="H71" s="188">
        <f ca="1">TblConstr[[#This Row],[Water]]</f>
        <v>20</v>
      </c>
      <c r="I71" s="225"/>
      <c r="J71" s="177">
        <f t="shared" si="1"/>
        <v>68</v>
      </c>
      <c r="K71" s="249">
        <f ca="1">TblImps[[#This Row],[Real time]]</f>
        <v>45734.791666666504</v>
      </c>
      <c r="L71" s="181"/>
      <c r="M71" s="181"/>
      <c r="N71" s="181"/>
      <c r="O71" s="181"/>
      <c r="P71" s="181"/>
      <c r="Q71" s="181"/>
      <c r="R71" s="181"/>
      <c r="S71" s="96">
        <f>SUMIF(TblRezone[[#This Row],[Plains Rezone]:[Water Rezone]],"&gt;0")</f>
        <v>0</v>
      </c>
      <c r="T71" s="61" t="str">
        <f>IF(SUM(TblRezone[[#This Row],[Plains Rezone]:[Water Rezone]])=0,"Ok","Nope")</f>
        <v>Ok</v>
      </c>
      <c r="U71" s="225"/>
      <c r="V71" s="96">
        <f ca="1">TblProd[[#This Row],[Platinum]]</f>
        <v>488440</v>
      </c>
      <c r="W71" s="225"/>
      <c r="X71" s="96">
        <f ca="1">ROUNDUP( (1-MIN(ROUND(facs_rezone_factor*TblRezone[[#This Row],[Facs]],4),facs_rezone_max) + tech_6_4*TblTech[[#This Row],[6-4]] + tech_10_2*TblTech[[#This Row],[10-2]] - IF(TblMagic[[#This Row],[Active Mechanical Genius]]&gt;0,mech_genius_bonus,0) + race_rezone_cost) * TblRezone[[#This Row],[Plat/acre*]],0)</f>
        <v>250</v>
      </c>
      <c r="Y71" s="96">
        <f ca="1">TblRezone[[#This Row],[Total acres]]*TblRezone[[#This Row],[Plat/acre]]</f>
        <v>0</v>
      </c>
      <c r="Z71" s="225"/>
      <c r="AA71" s="96">
        <f ca="1">250+0.6*(TblRezone[[#This Row],[Land]]-250)</f>
        <v>250</v>
      </c>
      <c r="AB71" s="225"/>
      <c r="AC71" s="159">
        <f ca="1">TblConstr[[#This Row],[Facs DB]]</f>
        <v>0</v>
      </c>
    </row>
    <row r="72" spans="1:29" x14ac:dyDescent="0.2">
      <c r="A72" s="224">
        <f ca="1">TblConstr[[#This Row],[Land]]</f>
        <v>250</v>
      </c>
      <c r="B72" s="226">
        <f ca="1">TblConstr[[#This Row],[Plain]]</f>
        <v>40</v>
      </c>
      <c r="C72" s="184">
        <f ca="1">TblConstr[[#This Row],[Forest]]</f>
        <v>20</v>
      </c>
      <c r="D72" s="384">
        <f ca="1">TblConstr[[#This Row],[Mountain]]</f>
        <v>20</v>
      </c>
      <c r="E72" s="388">
        <f ca="1">TblConstr[[#This Row],[Hill]]</f>
        <v>20</v>
      </c>
      <c r="F72" s="392">
        <f ca="1">TblConstr[[#This Row],[Swamp]]</f>
        <v>20</v>
      </c>
      <c r="G72" s="187">
        <f ca="1">TblConstr[[#This Row],[Cavern]]</f>
        <v>20</v>
      </c>
      <c r="H72" s="188">
        <f ca="1">TblConstr[[#This Row],[Water]]</f>
        <v>20</v>
      </c>
      <c r="I72" s="225"/>
      <c r="J72" s="177">
        <f t="shared" si="1"/>
        <v>69</v>
      </c>
      <c r="K72" s="249">
        <f ca="1">TblImps[[#This Row],[Real time]]</f>
        <v>45734.833333333168</v>
      </c>
      <c r="L72" s="181"/>
      <c r="M72" s="181"/>
      <c r="N72" s="181"/>
      <c r="O72" s="181"/>
      <c r="P72" s="181"/>
      <c r="Q72" s="181"/>
      <c r="R72" s="181"/>
      <c r="S72" s="96">
        <f>SUMIF(TblRezone[[#This Row],[Plains Rezone]:[Water Rezone]],"&gt;0")</f>
        <v>0</v>
      </c>
      <c r="T72" s="61" t="str">
        <f>IF(SUM(TblRezone[[#This Row],[Plains Rezone]:[Water Rezone]])=0,"Ok","Nope")</f>
        <v>Ok</v>
      </c>
      <c r="U72" s="225"/>
      <c r="V72" s="96">
        <f ca="1">TblProd[[#This Row],[Platinum]]</f>
        <v>493926</v>
      </c>
      <c r="W72" s="225"/>
      <c r="X72" s="96">
        <f ca="1">ROUNDUP( (1-MIN(ROUND(facs_rezone_factor*TblRezone[[#This Row],[Facs]],4),facs_rezone_max) + tech_6_4*TblTech[[#This Row],[6-4]] + tech_10_2*TblTech[[#This Row],[10-2]] - IF(TblMagic[[#This Row],[Active Mechanical Genius]]&gt;0,mech_genius_bonus,0) + race_rezone_cost) * TblRezone[[#This Row],[Plat/acre*]],0)</f>
        <v>250</v>
      </c>
      <c r="Y72" s="96">
        <f ca="1">TblRezone[[#This Row],[Total acres]]*TblRezone[[#This Row],[Plat/acre]]</f>
        <v>0</v>
      </c>
      <c r="Z72" s="225"/>
      <c r="AA72" s="96">
        <f ca="1">250+0.6*(TblRezone[[#This Row],[Land]]-250)</f>
        <v>250</v>
      </c>
      <c r="AB72" s="225"/>
      <c r="AC72" s="159">
        <f ca="1">TblConstr[[#This Row],[Facs DB]]</f>
        <v>0</v>
      </c>
    </row>
    <row r="73" spans="1:29" x14ac:dyDescent="0.2">
      <c r="A73" s="224">
        <f ca="1">TblConstr[[#This Row],[Land]]</f>
        <v>250</v>
      </c>
      <c r="B73" s="226">
        <f ca="1">TblConstr[[#This Row],[Plain]]</f>
        <v>40</v>
      </c>
      <c r="C73" s="184">
        <f ca="1">TblConstr[[#This Row],[Forest]]</f>
        <v>20</v>
      </c>
      <c r="D73" s="384">
        <f ca="1">TblConstr[[#This Row],[Mountain]]</f>
        <v>20</v>
      </c>
      <c r="E73" s="388">
        <f ca="1">TblConstr[[#This Row],[Hill]]</f>
        <v>20</v>
      </c>
      <c r="F73" s="392">
        <f ca="1">TblConstr[[#This Row],[Swamp]]</f>
        <v>20</v>
      </c>
      <c r="G73" s="187">
        <f ca="1">TblConstr[[#This Row],[Cavern]]</f>
        <v>20</v>
      </c>
      <c r="H73" s="188">
        <f ca="1">TblConstr[[#This Row],[Water]]</f>
        <v>20</v>
      </c>
      <c r="I73" s="225"/>
      <c r="J73" s="177">
        <f t="shared" si="1"/>
        <v>70</v>
      </c>
      <c r="K73" s="249">
        <f ca="1">TblImps[[#This Row],[Real time]]</f>
        <v>45734.874999999833</v>
      </c>
      <c r="L73" s="181"/>
      <c r="M73" s="181"/>
      <c r="N73" s="181"/>
      <c r="O73" s="181"/>
      <c r="P73" s="181"/>
      <c r="Q73" s="181"/>
      <c r="R73" s="181"/>
      <c r="S73" s="96">
        <f>SUMIF(TblRezone[[#This Row],[Plains Rezone]:[Water Rezone]],"&gt;0")</f>
        <v>0</v>
      </c>
      <c r="T73" s="61" t="str">
        <f>IF(SUM(TblRezone[[#This Row],[Plains Rezone]:[Water Rezone]])=0,"Ok","Nope")</f>
        <v>Ok</v>
      </c>
      <c r="U73" s="225"/>
      <c r="V73" s="96">
        <f ca="1">TblProd[[#This Row],[Platinum]]</f>
        <v>499412</v>
      </c>
      <c r="W73" s="225"/>
      <c r="X73" s="96">
        <f ca="1">ROUNDUP( (1-MIN(ROUND(facs_rezone_factor*TblRezone[[#This Row],[Facs]],4),facs_rezone_max) + tech_6_4*TblTech[[#This Row],[6-4]] + tech_10_2*TblTech[[#This Row],[10-2]] - IF(TblMagic[[#This Row],[Active Mechanical Genius]]&gt;0,mech_genius_bonus,0) + race_rezone_cost) * TblRezone[[#This Row],[Plat/acre*]],0)</f>
        <v>250</v>
      </c>
      <c r="Y73" s="96">
        <f ca="1">TblRezone[[#This Row],[Total acres]]*TblRezone[[#This Row],[Plat/acre]]</f>
        <v>0</v>
      </c>
      <c r="Z73" s="225"/>
      <c r="AA73" s="96">
        <f ca="1">250+0.6*(TblRezone[[#This Row],[Land]]-250)</f>
        <v>250</v>
      </c>
      <c r="AB73" s="225"/>
      <c r="AC73" s="159">
        <f ca="1">TblConstr[[#This Row],[Facs DB]]</f>
        <v>0</v>
      </c>
    </row>
    <row r="74" spans="1:29" x14ac:dyDescent="0.2">
      <c r="A74" s="224">
        <f ca="1">TblConstr[[#This Row],[Land]]</f>
        <v>250</v>
      </c>
      <c r="B74" s="226">
        <f ca="1">TblConstr[[#This Row],[Plain]]</f>
        <v>40</v>
      </c>
      <c r="C74" s="184">
        <f ca="1">TblConstr[[#This Row],[Forest]]</f>
        <v>20</v>
      </c>
      <c r="D74" s="384">
        <f ca="1">TblConstr[[#This Row],[Mountain]]</f>
        <v>20</v>
      </c>
      <c r="E74" s="388">
        <f ca="1">TblConstr[[#This Row],[Hill]]</f>
        <v>20</v>
      </c>
      <c r="F74" s="392">
        <f ca="1">TblConstr[[#This Row],[Swamp]]</f>
        <v>20</v>
      </c>
      <c r="G74" s="187">
        <f ca="1">TblConstr[[#This Row],[Cavern]]</f>
        <v>20</v>
      </c>
      <c r="H74" s="188">
        <f ca="1">TblConstr[[#This Row],[Water]]</f>
        <v>20</v>
      </c>
      <c r="I74" s="225"/>
      <c r="J74" s="177">
        <f t="shared" si="1"/>
        <v>71</v>
      </c>
      <c r="K74" s="249">
        <f ca="1">TblImps[[#This Row],[Real time]]</f>
        <v>45734.916666666497</v>
      </c>
      <c r="L74" s="181"/>
      <c r="M74" s="181"/>
      <c r="N74" s="181"/>
      <c r="O74" s="181"/>
      <c r="P74" s="181"/>
      <c r="Q74" s="181"/>
      <c r="R74" s="181"/>
      <c r="S74" s="96">
        <f>SUMIF(TblRezone[[#This Row],[Plains Rezone]:[Water Rezone]],"&gt;0")</f>
        <v>0</v>
      </c>
      <c r="T74" s="61" t="str">
        <f>IF(SUM(TblRezone[[#This Row],[Plains Rezone]:[Water Rezone]])=0,"Ok","Nope")</f>
        <v>Ok</v>
      </c>
      <c r="U74" s="225"/>
      <c r="V74" s="96">
        <f ca="1">TblProd[[#This Row],[Platinum]]</f>
        <v>504898</v>
      </c>
      <c r="W74" s="225"/>
      <c r="X74" s="96">
        <f ca="1">ROUNDUP( (1-MIN(ROUND(facs_rezone_factor*TblRezone[[#This Row],[Facs]],4),facs_rezone_max) + tech_6_4*TblTech[[#This Row],[6-4]] + tech_10_2*TblTech[[#This Row],[10-2]] - IF(TblMagic[[#This Row],[Active Mechanical Genius]]&gt;0,mech_genius_bonus,0) + race_rezone_cost) * TblRezone[[#This Row],[Plat/acre*]],0)</f>
        <v>250</v>
      </c>
      <c r="Y74" s="96">
        <f ca="1">TblRezone[[#This Row],[Total acres]]*TblRezone[[#This Row],[Plat/acre]]</f>
        <v>0</v>
      </c>
      <c r="Z74" s="225"/>
      <c r="AA74" s="96">
        <f ca="1">250+0.6*(TblRezone[[#This Row],[Land]]-250)</f>
        <v>250</v>
      </c>
      <c r="AB74" s="225"/>
      <c r="AC74" s="159">
        <f ca="1">TblConstr[[#This Row],[Facs DB]]</f>
        <v>0</v>
      </c>
    </row>
    <row r="75" spans="1:29" x14ac:dyDescent="0.2">
      <c r="A75" s="224">
        <f ca="1">TblConstr[[#This Row],[Land]]</f>
        <v>250</v>
      </c>
      <c r="B75" s="226">
        <f ca="1">TblConstr[[#This Row],[Plain]]</f>
        <v>40</v>
      </c>
      <c r="C75" s="184">
        <f ca="1">TblConstr[[#This Row],[Forest]]</f>
        <v>20</v>
      </c>
      <c r="D75" s="384">
        <f ca="1">TblConstr[[#This Row],[Mountain]]</f>
        <v>20</v>
      </c>
      <c r="E75" s="388">
        <f ca="1">TblConstr[[#This Row],[Hill]]</f>
        <v>20</v>
      </c>
      <c r="F75" s="392">
        <f ca="1">TblConstr[[#This Row],[Swamp]]</f>
        <v>20</v>
      </c>
      <c r="G75" s="187">
        <f ca="1">TblConstr[[#This Row],[Cavern]]</f>
        <v>20</v>
      </c>
      <c r="H75" s="188">
        <f ca="1">TblConstr[[#This Row],[Water]]</f>
        <v>20</v>
      </c>
      <c r="I75" s="225"/>
      <c r="J75" s="177">
        <f t="shared" si="1"/>
        <v>72</v>
      </c>
      <c r="K75" s="249">
        <f ca="1">TblImps[[#This Row],[Real time]]</f>
        <v>45734.958333333161</v>
      </c>
      <c r="L75" s="181"/>
      <c r="M75" s="181"/>
      <c r="N75" s="181"/>
      <c r="O75" s="181"/>
      <c r="P75" s="181"/>
      <c r="Q75" s="181"/>
      <c r="R75" s="181"/>
      <c r="S75" s="96">
        <f>SUMIF(TblRezone[[#This Row],[Plains Rezone]:[Water Rezone]],"&gt;0")</f>
        <v>0</v>
      </c>
      <c r="T75" s="61" t="str">
        <f>IF(SUM(TblRezone[[#This Row],[Plains Rezone]:[Water Rezone]])=0,"Ok","Nope")</f>
        <v>Ok</v>
      </c>
      <c r="U75" s="225"/>
      <c r="V75" s="96">
        <f ca="1">TblProd[[#This Row],[Platinum]]</f>
        <v>510384</v>
      </c>
      <c r="W75" s="225"/>
      <c r="X75" s="96">
        <f ca="1">ROUNDUP( (1-MIN(ROUND(facs_rezone_factor*TblRezone[[#This Row],[Facs]],4),facs_rezone_max) + tech_6_4*TblTech[[#This Row],[6-4]] + tech_10_2*TblTech[[#This Row],[10-2]] - IF(TblMagic[[#This Row],[Active Mechanical Genius]]&gt;0,mech_genius_bonus,0) + race_rezone_cost) * TblRezone[[#This Row],[Plat/acre*]],0)</f>
        <v>250</v>
      </c>
      <c r="Y75" s="96">
        <f ca="1">TblRezone[[#This Row],[Total acres]]*TblRezone[[#This Row],[Plat/acre]]</f>
        <v>0</v>
      </c>
      <c r="Z75" s="225"/>
      <c r="AA75" s="96">
        <f ca="1">250+0.6*(TblRezone[[#This Row],[Land]]-250)</f>
        <v>250</v>
      </c>
      <c r="AB75" s="225"/>
      <c r="AC75" s="159">
        <f ca="1">TblConstr[[#This Row],[Facs DB]]</f>
        <v>0</v>
      </c>
    </row>
    <row r="76" spans="1:29" x14ac:dyDescent="0.2">
      <c r="A76" s="241">
        <f ca="1">TblConstr[[#This Row],[Land]]</f>
        <v>250</v>
      </c>
      <c r="B76" s="243">
        <f ca="1">TblConstr[[#This Row],[Plain]]</f>
        <v>40</v>
      </c>
      <c r="C76" s="201">
        <f ca="1">TblConstr[[#This Row],[Forest]]</f>
        <v>20</v>
      </c>
      <c r="D76" s="385">
        <f ca="1">TblConstr[[#This Row],[Mountain]]</f>
        <v>20</v>
      </c>
      <c r="E76" s="389">
        <f ca="1">TblConstr[[#This Row],[Hill]]</f>
        <v>20</v>
      </c>
      <c r="F76" s="393">
        <f ca="1">TblConstr[[#This Row],[Swamp]]</f>
        <v>20</v>
      </c>
      <c r="G76" s="204">
        <f ca="1">TblConstr[[#This Row],[Cavern]]</f>
        <v>20</v>
      </c>
      <c r="H76" s="205">
        <f ca="1">TblConstr[[#This Row],[Water]]</f>
        <v>20</v>
      </c>
      <c r="I76" s="242"/>
      <c r="J76" s="195">
        <f t="shared" si="1"/>
        <v>73</v>
      </c>
      <c r="K76" s="250">
        <f ca="1">TblImps[[#This Row],[Real time]]</f>
        <v>45734.999999999825</v>
      </c>
      <c r="L76" s="206"/>
      <c r="M76" s="206"/>
      <c r="N76" s="206"/>
      <c r="O76" s="206"/>
      <c r="P76" s="206"/>
      <c r="Q76" s="206"/>
      <c r="R76" s="206"/>
      <c r="S76" s="209">
        <f>SUMIF(TblRezone[[#This Row],[Plains Rezone]:[Water Rezone]],"&gt;0")</f>
        <v>0</v>
      </c>
      <c r="T76" s="199" t="str">
        <f>IF(SUM(TblRezone[[#This Row],[Plains Rezone]:[Water Rezone]])=0,"Ok","Nope")</f>
        <v>Ok</v>
      </c>
      <c r="U76" s="242"/>
      <c r="V76" s="209">
        <f ca="1">TblProd[[#This Row],[Platinum]]</f>
        <v>515870</v>
      </c>
      <c r="W76" s="242"/>
      <c r="X76" s="209">
        <f ca="1">ROUNDUP( (1-MIN(ROUND(facs_rezone_factor*TblRezone[[#This Row],[Facs]],4),facs_rezone_max) + tech_6_4*TblTech[[#This Row],[6-4]] + tech_10_2*TblTech[[#This Row],[10-2]] - IF(TblMagic[[#This Row],[Active Mechanical Genius]]&gt;0,mech_genius_bonus,0) + race_rezone_cost) * TblRezone[[#This Row],[Plat/acre*]],0)</f>
        <v>250</v>
      </c>
      <c r="Y76" s="209">
        <f ca="1">TblRezone[[#This Row],[Total acres]]*TblRezone[[#This Row],[Plat/acre]]</f>
        <v>0</v>
      </c>
      <c r="Z76" s="242"/>
      <c r="AA76" s="209">
        <f ca="1">250+0.6*(TblRezone[[#This Row],[Land]]-250)</f>
        <v>250</v>
      </c>
      <c r="AB76" s="242"/>
      <c r="AC76" s="251">
        <f ca="1">TblConstr[[#This Row],[Facs DB]]</f>
        <v>0</v>
      </c>
    </row>
    <row r="77" spans="1:29" x14ac:dyDescent="0.2">
      <c r="A77" s="224">
        <f ca="1">TblConstr[[#This Row],[Land]]</f>
        <v>250</v>
      </c>
      <c r="B77" s="226">
        <f ca="1">TblConstr[[#This Row],[Plain]]</f>
        <v>40</v>
      </c>
      <c r="C77" s="184">
        <f ca="1">TblConstr[[#This Row],[Forest]]</f>
        <v>20</v>
      </c>
      <c r="D77" s="384">
        <f ca="1">TblConstr[[#This Row],[Mountain]]</f>
        <v>20</v>
      </c>
      <c r="E77" s="388">
        <f ca="1">TblConstr[[#This Row],[Hill]]</f>
        <v>20</v>
      </c>
      <c r="F77" s="392">
        <f ca="1">TblConstr[[#This Row],[Swamp]]</f>
        <v>20</v>
      </c>
      <c r="G77" s="187">
        <f ca="1">TblConstr[[#This Row],[Cavern]]</f>
        <v>20</v>
      </c>
      <c r="H77" s="188">
        <f ca="1">TblConstr[[#This Row],[Water]]</f>
        <v>20</v>
      </c>
      <c r="I77" s="225"/>
      <c r="J77" s="177">
        <f t="shared" ref="J77:J87" si="2">J76+1</f>
        <v>74</v>
      </c>
      <c r="K77" s="249">
        <f ca="1">TblImps[[#This Row],[Real time]]</f>
        <v>45735.04166666649</v>
      </c>
      <c r="L77" s="181"/>
      <c r="M77" s="181"/>
      <c r="N77" s="181"/>
      <c r="O77" s="181"/>
      <c r="P77" s="181"/>
      <c r="Q77" s="181"/>
      <c r="R77" s="181"/>
      <c r="S77" s="96">
        <f>SUMIF(TblRezone[[#This Row],[Plains Rezone]:[Water Rezone]],"&gt;0")</f>
        <v>0</v>
      </c>
      <c r="T77" s="61" t="str">
        <f>IF(SUM(TblRezone[[#This Row],[Plains Rezone]:[Water Rezone]])=0,"Ok","Nope")</f>
        <v>Ok</v>
      </c>
      <c r="U77" s="225"/>
      <c r="V77" s="96">
        <f ca="1">TblProd[[#This Row],[Platinum]]</f>
        <v>521356</v>
      </c>
      <c r="W77" s="225"/>
      <c r="X77" s="96">
        <f ca="1">ROUNDUP( (1-MIN(ROUND(facs_rezone_factor*TblRezone[[#This Row],[Facs]],4),facs_rezone_max) + tech_6_4*TblTech[[#This Row],[6-4]] + tech_10_2*TblTech[[#This Row],[10-2]] - IF(TblMagic[[#This Row],[Active Mechanical Genius]]&gt;0,mech_genius_bonus,0) + race_rezone_cost) * TblRezone[[#This Row],[Plat/acre*]],0)</f>
        <v>250</v>
      </c>
      <c r="Y77" s="96">
        <f ca="1">TblRezone[[#This Row],[Total acres]]*TblRezone[[#This Row],[Plat/acre]]</f>
        <v>0</v>
      </c>
      <c r="Z77" s="225"/>
      <c r="AA77" s="96">
        <f ca="1">250+0.6*(TblRezone[[#This Row],[Land]]-250)</f>
        <v>250</v>
      </c>
      <c r="AB77" s="225"/>
      <c r="AC77" s="159">
        <f ca="1">TblConstr[[#This Row],[Facs DB]]</f>
        <v>0</v>
      </c>
    </row>
    <row r="78" spans="1:29" x14ac:dyDescent="0.2">
      <c r="A78" s="224">
        <f ca="1">TblConstr[[#This Row],[Land]]</f>
        <v>250</v>
      </c>
      <c r="B78" s="226">
        <f ca="1">TblConstr[[#This Row],[Plain]]</f>
        <v>40</v>
      </c>
      <c r="C78" s="184">
        <f ca="1">TblConstr[[#This Row],[Forest]]</f>
        <v>20</v>
      </c>
      <c r="D78" s="384">
        <f ca="1">TblConstr[[#This Row],[Mountain]]</f>
        <v>20</v>
      </c>
      <c r="E78" s="388">
        <f ca="1">TblConstr[[#This Row],[Hill]]</f>
        <v>20</v>
      </c>
      <c r="F78" s="392">
        <f ca="1">TblConstr[[#This Row],[Swamp]]</f>
        <v>20</v>
      </c>
      <c r="G78" s="187">
        <f ca="1">TblConstr[[#This Row],[Cavern]]</f>
        <v>20</v>
      </c>
      <c r="H78" s="188">
        <f ca="1">TblConstr[[#This Row],[Water]]</f>
        <v>20</v>
      </c>
      <c r="I78" s="225"/>
      <c r="J78" s="177">
        <f t="shared" si="2"/>
        <v>75</v>
      </c>
      <c r="K78" s="249">
        <f ca="1">TblImps[[#This Row],[Real time]]</f>
        <v>45735.083333333154</v>
      </c>
      <c r="L78" s="181"/>
      <c r="M78" s="181"/>
      <c r="N78" s="181"/>
      <c r="O78" s="181"/>
      <c r="P78" s="181"/>
      <c r="Q78" s="181"/>
      <c r="R78" s="181"/>
      <c r="S78" s="96">
        <f>SUMIF(TblRezone[[#This Row],[Plains Rezone]:[Water Rezone]],"&gt;0")</f>
        <v>0</v>
      </c>
      <c r="T78" s="61" t="str">
        <f>IF(SUM(TblRezone[[#This Row],[Plains Rezone]:[Water Rezone]])=0,"Ok","Nope")</f>
        <v>Ok</v>
      </c>
      <c r="U78" s="225"/>
      <c r="V78" s="96">
        <f ca="1">TblProd[[#This Row],[Platinum]]</f>
        <v>526842</v>
      </c>
      <c r="W78" s="225"/>
      <c r="X78" s="96">
        <f ca="1">ROUNDUP( (1-MIN(ROUND(facs_rezone_factor*TblRezone[[#This Row],[Facs]],4),facs_rezone_max) + tech_6_4*TblTech[[#This Row],[6-4]] + tech_10_2*TblTech[[#This Row],[10-2]] - IF(TblMagic[[#This Row],[Active Mechanical Genius]]&gt;0,mech_genius_bonus,0) + race_rezone_cost) * TblRezone[[#This Row],[Plat/acre*]],0)</f>
        <v>250</v>
      </c>
      <c r="Y78" s="96">
        <f ca="1">TblRezone[[#This Row],[Total acres]]*TblRezone[[#This Row],[Plat/acre]]</f>
        <v>0</v>
      </c>
      <c r="Z78" s="225"/>
      <c r="AA78" s="96">
        <f ca="1">250+0.6*(TblRezone[[#This Row],[Land]]-250)</f>
        <v>250</v>
      </c>
      <c r="AB78" s="225"/>
      <c r="AC78" s="159">
        <f ca="1">TblConstr[[#This Row],[Facs DB]]</f>
        <v>0</v>
      </c>
    </row>
    <row r="79" spans="1:29" x14ac:dyDescent="0.2">
      <c r="A79" s="224">
        <f ca="1">TblConstr[[#This Row],[Land]]</f>
        <v>250</v>
      </c>
      <c r="B79" s="226">
        <f ca="1">TblConstr[[#This Row],[Plain]]</f>
        <v>40</v>
      </c>
      <c r="C79" s="184">
        <f ca="1">TblConstr[[#This Row],[Forest]]</f>
        <v>20</v>
      </c>
      <c r="D79" s="384">
        <f ca="1">TblConstr[[#This Row],[Mountain]]</f>
        <v>20</v>
      </c>
      <c r="E79" s="388">
        <f ca="1">TblConstr[[#This Row],[Hill]]</f>
        <v>20</v>
      </c>
      <c r="F79" s="392">
        <f ca="1">TblConstr[[#This Row],[Swamp]]</f>
        <v>20</v>
      </c>
      <c r="G79" s="187">
        <f ca="1">TblConstr[[#This Row],[Cavern]]</f>
        <v>20</v>
      </c>
      <c r="H79" s="188">
        <f ca="1">TblConstr[[#This Row],[Water]]</f>
        <v>20</v>
      </c>
      <c r="I79" s="225"/>
      <c r="J79" s="177">
        <f t="shared" si="2"/>
        <v>76</v>
      </c>
      <c r="K79" s="249">
        <f ca="1">TblImps[[#This Row],[Real time]]</f>
        <v>45735.124999999818</v>
      </c>
      <c r="L79" s="181"/>
      <c r="M79" s="181"/>
      <c r="N79" s="181"/>
      <c r="O79" s="181"/>
      <c r="P79" s="181"/>
      <c r="Q79" s="181"/>
      <c r="R79" s="181"/>
      <c r="S79" s="96">
        <f>SUMIF(TblRezone[[#This Row],[Plains Rezone]:[Water Rezone]],"&gt;0")</f>
        <v>0</v>
      </c>
      <c r="T79" s="61" t="str">
        <f>IF(SUM(TblRezone[[#This Row],[Plains Rezone]:[Water Rezone]])=0,"Ok","Nope")</f>
        <v>Ok</v>
      </c>
      <c r="U79" s="225"/>
      <c r="V79" s="96">
        <f ca="1">TblProd[[#This Row],[Platinum]]</f>
        <v>532328</v>
      </c>
      <c r="W79" s="225"/>
      <c r="X79" s="96">
        <f ca="1">ROUNDUP( (1-MIN(ROUND(facs_rezone_factor*TblRezone[[#This Row],[Facs]],4),facs_rezone_max) + tech_6_4*TblTech[[#This Row],[6-4]] + tech_10_2*TblTech[[#This Row],[10-2]] - IF(TblMagic[[#This Row],[Active Mechanical Genius]]&gt;0,mech_genius_bonus,0) + race_rezone_cost) * TblRezone[[#This Row],[Plat/acre*]],0)</f>
        <v>250</v>
      </c>
      <c r="Y79" s="96">
        <f ca="1">TblRezone[[#This Row],[Total acres]]*TblRezone[[#This Row],[Plat/acre]]</f>
        <v>0</v>
      </c>
      <c r="Z79" s="225"/>
      <c r="AA79" s="96">
        <f ca="1">250+0.6*(TblRezone[[#This Row],[Land]]-250)</f>
        <v>250</v>
      </c>
      <c r="AB79" s="225"/>
      <c r="AC79" s="159">
        <f ca="1">TblConstr[[#This Row],[Facs DB]]</f>
        <v>0</v>
      </c>
    </row>
    <row r="80" spans="1:29" x14ac:dyDescent="0.2">
      <c r="A80" s="224">
        <f ca="1">TblConstr[[#This Row],[Land]]</f>
        <v>250</v>
      </c>
      <c r="B80" s="226">
        <f ca="1">TblConstr[[#This Row],[Plain]]</f>
        <v>40</v>
      </c>
      <c r="C80" s="184">
        <f ca="1">TblConstr[[#This Row],[Forest]]</f>
        <v>20</v>
      </c>
      <c r="D80" s="384">
        <f ca="1">TblConstr[[#This Row],[Mountain]]</f>
        <v>20</v>
      </c>
      <c r="E80" s="388">
        <f ca="1">TblConstr[[#This Row],[Hill]]</f>
        <v>20</v>
      </c>
      <c r="F80" s="392">
        <f ca="1">TblConstr[[#This Row],[Swamp]]</f>
        <v>20</v>
      </c>
      <c r="G80" s="187">
        <f ca="1">TblConstr[[#This Row],[Cavern]]</f>
        <v>20</v>
      </c>
      <c r="H80" s="188">
        <f ca="1">TblConstr[[#This Row],[Water]]</f>
        <v>20</v>
      </c>
      <c r="I80" s="225"/>
      <c r="J80" s="177">
        <f t="shared" si="2"/>
        <v>77</v>
      </c>
      <c r="K80" s="249">
        <f ca="1">TblImps[[#This Row],[Real time]]</f>
        <v>45735.166666666482</v>
      </c>
      <c r="L80" s="181"/>
      <c r="M80" s="181"/>
      <c r="N80" s="181"/>
      <c r="O80" s="181"/>
      <c r="P80" s="181"/>
      <c r="Q80" s="181"/>
      <c r="R80" s="181"/>
      <c r="S80" s="96">
        <f>SUMIF(TblRezone[[#This Row],[Plains Rezone]:[Water Rezone]],"&gt;0")</f>
        <v>0</v>
      </c>
      <c r="T80" s="61" t="str">
        <f>IF(SUM(TblRezone[[#This Row],[Plains Rezone]:[Water Rezone]])=0,"Ok","Nope")</f>
        <v>Ok</v>
      </c>
      <c r="U80" s="225"/>
      <c r="V80" s="96">
        <f ca="1">TblProd[[#This Row],[Platinum]]</f>
        <v>537814</v>
      </c>
      <c r="W80" s="225"/>
      <c r="X80" s="96">
        <f ca="1">ROUNDUP( (1-MIN(ROUND(facs_rezone_factor*TblRezone[[#This Row],[Facs]],4),facs_rezone_max) + tech_6_4*TblTech[[#This Row],[6-4]] + tech_10_2*TblTech[[#This Row],[10-2]] - IF(TblMagic[[#This Row],[Active Mechanical Genius]]&gt;0,mech_genius_bonus,0) + race_rezone_cost) * TblRezone[[#This Row],[Plat/acre*]],0)</f>
        <v>250</v>
      </c>
      <c r="Y80" s="96">
        <f ca="1">TblRezone[[#This Row],[Total acres]]*TblRezone[[#This Row],[Plat/acre]]</f>
        <v>0</v>
      </c>
      <c r="Z80" s="225"/>
      <c r="AA80" s="96">
        <f ca="1">250+0.6*(TblRezone[[#This Row],[Land]]-250)</f>
        <v>250</v>
      </c>
      <c r="AB80" s="225"/>
      <c r="AC80" s="159">
        <f ca="1">TblConstr[[#This Row],[Facs DB]]</f>
        <v>0</v>
      </c>
    </row>
    <row r="81" spans="1:29" x14ac:dyDescent="0.2">
      <c r="A81" s="224">
        <f ca="1">TblConstr[[#This Row],[Land]]</f>
        <v>250</v>
      </c>
      <c r="B81" s="226">
        <f ca="1">TblConstr[[#This Row],[Plain]]</f>
        <v>40</v>
      </c>
      <c r="C81" s="184">
        <f ca="1">TblConstr[[#This Row],[Forest]]</f>
        <v>20</v>
      </c>
      <c r="D81" s="384">
        <f ca="1">TblConstr[[#This Row],[Mountain]]</f>
        <v>20</v>
      </c>
      <c r="E81" s="388">
        <f ca="1">TblConstr[[#This Row],[Hill]]</f>
        <v>20</v>
      </c>
      <c r="F81" s="392">
        <f ca="1">TblConstr[[#This Row],[Swamp]]</f>
        <v>20</v>
      </c>
      <c r="G81" s="187">
        <f ca="1">TblConstr[[#This Row],[Cavern]]</f>
        <v>20</v>
      </c>
      <c r="H81" s="188">
        <f ca="1">TblConstr[[#This Row],[Water]]</f>
        <v>20</v>
      </c>
      <c r="I81" s="225"/>
      <c r="J81" s="177">
        <f t="shared" si="2"/>
        <v>78</v>
      </c>
      <c r="K81" s="249">
        <f ca="1">TblImps[[#This Row],[Real time]]</f>
        <v>45735.208333333147</v>
      </c>
      <c r="L81" s="181"/>
      <c r="M81" s="181"/>
      <c r="N81" s="181"/>
      <c r="O81" s="181"/>
      <c r="P81" s="181"/>
      <c r="Q81" s="181"/>
      <c r="R81" s="181"/>
      <c r="S81" s="96">
        <f>SUMIF(TblRezone[[#This Row],[Plains Rezone]:[Water Rezone]],"&gt;0")</f>
        <v>0</v>
      </c>
      <c r="T81" s="61" t="str">
        <f>IF(SUM(TblRezone[[#This Row],[Plains Rezone]:[Water Rezone]])=0,"Ok","Nope")</f>
        <v>Ok</v>
      </c>
      <c r="U81" s="225"/>
      <c r="V81" s="96">
        <f ca="1">TblProd[[#This Row],[Platinum]]</f>
        <v>543300</v>
      </c>
      <c r="W81" s="225"/>
      <c r="X81" s="96">
        <f ca="1">ROUNDUP( (1-MIN(ROUND(facs_rezone_factor*TblRezone[[#This Row],[Facs]],4),facs_rezone_max) + tech_6_4*TblTech[[#This Row],[6-4]] + tech_10_2*TblTech[[#This Row],[10-2]] - IF(TblMagic[[#This Row],[Active Mechanical Genius]]&gt;0,mech_genius_bonus,0) + race_rezone_cost) * TblRezone[[#This Row],[Plat/acre*]],0)</f>
        <v>250</v>
      </c>
      <c r="Y81" s="96">
        <f ca="1">TblRezone[[#This Row],[Total acres]]*TblRezone[[#This Row],[Plat/acre]]</f>
        <v>0</v>
      </c>
      <c r="Z81" s="225"/>
      <c r="AA81" s="96">
        <f ca="1">250+0.6*(TblRezone[[#This Row],[Land]]-250)</f>
        <v>250</v>
      </c>
      <c r="AB81" s="225"/>
      <c r="AC81" s="159">
        <f ca="1">TblConstr[[#This Row],[Facs DB]]</f>
        <v>0</v>
      </c>
    </row>
    <row r="82" spans="1:29" x14ac:dyDescent="0.2">
      <c r="A82" s="224">
        <f ca="1">TblConstr[[#This Row],[Land]]</f>
        <v>250</v>
      </c>
      <c r="B82" s="226">
        <f ca="1">TblConstr[[#This Row],[Plain]]</f>
        <v>40</v>
      </c>
      <c r="C82" s="184">
        <f ca="1">TblConstr[[#This Row],[Forest]]</f>
        <v>20</v>
      </c>
      <c r="D82" s="384">
        <f ca="1">TblConstr[[#This Row],[Mountain]]</f>
        <v>20</v>
      </c>
      <c r="E82" s="388">
        <f ca="1">TblConstr[[#This Row],[Hill]]</f>
        <v>20</v>
      </c>
      <c r="F82" s="392">
        <f ca="1">TblConstr[[#This Row],[Swamp]]</f>
        <v>20</v>
      </c>
      <c r="G82" s="187">
        <f ca="1">TblConstr[[#This Row],[Cavern]]</f>
        <v>20</v>
      </c>
      <c r="H82" s="188">
        <f ca="1">TblConstr[[#This Row],[Water]]</f>
        <v>20</v>
      </c>
      <c r="I82" s="225"/>
      <c r="J82" s="177">
        <f t="shared" si="2"/>
        <v>79</v>
      </c>
      <c r="K82" s="249">
        <f ca="1">TblImps[[#This Row],[Real time]]</f>
        <v>45735.249999999811</v>
      </c>
      <c r="L82" s="181"/>
      <c r="M82" s="181"/>
      <c r="N82" s="181"/>
      <c r="O82" s="181"/>
      <c r="P82" s="181"/>
      <c r="Q82" s="181"/>
      <c r="R82" s="181"/>
      <c r="S82" s="96">
        <f>SUMIF(TblRezone[[#This Row],[Plains Rezone]:[Water Rezone]],"&gt;0")</f>
        <v>0</v>
      </c>
      <c r="T82" s="61" t="str">
        <f>IF(SUM(TblRezone[[#This Row],[Plains Rezone]:[Water Rezone]])=0,"Ok","Nope")</f>
        <v>Ok</v>
      </c>
      <c r="U82" s="225"/>
      <c r="V82" s="96">
        <f ca="1">TblProd[[#This Row],[Platinum]]</f>
        <v>548786</v>
      </c>
      <c r="W82" s="225"/>
      <c r="X82" s="96">
        <f ca="1">ROUNDUP( (1-MIN(ROUND(facs_rezone_factor*TblRezone[[#This Row],[Facs]],4),facs_rezone_max) + tech_6_4*TblTech[[#This Row],[6-4]] + tech_10_2*TblTech[[#This Row],[10-2]] - IF(TblMagic[[#This Row],[Active Mechanical Genius]]&gt;0,mech_genius_bonus,0) + race_rezone_cost) * TblRezone[[#This Row],[Plat/acre*]],0)</f>
        <v>250</v>
      </c>
      <c r="Y82" s="96">
        <f ca="1">TblRezone[[#This Row],[Total acres]]*TblRezone[[#This Row],[Plat/acre]]</f>
        <v>0</v>
      </c>
      <c r="Z82" s="225"/>
      <c r="AA82" s="96">
        <f ca="1">250+0.6*(TblRezone[[#This Row],[Land]]-250)</f>
        <v>250</v>
      </c>
      <c r="AB82" s="225"/>
      <c r="AC82" s="159">
        <f ca="1">TblConstr[[#This Row],[Facs DB]]</f>
        <v>0</v>
      </c>
    </row>
    <row r="83" spans="1:29" x14ac:dyDescent="0.2">
      <c r="A83" s="224">
        <f ca="1">TblConstr[[#This Row],[Land]]</f>
        <v>250</v>
      </c>
      <c r="B83" s="226">
        <f ca="1">TblConstr[[#This Row],[Plain]]</f>
        <v>40</v>
      </c>
      <c r="C83" s="184">
        <f ca="1">TblConstr[[#This Row],[Forest]]</f>
        <v>20</v>
      </c>
      <c r="D83" s="384">
        <f ca="1">TblConstr[[#This Row],[Mountain]]</f>
        <v>20</v>
      </c>
      <c r="E83" s="388">
        <f ca="1">TblConstr[[#This Row],[Hill]]</f>
        <v>20</v>
      </c>
      <c r="F83" s="392">
        <f ca="1">TblConstr[[#This Row],[Swamp]]</f>
        <v>20</v>
      </c>
      <c r="G83" s="187">
        <f ca="1">TblConstr[[#This Row],[Cavern]]</f>
        <v>20</v>
      </c>
      <c r="H83" s="188">
        <f ca="1">TblConstr[[#This Row],[Water]]</f>
        <v>20</v>
      </c>
      <c r="I83" s="225"/>
      <c r="J83" s="177">
        <f t="shared" si="2"/>
        <v>80</v>
      </c>
      <c r="K83" s="249">
        <f ca="1">TblImps[[#This Row],[Real time]]</f>
        <v>45735.291666666475</v>
      </c>
      <c r="L83" s="181"/>
      <c r="M83" s="181"/>
      <c r="N83" s="181"/>
      <c r="O83" s="181"/>
      <c r="P83" s="181"/>
      <c r="Q83" s="181"/>
      <c r="R83" s="181"/>
      <c r="S83" s="96">
        <f>SUMIF(TblRezone[[#This Row],[Plains Rezone]:[Water Rezone]],"&gt;0")</f>
        <v>0</v>
      </c>
      <c r="T83" s="61" t="str">
        <f>IF(SUM(TblRezone[[#This Row],[Plains Rezone]:[Water Rezone]])=0,"Ok","Nope")</f>
        <v>Ok</v>
      </c>
      <c r="U83" s="225"/>
      <c r="V83" s="96">
        <f ca="1">TblProd[[#This Row],[Platinum]]</f>
        <v>554272</v>
      </c>
      <c r="W83" s="225"/>
      <c r="X83" s="96">
        <f ca="1">ROUNDUP( (1-MIN(ROUND(facs_rezone_factor*TblRezone[[#This Row],[Facs]],4),facs_rezone_max) + tech_6_4*TblTech[[#This Row],[6-4]] + tech_10_2*TblTech[[#This Row],[10-2]] - IF(TblMagic[[#This Row],[Active Mechanical Genius]]&gt;0,mech_genius_bonus,0) + race_rezone_cost) * TblRezone[[#This Row],[Plat/acre*]],0)</f>
        <v>250</v>
      </c>
      <c r="Y83" s="96">
        <f ca="1">TblRezone[[#This Row],[Total acres]]*TblRezone[[#This Row],[Plat/acre]]</f>
        <v>0</v>
      </c>
      <c r="Z83" s="225"/>
      <c r="AA83" s="96">
        <f ca="1">250+0.6*(TblRezone[[#This Row],[Land]]-250)</f>
        <v>250</v>
      </c>
      <c r="AB83" s="225"/>
      <c r="AC83" s="159">
        <f ca="1">TblConstr[[#This Row],[Facs DB]]</f>
        <v>0</v>
      </c>
    </row>
    <row r="84" spans="1:29" x14ac:dyDescent="0.2">
      <c r="A84" s="224">
        <f ca="1">TblConstr[[#This Row],[Land]]</f>
        <v>250</v>
      </c>
      <c r="B84" s="226">
        <f ca="1">TblConstr[[#This Row],[Plain]]</f>
        <v>40</v>
      </c>
      <c r="C84" s="184">
        <f ca="1">TblConstr[[#This Row],[Forest]]</f>
        <v>20</v>
      </c>
      <c r="D84" s="384">
        <f ca="1">TblConstr[[#This Row],[Mountain]]</f>
        <v>20</v>
      </c>
      <c r="E84" s="388">
        <f ca="1">TblConstr[[#This Row],[Hill]]</f>
        <v>20</v>
      </c>
      <c r="F84" s="392">
        <f ca="1">TblConstr[[#This Row],[Swamp]]</f>
        <v>20</v>
      </c>
      <c r="G84" s="187">
        <f ca="1">TblConstr[[#This Row],[Cavern]]</f>
        <v>20</v>
      </c>
      <c r="H84" s="188">
        <f ca="1">TblConstr[[#This Row],[Water]]</f>
        <v>20</v>
      </c>
      <c r="I84" s="225"/>
      <c r="J84" s="177">
        <f t="shared" si="2"/>
        <v>81</v>
      </c>
      <c r="K84" s="249">
        <f ca="1">TblImps[[#This Row],[Real time]]</f>
        <v>45735.333333333139</v>
      </c>
      <c r="L84" s="181"/>
      <c r="M84" s="181"/>
      <c r="N84" s="181"/>
      <c r="O84" s="181"/>
      <c r="P84" s="181"/>
      <c r="Q84" s="181"/>
      <c r="R84" s="181"/>
      <c r="S84" s="96">
        <f>SUMIF(TblRezone[[#This Row],[Plains Rezone]:[Water Rezone]],"&gt;0")</f>
        <v>0</v>
      </c>
      <c r="T84" s="61" t="str">
        <f>IF(SUM(TblRezone[[#This Row],[Plains Rezone]:[Water Rezone]])=0,"Ok","Nope")</f>
        <v>Ok</v>
      </c>
      <c r="U84" s="225"/>
      <c r="V84" s="96">
        <f ca="1">TblProd[[#This Row],[Platinum]]</f>
        <v>559758</v>
      </c>
      <c r="W84" s="225"/>
      <c r="X84" s="96">
        <f ca="1">ROUNDUP( (1-MIN(ROUND(facs_rezone_factor*TblRezone[[#This Row],[Facs]],4),facs_rezone_max) + tech_6_4*TblTech[[#This Row],[6-4]] + tech_10_2*TblTech[[#This Row],[10-2]] - IF(TblMagic[[#This Row],[Active Mechanical Genius]]&gt;0,mech_genius_bonus,0) + race_rezone_cost) * TblRezone[[#This Row],[Plat/acre*]],0)</f>
        <v>250</v>
      </c>
      <c r="Y84" s="96">
        <f ca="1">TblRezone[[#This Row],[Total acres]]*TblRezone[[#This Row],[Plat/acre]]</f>
        <v>0</v>
      </c>
      <c r="Z84" s="225"/>
      <c r="AA84" s="96">
        <f ca="1">250+0.6*(TblRezone[[#This Row],[Land]]-250)</f>
        <v>250</v>
      </c>
      <c r="AB84" s="225"/>
      <c r="AC84" s="159">
        <f ca="1">TblConstr[[#This Row],[Facs DB]]</f>
        <v>0</v>
      </c>
    </row>
    <row r="85" spans="1:29" x14ac:dyDescent="0.2">
      <c r="A85" s="224">
        <f ca="1">TblConstr[[#This Row],[Land]]</f>
        <v>250</v>
      </c>
      <c r="B85" s="226">
        <f ca="1">TblConstr[[#This Row],[Plain]]</f>
        <v>40</v>
      </c>
      <c r="C85" s="184">
        <f ca="1">TblConstr[[#This Row],[Forest]]</f>
        <v>20</v>
      </c>
      <c r="D85" s="384">
        <f ca="1">TblConstr[[#This Row],[Mountain]]</f>
        <v>20</v>
      </c>
      <c r="E85" s="388">
        <f ca="1">TblConstr[[#This Row],[Hill]]</f>
        <v>20</v>
      </c>
      <c r="F85" s="392">
        <f ca="1">TblConstr[[#This Row],[Swamp]]</f>
        <v>20</v>
      </c>
      <c r="G85" s="187">
        <f ca="1">TblConstr[[#This Row],[Cavern]]</f>
        <v>20</v>
      </c>
      <c r="H85" s="188">
        <f ca="1">TblConstr[[#This Row],[Water]]</f>
        <v>20</v>
      </c>
      <c r="I85" s="225"/>
      <c r="J85" s="177">
        <f t="shared" si="2"/>
        <v>82</v>
      </c>
      <c r="K85" s="249">
        <f ca="1">TblImps[[#This Row],[Real time]]</f>
        <v>45735.374999999804</v>
      </c>
      <c r="L85" s="181"/>
      <c r="M85" s="181"/>
      <c r="N85" s="181"/>
      <c r="O85" s="181"/>
      <c r="P85" s="181"/>
      <c r="Q85" s="181"/>
      <c r="R85" s="181"/>
      <c r="S85" s="96">
        <f>SUMIF(TblRezone[[#This Row],[Plains Rezone]:[Water Rezone]],"&gt;0")</f>
        <v>0</v>
      </c>
      <c r="T85" s="61" t="str">
        <f>IF(SUM(TblRezone[[#This Row],[Plains Rezone]:[Water Rezone]])=0,"Ok","Nope")</f>
        <v>Ok</v>
      </c>
      <c r="U85" s="225"/>
      <c r="V85" s="96">
        <f ca="1">TblProd[[#This Row],[Platinum]]</f>
        <v>565244</v>
      </c>
      <c r="W85" s="225"/>
      <c r="X85" s="96">
        <f ca="1">ROUNDUP( (1-MIN(ROUND(facs_rezone_factor*TblRezone[[#This Row],[Facs]],4),facs_rezone_max) + tech_6_4*TblTech[[#This Row],[6-4]] + tech_10_2*TblTech[[#This Row],[10-2]] - IF(TblMagic[[#This Row],[Active Mechanical Genius]]&gt;0,mech_genius_bonus,0) + race_rezone_cost) * TblRezone[[#This Row],[Plat/acre*]],0)</f>
        <v>250</v>
      </c>
      <c r="Y85" s="96">
        <f ca="1">TblRezone[[#This Row],[Total acres]]*TblRezone[[#This Row],[Plat/acre]]</f>
        <v>0</v>
      </c>
      <c r="Z85" s="225"/>
      <c r="AA85" s="96">
        <f ca="1">250+0.6*(TblRezone[[#This Row],[Land]]-250)</f>
        <v>250</v>
      </c>
      <c r="AB85" s="225"/>
      <c r="AC85" s="159">
        <f ca="1">TblConstr[[#This Row],[Facs DB]]</f>
        <v>0</v>
      </c>
    </row>
    <row r="86" spans="1:29" x14ac:dyDescent="0.2">
      <c r="A86" s="224">
        <f ca="1">TblConstr[[#This Row],[Land]]</f>
        <v>250</v>
      </c>
      <c r="B86" s="226">
        <f ca="1">TblConstr[[#This Row],[Plain]]</f>
        <v>40</v>
      </c>
      <c r="C86" s="184">
        <f ca="1">TblConstr[[#This Row],[Forest]]</f>
        <v>20</v>
      </c>
      <c r="D86" s="384">
        <f ca="1">TblConstr[[#This Row],[Mountain]]</f>
        <v>20</v>
      </c>
      <c r="E86" s="388">
        <f ca="1">TblConstr[[#This Row],[Hill]]</f>
        <v>20</v>
      </c>
      <c r="F86" s="392">
        <f ca="1">TblConstr[[#This Row],[Swamp]]</f>
        <v>20</v>
      </c>
      <c r="G86" s="187">
        <f ca="1">TblConstr[[#This Row],[Cavern]]</f>
        <v>20</v>
      </c>
      <c r="H86" s="188">
        <f ca="1">TblConstr[[#This Row],[Water]]</f>
        <v>20</v>
      </c>
      <c r="I86" s="225"/>
      <c r="J86" s="177">
        <f t="shared" si="2"/>
        <v>83</v>
      </c>
      <c r="K86" s="249">
        <f ca="1">TblImps[[#This Row],[Real time]]</f>
        <v>45735.416666666468</v>
      </c>
      <c r="L86" s="181"/>
      <c r="M86" s="181"/>
      <c r="N86" s="181"/>
      <c r="O86" s="181"/>
      <c r="P86" s="181"/>
      <c r="Q86" s="181"/>
      <c r="R86" s="181"/>
      <c r="S86" s="96">
        <f>SUMIF(TblRezone[[#This Row],[Plains Rezone]:[Water Rezone]],"&gt;0")</f>
        <v>0</v>
      </c>
      <c r="T86" s="61" t="str">
        <f>IF(SUM(TblRezone[[#This Row],[Plains Rezone]:[Water Rezone]])=0,"Ok","Nope")</f>
        <v>Ok</v>
      </c>
      <c r="U86" s="225"/>
      <c r="V86" s="96">
        <f ca="1">TblProd[[#This Row],[Platinum]]</f>
        <v>570730</v>
      </c>
      <c r="W86" s="225"/>
      <c r="X86" s="96">
        <f ca="1">ROUNDUP( (1-MIN(ROUND(facs_rezone_factor*TblRezone[[#This Row],[Facs]],4),facs_rezone_max) + tech_6_4*TblTech[[#This Row],[6-4]] + tech_10_2*TblTech[[#This Row],[10-2]] - IF(TblMagic[[#This Row],[Active Mechanical Genius]]&gt;0,mech_genius_bonus,0) + race_rezone_cost) * TblRezone[[#This Row],[Plat/acre*]],0)</f>
        <v>250</v>
      </c>
      <c r="Y86" s="96">
        <f ca="1">TblRezone[[#This Row],[Total acres]]*TblRezone[[#This Row],[Plat/acre]]</f>
        <v>0</v>
      </c>
      <c r="Z86" s="225"/>
      <c r="AA86" s="96">
        <f ca="1">250+0.6*(TblRezone[[#This Row],[Land]]-250)</f>
        <v>250</v>
      </c>
      <c r="AB86" s="225"/>
      <c r="AC86" s="159">
        <f ca="1">TblConstr[[#This Row],[Facs DB]]</f>
        <v>0</v>
      </c>
    </row>
    <row r="87" spans="1:29" x14ac:dyDescent="0.2">
      <c r="A87" s="224">
        <f ca="1">TblConstr[[#This Row],[Land]]</f>
        <v>250</v>
      </c>
      <c r="B87" s="226">
        <f ca="1">TblConstr[[#This Row],[Plain]]</f>
        <v>40</v>
      </c>
      <c r="C87" s="184">
        <f ca="1">TblConstr[[#This Row],[Forest]]</f>
        <v>20</v>
      </c>
      <c r="D87" s="384">
        <f ca="1">TblConstr[[#This Row],[Mountain]]</f>
        <v>20</v>
      </c>
      <c r="E87" s="388">
        <f ca="1">TblConstr[[#This Row],[Hill]]</f>
        <v>20</v>
      </c>
      <c r="F87" s="392">
        <f ca="1">TblConstr[[#This Row],[Swamp]]</f>
        <v>20</v>
      </c>
      <c r="G87" s="187">
        <f ca="1">TblConstr[[#This Row],[Cavern]]</f>
        <v>20</v>
      </c>
      <c r="H87" s="188">
        <f ca="1">TblConstr[[#This Row],[Water]]</f>
        <v>20</v>
      </c>
      <c r="I87" s="225"/>
      <c r="J87" s="177">
        <f t="shared" si="2"/>
        <v>84</v>
      </c>
      <c r="K87" s="249">
        <f ca="1">TblImps[[#This Row],[Real time]]</f>
        <v>45735.458333333132</v>
      </c>
      <c r="L87" s="181"/>
      <c r="M87" s="181"/>
      <c r="N87" s="181"/>
      <c r="O87" s="181"/>
      <c r="P87" s="181"/>
      <c r="Q87" s="181"/>
      <c r="R87" s="181"/>
      <c r="S87" s="96">
        <f>SUMIF(TblRezone[[#This Row],[Plains Rezone]:[Water Rezone]],"&gt;0")</f>
        <v>0</v>
      </c>
      <c r="T87" s="61" t="str">
        <f>IF(SUM(TblRezone[[#This Row],[Plains Rezone]:[Water Rezone]])=0,"Ok","Nope")</f>
        <v>Ok</v>
      </c>
      <c r="U87" s="225"/>
      <c r="V87" s="96">
        <f ca="1">TblProd[[#This Row],[Platinum]]</f>
        <v>576216</v>
      </c>
      <c r="W87" s="225"/>
      <c r="X87" s="96">
        <f ca="1">ROUNDUP( (1-MIN(ROUND(facs_rezone_factor*TblRezone[[#This Row],[Facs]],4),facs_rezone_max) + tech_6_4*TblTech[[#This Row],[6-4]] + tech_10_2*TblTech[[#This Row],[10-2]] - IF(TblMagic[[#This Row],[Active Mechanical Genius]]&gt;0,mech_genius_bonus,0) + race_rezone_cost) * TblRezone[[#This Row],[Plat/acre*]],0)</f>
        <v>250</v>
      </c>
      <c r="Y87" s="96">
        <f ca="1">TblRezone[[#This Row],[Total acres]]*TblRezone[[#This Row],[Plat/acre]]</f>
        <v>0</v>
      </c>
      <c r="Z87" s="225"/>
      <c r="AA87" s="96">
        <f ca="1">250+0.6*(TblRezone[[#This Row],[Land]]-250)</f>
        <v>250</v>
      </c>
      <c r="AB87" s="225"/>
      <c r="AC87" s="159">
        <f ca="1">TblConstr[[#This Row],[Facs DB]]</f>
        <v>0</v>
      </c>
    </row>
    <row r="88" spans="1:29" x14ac:dyDescent="0.2">
      <c r="A88" s="224">
        <f ca="1">TblConstr[[#This Row],[Land]]</f>
        <v>250</v>
      </c>
      <c r="B88" s="226">
        <f ca="1">TblConstr[[#This Row],[Plain]]</f>
        <v>40</v>
      </c>
      <c r="C88" s="184">
        <f ca="1">TblConstr[[#This Row],[Forest]]</f>
        <v>20</v>
      </c>
      <c r="D88" s="384">
        <f ca="1">TblConstr[[#This Row],[Mountain]]</f>
        <v>20</v>
      </c>
      <c r="E88" s="388">
        <f ca="1">TblConstr[[#This Row],[Hill]]</f>
        <v>20</v>
      </c>
      <c r="F88" s="392">
        <f ca="1">TblConstr[[#This Row],[Swamp]]</f>
        <v>20</v>
      </c>
      <c r="G88" s="187">
        <f ca="1">TblConstr[[#This Row],[Cavern]]</f>
        <v>20</v>
      </c>
      <c r="H88" s="188">
        <f ca="1">TblConstr[[#This Row],[Water]]</f>
        <v>20</v>
      </c>
      <c r="I88" s="225"/>
      <c r="J88" s="177">
        <f>J87+1</f>
        <v>85</v>
      </c>
      <c r="K88" s="249">
        <f ca="1">TblImps[[#This Row],[Real time]]</f>
        <v>45735.499999999796</v>
      </c>
      <c r="L88" s="160"/>
      <c r="M88" s="160"/>
      <c r="N88" s="181"/>
      <c r="O88" s="181"/>
      <c r="P88" s="181"/>
      <c r="Q88" s="181"/>
      <c r="R88" s="160"/>
      <c r="S88" s="96">
        <f>SUMIF(TblRezone[[#This Row],[Plains Rezone]:[Water Rezone]],"&gt;0")</f>
        <v>0</v>
      </c>
      <c r="T88" s="61" t="str">
        <f>IF(SUM(TblRezone[[#This Row],[Plains Rezone]:[Water Rezone]])=0,"Ok","Nope")</f>
        <v>Ok</v>
      </c>
      <c r="U88" s="225"/>
      <c r="V88" s="96">
        <f ca="1">TblProd[[#This Row],[Platinum]]</f>
        <v>581702</v>
      </c>
      <c r="W88" s="225"/>
      <c r="X88" s="96">
        <f ca="1">ROUNDUP( (1-MIN(ROUND(facs_rezone_factor*TblRezone[[#This Row],[Facs]],4),facs_rezone_max) + tech_6_4*TblTech[[#This Row],[6-4]] + tech_10_2*TblTech[[#This Row],[10-2]] - IF(TblMagic[[#This Row],[Active Mechanical Genius]]&gt;0,mech_genius_bonus,0) + race_rezone_cost) * TblRezone[[#This Row],[Plat/acre*]],0)</f>
        <v>250</v>
      </c>
      <c r="Y88" s="96">
        <f ca="1">TblRezone[[#This Row],[Total acres]]*TblRezone[[#This Row],[Plat/acre]]</f>
        <v>0</v>
      </c>
      <c r="Z88" s="225"/>
      <c r="AA88" s="96">
        <f ca="1">250+0.6*(TblRezone[[#This Row],[Land]]-250)</f>
        <v>250</v>
      </c>
      <c r="AB88" s="225"/>
      <c r="AC88" s="159">
        <f ca="1">TblConstr[[#This Row],[Facs DB]]</f>
        <v>0</v>
      </c>
    </row>
    <row r="89" spans="1:29" x14ac:dyDescent="0.2">
      <c r="A89" s="224">
        <f ca="1">TblConstr[[#This Row],[Land]]</f>
        <v>250</v>
      </c>
      <c r="B89" s="226">
        <f ca="1">TblConstr[[#This Row],[Plain]]</f>
        <v>40</v>
      </c>
      <c r="C89" s="184">
        <f ca="1">TblConstr[[#This Row],[Forest]]</f>
        <v>20</v>
      </c>
      <c r="D89" s="384">
        <f ca="1">TblConstr[[#This Row],[Mountain]]</f>
        <v>20</v>
      </c>
      <c r="E89" s="388">
        <f ca="1">TblConstr[[#This Row],[Hill]]</f>
        <v>20</v>
      </c>
      <c r="F89" s="392">
        <f ca="1">TblConstr[[#This Row],[Swamp]]</f>
        <v>20</v>
      </c>
      <c r="G89" s="187">
        <f ca="1">TblConstr[[#This Row],[Cavern]]</f>
        <v>20</v>
      </c>
      <c r="H89" s="188">
        <f ca="1">TblConstr[[#This Row],[Water]]</f>
        <v>20</v>
      </c>
      <c r="I89" s="225"/>
      <c r="J89" s="177">
        <f t="shared" ref="J89:J136" si="3">J88+1</f>
        <v>86</v>
      </c>
      <c r="K89" s="249">
        <f ca="1">TblImps[[#This Row],[Real time]]</f>
        <v>45735.541666666461</v>
      </c>
      <c r="L89" s="181"/>
      <c r="M89" s="181"/>
      <c r="N89" s="181"/>
      <c r="O89" s="181"/>
      <c r="P89" s="181"/>
      <c r="Q89" s="181"/>
      <c r="R89" s="181"/>
      <c r="S89" s="96">
        <f>SUMIF(TblRezone[[#This Row],[Plains Rezone]:[Water Rezone]],"&gt;0")</f>
        <v>0</v>
      </c>
      <c r="T89" s="61" t="str">
        <f>IF(SUM(TblRezone[[#This Row],[Plains Rezone]:[Water Rezone]])=0,"Ok","Nope")</f>
        <v>Ok</v>
      </c>
      <c r="U89" s="225"/>
      <c r="V89" s="96">
        <f ca="1">TblProd[[#This Row],[Platinum]]</f>
        <v>587188</v>
      </c>
      <c r="W89" s="225"/>
      <c r="X89" s="96">
        <f ca="1">ROUNDUP( (1-MIN(ROUND(facs_rezone_factor*TblRezone[[#This Row],[Facs]],4),facs_rezone_max) + tech_6_4*TblTech[[#This Row],[6-4]] + tech_10_2*TblTech[[#This Row],[10-2]] - IF(TblMagic[[#This Row],[Active Mechanical Genius]]&gt;0,mech_genius_bonus,0) + race_rezone_cost) * TblRezone[[#This Row],[Plat/acre*]],0)</f>
        <v>250</v>
      </c>
      <c r="Y89" s="96">
        <f ca="1">TblRezone[[#This Row],[Total acres]]*TblRezone[[#This Row],[Plat/acre]]</f>
        <v>0</v>
      </c>
      <c r="Z89" s="225"/>
      <c r="AA89" s="96">
        <f ca="1">250+0.6*(TblRezone[[#This Row],[Land]]-250)</f>
        <v>250</v>
      </c>
      <c r="AB89" s="225"/>
      <c r="AC89" s="159">
        <f ca="1">TblConstr[[#This Row],[Facs DB]]</f>
        <v>0</v>
      </c>
    </row>
    <row r="90" spans="1:29" x14ac:dyDescent="0.2">
      <c r="A90" s="224">
        <f ca="1">TblConstr[[#This Row],[Land]]</f>
        <v>250</v>
      </c>
      <c r="B90" s="226">
        <f ca="1">TblConstr[[#This Row],[Plain]]</f>
        <v>40</v>
      </c>
      <c r="C90" s="184">
        <f ca="1">TblConstr[[#This Row],[Forest]]</f>
        <v>20</v>
      </c>
      <c r="D90" s="384">
        <f ca="1">TblConstr[[#This Row],[Mountain]]</f>
        <v>20</v>
      </c>
      <c r="E90" s="388">
        <f ca="1">TblConstr[[#This Row],[Hill]]</f>
        <v>20</v>
      </c>
      <c r="F90" s="392">
        <f ca="1">TblConstr[[#This Row],[Swamp]]</f>
        <v>20</v>
      </c>
      <c r="G90" s="187">
        <f ca="1">TblConstr[[#This Row],[Cavern]]</f>
        <v>20</v>
      </c>
      <c r="H90" s="188">
        <f ca="1">TblConstr[[#This Row],[Water]]</f>
        <v>20</v>
      </c>
      <c r="I90" s="225"/>
      <c r="J90" s="177">
        <f t="shared" si="3"/>
        <v>87</v>
      </c>
      <c r="K90" s="249">
        <f ca="1">TblImps[[#This Row],[Real time]]</f>
        <v>45735.583333333125</v>
      </c>
      <c r="L90" s="181"/>
      <c r="M90" s="181"/>
      <c r="N90" s="181"/>
      <c r="O90" s="181"/>
      <c r="P90" s="181"/>
      <c r="Q90" s="181"/>
      <c r="R90" s="181"/>
      <c r="S90" s="96">
        <f>SUMIF(TblRezone[[#This Row],[Plains Rezone]:[Water Rezone]],"&gt;0")</f>
        <v>0</v>
      </c>
      <c r="T90" s="61" t="str">
        <f>IF(SUM(TblRezone[[#This Row],[Plains Rezone]:[Water Rezone]])=0,"Ok","Nope")</f>
        <v>Ok</v>
      </c>
      <c r="U90" s="225"/>
      <c r="V90" s="96">
        <f ca="1">TblProd[[#This Row],[Platinum]]</f>
        <v>592674</v>
      </c>
      <c r="W90" s="225"/>
      <c r="X90" s="96">
        <f ca="1">ROUNDUP( (1-MIN(ROUND(facs_rezone_factor*TblRezone[[#This Row],[Facs]],4),facs_rezone_max) + tech_6_4*TblTech[[#This Row],[6-4]] + tech_10_2*TblTech[[#This Row],[10-2]] - IF(TblMagic[[#This Row],[Active Mechanical Genius]]&gt;0,mech_genius_bonus,0) + race_rezone_cost) * TblRezone[[#This Row],[Plat/acre*]],0)</f>
        <v>250</v>
      </c>
      <c r="Y90" s="96">
        <f ca="1">TblRezone[[#This Row],[Total acres]]*TblRezone[[#This Row],[Plat/acre]]</f>
        <v>0</v>
      </c>
      <c r="Z90" s="225"/>
      <c r="AA90" s="96">
        <f ca="1">250+0.6*(TblRezone[[#This Row],[Land]]-250)</f>
        <v>250</v>
      </c>
      <c r="AB90" s="225"/>
      <c r="AC90" s="159">
        <f ca="1">TblConstr[[#This Row],[Facs DB]]</f>
        <v>0</v>
      </c>
    </row>
    <row r="91" spans="1:29" x14ac:dyDescent="0.2">
      <c r="A91" s="224">
        <f ca="1">TblConstr[[#This Row],[Land]]</f>
        <v>250</v>
      </c>
      <c r="B91" s="226">
        <f ca="1">TblConstr[[#This Row],[Plain]]</f>
        <v>40</v>
      </c>
      <c r="C91" s="184">
        <f ca="1">TblConstr[[#This Row],[Forest]]</f>
        <v>20</v>
      </c>
      <c r="D91" s="384">
        <f ca="1">TblConstr[[#This Row],[Mountain]]</f>
        <v>20</v>
      </c>
      <c r="E91" s="388">
        <f ca="1">TblConstr[[#This Row],[Hill]]</f>
        <v>20</v>
      </c>
      <c r="F91" s="392">
        <f ca="1">TblConstr[[#This Row],[Swamp]]</f>
        <v>20</v>
      </c>
      <c r="G91" s="187">
        <f ca="1">TblConstr[[#This Row],[Cavern]]</f>
        <v>20</v>
      </c>
      <c r="H91" s="188">
        <f ca="1">TblConstr[[#This Row],[Water]]</f>
        <v>20</v>
      </c>
      <c r="I91" s="225"/>
      <c r="J91" s="177">
        <f t="shared" si="3"/>
        <v>88</v>
      </c>
      <c r="K91" s="249">
        <f ca="1">TblImps[[#This Row],[Real time]]</f>
        <v>45735.624999999789</v>
      </c>
      <c r="L91" s="181"/>
      <c r="M91" s="181"/>
      <c r="N91" s="181"/>
      <c r="O91" s="181"/>
      <c r="P91" s="181"/>
      <c r="Q91" s="181"/>
      <c r="R91" s="181"/>
      <c r="S91" s="96">
        <f>SUMIF(TblRezone[[#This Row],[Plains Rezone]:[Water Rezone]],"&gt;0")</f>
        <v>0</v>
      </c>
      <c r="T91" s="61" t="str">
        <f>IF(SUM(TblRezone[[#This Row],[Plains Rezone]:[Water Rezone]])=0,"Ok","Nope")</f>
        <v>Ok</v>
      </c>
      <c r="U91" s="225"/>
      <c r="V91" s="96">
        <f ca="1">TblProd[[#This Row],[Platinum]]</f>
        <v>598160</v>
      </c>
      <c r="W91" s="225"/>
      <c r="X91" s="96">
        <f ca="1">ROUNDUP( (1-MIN(ROUND(facs_rezone_factor*TblRezone[[#This Row],[Facs]],4),facs_rezone_max) + tech_6_4*TblTech[[#This Row],[6-4]] + tech_10_2*TblTech[[#This Row],[10-2]] - IF(TblMagic[[#This Row],[Active Mechanical Genius]]&gt;0,mech_genius_bonus,0) + race_rezone_cost) * TblRezone[[#This Row],[Plat/acre*]],0)</f>
        <v>250</v>
      </c>
      <c r="Y91" s="96">
        <f ca="1">TblRezone[[#This Row],[Total acres]]*TblRezone[[#This Row],[Plat/acre]]</f>
        <v>0</v>
      </c>
      <c r="Z91" s="225"/>
      <c r="AA91" s="96">
        <f ca="1">250+0.6*(TblRezone[[#This Row],[Land]]-250)</f>
        <v>250</v>
      </c>
      <c r="AB91" s="225"/>
      <c r="AC91" s="159">
        <f ca="1">TblConstr[[#This Row],[Facs DB]]</f>
        <v>0</v>
      </c>
    </row>
    <row r="92" spans="1:29" x14ac:dyDescent="0.2">
      <c r="A92" s="224">
        <f ca="1">TblConstr[[#This Row],[Land]]</f>
        <v>250</v>
      </c>
      <c r="B92" s="226">
        <f ca="1">TblConstr[[#This Row],[Plain]]</f>
        <v>40</v>
      </c>
      <c r="C92" s="184">
        <f ca="1">TblConstr[[#This Row],[Forest]]</f>
        <v>20</v>
      </c>
      <c r="D92" s="384">
        <f ca="1">TblConstr[[#This Row],[Mountain]]</f>
        <v>20</v>
      </c>
      <c r="E92" s="388">
        <f ca="1">TblConstr[[#This Row],[Hill]]</f>
        <v>20</v>
      </c>
      <c r="F92" s="392">
        <f ca="1">TblConstr[[#This Row],[Swamp]]</f>
        <v>20</v>
      </c>
      <c r="G92" s="187">
        <f ca="1">TblConstr[[#This Row],[Cavern]]</f>
        <v>20</v>
      </c>
      <c r="H92" s="188">
        <f ca="1">TblConstr[[#This Row],[Water]]</f>
        <v>20</v>
      </c>
      <c r="I92" s="225"/>
      <c r="J92" s="177">
        <f t="shared" si="3"/>
        <v>89</v>
      </c>
      <c r="K92" s="249">
        <f ca="1">TblImps[[#This Row],[Real time]]</f>
        <v>45735.666666666453</v>
      </c>
      <c r="L92" s="181"/>
      <c r="M92" s="181"/>
      <c r="N92" s="181"/>
      <c r="O92" s="181"/>
      <c r="P92" s="181"/>
      <c r="Q92" s="181"/>
      <c r="R92" s="181"/>
      <c r="S92" s="96">
        <f>SUMIF(TblRezone[[#This Row],[Plains Rezone]:[Water Rezone]],"&gt;0")</f>
        <v>0</v>
      </c>
      <c r="T92" s="61" t="str">
        <f>IF(SUM(TblRezone[[#This Row],[Plains Rezone]:[Water Rezone]])=0,"Ok","Nope")</f>
        <v>Ok</v>
      </c>
      <c r="U92" s="225"/>
      <c r="V92" s="96">
        <f ca="1">TblProd[[#This Row],[Platinum]]</f>
        <v>603646</v>
      </c>
      <c r="W92" s="225"/>
      <c r="X92" s="96">
        <f ca="1">ROUNDUP( (1-MIN(ROUND(facs_rezone_factor*TblRezone[[#This Row],[Facs]],4),facs_rezone_max) + tech_6_4*TblTech[[#This Row],[6-4]] + tech_10_2*TblTech[[#This Row],[10-2]] - IF(TblMagic[[#This Row],[Active Mechanical Genius]]&gt;0,mech_genius_bonus,0) + race_rezone_cost) * TblRezone[[#This Row],[Plat/acre*]],0)</f>
        <v>250</v>
      </c>
      <c r="Y92" s="96">
        <f ca="1">TblRezone[[#This Row],[Total acres]]*TblRezone[[#This Row],[Plat/acre]]</f>
        <v>0</v>
      </c>
      <c r="Z92" s="225"/>
      <c r="AA92" s="96">
        <f ca="1">250+0.6*(TblRezone[[#This Row],[Land]]-250)</f>
        <v>250</v>
      </c>
      <c r="AB92" s="225"/>
      <c r="AC92" s="159">
        <f ca="1">TblConstr[[#This Row],[Facs DB]]</f>
        <v>0</v>
      </c>
    </row>
    <row r="93" spans="1:29" x14ac:dyDescent="0.2">
      <c r="A93" s="224">
        <f ca="1">TblConstr[[#This Row],[Land]]</f>
        <v>250</v>
      </c>
      <c r="B93" s="226">
        <f ca="1">TblConstr[[#This Row],[Plain]]</f>
        <v>40</v>
      </c>
      <c r="C93" s="184">
        <f ca="1">TblConstr[[#This Row],[Forest]]</f>
        <v>20</v>
      </c>
      <c r="D93" s="384">
        <f ca="1">TblConstr[[#This Row],[Mountain]]</f>
        <v>20</v>
      </c>
      <c r="E93" s="388">
        <f ca="1">TblConstr[[#This Row],[Hill]]</f>
        <v>20</v>
      </c>
      <c r="F93" s="392">
        <f ca="1">TblConstr[[#This Row],[Swamp]]</f>
        <v>20</v>
      </c>
      <c r="G93" s="187">
        <f ca="1">TblConstr[[#This Row],[Cavern]]</f>
        <v>20</v>
      </c>
      <c r="H93" s="188">
        <f ca="1">TblConstr[[#This Row],[Water]]</f>
        <v>20</v>
      </c>
      <c r="I93" s="225"/>
      <c r="J93" s="177">
        <f t="shared" si="3"/>
        <v>90</v>
      </c>
      <c r="K93" s="249">
        <f ca="1">TblImps[[#This Row],[Real time]]</f>
        <v>45735.708333333117</v>
      </c>
      <c r="L93" s="181"/>
      <c r="M93" s="181"/>
      <c r="N93" s="181"/>
      <c r="O93" s="181"/>
      <c r="P93" s="181"/>
      <c r="Q93" s="181"/>
      <c r="R93" s="181"/>
      <c r="S93" s="96">
        <f>SUMIF(TblRezone[[#This Row],[Plains Rezone]:[Water Rezone]],"&gt;0")</f>
        <v>0</v>
      </c>
      <c r="T93" s="61" t="str">
        <f>IF(SUM(TblRezone[[#This Row],[Plains Rezone]:[Water Rezone]])=0,"Ok","Nope")</f>
        <v>Ok</v>
      </c>
      <c r="U93" s="225"/>
      <c r="V93" s="96">
        <f ca="1">TblProd[[#This Row],[Platinum]]</f>
        <v>609132</v>
      </c>
      <c r="W93" s="225"/>
      <c r="X93" s="96">
        <f ca="1">ROUNDUP( (1-MIN(ROUND(facs_rezone_factor*TblRezone[[#This Row],[Facs]],4),facs_rezone_max) + tech_6_4*TblTech[[#This Row],[6-4]] + tech_10_2*TblTech[[#This Row],[10-2]] - IF(TblMagic[[#This Row],[Active Mechanical Genius]]&gt;0,mech_genius_bonus,0) + race_rezone_cost) * TblRezone[[#This Row],[Plat/acre*]],0)</f>
        <v>250</v>
      </c>
      <c r="Y93" s="96">
        <f ca="1">TblRezone[[#This Row],[Total acres]]*TblRezone[[#This Row],[Plat/acre]]</f>
        <v>0</v>
      </c>
      <c r="Z93" s="225"/>
      <c r="AA93" s="96">
        <f ca="1">250+0.6*(TblRezone[[#This Row],[Land]]-250)</f>
        <v>250</v>
      </c>
      <c r="AB93" s="225"/>
      <c r="AC93" s="159">
        <f ca="1">TblConstr[[#This Row],[Facs DB]]</f>
        <v>0</v>
      </c>
    </row>
    <row r="94" spans="1:29" x14ac:dyDescent="0.2">
      <c r="A94" s="224">
        <f ca="1">TblConstr[[#This Row],[Land]]</f>
        <v>250</v>
      </c>
      <c r="B94" s="226">
        <f ca="1">TblConstr[[#This Row],[Plain]]</f>
        <v>40</v>
      </c>
      <c r="C94" s="184">
        <f ca="1">TblConstr[[#This Row],[Forest]]</f>
        <v>20</v>
      </c>
      <c r="D94" s="384">
        <f ca="1">TblConstr[[#This Row],[Mountain]]</f>
        <v>20</v>
      </c>
      <c r="E94" s="388">
        <f ca="1">TblConstr[[#This Row],[Hill]]</f>
        <v>20</v>
      </c>
      <c r="F94" s="392">
        <f ca="1">TblConstr[[#This Row],[Swamp]]</f>
        <v>20</v>
      </c>
      <c r="G94" s="187">
        <f ca="1">TblConstr[[#This Row],[Cavern]]</f>
        <v>20</v>
      </c>
      <c r="H94" s="188">
        <f ca="1">TblConstr[[#This Row],[Water]]</f>
        <v>20</v>
      </c>
      <c r="I94" s="225"/>
      <c r="J94" s="177">
        <f t="shared" si="3"/>
        <v>91</v>
      </c>
      <c r="K94" s="249">
        <f ca="1">TblImps[[#This Row],[Real time]]</f>
        <v>45735.749999999782</v>
      </c>
      <c r="L94" s="181"/>
      <c r="M94" s="181"/>
      <c r="N94" s="181"/>
      <c r="O94" s="181"/>
      <c r="P94" s="181"/>
      <c r="Q94" s="181"/>
      <c r="R94" s="181"/>
      <c r="S94" s="96">
        <f>SUMIF(TblRezone[[#This Row],[Plains Rezone]:[Water Rezone]],"&gt;0")</f>
        <v>0</v>
      </c>
      <c r="T94" s="61" t="str">
        <f>IF(SUM(TblRezone[[#This Row],[Plains Rezone]:[Water Rezone]])=0,"Ok","Nope")</f>
        <v>Ok</v>
      </c>
      <c r="U94" s="225"/>
      <c r="V94" s="96">
        <f ca="1">TblProd[[#This Row],[Platinum]]</f>
        <v>614618</v>
      </c>
      <c r="W94" s="225"/>
      <c r="X94" s="96">
        <f ca="1">ROUNDUP( (1-MIN(ROUND(facs_rezone_factor*TblRezone[[#This Row],[Facs]],4),facs_rezone_max) + tech_6_4*TblTech[[#This Row],[6-4]] + tech_10_2*TblTech[[#This Row],[10-2]] - IF(TblMagic[[#This Row],[Active Mechanical Genius]]&gt;0,mech_genius_bonus,0) + race_rezone_cost) * TblRezone[[#This Row],[Plat/acre*]],0)</f>
        <v>250</v>
      </c>
      <c r="Y94" s="96">
        <f ca="1">TblRezone[[#This Row],[Total acres]]*TblRezone[[#This Row],[Plat/acre]]</f>
        <v>0</v>
      </c>
      <c r="Z94" s="225"/>
      <c r="AA94" s="96">
        <f ca="1">250+0.6*(TblRezone[[#This Row],[Land]]-250)</f>
        <v>250</v>
      </c>
      <c r="AB94" s="225"/>
      <c r="AC94" s="159">
        <f ca="1">TblConstr[[#This Row],[Facs DB]]</f>
        <v>0</v>
      </c>
    </row>
    <row r="95" spans="1:29" x14ac:dyDescent="0.2">
      <c r="A95" s="224">
        <f ca="1">TblConstr[[#This Row],[Land]]</f>
        <v>250</v>
      </c>
      <c r="B95" s="226">
        <f ca="1">TblConstr[[#This Row],[Plain]]</f>
        <v>40</v>
      </c>
      <c r="C95" s="184">
        <f ca="1">TblConstr[[#This Row],[Forest]]</f>
        <v>20</v>
      </c>
      <c r="D95" s="384">
        <f ca="1">TblConstr[[#This Row],[Mountain]]</f>
        <v>20</v>
      </c>
      <c r="E95" s="388">
        <f ca="1">TblConstr[[#This Row],[Hill]]</f>
        <v>20</v>
      </c>
      <c r="F95" s="392">
        <f ca="1">TblConstr[[#This Row],[Swamp]]</f>
        <v>20</v>
      </c>
      <c r="G95" s="187">
        <f ca="1">TblConstr[[#This Row],[Cavern]]</f>
        <v>20</v>
      </c>
      <c r="H95" s="188">
        <f ca="1">TblConstr[[#This Row],[Water]]</f>
        <v>20</v>
      </c>
      <c r="I95" s="225"/>
      <c r="J95" s="177">
        <f t="shared" si="3"/>
        <v>92</v>
      </c>
      <c r="K95" s="249">
        <f ca="1">TblImps[[#This Row],[Real time]]</f>
        <v>45735.791666666446</v>
      </c>
      <c r="L95" s="181"/>
      <c r="M95" s="181"/>
      <c r="N95" s="181"/>
      <c r="O95" s="181"/>
      <c r="P95" s="181"/>
      <c r="Q95" s="181"/>
      <c r="R95" s="181"/>
      <c r="S95" s="96">
        <f>SUMIF(TblRezone[[#This Row],[Plains Rezone]:[Water Rezone]],"&gt;0")</f>
        <v>0</v>
      </c>
      <c r="T95" s="61" t="str">
        <f>IF(SUM(TblRezone[[#This Row],[Plains Rezone]:[Water Rezone]])=0,"Ok","Nope")</f>
        <v>Ok</v>
      </c>
      <c r="U95" s="225"/>
      <c r="V95" s="96">
        <f ca="1">TblProd[[#This Row],[Platinum]]</f>
        <v>620104</v>
      </c>
      <c r="W95" s="225"/>
      <c r="X95" s="96">
        <f ca="1">ROUNDUP( (1-MIN(ROUND(facs_rezone_factor*TblRezone[[#This Row],[Facs]],4),facs_rezone_max) + tech_6_4*TblTech[[#This Row],[6-4]] + tech_10_2*TblTech[[#This Row],[10-2]] - IF(TblMagic[[#This Row],[Active Mechanical Genius]]&gt;0,mech_genius_bonus,0) + race_rezone_cost) * TblRezone[[#This Row],[Plat/acre*]],0)</f>
        <v>250</v>
      </c>
      <c r="Y95" s="96">
        <f ca="1">TblRezone[[#This Row],[Total acres]]*TblRezone[[#This Row],[Plat/acre]]</f>
        <v>0</v>
      </c>
      <c r="Z95" s="225"/>
      <c r="AA95" s="96">
        <f ca="1">250+0.6*(TblRezone[[#This Row],[Land]]-250)</f>
        <v>250</v>
      </c>
      <c r="AB95" s="225"/>
      <c r="AC95" s="159">
        <f ca="1">TblConstr[[#This Row],[Facs DB]]</f>
        <v>0</v>
      </c>
    </row>
    <row r="96" spans="1:29" x14ac:dyDescent="0.2">
      <c r="A96" s="224">
        <f ca="1">TblConstr[[#This Row],[Land]]</f>
        <v>250</v>
      </c>
      <c r="B96" s="226">
        <f ca="1">TblConstr[[#This Row],[Plain]]</f>
        <v>40</v>
      </c>
      <c r="C96" s="184">
        <f ca="1">TblConstr[[#This Row],[Forest]]</f>
        <v>20</v>
      </c>
      <c r="D96" s="384">
        <f ca="1">TblConstr[[#This Row],[Mountain]]</f>
        <v>20</v>
      </c>
      <c r="E96" s="388">
        <f ca="1">TblConstr[[#This Row],[Hill]]</f>
        <v>20</v>
      </c>
      <c r="F96" s="392">
        <f ca="1">TblConstr[[#This Row],[Swamp]]</f>
        <v>20</v>
      </c>
      <c r="G96" s="187">
        <f ca="1">TblConstr[[#This Row],[Cavern]]</f>
        <v>20</v>
      </c>
      <c r="H96" s="188">
        <f ca="1">TblConstr[[#This Row],[Water]]</f>
        <v>20</v>
      </c>
      <c r="I96" s="225"/>
      <c r="J96" s="177">
        <f t="shared" si="3"/>
        <v>93</v>
      </c>
      <c r="K96" s="249">
        <f ca="1">TblImps[[#This Row],[Real time]]</f>
        <v>45735.83333333311</v>
      </c>
      <c r="L96" s="181"/>
      <c r="M96" s="181"/>
      <c r="N96" s="181"/>
      <c r="O96" s="181"/>
      <c r="P96" s="181"/>
      <c r="Q96" s="181"/>
      <c r="R96" s="181"/>
      <c r="S96" s="96">
        <f>SUMIF(TblRezone[[#This Row],[Plains Rezone]:[Water Rezone]],"&gt;0")</f>
        <v>0</v>
      </c>
      <c r="T96" s="61" t="str">
        <f>IF(SUM(TblRezone[[#This Row],[Plains Rezone]:[Water Rezone]])=0,"Ok","Nope")</f>
        <v>Ok</v>
      </c>
      <c r="U96" s="225"/>
      <c r="V96" s="96">
        <f ca="1">TblProd[[#This Row],[Platinum]]</f>
        <v>625590</v>
      </c>
      <c r="W96" s="225"/>
      <c r="X96" s="96">
        <f ca="1">ROUNDUP( (1-MIN(ROUND(facs_rezone_factor*TblRezone[[#This Row],[Facs]],4),facs_rezone_max) + tech_6_4*TblTech[[#This Row],[6-4]] + tech_10_2*TblTech[[#This Row],[10-2]] - IF(TblMagic[[#This Row],[Active Mechanical Genius]]&gt;0,mech_genius_bonus,0) + race_rezone_cost) * TblRezone[[#This Row],[Plat/acre*]],0)</f>
        <v>250</v>
      </c>
      <c r="Y96" s="96">
        <f ca="1">TblRezone[[#This Row],[Total acres]]*TblRezone[[#This Row],[Plat/acre]]</f>
        <v>0</v>
      </c>
      <c r="Z96" s="225"/>
      <c r="AA96" s="96">
        <f ca="1">250+0.6*(TblRezone[[#This Row],[Land]]-250)</f>
        <v>250</v>
      </c>
      <c r="AB96" s="225"/>
      <c r="AC96" s="159">
        <f ca="1">TblConstr[[#This Row],[Facs DB]]</f>
        <v>0</v>
      </c>
    </row>
    <row r="97" spans="1:29" x14ac:dyDescent="0.2">
      <c r="A97" s="224">
        <f ca="1">TblConstr[[#This Row],[Land]]</f>
        <v>250</v>
      </c>
      <c r="B97" s="226">
        <f ca="1">TblConstr[[#This Row],[Plain]]</f>
        <v>40</v>
      </c>
      <c r="C97" s="184">
        <f ca="1">TblConstr[[#This Row],[Forest]]</f>
        <v>20</v>
      </c>
      <c r="D97" s="384">
        <f ca="1">TblConstr[[#This Row],[Mountain]]</f>
        <v>20</v>
      </c>
      <c r="E97" s="388">
        <f ca="1">TblConstr[[#This Row],[Hill]]</f>
        <v>20</v>
      </c>
      <c r="F97" s="392">
        <f ca="1">TblConstr[[#This Row],[Swamp]]</f>
        <v>20</v>
      </c>
      <c r="G97" s="187">
        <f ca="1">TblConstr[[#This Row],[Cavern]]</f>
        <v>20</v>
      </c>
      <c r="H97" s="188">
        <f ca="1">TblConstr[[#This Row],[Water]]</f>
        <v>20</v>
      </c>
      <c r="I97" s="225"/>
      <c r="J97" s="177">
        <f t="shared" si="3"/>
        <v>94</v>
      </c>
      <c r="K97" s="249">
        <f ca="1">TblImps[[#This Row],[Real time]]</f>
        <v>45735.874999999774</v>
      </c>
      <c r="L97" s="181"/>
      <c r="M97" s="181"/>
      <c r="N97" s="181"/>
      <c r="O97" s="181"/>
      <c r="P97" s="181"/>
      <c r="Q97" s="181"/>
      <c r="R97" s="181"/>
      <c r="S97" s="96">
        <f>SUMIF(TblRezone[[#This Row],[Plains Rezone]:[Water Rezone]],"&gt;0")</f>
        <v>0</v>
      </c>
      <c r="T97" s="61" t="str">
        <f>IF(SUM(TblRezone[[#This Row],[Plains Rezone]:[Water Rezone]])=0,"Ok","Nope")</f>
        <v>Ok</v>
      </c>
      <c r="U97" s="225"/>
      <c r="V97" s="96">
        <f ca="1">TblProd[[#This Row],[Platinum]]</f>
        <v>631076</v>
      </c>
      <c r="W97" s="225"/>
      <c r="X97" s="96">
        <f ca="1">ROUNDUP( (1-MIN(ROUND(facs_rezone_factor*TblRezone[[#This Row],[Facs]],4),facs_rezone_max) + tech_6_4*TblTech[[#This Row],[6-4]] + tech_10_2*TblTech[[#This Row],[10-2]] - IF(TblMagic[[#This Row],[Active Mechanical Genius]]&gt;0,mech_genius_bonus,0) + race_rezone_cost) * TblRezone[[#This Row],[Plat/acre*]],0)</f>
        <v>250</v>
      </c>
      <c r="Y97" s="96">
        <f ca="1">TblRezone[[#This Row],[Total acres]]*TblRezone[[#This Row],[Plat/acre]]</f>
        <v>0</v>
      </c>
      <c r="Z97" s="225"/>
      <c r="AA97" s="96">
        <f ca="1">250+0.6*(TblRezone[[#This Row],[Land]]-250)</f>
        <v>250</v>
      </c>
      <c r="AB97" s="225"/>
      <c r="AC97" s="159">
        <f ca="1">TblConstr[[#This Row],[Facs DB]]</f>
        <v>0</v>
      </c>
    </row>
    <row r="98" spans="1:29" x14ac:dyDescent="0.2">
      <c r="A98" s="224">
        <f ca="1">TblConstr[[#This Row],[Land]]</f>
        <v>250</v>
      </c>
      <c r="B98" s="226">
        <f ca="1">TblConstr[[#This Row],[Plain]]</f>
        <v>40</v>
      </c>
      <c r="C98" s="184">
        <f ca="1">TblConstr[[#This Row],[Forest]]</f>
        <v>20</v>
      </c>
      <c r="D98" s="384">
        <f ca="1">TblConstr[[#This Row],[Mountain]]</f>
        <v>20</v>
      </c>
      <c r="E98" s="388">
        <f ca="1">TblConstr[[#This Row],[Hill]]</f>
        <v>20</v>
      </c>
      <c r="F98" s="392">
        <f ca="1">TblConstr[[#This Row],[Swamp]]</f>
        <v>20</v>
      </c>
      <c r="G98" s="187">
        <f ca="1">TblConstr[[#This Row],[Cavern]]</f>
        <v>20</v>
      </c>
      <c r="H98" s="188">
        <f ca="1">TblConstr[[#This Row],[Water]]</f>
        <v>20</v>
      </c>
      <c r="I98" s="225"/>
      <c r="J98" s="177">
        <f t="shared" si="3"/>
        <v>95</v>
      </c>
      <c r="K98" s="249">
        <f ca="1">TblImps[[#This Row],[Real time]]</f>
        <v>45735.916666666439</v>
      </c>
      <c r="L98" s="181"/>
      <c r="M98" s="181"/>
      <c r="N98" s="181"/>
      <c r="O98" s="181"/>
      <c r="P98" s="181"/>
      <c r="Q98" s="181"/>
      <c r="R98" s="181"/>
      <c r="S98" s="96">
        <f>SUMIF(TblRezone[[#This Row],[Plains Rezone]:[Water Rezone]],"&gt;0")</f>
        <v>0</v>
      </c>
      <c r="T98" s="61" t="str">
        <f>IF(SUM(TblRezone[[#This Row],[Plains Rezone]:[Water Rezone]])=0,"Ok","Nope")</f>
        <v>Ok</v>
      </c>
      <c r="U98" s="225"/>
      <c r="V98" s="96">
        <f ca="1">TblProd[[#This Row],[Platinum]]</f>
        <v>636562</v>
      </c>
      <c r="W98" s="225"/>
      <c r="X98" s="96">
        <f ca="1">ROUNDUP( (1-MIN(ROUND(facs_rezone_factor*TblRezone[[#This Row],[Facs]],4),facs_rezone_max) + tech_6_4*TblTech[[#This Row],[6-4]] + tech_10_2*TblTech[[#This Row],[10-2]] - IF(TblMagic[[#This Row],[Active Mechanical Genius]]&gt;0,mech_genius_bonus,0) + race_rezone_cost) * TblRezone[[#This Row],[Plat/acre*]],0)</f>
        <v>250</v>
      </c>
      <c r="Y98" s="96">
        <f ca="1">TblRezone[[#This Row],[Total acres]]*TblRezone[[#This Row],[Plat/acre]]</f>
        <v>0</v>
      </c>
      <c r="Z98" s="225"/>
      <c r="AA98" s="96">
        <f ca="1">250+0.6*(TblRezone[[#This Row],[Land]]-250)</f>
        <v>250</v>
      </c>
      <c r="AB98" s="225"/>
      <c r="AC98" s="159">
        <f ca="1">TblConstr[[#This Row],[Facs DB]]</f>
        <v>0</v>
      </c>
    </row>
    <row r="99" spans="1:29" x14ac:dyDescent="0.2">
      <c r="A99" s="224">
        <f ca="1">TblConstr[[#This Row],[Land]]</f>
        <v>250</v>
      </c>
      <c r="B99" s="226">
        <f ca="1">TblConstr[[#This Row],[Plain]]</f>
        <v>40</v>
      </c>
      <c r="C99" s="184">
        <f ca="1">TblConstr[[#This Row],[Forest]]</f>
        <v>20</v>
      </c>
      <c r="D99" s="384">
        <f ca="1">TblConstr[[#This Row],[Mountain]]</f>
        <v>20</v>
      </c>
      <c r="E99" s="388">
        <f ca="1">TblConstr[[#This Row],[Hill]]</f>
        <v>20</v>
      </c>
      <c r="F99" s="392">
        <f ca="1">TblConstr[[#This Row],[Swamp]]</f>
        <v>20</v>
      </c>
      <c r="G99" s="187">
        <f ca="1">TblConstr[[#This Row],[Cavern]]</f>
        <v>20</v>
      </c>
      <c r="H99" s="188">
        <f ca="1">TblConstr[[#This Row],[Water]]</f>
        <v>20</v>
      </c>
      <c r="I99" s="225"/>
      <c r="J99" s="177">
        <f t="shared" si="3"/>
        <v>96</v>
      </c>
      <c r="K99" s="249">
        <f ca="1">TblImps[[#This Row],[Real time]]</f>
        <v>45735.958333333103</v>
      </c>
      <c r="L99" s="181"/>
      <c r="M99" s="181"/>
      <c r="N99" s="181"/>
      <c r="O99" s="181"/>
      <c r="P99" s="181"/>
      <c r="Q99" s="181"/>
      <c r="R99" s="181"/>
      <c r="S99" s="96">
        <f>SUMIF(TblRezone[[#This Row],[Plains Rezone]:[Water Rezone]],"&gt;0")</f>
        <v>0</v>
      </c>
      <c r="T99" s="61" t="str">
        <f>IF(SUM(TblRezone[[#This Row],[Plains Rezone]:[Water Rezone]])=0,"Ok","Nope")</f>
        <v>Ok</v>
      </c>
      <c r="U99" s="225"/>
      <c r="V99" s="96">
        <f ca="1">TblProd[[#This Row],[Platinum]]</f>
        <v>642048</v>
      </c>
      <c r="W99" s="225"/>
      <c r="X99" s="96">
        <f ca="1">ROUNDUP( (1-MIN(ROUND(facs_rezone_factor*TblRezone[[#This Row],[Facs]],4),facs_rezone_max) + tech_6_4*TblTech[[#This Row],[6-4]] + tech_10_2*TblTech[[#This Row],[10-2]] - IF(TblMagic[[#This Row],[Active Mechanical Genius]]&gt;0,mech_genius_bonus,0) + race_rezone_cost) * TblRezone[[#This Row],[Plat/acre*]],0)</f>
        <v>250</v>
      </c>
      <c r="Y99" s="96">
        <f ca="1">TblRezone[[#This Row],[Total acres]]*TblRezone[[#This Row],[Plat/acre]]</f>
        <v>0</v>
      </c>
      <c r="Z99" s="225"/>
      <c r="AA99" s="96">
        <f ca="1">250+0.6*(TblRezone[[#This Row],[Land]]-250)</f>
        <v>250</v>
      </c>
      <c r="AB99" s="225"/>
      <c r="AC99" s="159">
        <f ca="1">TblConstr[[#This Row],[Facs DB]]</f>
        <v>0</v>
      </c>
    </row>
    <row r="100" spans="1:29" x14ac:dyDescent="0.2">
      <c r="A100" s="224">
        <f ca="1">TblConstr[[#This Row],[Land]]</f>
        <v>250</v>
      </c>
      <c r="B100" s="226">
        <f ca="1">TblConstr[[#This Row],[Plain]]</f>
        <v>40</v>
      </c>
      <c r="C100" s="184">
        <f ca="1">TblConstr[[#This Row],[Forest]]</f>
        <v>20</v>
      </c>
      <c r="D100" s="384">
        <f ca="1">TblConstr[[#This Row],[Mountain]]</f>
        <v>20</v>
      </c>
      <c r="E100" s="388">
        <f ca="1">TblConstr[[#This Row],[Hill]]</f>
        <v>20</v>
      </c>
      <c r="F100" s="392">
        <f ca="1">TblConstr[[#This Row],[Swamp]]</f>
        <v>20</v>
      </c>
      <c r="G100" s="187">
        <f ca="1">TblConstr[[#This Row],[Cavern]]</f>
        <v>20</v>
      </c>
      <c r="H100" s="188">
        <f ca="1">TblConstr[[#This Row],[Water]]</f>
        <v>20</v>
      </c>
      <c r="I100" s="225"/>
      <c r="J100" s="177">
        <f t="shared" si="3"/>
        <v>97</v>
      </c>
      <c r="K100" s="249">
        <f ca="1">TblImps[[#This Row],[Real time]]</f>
        <v>45735.999999999767</v>
      </c>
      <c r="L100" s="181"/>
      <c r="M100" s="181"/>
      <c r="N100" s="181"/>
      <c r="O100" s="181"/>
      <c r="P100" s="181"/>
      <c r="Q100" s="181"/>
      <c r="R100" s="181"/>
      <c r="S100" s="96">
        <f>SUMIF(TblRezone[[#This Row],[Plains Rezone]:[Water Rezone]],"&gt;0")</f>
        <v>0</v>
      </c>
      <c r="T100" s="61" t="str">
        <f>IF(SUM(TblRezone[[#This Row],[Plains Rezone]:[Water Rezone]])=0,"Ok","Nope")</f>
        <v>Ok</v>
      </c>
      <c r="U100" s="225"/>
      <c r="V100" s="96">
        <f ca="1">TblProd[[#This Row],[Platinum]]</f>
        <v>647534</v>
      </c>
      <c r="W100" s="225"/>
      <c r="X100" s="96">
        <f ca="1">ROUNDUP( (1-MIN(ROUND(facs_rezone_factor*TblRezone[[#This Row],[Facs]],4),facs_rezone_max) + tech_6_4*TblTech[[#This Row],[6-4]] + tech_10_2*TblTech[[#This Row],[10-2]] - IF(TblMagic[[#This Row],[Active Mechanical Genius]]&gt;0,mech_genius_bonus,0) + race_rezone_cost) * TblRezone[[#This Row],[Plat/acre*]],0)</f>
        <v>250</v>
      </c>
      <c r="Y100" s="96">
        <f ca="1">TblRezone[[#This Row],[Total acres]]*TblRezone[[#This Row],[Plat/acre]]</f>
        <v>0</v>
      </c>
      <c r="Z100" s="225"/>
      <c r="AA100" s="96">
        <f ca="1">250+0.6*(TblRezone[[#This Row],[Land]]-250)</f>
        <v>250</v>
      </c>
      <c r="AB100" s="225"/>
      <c r="AC100" s="159">
        <f ca="1">TblConstr[[#This Row],[Facs DB]]</f>
        <v>0</v>
      </c>
    </row>
    <row r="101" spans="1:29" x14ac:dyDescent="0.2">
      <c r="A101" s="224">
        <f ca="1">TblConstr[[#This Row],[Land]]</f>
        <v>250</v>
      </c>
      <c r="B101" s="226">
        <f ca="1">TblConstr[[#This Row],[Plain]]</f>
        <v>40</v>
      </c>
      <c r="C101" s="184">
        <f ca="1">TblConstr[[#This Row],[Forest]]</f>
        <v>20</v>
      </c>
      <c r="D101" s="384">
        <f ca="1">TblConstr[[#This Row],[Mountain]]</f>
        <v>20</v>
      </c>
      <c r="E101" s="388">
        <f ca="1">TblConstr[[#This Row],[Hill]]</f>
        <v>20</v>
      </c>
      <c r="F101" s="392">
        <f ca="1">TblConstr[[#This Row],[Swamp]]</f>
        <v>20</v>
      </c>
      <c r="G101" s="187">
        <f ca="1">TblConstr[[#This Row],[Cavern]]</f>
        <v>20</v>
      </c>
      <c r="H101" s="188">
        <f ca="1">TblConstr[[#This Row],[Water]]</f>
        <v>20</v>
      </c>
      <c r="I101" s="225"/>
      <c r="J101" s="177">
        <f t="shared" si="3"/>
        <v>98</v>
      </c>
      <c r="K101" s="249">
        <f ca="1">TblImps[[#This Row],[Real time]]</f>
        <v>45736.041666666431</v>
      </c>
      <c r="L101" s="181"/>
      <c r="M101" s="181"/>
      <c r="N101" s="181"/>
      <c r="O101" s="181"/>
      <c r="P101" s="181"/>
      <c r="Q101" s="181"/>
      <c r="R101" s="181"/>
      <c r="S101" s="96">
        <f>SUMIF(TblRezone[[#This Row],[Plains Rezone]:[Water Rezone]],"&gt;0")</f>
        <v>0</v>
      </c>
      <c r="T101" s="61" t="str">
        <f>IF(SUM(TblRezone[[#This Row],[Plains Rezone]:[Water Rezone]])=0,"Ok","Nope")</f>
        <v>Ok</v>
      </c>
      <c r="U101" s="225"/>
      <c r="V101" s="96">
        <f ca="1">TblProd[[#This Row],[Platinum]]</f>
        <v>653020</v>
      </c>
      <c r="W101" s="225"/>
      <c r="X101" s="96">
        <f ca="1">ROUNDUP( (1-MIN(ROUND(facs_rezone_factor*TblRezone[[#This Row],[Facs]],4),facs_rezone_max) + tech_6_4*TblTech[[#This Row],[6-4]] + tech_10_2*TblTech[[#This Row],[10-2]] - IF(TblMagic[[#This Row],[Active Mechanical Genius]]&gt;0,mech_genius_bonus,0) + race_rezone_cost) * TblRezone[[#This Row],[Plat/acre*]],0)</f>
        <v>250</v>
      </c>
      <c r="Y101" s="96">
        <f ca="1">TblRezone[[#This Row],[Total acres]]*TblRezone[[#This Row],[Plat/acre]]</f>
        <v>0</v>
      </c>
      <c r="Z101" s="225"/>
      <c r="AA101" s="96">
        <f ca="1">250+0.6*(TblRezone[[#This Row],[Land]]-250)</f>
        <v>250</v>
      </c>
      <c r="AB101" s="225"/>
      <c r="AC101" s="159">
        <f ca="1">TblConstr[[#This Row],[Facs DB]]</f>
        <v>0</v>
      </c>
    </row>
    <row r="102" spans="1:29" x14ac:dyDescent="0.2">
      <c r="A102" s="224">
        <f ca="1">TblConstr[[#This Row],[Land]]</f>
        <v>250</v>
      </c>
      <c r="B102" s="226">
        <f ca="1">TblConstr[[#This Row],[Plain]]</f>
        <v>40</v>
      </c>
      <c r="C102" s="184">
        <f ca="1">TblConstr[[#This Row],[Forest]]</f>
        <v>20</v>
      </c>
      <c r="D102" s="384">
        <f ca="1">TblConstr[[#This Row],[Mountain]]</f>
        <v>20</v>
      </c>
      <c r="E102" s="388">
        <f ca="1">TblConstr[[#This Row],[Hill]]</f>
        <v>20</v>
      </c>
      <c r="F102" s="392">
        <f ca="1">TblConstr[[#This Row],[Swamp]]</f>
        <v>20</v>
      </c>
      <c r="G102" s="187">
        <f ca="1">TblConstr[[#This Row],[Cavern]]</f>
        <v>20</v>
      </c>
      <c r="H102" s="188">
        <f ca="1">TblConstr[[#This Row],[Water]]</f>
        <v>20</v>
      </c>
      <c r="I102" s="225"/>
      <c r="J102" s="177">
        <f t="shared" si="3"/>
        <v>99</v>
      </c>
      <c r="K102" s="249">
        <f ca="1">TblImps[[#This Row],[Real time]]</f>
        <v>45736.083333333096</v>
      </c>
      <c r="L102" s="181"/>
      <c r="M102" s="181"/>
      <c r="N102" s="181"/>
      <c r="O102" s="181"/>
      <c r="P102" s="181"/>
      <c r="Q102" s="181"/>
      <c r="R102" s="181"/>
      <c r="S102" s="96">
        <f>SUMIF(TblRezone[[#This Row],[Plains Rezone]:[Water Rezone]],"&gt;0")</f>
        <v>0</v>
      </c>
      <c r="T102" s="61" t="str">
        <f>IF(SUM(TblRezone[[#This Row],[Plains Rezone]:[Water Rezone]])=0,"Ok","Nope")</f>
        <v>Ok</v>
      </c>
      <c r="U102" s="225"/>
      <c r="V102" s="96">
        <f ca="1">TblProd[[#This Row],[Platinum]]</f>
        <v>658506</v>
      </c>
      <c r="W102" s="225"/>
      <c r="X102" s="96">
        <f ca="1">ROUNDUP( (1-MIN(ROUND(facs_rezone_factor*TblRezone[[#This Row],[Facs]],4),facs_rezone_max) + tech_6_4*TblTech[[#This Row],[6-4]] + tech_10_2*TblTech[[#This Row],[10-2]] - IF(TblMagic[[#This Row],[Active Mechanical Genius]]&gt;0,mech_genius_bonus,0) + race_rezone_cost) * TblRezone[[#This Row],[Plat/acre*]],0)</f>
        <v>250</v>
      </c>
      <c r="Y102" s="96">
        <f ca="1">TblRezone[[#This Row],[Total acres]]*TblRezone[[#This Row],[Plat/acre]]</f>
        <v>0</v>
      </c>
      <c r="Z102" s="225"/>
      <c r="AA102" s="96">
        <f ca="1">250+0.6*(TblRezone[[#This Row],[Land]]-250)</f>
        <v>250</v>
      </c>
      <c r="AB102" s="225"/>
      <c r="AC102" s="159">
        <f ca="1">TblConstr[[#This Row],[Facs DB]]</f>
        <v>0</v>
      </c>
    </row>
    <row r="103" spans="1:29" x14ac:dyDescent="0.2">
      <c r="A103" s="224">
        <f ca="1">TblConstr[[#This Row],[Land]]</f>
        <v>250</v>
      </c>
      <c r="B103" s="226">
        <f ca="1">TblConstr[[#This Row],[Plain]]</f>
        <v>40</v>
      </c>
      <c r="C103" s="184">
        <f ca="1">TblConstr[[#This Row],[Forest]]</f>
        <v>20</v>
      </c>
      <c r="D103" s="384">
        <f ca="1">TblConstr[[#This Row],[Mountain]]</f>
        <v>20</v>
      </c>
      <c r="E103" s="388">
        <f ca="1">TblConstr[[#This Row],[Hill]]</f>
        <v>20</v>
      </c>
      <c r="F103" s="392">
        <f ca="1">TblConstr[[#This Row],[Swamp]]</f>
        <v>20</v>
      </c>
      <c r="G103" s="187">
        <f ca="1">TblConstr[[#This Row],[Cavern]]</f>
        <v>20</v>
      </c>
      <c r="H103" s="188">
        <f ca="1">TblConstr[[#This Row],[Water]]</f>
        <v>20</v>
      </c>
      <c r="I103" s="225"/>
      <c r="J103" s="177">
        <f t="shared" si="3"/>
        <v>100</v>
      </c>
      <c r="K103" s="249">
        <f ca="1">TblImps[[#This Row],[Real time]]</f>
        <v>45736.12499999976</v>
      </c>
      <c r="L103" s="181"/>
      <c r="M103" s="181"/>
      <c r="N103" s="181"/>
      <c r="O103" s="181"/>
      <c r="P103" s="181"/>
      <c r="Q103" s="181"/>
      <c r="R103" s="181"/>
      <c r="S103" s="96">
        <f>SUMIF(TblRezone[[#This Row],[Plains Rezone]:[Water Rezone]],"&gt;0")</f>
        <v>0</v>
      </c>
      <c r="T103" s="61" t="str">
        <f>IF(SUM(TblRezone[[#This Row],[Plains Rezone]:[Water Rezone]])=0,"Ok","Nope")</f>
        <v>Ok</v>
      </c>
      <c r="U103" s="225"/>
      <c r="V103" s="96">
        <f ca="1">TblProd[[#This Row],[Platinum]]</f>
        <v>663992</v>
      </c>
      <c r="W103" s="225"/>
      <c r="X103" s="96">
        <f ca="1">ROUNDUP( (1-MIN(ROUND(facs_rezone_factor*TblRezone[[#This Row],[Facs]],4),facs_rezone_max) + tech_6_4*TblTech[[#This Row],[6-4]] + tech_10_2*TblTech[[#This Row],[10-2]] - IF(TblMagic[[#This Row],[Active Mechanical Genius]]&gt;0,mech_genius_bonus,0) + race_rezone_cost) * TblRezone[[#This Row],[Plat/acre*]],0)</f>
        <v>250</v>
      </c>
      <c r="Y103" s="96">
        <f ca="1">TblRezone[[#This Row],[Total acres]]*TblRezone[[#This Row],[Plat/acre]]</f>
        <v>0</v>
      </c>
      <c r="Z103" s="225"/>
      <c r="AA103" s="96">
        <f ca="1">250+0.6*(TblRezone[[#This Row],[Land]]-250)</f>
        <v>250</v>
      </c>
      <c r="AB103" s="225"/>
      <c r="AC103" s="159">
        <f ca="1">TblConstr[[#This Row],[Facs DB]]</f>
        <v>0</v>
      </c>
    </row>
    <row r="104" spans="1:29" x14ac:dyDescent="0.2">
      <c r="A104" s="224">
        <f ca="1">TblConstr[[#This Row],[Land]]</f>
        <v>250</v>
      </c>
      <c r="B104" s="226">
        <f ca="1">TblConstr[[#This Row],[Plain]]</f>
        <v>40</v>
      </c>
      <c r="C104" s="184">
        <f ca="1">TblConstr[[#This Row],[Forest]]</f>
        <v>20</v>
      </c>
      <c r="D104" s="384">
        <f ca="1">TblConstr[[#This Row],[Mountain]]</f>
        <v>20</v>
      </c>
      <c r="E104" s="388">
        <f ca="1">TblConstr[[#This Row],[Hill]]</f>
        <v>20</v>
      </c>
      <c r="F104" s="392">
        <f ca="1">TblConstr[[#This Row],[Swamp]]</f>
        <v>20</v>
      </c>
      <c r="G104" s="187">
        <f ca="1">TblConstr[[#This Row],[Cavern]]</f>
        <v>20</v>
      </c>
      <c r="H104" s="188">
        <f ca="1">TblConstr[[#This Row],[Water]]</f>
        <v>20</v>
      </c>
      <c r="I104" s="225"/>
      <c r="J104" s="177">
        <f t="shared" si="3"/>
        <v>101</v>
      </c>
      <c r="K104" s="249">
        <f ca="1">TblImps[[#This Row],[Real time]]</f>
        <v>45736.166666666424</v>
      </c>
      <c r="L104" s="181"/>
      <c r="M104" s="181"/>
      <c r="N104" s="181"/>
      <c r="O104" s="181"/>
      <c r="P104" s="181"/>
      <c r="Q104" s="181"/>
      <c r="R104" s="181"/>
      <c r="S104" s="96">
        <f>SUMIF(TblRezone[[#This Row],[Plains Rezone]:[Water Rezone]],"&gt;0")</f>
        <v>0</v>
      </c>
      <c r="T104" s="61" t="str">
        <f>IF(SUM(TblRezone[[#This Row],[Plains Rezone]:[Water Rezone]])=0,"Ok","Nope")</f>
        <v>Ok</v>
      </c>
      <c r="U104" s="225"/>
      <c r="V104" s="96">
        <f ca="1">TblProd[[#This Row],[Platinum]]</f>
        <v>669478</v>
      </c>
      <c r="W104" s="225"/>
      <c r="X104" s="96">
        <f ca="1">ROUNDUP( (1-MIN(ROUND(facs_rezone_factor*TblRezone[[#This Row],[Facs]],4),facs_rezone_max) + tech_6_4*TblTech[[#This Row],[6-4]] + tech_10_2*TblTech[[#This Row],[10-2]] - IF(TblMagic[[#This Row],[Active Mechanical Genius]]&gt;0,mech_genius_bonus,0) + race_rezone_cost) * TblRezone[[#This Row],[Plat/acre*]],0)</f>
        <v>250</v>
      </c>
      <c r="Y104" s="96">
        <f ca="1">TblRezone[[#This Row],[Total acres]]*TblRezone[[#This Row],[Plat/acre]]</f>
        <v>0</v>
      </c>
      <c r="Z104" s="225"/>
      <c r="AA104" s="96">
        <f ca="1">250+0.6*(TblRezone[[#This Row],[Land]]-250)</f>
        <v>250</v>
      </c>
      <c r="AB104" s="225"/>
      <c r="AC104" s="159">
        <f ca="1">TblConstr[[#This Row],[Facs DB]]</f>
        <v>0</v>
      </c>
    </row>
    <row r="105" spans="1:29" x14ac:dyDescent="0.2">
      <c r="A105" s="224">
        <f ca="1">TblConstr[[#This Row],[Land]]</f>
        <v>250</v>
      </c>
      <c r="B105" s="226">
        <f ca="1">TblConstr[[#This Row],[Plain]]</f>
        <v>40</v>
      </c>
      <c r="C105" s="184">
        <f ca="1">TblConstr[[#This Row],[Forest]]</f>
        <v>20</v>
      </c>
      <c r="D105" s="384">
        <f ca="1">TblConstr[[#This Row],[Mountain]]</f>
        <v>20</v>
      </c>
      <c r="E105" s="388">
        <f ca="1">TblConstr[[#This Row],[Hill]]</f>
        <v>20</v>
      </c>
      <c r="F105" s="392">
        <f ca="1">TblConstr[[#This Row],[Swamp]]</f>
        <v>20</v>
      </c>
      <c r="G105" s="187">
        <f ca="1">TblConstr[[#This Row],[Cavern]]</f>
        <v>20</v>
      </c>
      <c r="H105" s="188">
        <f ca="1">TblConstr[[#This Row],[Water]]</f>
        <v>20</v>
      </c>
      <c r="I105" s="225"/>
      <c r="J105" s="177">
        <f t="shared" si="3"/>
        <v>102</v>
      </c>
      <c r="K105" s="249">
        <f ca="1">TblImps[[#This Row],[Real time]]</f>
        <v>45736.208333333088</v>
      </c>
      <c r="L105" s="181"/>
      <c r="M105" s="181"/>
      <c r="N105" s="181"/>
      <c r="O105" s="181"/>
      <c r="P105" s="181"/>
      <c r="Q105" s="181"/>
      <c r="R105" s="181"/>
      <c r="S105" s="96">
        <f>SUMIF(TblRezone[[#This Row],[Plains Rezone]:[Water Rezone]],"&gt;0")</f>
        <v>0</v>
      </c>
      <c r="T105" s="61" t="str">
        <f>IF(SUM(TblRezone[[#This Row],[Plains Rezone]:[Water Rezone]])=0,"Ok","Nope")</f>
        <v>Ok</v>
      </c>
      <c r="U105" s="225"/>
      <c r="V105" s="96">
        <f ca="1">TblProd[[#This Row],[Platinum]]</f>
        <v>674964</v>
      </c>
      <c r="W105" s="225"/>
      <c r="X105" s="96">
        <f ca="1">ROUNDUP( (1-MIN(ROUND(facs_rezone_factor*TblRezone[[#This Row],[Facs]],4),facs_rezone_max) + tech_6_4*TblTech[[#This Row],[6-4]] + tech_10_2*TblTech[[#This Row],[10-2]] - IF(TblMagic[[#This Row],[Active Mechanical Genius]]&gt;0,mech_genius_bonus,0) + race_rezone_cost) * TblRezone[[#This Row],[Plat/acre*]],0)</f>
        <v>250</v>
      </c>
      <c r="Y105" s="96">
        <f ca="1">TblRezone[[#This Row],[Total acres]]*TblRezone[[#This Row],[Plat/acre]]</f>
        <v>0</v>
      </c>
      <c r="Z105" s="225"/>
      <c r="AA105" s="96">
        <f ca="1">250+0.6*(TblRezone[[#This Row],[Land]]-250)</f>
        <v>250</v>
      </c>
      <c r="AB105" s="225"/>
      <c r="AC105" s="159">
        <f ca="1">TblConstr[[#This Row],[Facs DB]]</f>
        <v>0</v>
      </c>
    </row>
    <row r="106" spans="1:29" x14ac:dyDescent="0.2">
      <c r="A106" s="224">
        <f ca="1">TblConstr[[#This Row],[Land]]</f>
        <v>250</v>
      </c>
      <c r="B106" s="226">
        <f ca="1">TblConstr[[#This Row],[Plain]]</f>
        <v>40</v>
      </c>
      <c r="C106" s="184">
        <f ca="1">TblConstr[[#This Row],[Forest]]</f>
        <v>20</v>
      </c>
      <c r="D106" s="384">
        <f ca="1">TblConstr[[#This Row],[Mountain]]</f>
        <v>20</v>
      </c>
      <c r="E106" s="388">
        <f ca="1">TblConstr[[#This Row],[Hill]]</f>
        <v>20</v>
      </c>
      <c r="F106" s="392">
        <f ca="1">TblConstr[[#This Row],[Swamp]]</f>
        <v>20</v>
      </c>
      <c r="G106" s="187">
        <f ca="1">TblConstr[[#This Row],[Cavern]]</f>
        <v>20</v>
      </c>
      <c r="H106" s="188">
        <f ca="1">TblConstr[[#This Row],[Water]]</f>
        <v>20</v>
      </c>
      <c r="I106" s="225"/>
      <c r="J106" s="177">
        <f t="shared" si="3"/>
        <v>103</v>
      </c>
      <c r="K106" s="249">
        <f ca="1">TblImps[[#This Row],[Real time]]</f>
        <v>45736.249999999753</v>
      </c>
      <c r="L106" s="181"/>
      <c r="M106" s="181"/>
      <c r="N106" s="181"/>
      <c r="O106" s="181"/>
      <c r="P106" s="181"/>
      <c r="Q106" s="181"/>
      <c r="R106" s="181"/>
      <c r="S106" s="96">
        <f>SUMIF(TblRezone[[#This Row],[Plains Rezone]:[Water Rezone]],"&gt;0")</f>
        <v>0</v>
      </c>
      <c r="T106" s="61" t="str">
        <f>IF(SUM(TblRezone[[#This Row],[Plains Rezone]:[Water Rezone]])=0,"Ok","Nope")</f>
        <v>Ok</v>
      </c>
      <c r="U106" s="225"/>
      <c r="V106" s="96">
        <f ca="1">TblProd[[#This Row],[Platinum]]</f>
        <v>680450</v>
      </c>
      <c r="W106" s="225"/>
      <c r="X106" s="96">
        <f ca="1">ROUNDUP( (1-MIN(ROUND(facs_rezone_factor*TblRezone[[#This Row],[Facs]],4),facs_rezone_max) + tech_6_4*TblTech[[#This Row],[6-4]] + tech_10_2*TblTech[[#This Row],[10-2]] - IF(TblMagic[[#This Row],[Active Mechanical Genius]]&gt;0,mech_genius_bonus,0) + race_rezone_cost) * TblRezone[[#This Row],[Plat/acre*]],0)</f>
        <v>250</v>
      </c>
      <c r="Y106" s="96">
        <f ca="1">TblRezone[[#This Row],[Total acres]]*TblRezone[[#This Row],[Plat/acre]]</f>
        <v>0</v>
      </c>
      <c r="Z106" s="225"/>
      <c r="AA106" s="96">
        <f ca="1">250+0.6*(TblRezone[[#This Row],[Land]]-250)</f>
        <v>250</v>
      </c>
      <c r="AB106" s="225"/>
      <c r="AC106" s="159">
        <f ca="1">TblConstr[[#This Row],[Facs DB]]</f>
        <v>0</v>
      </c>
    </row>
    <row r="107" spans="1:29" x14ac:dyDescent="0.2">
      <c r="A107" s="224">
        <f ca="1">TblConstr[[#This Row],[Land]]</f>
        <v>250</v>
      </c>
      <c r="B107" s="226">
        <f ca="1">TblConstr[[#This Row],[Plain]]</f>
        <v>40</v>
      </c>
      <c r="C107" s="184">
        <f ca="1">TblConstr[[#This Row],[Forest]]</f>
        <v>20</v>
      </c>
      <c r="D107" s="384">
        <f ca="1">TblConstr[[#This Row],[Mountain]]</f>
        <v>20</v>
      </c>
      <c r="E107" s="388">
        <f ca="1">TblConstr[[#This Row],[Hill]]</f>
        <v>20</v>
      </c>
      <c r="F107" s="392">
        <f ca="1">TblConstr[[#This Row],[Swamp]]</f>
        <v>20</v>
      </c>
      <c r="G107" s="187">
        <f ca="1">TblConstr[[#This Row],[Cavern]]</f>
        <v>20</v>
      </c>
      <c r="H107" s="188">
        <f ca="1">TblConstr[[#This Row],[Water]]</f>
        <v>20</v>
      </c>
      <c r="I107" s="225"/>
      <c r="J107" s="177">
        <f t="shared" si="3"/>
        <v>104</v>
      </c>
      <c r="K107" s="249">
        <f ca="1">TblImps[[#This Row],[Real time]]</f>
        <v>45736.291666666417</v>
      </c>
      <c r="L107" s="181"/>
      <c r="M107" s="181"/>
      <c r="N107" s="181"/>
      <c r="O107" s="181"/>
      <c r="P107" s="181"/>
      <c r="Q107" s="181"/>
      <c r="R107" s="181"/>
      <c r="S107" s="96">
        <f>SUMIF(TblRezone[[#This Row],[Plains Rezone]:[Water Rezone]],"&gt;0")</f>
        <v>0</v>
      </c>
      <c r="T107" s="61" t="str">
        <f>IF(SUM(TblRezone[[#This Row],[Plains Rezone]:[Water Rezone]])=0,"Ok","Nope")</f>
        <v>Ok</v>
      </c>
      <c r="U107" s="225"/>
      <c r="V107" s="96">
        <f ca="1">TblProd[[#This Row],[Platinum]]</f>
        <v>685936</v>
      </c>
      <c r="W107" s="225"/>
      <c r="X107" s="96">
        <f ca="1">ROUNDUP( (1-MIN(ROUND(facs_rezone_factor*TblRezone[[#This Row],[Facs]],4),facs_rezone_max) + tech_6_4*TblTech[[#This Row],[6-4]] + tech_10_2*TblTech[[#This Row],[10-2]] - IF(TblMagic[[#This Row],[Active Mechanical Genius]]&gt;0,mech_genius_bonus,0) + race_rezone_cost) * TblRezone[[#This Row],[Plat/acre*]],0)</f>
        <v>250</v>
      </c>
      <c r="Y107" s="96">
        <f ca="1">TblRezone[[#This Row],[Total acres]]*TblRezone[[#This Row],[Plat/acre]]</f>
        <v>0</v>
      </c>
      <c r="Z107" s="225"/>
      <c r="AA107" s="96">
        <f ca="1">250+0.6*(TblRezone[[#This Row],[Land]]-250)</f>
        <v>250</v>
      </c>
      <c r="AB107" s="225"/>
      <c r="AC107" s="159">
        <f ca="1">TblConstr[[#This Row],[Facs DB]]</f>
        <v>0</v>
      </c>
    </row>
    <row r="108" spans="1:29" x14ac:dyDescent="0.2">
      <c r="A108" s="224">
        <f ca="1">TblConstr[[#This Row],[Land]]</f>
        <v>250</v>
      </c>
      <c r="B108" s="226">
        <f ca="1">TblConstr[[#This Row],[Plain]]</f>
        <v>40</v>
      </c>
      <c r="C108" s="184">
        <f ca="1">TblConstr[[#This Row],[Forest]]</f>
        <v>20</v>
      </c>
      <c r="D108" s="384">
        <f ca="1">TblConstr[[#This Row],[Mountain]]</f>
        <v>20</v>
      </c>
      <c r="E108" s="388">
        <f ca="1">TblConstr[[#This Row],[Hill]]</f>
        <v>20</v>
      </c>
      <c r="F108" s="392">
        <f ca="1">TblConstr[[#This Row],[Swamp]]</f>
        <v>20</v>
      </c>
      <c r="G108" s="187">
        <f ca="1">TblConstr[[#This Row],[Cavern]]</f>
        <v>20</v>
      </c>
      <c r="H108" s="188">
        <f ca="1">TblConstr[[#This Row],[Water]]</f>
        <v>20</v>
      </c>
      <c r="I108" s="225"/>
      <c r="J108" s="177">
        <f t="shared" si="3"/>
        <v>105</v>
      </c>
      <c r="K108" s="249">
        <f ca="1">TblImps[[#This Row],[Real time]]</f>
        <v>45736.333333333081</v>
      </c>
      <c r="L108" s="181"/>
      <c r="M108" s="181"/>
      <c r="N108" s="181"/>
      <c r="O108" s="181"/>
      <c r="P108" s="181"/>
      <c r="Q108" s="181"/>
      <c r="R108" s="181"/>
      <c r="S108" s="96">
        <f>SUMIF(TblRezone[[#This Row],[Plains Rezone]:[Water Rezone]],"&gt;0")</f>
        <v>0</v>
      </c>
      <c r="T108" s="61" t="str">
        <f>IF(SUM(TblRezone[[#This Row],[Plains Rezone]:[Water Rezone]])=0,"Ok","Nope")</f>
        <v>Ok</v>
      </c>
      <c r="U108" s="225"/>
      <c r="V108" s="96">
        <f ca="1">TblProd[[#This Row],[Platinum]]</f>
        <v>691422</v>
      </c>
      <c r="W108" s="225"/>
      <c r="X108" s="96">
        <f ca="1">ROUNDUP( (1-MIN(ROUND(facs_rezone_factor*TblRezone[[#This Row],[Facs]],4),facs_rezone_max) + tech_6_4*TblTech[[#This Row],[6-4]] + tech_10_2*TblTech[[#This Row],[10-2]] - IF(TblMagic[[#This Row],[Active Mechanical Genius]]&gt;0,mech_genius_bonus,0) + race_rezone_cost) * TblRezone[[#This Row],[Plat/acre*]],0)</f>
        <v>250</v>
      </c>
      <c r="Y108" s="96">
        <f ca="1">TblRezone[[#This Row],[Total acres]]*TblRezone[[#This Row],[Plat/acre]]</f>
        <v>0</v>
      </c>
      <c r="Z108" s="225"/>
      <c r="AA108" s="96">
        <f ca="1">250+0.6*(TblRezone[[#This Row],[Land]]-250)</f>
        <v>250</v>
      </c>
      <c r="AB108" s="225"/>
      <c r="AC108" s="159">
        <f ca="1">TblConstr[[#This Row],[Facs DB]]</f>
        <v>0</v>
      </c>
    </row>
    <row r="109" spans="1:29" x14ac:dyDescent="0.2">
      <c r="A109" s="224">
        <f ca="1">TblConstr[[#This Row],[Land]]</f>
        <v>250</v>
      </c>
      <c r="B109" s="226">
        <f ca="1">TblConstr[[#This Row],[Plain]]</f>
        <v>40</v>
      </c>
      <c r="C109" s="184">
        <f ca="1">TblConstr[[#This Row],[Forest]]</f>
        <v>20</v>
      </c>
      <c r="D109" s="384">
        <f ca="1">TblConstr[[#This Row],[Mountain]]</f>
        <v>20</v>
      </c>
      <c r="E109" s="388">
        <f ca="1">TblConstr[[#This Row],[Hill]]</f>
        <v>20</v>
      </c>
      <c r="F109" s="392">
        <f ca="1">TblConstr[[#This Row],[Swamp]]</f>
        <v>20</v>
      </c>
      <c r="G109" s="187">
        <f ca="1">TblConstr[[#This Row],[Cavern]]</f>
        <v>20</v>
      </c>
      <c r="H109" s="188">
        <f ca="1">TblConstr[[#This Row],[Water]]</f>
        <v>20</v>
      </c>
      <c r="I109" s="225"/>
      <c r="J109" s="177">
        <f t="shared" si="3"/>
        <v>106</v>
      </c>
      <c r="K109" s="249">
        <f ca="1">TblImps[[#This Row],[Real time]]</f>
        <v>45736.374999999745</v>
      </c>
      <c r="L109" s="181"/>
      <c r="M109" s="181"/>
      <c r="N109" s="181"/>
      <c r="O109" s="181"/>
      <c r="P109" s="181"/>
      <c r="Q109" s="181"/>
      <c r="R109" s="181"/>
      <c r="S109" s="96">
        <f>SUMIF(TblRezone[[#This Row],[Plains Rezone]:[Water Rezone]],"&gt;0")</f>
        <v>0</v>
      </c>
      <c r="T109" s="61" t="str">
        <f>IF(SUM(TblRezone[[#This Row],[Plains Rezone]:[Water Rezone]])=0,"Ok","Nope")</f>
        <v>Ok</v>
      </c>
      <c r="U109" s="225"/>
      <c r="V109" s="96">
        <f ca="1">TblProd[[#This Row],[Platinum]]</f>
        <v>696908</v>
      </c>
      <c r="W109" s="225"/>
      <c r="X109" s="96">
        <f ca="1">ROUNDUP( (1-MIN(ROUND(facs_rezone_factor*TblRezone[[#This Row],[Facs]],4),facs_rezone_max) + tech_6_4*TblTech[[#This Row],[6-4]] + tech_10_2*TblTech[[#This Row],[10-2]] - IF(TblMagic[[#This Row],[Active Mechanical Genius]]&gt;0,mech_genius_bonus,0) + race_rezone_cost) * TblRezone[[#This Row],[Plat/acre*]],0)</f>
        <v>250</v>
      </c>
      <c r="Y109" s="96">
        <f ca="1">TblRezone[[#This Row],[Total acres]]*TblRezone[[#This Row],[Plat/acre]]</f>
        <v>0</v>
      </c>
      <c r="Z109" s="225"/>
      <c r="AA109" s="96">
        <f ca="1">250+0.6*(TblRezone[[#This Row],[Land]]-250)</f>
        <v>250</v>
      </c>
      <c r="AB109" s="225"/>
      <c r="AC109" s="159">
        <f ca="1">TblConstr[[#This Row],[Facs DB]]</f>
        <v>0</v>
      </c>
    </row>
    <row r="110" spans="1:29" x14ac:dyDescent="0.2">
      <c r="A110" s="224">
        <f ca="1">TblConstr[[#This Row],[Land]]</f>
        <v>250</v>
      </c>
      <c r="B110" s="226">
        <f ca="1">TblConstr[[#This Row],[Plain]]</f>
        <v>40</v>
      </c>
      <c r="C110" s="184">
        <f ca="1">TblConstr[[#This Row],[Forest]]</f>
        <v>20</v>
      </c>
      <c r="D110" s="384">
        <f ca="1">TblConstr[[#This Row],[Mountain]]</f>
        <v>20</v>
      </c>
      <c r="E110" s="388">
        <f ca="1">TblConstr[[#This Row],[Hill]]</f>
        <v>20</v>
      </c>
      <c r="F110" s="392">
        <f ca="1">TblConstr[[#This Row],[Swamp]]</f>
        <v>20</v>
      </c>
      <c r="G110" s="187">
        <f ca="1">TblConstr[[#This Row],[Cavern]]</f>
        <v>20</v>
      </c>
      <c r="H110" s="188">
        <f ca="1">TblConstr[[#This Row],[Water]]</f>
        <v>20</v>
      </c>
      <c r="I110" s="225"/>
      <c r="J110" s="177">
        <f t="shared" si="3"/>
        <v>107</v>
      </c>
      <c r="K110" s="249">
        <f ca="1">TblImps[[#This Row],[Real time]]</f>
        <v>45736.41666666641</v>
      </c>
      <c r="L110" s="181"/>
      <c r="M110" s="181"/>
      <c r="N110" s="181"/>
      <c r="O110" s="181"/>
      <c r="P110" s="181"/>
      <c r="Q110" s="181"/>
      <c r="R110" s="181"/>
      <c r="S110" s="96">
        <f>SUMIF(TblRezone[[#This Row],[Plains Rezone]:[Water Rezone]],"&gt;0")</f>
        <v>0</v>
      </c>
      <c r="T110" s="61" t="str">
        <f>IF(SUM(TblRezone[[#This Row],[Plains Rezone]:[Water Rezone]])=0,"Ok","Nope")</f>
        <v>Ok</v>
      </c>
      <c r="U110" s="225"/>
      <c r="V110" s="96">
        <f ca="1">TblProd[[#This Row],[Platinum]]</f>
        <v>702394</v>
      </c>
      <c r="W110" s="225"/>
      <c r="X110" s="96">
        <f ca="1">ROUNDUP( (1-MIN(ROUND(facs_rezone_factor*TblRezone[[#This Row],[Facs]],4),facs_rezone_max) + tech_6_4*TblTech[[#This Row],[6-4]] + tech_10_2*TblTech[[#This Row],[10-2]] - IF(TblMagic[[#This Row],[Active Mechanical Genius]]&gt;0,mech_genius_bonus,0) + race_rezone_cost) * TblRezone[[#This Row],[Plat/acre*]],0)</f>
        <v>250</v>
      </c>
      <c r="Y110" s="96">
        <f ca="1">TblRezone[[#This Row],[Total acres]]*TblRezone[[#This Row],[Plat/acre]]</f>
        <v>0</v>
      </c>
      <c r="Z110" s="225"/>
      <c r="AA110" s="96">
        <f ca="1">250+0.6*(TblRezone[[#This Row],[Land]]-250)</f>
        <v>250</v>
      </c>
      <c r="AB110" s="225"/>
      <c r="AC110" s="159">
        <f ca="1">TblConstr[[#This Row],[Facs DB]]</f>
        <v>0</v>
      </c>
    </row>
    <row r="111" spans="1:29" x14ac:dyDescent="0.2">
      <c r="A111" s="224">
        <f ca="1">TblConstr[[#This Row],[Land]]</f>
        <v>250</v>
      </c>
      <c r="B111" s="226">
        <f ca="1">TblConstr[[#This Row],[Plain]]</f>
        <v>40</v>
      </c>
      <c r="C111" s="184">
        <f ca="1">TblConstr[[#This Row],[Forest]]</f>
        <v>20</v>
      </c>
      <c r="D111" s="384">
        <f ca="1">TblConstr[[#This Row],[Mountain]]</f>
        <v>20</v>
      </c>
      <c r="E111" s="388">
        <f ca="1">TblConstr[[#This Row],[Hill]]</f>
        <v>20</v>
      </c>
      <c r="F111" s="392">
        <f ca="1">TblConstr[[#This Row],[Swamp]]</f>
        <v>20</v>
      </c>
      <c r="G111" s="187">
        <f ca="1">TblConstr[[#This Row],[Cavern]]</f>
        <v>20</v>
      </c>
      <c r="H111" s="188">
        <f ca="1">TblConstr[[#This Row],[Water]]</f>
        <v>20</v>
      </c>
      <c r="I111" s="225"/>
      <c r="J111" s="177">
        <f t="shared" si="3"/>
        <v>108</v>
      </c>
      <c r="K111" s="249">
        <f ca="1">TblImps[[#This Row],[Real time]]</f>
        <v>45736.458333333074</v>
      </c>
      <c r="L111" s="181"/>
      <c r="M111" s="181"/>
      <c r="N111" s="181"/>
      <c r="O111" s="181"/>
      <c r="P111" s="181"/>
      <c r="Q111" s="181"/>
      <c r="R111" s="181"/>
      <c r="S111" s="96">
        <f>SUMIF(TblRezone[[#This Row],[Plains Rezone]:[Water Rezone]],"&gt;0")</f>
        <v>0</v>
      </c>
      <c r="T111" s="61" t="str">
        <f>IF(SUM(TblRezone[[#This Row],[Plains Rezone]:[Water Rezone]])=0,"Ok","Nope")</f>
        <v>Ok</v>
      </c>
      <c r="U111" s="225"/>
      <c r="V111" s="96">
        <f ca="1">TblProd[[#This Row],[Platinum]]</f>
        <v>707880</v>
      </c>
      <c r="W111" s="225"/>
      <c r="X111" s="96">
        <f ca="1">ROUNDUP( (1-MIN(ROUND(facs_rezone_factor*TblRezone[[#This Row],[Facs]],4),facs_rezone_max) + tech_6_4*TblTech[[#This Row],[6-4]] + tech_10_2*TblTech[[#This Row],[10-2]] - IF(TblMagic[[#This Row],[Active Mechanical Genius]]&gt;0,mech_genius_bonus,0) + race_rezone_cost) * TblRezone[[#This Row],[Plat/acre*]],0)</f>
        <v>250</v>
      </c>
      <c r="Y111" s="96">
        <f ca="1">TblRezone[[#This Row],[Total acres]]*TblRezone[[#This Row],[Plat/acre]]</f>
        <v>0</v>
      </c>
      <c r="Z111" s="225"/>
      <c r="AA111" s="96">
        <f ca="1">250+0.6*(TblRezone[[#This Row],[Land]]-250)</f>
        <v>250</v>
      </c>
      <c r="AB111" s="225"/>
      <c r="AC111" s="159">
        <f ca="1">TblConstr[[#This Row],[Facs DB]]</f>
        <v>0</v>
      </c>
    </row>
    <row r="112" spans="1:29" x14ac:dyDescent="0.2">
      <c r="A112" s="224">
        <f ca="1">TblConstr[[#This Row],[Land]]</f>
        <v>250</v>
      </c>
      <c r="B112" s="226">
        <f ca="1">TblConstr[[#This Row],[Plain]]</f>
        <v>40</v>
      </c>
      <c r="C112" s="184">
        <f ca="1">TblConstr[[#This Row],[Forest]]</f>
        <v>20</v>
      </c>
      <c r="D112" s="384">
        <f ca="1">TblConstr[[#This Row],[Mountain]]</f>
        <v>20</v>
      </c>
      <c r="E112" s="388">
        <f ca="1">TblConstr[[#This Row],[Hill]]</f>
        <v>20</v>
      </c>
      <c r="F112" s="392">
        <f ca="1">TblConstr[[#This Row],[Swamp]]</f>
        <v>20</v>
      </c>
      <c r="G112" s="187">
        <f ca="1">TblConstr[[#This Row],[Cavern]]</f>
        <v>20</v>
      </c>
      <c r="H112" s="188">
        <f ca="1">TblConstr[[#This Row],[Water]]</f>
        <v>20</v>
      </c>
      <c r="I112" s="225"/>
      <c r="J112" s="177">
        <f t="shared" si="3"/>
        <v>109</v>
      </c>
      <c r="K112" s="249">
        <f ca="1">TblImps[[#This Row],[Real time]]</f>
        <v>45736.499999999738</v>
      </c>
      <c r="L112" s="181"/>
      <c r="M112" s="181"/>
      <c r="N112" s="181"/>
      <c r="O112" s="181"/>
      <c r="P112" s="181"/>
      <c r="Q112" s="181"/>
      <c r="R112" s="181"/>
      <c r="S112" s="96">
        <f>SUMIF(TblRezone[[#This Row],[Plains Rezone]:[Water Rezone]],"&gt;0")</f>
        <v>0</v>
      </c>
      <c r="T112" s="61" t="str">
        <f>IF(SUM(TblRezone[[#This Row],[Plains Rezone]:[Water Rezone]])=0,"Ok","Nope")</f>
        <v>Ok</v>
      </c>
      <c r="U112" s="225"/>
      <c r="V112" s="96">
        <f ca="1">TblProd[[#This Row],[Platinum]]</f>
        <v>713366</v>
      </c>
      <c r="W112" s="225"/>
      <c r="X112" s="96">
        <f ca="1">ROUNDUP( (1-MIN(ROUND(facs_rezone_factor*TblRezone[[#This Row],[Facs]],4),facs_rezone_max) + tech_6_4*TblTech[[#This Row],[6-4]] + tech_10_2*TblTech[[#This Row],[10-2]] - IF(TblMagic[[#This Row],[Active Mechanical Genius]]&gt;0,mech_genius_bonus,0) + race_rezone_cost) * TblRezone[[#This Row],[Plat/acre*]],0)</f>
        <v>250</v>
      </c>
      <c r="Y112" s="96">
        <f ca="1">TblRezone[[#This Row],[Total acres]]*TblRezone[[#This Row],[Plat/acre]]</f>
        <v>0</v>
      </c>
      <c r="Z112" s="225"/>
      <c r="AA112" s="96">
        <f ca="1">250+0.6*(TblRezone[[#This Row],[Land]]-250)</f>
        <v>250</v>
      </c>
      <c r="AB112" s="225"/>
      <c r="AC112" s="159">
        <f ca="1">TblConstr[[#This Row],[Facs DB]]</f>
        <v>0</v>
      </c>
    </row>
    <row r="113" spans="1:29" x14ac:dyDescent="0.2">
      <c r="A113" s="224">
        <f ca="1">TblConstr[[#This Row],[Land]]</f>
        <v>250</v>
      </c>
      <c r="B113" s="226">
        <f ca="1">TblConstr[[#This Row],[Plain]]</f>
        <v>40</v>
      </c>
      <c r="C113" s="184">
        <f ca="1">TblConstr[[#This Row],[Forest]]</f>
        <v>20</v>
      </c>
      <c r="D113" s="384">
        <f ca="1">TblConstr[[#This Row],[Mountain]]</f>
        <v>20</v>
      </c>
      <c r="E113" s="388">
        <f ca="1">TblConstr[[#This Row],[Hill]]</f>
        <v>20</v>
      </c>
      <c r="F113" s="392">
        <f ca="1">TblConstr[[#This Row],[Swamp]]</f>
        <v>20</v>
      </c>
      <c r="G113" s="187">
        <f ca="1">TblConstr[[#This Row],[Cavern]]</f>
        <v>20</v>
      </c>
      <c r="H113" s="188">
        <f ca="1">TblConstr[[#This Row],[Water]]</f>
        <v>20</v>
      </c>
      <c r="I113" s="225"/>
      <c r="J113" s="177">
        <f t="shared" si="3"/>
        <v>110</v>
      </c>
      <c r="K113" s="249">
        <f ca="1">TblImps[[#This Row],[Real time]]</f>
        <v>45736.541666666402</v>
      </c>
      <c r="L113" s="181"/>
      <c r="M113" s="181"/>
      <c r="N113" s="181"/>
      <c r="O113" s="181"/>
      <c r="P113" s="181"/>
      <c r="Q113" s="181"/>
      <c r="R113" s="181"/>
      <c r="S113" s="96">
        <f>SUMIF(TblRezone[[#This Row],[Plains Rezone]:[Water Rezone]],"&gt;0")</f>
        <v>0</v>
      </c>
      <c r="T113" s="61" t="str">
        <f>IF(SUM(TblRezone[[#This Row],[Plains Rezone]:[Water Rezone]])=0,"Ok","Nope")</f>
        <v>Ok</v>
      </c>
      <c r="U113" s="225"/>
      <c r="V113" s="96">
        <f ca="1">TblProd[[#This Row],[Platinum]]</f>
        <v>718852</v>
      </c>
      <c r="W113" s="225"/>
      <c r="X113" s="96">
        <f ca="1">ROUNDUP( (1-MIN(ROUND(facs_rezone_factor*TblRezone[[#This Row],[Facs]],4),facs_rezone_max) + tech_6_4*TblTech[[#This Row],[6-4]] + tech_10_2*TblTech[[#This Row],[10-2]] - IF(TblMagic[[#This Row],[Active Mechanical Genius]]&gt;0,mech_genius_bonus,0) + race_rezone_cost) * TblRezone[[#This Row],[Plat/acre*]],0)</f>
        <v>250</v>
      </c>
      <c r="Y113" s="96">
        <f ca="1">TblRezone[[#This Row],[Total acres]]*TblRezone[[#This Row],[Plat/acre]]</f>
        <v>0</v>
      </c>
      <c r="Z113" s="225"/>
      <c r="AA113" s="96">
        <f ca="1">250+0.6*(TblRezone[[#This Row],[Land]]-250)</f>
        <v>250</v>
      </c>
      <c r="AB113" s="225"/>
      <c r="AC113" s="159">
        <f ca="1">TblConstr[[#This Row],[Facs DB]]</f>
        <v>0</v>
      </c>
    </row>
    <row r="114" spans="1:29" x14ac:dyDescent="0.2">
      <c r="A114" s="224">
        <f ca="1">TblConstr[[#This Row],[Land]]</f>
        <v>250</v>
      </c>
      <c r="B114" s="226">
        <f ca="1">TblConstr[[#This Row],[Plain]]</f>
        <v>40</v>
      </c>
      <c r="C114" s="184">
        <f ca="1">TblConstr[[#This Row],[Forest]]</f>
        <v>20</v>
      </c>
      <c r="D114" s="384">
        <f ca="1">TblConstr[[#This Row],[Mountain]]</f>
        <v>20</v>
      </c>
      <c r="E114" s="388">
        <f ca="1">TblConstr[[#This Row],[Hill]]</f>
        <v>20</v>
      </c>
      <c r="F114" s="392">
        <f ca="1">TblConstr[[#This Row],[Swamp]]</f>
        <v>20</v>
      </c>
      <c r="G114" s="187">
        <f ca="1">TblConstr[[#This Row],[Cavern]]</f>
        <v>20</v>
      </c>
      <c r="H114" s="188">
        <f ca="1">TblConstr[[#This Row],[Water]]</f>
        <v>20</v>
      </c>
      <c r="I114" s="225"/>
      <c r="J114" s="177">
        <f t="shared" si="3"/>
        <v>111</v>
      </c>
      <c r="K114" s="249">
        <f ca="1">TblImps[[#This Row],[Real time]]</f>
        <v>45736.583333333067</v>
      </c>
      <c r="L114" s="181"/>
      <c r="M114" s="181"/>
      <c r="N114" s="181"/>
      <c r="O114" s="181"/>
      <c r="P114" s="181"/>
      <c r="Q114" s="181"/>
      <c r="R114" s="181"/>
      <c r="S114" s="96">
        <f>SUMIF(TblRezone[[#This Row],[Plains Rezone]:[Water Rezone]],"&gt;0")</f>
        <v>0</v>
      </c>
      <c r="T114" s="61" t="str">
        <f>IF(SUM(TblRezone[[#This Row],[Plains Rezone]:[Water Rezone]])=0,"Ok","Nope")</f>
        <v>Ok</v>
      </c>
      <c r="U114" s="225"/>
      <c r="V114" s="96">
        <f ca="1">TblProd[[#This Row],[Platinum]]</f>
        <v>724338</v>
      </c>
      <c r="W114" s="225"/>
      <c r="X114" s="96">
        <f ca="1">ROUNDUP( (1-MIN(ROUND(facs_rezone_factor*TblRezone[[#This Row],[Facs]],4),facs_rezone_max) + tech_6_4*TblTech[[#This Row],[6-4]] + tech_10_2*TblTech[[#This Row],[10-2]] - IF(TblMagic[[#This Row],[Active Mechanical Genius]]&gt;0,mech_genius_bonus,0) + race_rezone_cost) * TblRezone[[#This Row],[Plat/acre*]],0)</f>
        <v>250</v>
      </c>
      <c r="Y114" s="96">
        <f ca="1">TblRezone[[#This Row],[Total acres]]*TblRezone[[#This Row],[Plat/acre]]</f>
        <v>0</v>
      </c>
      <c r="Z114" s="225"/>
      <c r="AA114" s="96">
        <f ca="1">250+0.6*(TblRezone[[#This Row],[Land]]-250)</f>
        <v>250</v>
      </c>
      <c r="AB114" s="225"/>
      <c r="AC114" s="159">
        <f ca="1">TblConstr[[#This Row],[Facs DB]]</f>
        <v>0</v>
      </c>
    </row>
    <row r="115" spans="1:29" x14ac:dyDescent="0.2">
      <c r="A115" s="224">
        <f ca="1">TblConstr[[#This Row],[Land]]</f>
        <v>250</v>
      </c>
      <c r="B115" s="226">
        <f ca="1">TblConstr[[#This Row],[Plain]]</f>
        <v>40</v>
      </c>
      <c r="C115" s="184">
        <f ca="1">TblConstr[[#This Row],[Forest]]</f>
        <v>20</v>
      </c>
      <c r="D115" s="384">
        <f ca="1">TblConstr[[#This Row],[Mountain]]</f>
        <v>20</v>
      </c>
      <c r="E115" s="388">
        <f ca="1">TblConstr[[#This Row],[Hill]]</f>
        <v>20</v>
      </c>
      <c r="F115" s="392">
        <f ca="1">TblConstr[[#This Row],[Swamp]]</f>
        <v>20</v>
      </c>
      <c r="G115" s="187">
        <f ca="1">TblConstr[[#This Row],[Cavern]]</f>
        <v>20</v>
      </c>
      <c r="H115" s="188">
        <f ca="1">TblConstr[[#This Row],[Water]]</f>
        <v>20</v>
      </c>
      <c r="I115" s="225"/>
      <c r="J115" s="177">
        <f t="shared" si="3"/>
        <v>112</v>
      </c>
      <c r="K115" s="249">
        <f ca="1">TblImps[[#This Row],[Real time]]</f>
        <v>45736.624999999731</v>
      </c>
      <c r="L115" s="181"/>
      <c r="M115" s="181"/>
      <c r="N115" s="181"/>
      <c r="O115" s="181"/>
      <c r="P115" s="181"/>
      <c r="Q115" s="181"/>
      <c r="R115" s="181"/>
      <c r="S115" s="96">
        <f>SUMIF(TblRezone[[#This Row],[Plains Rezone]:[Water Rezone]],"&gt;0")</f>
        <v>0</v>
      </c>
      <c r="T115" s="61" t="str">
        <f>IF(SUM(TblRezone[[#This Row],[Plains Rezone]:[Water Rezone]])=0,"Ok","Nope")</f>
        <v>Ok</v>
      </c>
      <c r="U115" s="225"/>
      <c r="V115" s="96">
        <f ca="1">TblProd[[#This Row],[Platinum]]</f>
        <v>729824</v>
      </c>
      <c r="W115" s="225"/>
      <c r="X115" s="96">
        <f ca="1">ROUNDUP( (1-MIN(ROUND(facs_rezone_factor*TblRezone[[#This Row],[Facs]],4),facs_rezone_max) + tech_6_4*TblTech[[#This Row],[6-4]] + tech_10_2*TblTech[[#This Row],[10-2]] - IF(TblMagic[[#This Row],[Active Mechanical Genius]]&gt;0,mech_genius_bonus,0) + race_rezone_cost) * TblRezone[[#This Row],[Plat/acre*]],0)</f>
        <v>250</v>
      </c>
      <c r="Y115" s="96">
        <f ca="1">TblRezone[[#This Row],[Total acres]]*TblRezone[[#This Row],[Plat/acre]]</f>
        <v>0</v>
      </c>
      <c r="Z115" s="225"/>
      <c r="AA115" s="96">
        <f ca="1">250+0.6*(TblRezone[[#This Row],[Land]]-250)</f>
        <v>250</v>
      </c>
      <c r="AB115" s="225"/>
      <c r="AC115" s="159">
        <f ca="1">TblConstr[[#This Row],[Facs DB]]</f>
        <v>0</v>
      </c>
    </row>
    <row r="116" spans="1:29" x14ac:dyDescent="0.2">
      <c r="A116" s="224">
        <f ca="1">TblConstr[[#This Row],[Land]]</f>
        <v>250</v>
      </c>
      <c r="B116" s="226">
        <f ca="1">TblConstr[[#This Row],[Plain]]</f>
        <v>40</v>
      </c>
      <c r="C116" s="184">
        <f ca="1">TblConstr[[#This Row],[Forest]]</f>
        <v>20</v>
      </c>
      <c r="D116" s="384">
        <f ca="1">TblConstr[[#This Row],[Mountain]]</f>
        <v>20</v>
      </c>
      <c r="E116" s="388">
        <f ca="1">TblConstr[[#This Row],[Hill]]</f>
        <v>20</v>
      </c>
      <c r="F116" s="392">
        <f ca="1">TblConstr[[#This Row],[Swamp]]</f>
        <v>20</v>
      </c>
      <c r="G116" s="187">
        <f ca="1">TblConstr[[#This Row],[Cavern]]</f>
        <v>20</v>
      </c>
      <c r="H116" s="188">
        <f ca="1">TblConstr[[#This Row],[Water]]</f>
        <v>20</v>
      </c>
      <c r="I116" s="225"/>
      <c r="J116" s="177">
        <f t="shared" si="3"/>
        <v>113</v>
      </c>
      <c r="K116" s="249">
        <f ca="1">TblImps[[#This Row],[Real time]]</f>
        <v>45736.666666666395</v>
      </c>
      <c r="L116" s="181"/>
      <c r="M116" s="181"/>
      <c r="N116" s="181"/>
      <c r="O116" s="181"/>
      <c r="P116" s="181"/>
      <c r="Q116" s="181"/>
      <c r="R116" s="181"/>
      <c r="S116" s="96">
        <f>SUMIF(TblRezone[[#This Row],[Plains Rezone]:[Water Rezone]],"&gt;0")</f>
        <v>0</v>
      </c>
      <c r="T116" s="61" t="str">
        <f>IF(SUM(TblRezone[[#This Row],[Plains Rezone]:[Water Rezone]])=0,"Ok","Nope")</f>
        <v>Ok</v>
      </c>
      <c r="U116" s="225"/>
      <c r="V116" s="96">
        <f ca="1">TblProd[[#This Row],[Platinum]]</f>
        <v>735310</v>
      </c>
      <c r="W116" s="225"/>
      <c r="X116" s="96">
        <f ca="1">ROUNDUP( (1-MIN(ROUND(facs_rezone_factor*TblRezone[[#This Row],[Facs]],4),facs_rezone_max) + tech_6_4*TblTech[[#This Row],[6-4]] + tech_10_2*TblTech[[#This Row],[10-2]] - IF(TblMagic[[#This Row],[Active Mechanical Genius]]&gt;0,mech_genius_bonus,0) + race_rezone_cost) * TblRezone[[#This Row],[Plat/acre*]],0)</f>
        <v>250</v>
      </c>
      <c r="Y116" s="96">
        <f ca="1">TblRezone[[#This Row],[Total acres]]*TblRezone[[#This Row],[Plat/acre]]</f>
        <v>0</v>
      </c>
      <c r="Z116" s="225"/>
      <c r="AA116" s="96">
        <f ca="1">250+0.6*(TblRezone[[#This Row],[Land]]-250)</f>
        <v>250</v>
      </c>
      <c r="AB116" s="225"/>
      <c r="AC116" s="159">
        <f ca="1">TblConstr[[#This Row],[Facs DB]]</f>
        <v>0</v>
      </c>
    </row>
    <row r="117" spans="1:29" x14ac:dyDescent="0.2">
      <c r="A117" s="224">
        <f ca="1">TblConstr[[#This Row],[Land]]</f>
        <v>250</v>
      </c>
      <c r="B117" s="226">
        <f ca="1">TblConstr[[#This Row],[Plain]]</f>
        <v>40</v>
      </c>
      <c r="C117" s="184">
        <f ca="1">TblConstr[[#This Row],[Forest]]</f>
        <v>20</v>
      </c>
      <c r="D117" s="384">
        <f ca="1">TblConstr[[#This Row],[Mountain]]</f>
        <v>20</v>
      </c>
      <c r="E117" s="388">
        <f ca="1">TblConstr[[#This Row],[Hill]]</f>
        <v>20</v>
      </c>
      <c r="F117" s="392">
        <f ca="1">TblConstr[[#This Row],[Swamp]]</f>
        <v>20</v>
      </c>
      <c r="G117" s="187">
        <f ca="1">TblConstr[[#This Row],[Cavern]]</f>
        <v>20</v>
      </c>
      <c r="H117" s="188">
        <f ca="1">TblConstr[[#This Row],[Water]]</f>
        <v>20</v>
      </c>
      <c r="I117" s="225"/>
      <c r="J117" s="177">
        <f t="shared" si="3"/>
        <v>114</v>
      </c>
      <c r="K117" s="249">
        <f ca="1">TblImps[[#This Row],[Real time]]</f>
        <v>45736.708333333059</v>
      </c>
      <c r="L117" s="181"/>
      <c r="M117" s="181"/>
      <c r="N117" s="181"/>
      <c r="O117" s="181"/>
      <c r="P117" s="181"/>
      <c r="Q117" s="181"/>
      <c r="R117" s="181"/>
      <c r="S117" s="96">
        <f>SUMIF(TblRezone[[#This Row],[Plains Rezone]:[Water Rezone]],"&gt;0")</f>
        <v>0</v>
      </c>
      <c r="T117" s="61" t="str">
        <f>IF(SUM(TblRezone[[#This Row],[Plains Rezone]:[Water Rezone]])=0,"Ok","Nope")</f>
        <v>Ok</v>
      </c>
      <c r="U117" s="225"/>
      <c r="V117" s="96">
        <f ca="1">TblProd[[#This Row],[Platinum]]</f>
        <v>740796</v>
      </c>
      <c r="W117" s="225"/>
      <c r="X117" s="96">
        <f ca="1">ROUNDUP( (1-MIN(ROUND(facs_rezone_factor*TblRezone[[#This Row],[Facs]],4),facs_rezone_max) + tech_6_4*TblTech[[#This Row],[6-4]] + tech_10_2*TblTech[[#This Row],[10-2]] - IF(TblMagic[[#This Row],[Active Mechanical Genius]]&gt;0,mech_genius_bonus,0) + race_rezone_cost) * TblRezone[[#This Row],[Plat/acre*]],0)</f>
        <v>250</v>
      </c>
      <c r="Y117" s="96">
        <f ca="1">TblRezone[[#This Row],[Total acres]]*TblRezone[[#This Row],[Plat/acre]]</f>
        <v>0</v>
      </c>
      <c r="Z117" s="225"/>
      <c r="AA117" s="96">
        <f ca="1">250+0.6*(TblRezone[[#This Row],[Land]]-250)</f>
        <v>250</v>
      </c>
      <c r="AB117" s="225"/>
      <c r="AC117" s="159">
        <f ca="1">TblConstr[[#This Row],[Facs DB]]</f>
        <v>0</v>
      </c>
    </row>
    <row r="118" spans="1:29" x14ac:dyDescent="0.2">
      <c r="A118" s="224">
        <f ca="1">TblConstr[[#This Row],[Land]]</f>
        <v>250</v>
      </c>
      <c r="B118" s="226">
        <f ca="1">TblConstr[[#This Row],[Plain]]</f>
        <v>40</v>
      </c>
      <c r="C118" s="184">
        <f ca="1">TblConstr[[#This Row],[Forest]]</f>
        <v>20</v>
      </c>
      <c r="D118" s="384">
        <f ca="1">TblConstr[[#This Row],[Mountain]]</f>
        <v>20</v>
      </c>
      <c r="E118" s="388">
        <f ca="1">TblConstr[[#This Row],[Hill]]</f>
        <v>20</v>
      </c>
      <c r="F118" s="392">
        <f ca="1">TblConstr[[#This Row],[Swamp]]</f>
        <v>20</v>
      </c>
      <c r="G118" s="187">
        <f ca="1">TblConstr[[#This Row],[Cavern]]</f>
        <v>20</v>
      </c>
      <c r="H118" s="188">
        <f ca="1">TblConstr[[#This Row],[Water]]</f>
        <v>20</v>
      </c>
      <c r="I118" s="225"/>
      <c r="J118" s="177">
        <f t="shared" si="3"/>
        <v>115</v>
      </c>
      <c r="K118" s="249">
        <f ca="1">TblImps[[#This Row],[Real time]]</f>
        <v>45736.749999999724</v>
      </c>
      <c r="L118" s="181"/>
      <c r="M118" s="181"/>
      <c r="N118" s="181"/>
      <c r="O118" s="181"/>
      <c r="P118" s="181"/>
      <c r="Q118" s="181"/>
      <c r="R118" s="181"/>
      <c r="S118" s="96">
        <f>SUMIF(TblRezone[[#This Row],[Plains Rezone]:[Water Rezone]],"&gt;0")</f>
        <v>0</v>
      </c>
      <c r="T118" s="61" t="str">
        <f>IF(SUM(TblRezone[[#This Row],[Plains Rezone]:[Water Rezone]])=0,"Ok","Nope")</f>
        <v>Ok</v>
      </c>
      <c r="U118" s="225"/>
      <c r="V118" s="96">
        <f ca="1">TblProd[[#This Row],[Platinum]]</f>
        <v>746282</v>
      </c>
      <c r="W118" s="225"/>
      <c r="X118" s="96">
        <f ca="1">ROUNDUP( (1-MIN(ROUND(facs_rezone_factor*TblRezone[[#This Row],[Facs]],4),facs_rezone_max) + tech_6_4*TblTech[[#This Row],[6-4]] + tech_10_2*TblTech[[#This Row],[10-2]] - IF(TblMagic[[#This Row],[Active Mechanical Genius]]&gt;0,mech_genius_bonus,0) + race_rezone_cost) * TblRezone[[#This Row],[Plat/acre*]],0)</f>
        <v>250</v>
      </c>
      <c r="Y118" s="96">
        <f ca="1">TblRezone[[#This Row],[Total acres]]*TblRezone[[#This Row],[Plat/acre]]</f>
        <v>0</v>
      </c>
      <c r="Z118" s="225"/>
      <c r="AA118" s="96">
        <f ca="1">250+0.6*(TblRezone[[#This Row],[Land]]-250)</f>
        <v>250</v>
      </c>
      <c r="AB118" s="225"/>
      <c r="AC118" s="159">
        <f ca="1">TblConstr[[#This Row],[Facs DB]]</f>
        <v>0</v>
      </c>
    </row>
    <row r="119" spans="1:29" x14ac:dyDescent="0.2">
      <c r="A119" s="224">
        <f ca="1">TblConstr[[#This Row],[Land]]</f>
        <v>250</v>
      </c>
      <c r="B119" s="226">
        <f ca="1">TblConstr[[#This Row],[Plain]]</f>
        <v>40</v>
      </c>
      <c r="C119" s="184">
        <f ca="1">TblConstr[[#This Row],[Forest]]</f>
        <v>20</v>
      </c>
      <c r="D119" s="384">
        <f ca="1">TblConstr[[#This Row],[Mountain]]</f>
        <v>20</v>
      </c>
      <c r="E119" s="388">
        <f ca="1">TblConstr[[#This Row],[Hill]]</f>
        <v>20</v>
      </c>
      <c r="F119" s="392">
        <f ca="1">TblConstr[[#This Row],[Swamp]]</f>
        <v>20</v>
      </c>
      <c r="G119" s="187">
        <f ca="1">TblConstr[[#This Row],[Cavern]]</f>
        <v>20</v>
      </c>
      <c r="H119" s="188">
        <f ca="1">TblConstr[[#This Row],[Water]]</f>
        <v>20</v>
      </c>
      <c r="I119" s="225"/>
      <c r="J119" s="177">
        <f t="shared" si="3"/>
        <v>116</v>
      </c>
      <c r="K119" s="249">
        <f ca="1">TblImps[[#This Row],[Real time]]</f>
        <v>45736.791666666388</v>
      </c>
      <c r="L119" s="181"/>
      <c r="M119" s="181"/>
      <c r="N119" s="181"/>
      <c r="O119" s="181"/>
      <c r="P119" s="181"/>
      <c r="Q119" s="181"/>
      <c r="R119" s="181"/>
      <c r="S119" s="96">
        <f>SUMIF(TblRezone[[#This Row],[Plains Rezone]:[Water Rezone]],"&gt;0")</f>
        <v>0</v>
      </c>
      <c r="T119" s="61" t="str">
        <f>IF(SUM(TblRezone[[#This Row],[Plains Rezone]:[Water Rezone]])=0,"Ok","Nope")</f>
        <v>Ok</v>
      </c>
      <c r="U119" s="225"/>
      <c r="V119" s="96">
        <f ca="1">TblProd[[#This Row],[Platinum]]</f>
        <v>751768</v>
      </c>
      <c r="W119" s="225"/>
      <c r="X119" s="96">
        <f ca="1">ROUNDUP( (1-MIN(ROUND(facs_rezone_factor*TblRezone[[#This Row],[Facs]],4),facs_rezone_max) + tech_6_4*TblTech[[#This Row],[6-4]] + tech_10_2*TblTech[[#This Row],[10-2]] - IF(TblMagic[[#This Row],[Active Mechanical Genius]]&gt;0,mech_genius_bonus,0) + race_rezone_cost) * TblRezone[[#This Row],[Plat/acre*]],0)</f>
        <v>250</v>
      </c>
      <c r="Y119" s="96">
        <f ca="1">TblRezone[[#This Row],[Total acres]]*TblRezone[[#This Row],[Plat/acre]]</f>
        <v>0</v>
      </c>
      <c r="Z119" s="225"/>
      <c r="AA119" s="96">
        <f ca="1">250+0.6*(TblRezone[[#This Row],[Land]]-250)</f>
        <v>250</v>
      </c>
      <c r="AB119" s="225"/>
      <c r="AC119" s="159">
        <f ca="1">TblConstr[[#This Row],[Facs DB]]</f>
        <v>0</v>
      </c>
    </row>
    <row r="120" spans="1:29" x14ac:dyDescent="0.2">
      <c r="A120" s="224">
        <f ca="1">TblConstr[[#This Row],[Land]]</f>
        <v>250</v>
      </c>
      <c r="B120" s="226">
        <f ca="1">TblConstr[[#This Row],[Plain]]</f>
        <v>40</v>
      </c>
      <c r="C120" s="184">
        <f ca="1">TblConstr[[#This Row],[Forest]]</f>
        <v>20</v>
      </c>
      <c r="D120" s="384">
        <f ca="1">TblConstr[[#This Row],[Mountain]]</f>
        <v>20</v>
      </c>
      <c r="E120" s="388">
        <f ca="1">TblConstr[[#This Row],[Hill]]</f>
        <v>20</v>
      </c>
      <c r="F120" s="392">
        <f ca="1">TblConstr[[#This Row],[Swamp]]</f>
        <v>20</v>
      </c>
      <c r="G120" s="187">
        <f ca="1">TblConstr[[#This Row],[Cavern]]</f>
        <v>20</v>
      </c>
      <c r="H120" s="188">
        <f ca="1">TblConstr[[#This Row],[Water]]</f>
        <v>20</v>
      </c>
      <c r="I120" s="225"/>
      <c r="J120" s="177">
        <f t="shared" si="3"/>
        <v>117</v>
      </c>
      <c r="K120" s="249">
        <f ca="1">TblImps[[#This Row],[Real time]]</f>
        <v>45736.833333333052</v>
      </c>
      <c r="L120" s="181"/>
      <c r="M120" s="181"/>
      <c r="N120" s="181"/>
      <c r="O120" s="181"/>
      <c r="P120" s="181"/>
      <c r="Q120" s="181"/>
      <c r="R120" s="181"/>
      <c r="S120" s="96">
        <f>SUMIF(TblRezone[[#This Row],[Plains Rezone]:[Water Rezone]],"&gt;0")</f>
        <v>0</v>
      </c>
      <c r="T120" s="61" t="str">
        <f>IF(SUM(TblRezone[[#This Row],[Plains Rezone]:[Water Rezone]])=0,"Ok","Nope")</f>
        <v>Ok</v>
      </c>
      <c r="U120" s="225"/>
      <c r="V120" s="96">
        <f ca="1">TblProd[[#This Row],[Platinum]]</f>
        <v>757254</v>
      </c>
      <c r="W120" s="225"/>
      <c r="X120" s="96">
        <f ca="1">ROUNDUP( (1-MIN(ROUND(facs_rezone_factor*TblRezone[[#This Row],[Facs]],4),facs_rezone_max) + tech_6_4*TblTech[[#This Row],[6-4]] + tech_10_2*TblTech[[#This Row],[10-2]] - IF(TblMagic[[#This Row],[Active Mechanical Genius]]&gt;0,mech_genius_bonus,0) + race_rezone_cost) * TblRezone[[#This Row],[Plat/acre*]],0)</f>
        <v>250</v>
      </c>
      <c r="Y120" s="96">
        <f ca="1">TblRezone[[#This Row],[Total acres]]*TblRezone[[#This Row],[Plat/acre]]</f>
        <v>0</v>
      </c>
      <c r="Z120" s="225"/>
      <c r="AA120" s="96">
        <f ca="1">250+0.6*(TblRezone[[#This Row],[Land]]-250)</f>
        <v>250</v>
      </c>
      <c r="AB120" s="225"/>
      <c r="AC120" s="159">
        <f ca="1">TblConstr[[#This Row],[Facs DB]]</f>
        <v>0</v>
      </c>
    </row>
    <row r="121" spans="1:29" x14ac:dyDescent="0.2">
      <c r="A121" s="224">
        <f ca="1">TblConstr[[#This Row],[Land]]</f>
        <v>250</v>
      </c>
      <c r="B121" s="226">
        <f ca="1">TblConstr[[#This Row],[Plain]]</f>
        <v>40</v>
      </c>
      <c r="C121" s="184">
        <f ca="1">TblConstr[[#This Row],[Forest]]</f>
        <v>20</v>
      </c>
      <c r="D121" s="384">
        <f ca="1">TblConstr[[#This Row],[Mountain]]</f>
        <v>20</v>
      </c>
      <c r="E121" s="388">
        <f ca="1">TblConstr[[#This Row],[Hill]]</f>
        <v>20</v>
      </c>
      <c r="F121" s="392">
        <f ca="1">TblConstr[[#This Row],[Swamp]]</f>
        <v>20</v>
      </c>
      <c r="G121" s="187">
        <f ca="1">TblConstr[[#This Row],[Cavern]]</f>
        <v>20</v>
      </c>
      <c r="H121" s="188">
        <f ca="1">TblConstr[[#This Row],[Water]]</f>
        <v>20</v>
      </c>
      <c r="I121" s="225"/>
      <c r="J121" s="177">
        <f t="shared" si="3"/>
        <v>118</v>
      </c>
      <c r="K121" s="249">
        <f ca="1">TblImps[[#This Row],[Real time]]</f>
        <v>45736.874999999716</v>
      </c>
      <c r="L121" s="181"/>
      <c r="M121" s="181"/>
      <c r="N121" s="181"/>
      <c r="O121" s="181"/>
      <c r="P121" s="181"/>
      <c r="Q121" s="181"/>
      <c r="R121" s="181"/>
      <c r="S121" s="96">
        <f>SUMIF(TblRezone[[#This Row],[Plains Rezone]:[Water Rezone]],"&gt;0")</f>
        <v>0</v>
      </c>
      <c r="T121" s="61" t="str">
        <f>IF(SUM(TblRezone[[#This Row],[Plains Rezone]:[Water Rezone]])=0,"Ok","Nope")</f>
        <v>Ok</v>
      </c>
      <c r="U121" s="225"/>
      <c r="V121" s="96">
        <f ca="1">TblProd[[#This Row],[Platinum]]</f>
        <v>762740</v>
      </c>
      <c r="W121" s="225"/>
      <c r="X121" s="96">
        <f ca="1">ROUNDUP( (1-MIN(ROUND(facs_rezone_factor*TblRezone[[#This Row],[Facs]],4),facs_rezone_max) + tech_6_4*TblTech[[#This Row],[6-4]] + tech_10_2*TblTech[[#This Row],[10-2]] - IF(TblMagic[[#This Row],[Active Mechanical Genius]]&gt;0,mech_genius_bonus,0) + race_rezone_cost) * TblRezone[[#This Row],[Plat/acre*]],0)</f>
        <v>250</v>
      </c>
      <c r="Y121" s="96">
        <f ca="1">TblRezone[[#This Row],[Total acres]]*TblRezone[[#This Row],[Plat/acre]]</f>
        <v>0</v>
      </c>
      <c r="Z121" s="225"/>
      <c r="AA121" s="96">
        <f ca="1">250+0.6*(TblRezone[[#This Row],[Land]]-250)</f>
        <v>250</v>
      </c>
      <c r="AB121" s="225"/>
      <c r="AC121" s="159">
        <f ca="1">TblConstr[[#This Row],[Facs DB]]</f>
        <v>0</v>
      </c>
    </row>
    <row r="122" spans="1:29" x14ac:dyDescent="0.2">
      <c r="A122" s="224">
        <f ca="1">TblConstr[[#This Row],[Land]]</f>
        <v>250</v>
      </c>
      <c r="B122" s="226">
        <f ca="1">TblConstr[[#This Row],[Plain]]</f>
        <v>40</v>
      </c>
      <c r="C122" s="184">
        <f ca="1">TblConstr[[#This Row],[Forest]]</f>
        <v>20</v>
      </c>
      <c r="D122" s="384">
        <f ca="1">TblConstr[[#This Row],[Mountain]]</f>
        <v>20</v>
      </c>
      <c r="E122" s="388">
        <f ca="1">TblConstr[[#This Row],[Hill]]</f>
        <v>20</v>
      </c>
      <c r="F122" s="392">
        <f ca="1">TblConstr[[#This Row],[Swamp]]</f>
        <v>20</v>
      </c>
      <c r="G122" s="187">
        <f ca="1">TblConstr[[#This Row],[Cavern]]</f>
        <v>20</v>
      </c>
      <c r="H122" s="188">
        <f ca="1">TblConstr[[#This Row],[Water]]</f>
        <v>20</v>
      </c>
      <c r="I122" s="225"/>
      <c r="J122" s="177">
        <f t="shared" si="3"/>
        <v>119</v>
      </c>
      <c r="K122" s="249">
        <f ca="1">TblImps[[#This Row],[Real time]]</f>
        <v>45736.91666666638</v>
      </c>
      <c r="L122" s="181"/>
      <c r="M122" s="181"/>
      <c r="N122" s="181"/>
      <c r="O122" s="181"/>
      <c r="P122" s="181"/>
      <c r="Q122" s="181"/>
      <c r="R122" s="181"/>
      <c r="S122" s="96">
        <f>SUMIF(TblRezone[[#This Row],[Plains Rezone]:[Water Rezone]],"&gt;0")</f>
        <v>0</v>
      </c>
      <c r="T122" s="61" t="str">
        <f>IF(SUM(TblRezone[[#This Row],[Plains Rezone]:[Water Rezone]])=0,"Ok","Nope")</f>
        <v>Ok</v>
      </c>
      <c r="U122" s="225"/>
      <c r="V122" s="96">
        <f ca="1">TblProd[[#This Row],[Platinum]]</f>
        <v>768226</v>
      </c>
      <c r="W122" s="225"/>
      <c r="X122" s="96">
        <f ca="1">ROUNDUP( (1-MIN(ROUND(facs_rezone_factor*TblRezone[[#This Row],[Facs]],4),facs_rezone_max) + tech_6_4*TblTech[[#This Row],[6-4]] + tech_10_2*TblTech[[#This Row],[10-2]] - IF(TblMagic[[#This Row],[Active Mechanical Genius]]&gt;0,mech_genius_bonus,0) + race_rezone_cost) * TblRezone[[#This Row],[Plat/acre*]],0)</f>
        <v>250</v>
      </c>
      <c r="Y122" s="96">
        <f ca="1">TblRezone[[#This Row],[Total acres]]*TblRezone[[#This Row],[Plat/acre]]</f>
        <v>0</v>
      </c>
      <c r="Z122" s="225"/>
      <c r="AA122" s="96">
        <f ca="1">250+0.6*(TblRezone[[#This Row],[Land]]-250)</f>
        <v>250</v>
      </c>
      <c r="AB122" s="225"/>
      <c r="AC122" s="159">
        <f ca="1">TblConstr[[#This Row],[Facs DB]]</f>
        <v>0</v>
      </c>
    </row>
    <row r="123" spans="1:29" x14ac:dyDescent="0.2">
      <c r="A123" s="224">
        <f ca="1">TblConstr[[#This Row],[Land]]</f>
        <v>250</v>
      </c>
      <c r="B123" s="226">
        <f ca="1">TblConstr[[#This Row],[Plain]]</f>
        <v>40</v>
      </c>
      <c r="C123" s="184">
        <f ca="1">TblConstr[[#This Row],[Forest]]</f>
        <v>20</v>
      </c>
      <c r="D123" s="384">
        <f ca="1">TblConstr[[#This Row],[Mountain]]</f>
        <v>20</v>
      </c>
      <c r="E123" s="388">
        <f ca="1">TblConstr[[#This Row],[Hill]]</f>
        <v>20</v>
      </c>
      <c r="F123" s="392">
        <f ca="1">TblConstr[[#This Row],[Swamp]]</f>
        <v>20</v>
      </c>
      <c r="G123" s="187">
        <f ca="1">TblConstr[[#This Row],[Cavern]]</f>
        <v>20</v>
      </c>
      <c r="H123" s="188">
        <f ca="1">TblConstr[[#This Row],[Water]]</f>
        <v>20</v>
      </c>
      <c r="I123" s="225"/>
      <c r="J123" s="177">
        <f t="shared" si="3"/>
        <v>120</v>
      </c>
      <c r="K123" s="249">
        <f ca="1">TblImps[[#This Row],[Real time]]</f>
        <v>45736.958333333045</v>
      </c>
      <c r="L123" s="181"/>
      <c r="M123" s="181"/>
      <c r="N123" s="181"/>
      <c r="O123" s="181"/>
      <c r="P123" s="181"/>
      <c r="Q123" s="181"/>
      <c r="R123" s="181"/>
      <c r="S123" s="96">
        <f>SUMIF(TblRezone[[#This Row],[Plains Rezone]:[Water Rezone]],"&gt;0")</f>
        <v>0</v>
      </c>
      <c r="T123" s="61" t="str">
        <f>IF(SUM(TblRezone[[#This Row],[Plains Rezone]:[Water Rezone]])=0,"Ok","Nope")</f>
        <v>Ok</v>
      </c>
      <c r="U123" s="225"/>
      <c r="V123" s="96">
        <f ca="1">TblProd[[#This Row],[Platinum]]</f>
        <v>773712</v>
      </c>
      <c r="W123" s="225"/>
      <c r="X123" s="96">
        <f ca="1">ROUNDUP( (1-MIN(ROUND(facs_rezone_factor*TblRezone[[#This Row],[Facs]],4),facs_rezone_max) + tech_6_4*TblTech[[#This Row],[6-4]] + tech_10_2*TblTech[[#This Row],[10-2]] - IF(TblMagic[[#This Row],[Active Mechanical Genius]]&gt;0,mech_genius_bonus,0) + race_rezone_cost) * TblRezone[[#This Row],[Plat/acre*]],0)</f>
        <v>250</v>
      </c>
      <c r="Y123" s="96">
        <f ca="1">TblRezone[[#This Row],[Total acres]]*TblRezone[[#This Row],[Plat/acre]]</f>
        <v>0</v>
      </c>
      <c r="Z123" s="225"/>
      <c r="AA123" s="96">
        <f ca="1">250+0.6*(TblRezone[[#This Row],[Land]]-250)</f>
        <v>250</v>
      </c>
      <c r="AB123" s="225"/>
      <c r="AC123" s="159">
        <f ca="1">TblConstr[[#This Row],[Facs DB]]</f>
        <v>0</v>
      </c>
    </row>
    <row r="124" spans="1:29" x14ac:dyDescent="0.2">
      <c r="A124" s="224">
        <f ca="1">TblConstr[[#This Row],[Land]]</f>
        <v>250</v>
      </c>
      <c r="B124" s="226">
        <f ca="1">TblConstr[[#This Row],[Plain]]</f>
        <v>40</v>
      </c>
      <c r="C124" s="184">
        <f ca="1">TblConstr[[#This Row],[Forest]]</f>
        <v>20</v>
      </c>
      <c r="D124" s="384">
        <f ca="1">TblConstr[[#This Row],[Mountain]]</f>
        <v>20</v>
      </c>
      <c r="E124" s="388">
        <f ca="1">TblConstr[[#This Row],[Hill]]</f>
        <v>20</v>
      </c>
      <c r="F124" s="392">
        <f ca="1">TblConstr[[#This Row],[Swamp]]</f>
        <v>20</v>
      </c>
      <c r="G124" s="187">
        <f ca="1">TblConstr[[#This Row],[Cavern]]</f>
        <v>20</v>
      </c>
      <c r="H124" s="188">
        <f ca="1">TblConstr[[#This Row],[Water]]</f>
        <v>20</v>
      </c>
      <c r="I124" s="225"/>
      <c r="J124" s="177">
        <f t="shared" si="3"/>
        <v>121</v>
      </c>
      <c r="K124" s="249">
        <f ca="1">TblImps[[#This Row],[Real time]]</f>
        <v>45736.999999999709</v>
      </c>
      <c r="L124" s="181"/>
      <c r="M124" s="181"/>
      <c r="N124" s="181"/>
      <c r="O124" s="181"/>
      <c r="P124" s="181"/>
      <c r="Q124" s="181"/>
      <c r="R124" s="181"/>
      <c r="S124" s="96">
        <f>SUMIF(TblRezone[[#This Row],[Plains Rezone]:[Water Rezone]],"&gt;0")</f>
        <v>0</v>
      </c>
      <c r="T124" s="61" t="str">
        <f>IF(SUM(TblRezone[[#This Row],[Plains Rezone]:[Water Rezone]])=0,"Ok","Nope")</f>
        <v>Ok</v>
      </c>
      <c r="U124" s="225"/>
      <c r="V124" s="96">
        <f ca="1">TblProd[[#This Row],[Platinum]]</f>
        <v>779198</v>
      </c>
      <c r="W124" s="225"/>
      <c r="X124" s="96">
        <f ca="1">ROUNDUP( (1-MIN(ROUND(facs_rezone_factor*TblRezone[[#This Row],[Facs]],4),facs_rezone_max) + tech_6_4*TblTech[[#This Row],[6-4]] + tech_10_2*TblTech[[#This Row],[10-2]] - IF(TblMagic[[#This Row],[Active Mechanical Genius]]&gt;0,mech_genius_bonus,0) + race_rezone_cost) * TblRezone[[#This Row],[Plat/acre*]],0)</f>
        <v>250</v>
      </c>
      <c r="Y124" s="96">
        <f ca="1">TblRezone[[#This Row],[Total acres]]*TblRezone[[#This Row],[Plat/acre]]</f>
        <v>0</v>
      </c>
      <c r="Z124" s="225"/>
      <c r="AA124" s="96">
        <f ca="1">250+0.6*(TblRezone[[#This Row],[Land]]-250)</f>
        <v>250</v>
      </c>
      <c r="AB124" s="225"/>
      <c r="AC124" s="159">
        <f ca="1">TblConstr[[#This Row],[Facs DB]]</f>
        <v>0</v>
      </c>
    </row>
    <row r="125" spans="1:29" x14ac:dyDescent="0.2">
      <c r="A125" s="224">
        <f ca="1">TblConstr[[#This Row],[Land]]</f>
        <v>250</v>
      </c>
      <c r="B125" s="226">
        <f ca="1">TblConstr[[#This Row],[Plain]]</f>
        <v>40</v>
      </c>
      <c r="C125" s="184">
        <f ca="1">TblConstr[[#This Row],[Forest]]</f>
        <v>20</v>
      </c>
      <c r="D125" s="384">
        <f ca="1">TblConstr[[#This Row],[Mountain]]</f>
        <v>20</v>
      </c>
      <c r="E125" s="388">
        <f ca="1">TblConstr[[#This Row],[Hill]]</f>
        <v>20</v>
      </c>
      <c r="F125" s="392">
        <f ca="1">TblConstr[[#This Row],[Swamp]]</f>
        <v>20</v>
      </c>
      <c r="G125" s="187">
        <f ca="1">TblConstr[[#This Row],[Cavern]]</f>
        <v>20</v>
      </c>
      <c r="H125" s="188">
        <f ca="1">TblConstr[[#This Row],[Water]]</f>
        <v>20</v>
      </c>
      <c r="I125" s="225"/>
      <c r="J125" s="177">
        <f t="shared" si="3"/>
        <v>122</v>
      </c>
      <c r="K125" s="249">
        <f ca="1">TblImps[[#This Row],[Real time]]</f>
        <v>45737.041666666373</v>
      </c>
      <c r="L125" s="181"/>
      <c r="M125" s="181"/>
      <c r="N125" s="181"/>
      <c r="O125" s="181"/>
      <c r="P125" s="181"/>
      <c r="Q125" s="181"/>
      <c r="R125" s="181"/>
      <c r="S125" s="96">
        <f>SUMIF(TblRezone[[#This Row],[Plains Rezone]:[Water Rezone]],"&gt;0")</f>
        <v>0</v>
      </c>
      <c r="T125" s="61" t="str">
        <f>IF(SUM(TblRezone[[#This Row],[Plains Rezone]:[Water Rezone]])=0,"Ok","Nope")</f>
        <v>Ok</v>
      </c>
      <c r="U125" s="225"/>
      <c r="V125" s="96">
        <f ca="1">TblProd[[#This Row],[Platinum]]</f>
        <v>784684</v>
      </c>
      <c r="W125" s="225"/>
      <c r="X125" s="96">
        <f ca="1">ROUNDUP( (1-MIN(ROUND(facs_rezone_factor*TblRezone[[#This Row],[Facs]],4),facs_rezone_max) + tech_6_4*TblTech[[#This Row],[6-4]] + tech_10_2*TblTech[[#This Row],[10-2]] - IF(TblMagic[[#This Row],[Active Mechanical Genius]]&gt;0,mech_genius_bonus,0) + race_rezone_cost) * TblRezone[[#This Row],[Plat/acre*]],0)</f>
        <v>250</v>
      </c>
      <c r="Y125" s="96">
        <f ca="1">TblRezone[[#This Row],[Total acres]]*TblRezone[[#This Row],[Plat/acre]]</f>
        <v>0</v>
      </c>
      <c r="Z125" s="225"/>
      <c r="AA125" s="96">
        <f ca="1">250+0.6*(TblRezone[[#This Row],[Land]]-250)</f>
        <v>250</v>
      </c>
      <c r="AB125" s="225"/>
      <c r="AC125" s="159">
        <f ca="1">TblConstr[[#This Row],[Facs DB]]</f>
        <v>0</v>
      </c>
    </row>
    <row r="126" spans="1:29" x14ac:dyDescent="0.2">
      <c r="A126" s="224">
        <f ca="1">TblConstr[[#This Row],[Land]]</f>
        <v>250</v>
      </c>
      <c r="B126" s="226">
        <f ca="1">TblConstr[[#This Row],[Plain]]</f>
        <v>40</v>
      </c>
      <c r="C126" s="184">
        <f ca="1">TblConstr[[#This Row],[Forest]]</f>
        <v>20</v>
      </c>
      <c r="D126" s="384">
        <f ca="1">TblConstr[[#This Row],[Mountain]]</f>
        <v>20</v>
      </c>
      <c r="E126" s="388">
        <f ca="1">TblConstr[[#This Row],[Hill]]</f>
        <v>20</v>
      </c>
      <c r="F126" s="392">
        <f ca="1">TblConstr[[#This Row],[Swamp]]</f>
        <v>20</v>
      </c>
      <c r="G126" s="187">
        <f ca="1">TblConstr[[#This Row],[Cavern]]</f>
        <v>20</v>
      </c>
      <c r="H126" s="188">
        <f ca="1">TblConstr[[#This Row],[Water]]</f>
        <v>20</v>
      </c>
      <c r="I126" s="225"/>
      <c r="J126" s="177">
        <f t="shared" si="3"/>
        <v>123</v>
      </c>
      <c r="K126" s="249">
        <f ca="1">TblImps[[#This Row],[Real time]]</f>
        <v>45737.083333333037</v>
      </c>
      <c r="L126" s="181"/>
      <c r="M126" s="181"/>
      <c r="N126" s="181"/>
      <c r="O126" s="181"/>
      <c r="P126" s="181"/>
      <c r="Q126" s="181"/>
      <c r="R126" s="181"/>
      <c r="S126" s="96">
        <f>SUMIF(TblRezone[[#This Row],[Plains Rezone]:[Water Rezone]],"&gt;0")</f>
        <v>0</v>
      </c>
      <c r="T126" s="61" t="str">
        <f>IF(SUM(TblRezone[[#This Row],[Plains Rezone]:[Water Rezone]])=0,"Ok","Nope")</f>
        <v>Ok</v>
      </c>
      <c r="U126" s="225"/>
      <c r="V126" s="96">
        <f ca="1">TblProd[[#This Row],[Platinum]]</f>
        <v>790170</v>
      </c>
      <c r="W126" s="225"/>
      <c r="X126" s="96">
        <f ca="1">ROUNDUP( (1-MIN(ROUND(facs_rezone_factor*TblRezone[[#This Row],[Facs]],4),facs_rezone_max) + tech_6_4*TblTech[[#This Row],[6-4]] + tech_10_2*TblTech[[#This Row],[10-2]] - IF(TblMagic[[#This Row],[Active Mechanical Genius]]&gt;0,mech_genius_bonus,0) + race_rezone_cost) * TblRezone[[#This Row],[Plat/acre*]],0)</f>
        <v>250</v>
      </c>
      <c r="Y126" s="96">
        <f ca="1">TblRezone[[#This Row],[Total acres]]*TblRezone[[#This Row],[Plat/acre]]</f>
        <v>0</v>
      </c>
      <c r="Z126" s="225"/>
      <c r="AA126" s="96">
        <f ca="1">250+0.6*(TblRezone[[#This Row],[Land]]-250)</f>
        <v>250</v>
      </c>
      <c r="AB126" s="225"/>
      <c r="AC126" s="159">
        <f ca="1">TblConstr[[#This Row],[Facs DB]]</f>
        <v>0</v>
      </c>
    </row>
    <row r="127" spans="1:29" x14ac:dyDescent="0.2">
      <c r="A127" s="224">
        <f ca="1">TblConstr[[#This Row],[Land]]</f>
        <v>250</v>
      </c>
      <c r="B127" s="226">
        <f ca="1">TblConstr[[#This Row],[Plain]]</f>
        <v>40</v>
      </c>
      <c r="C127" s="184">
        <f ca="1">TblConstr[[#This Row],[Forest]]</f>
        <v>20</v>
      </c>
      <c r="D127" s="384">
        <f ca="1">TblConstr[[#This Row],[Mountain]]</f>
        <v>20</v>
      </c>
      <c r="E127" s="388">
        <f ca="1">TblConstr[[#This Row],[Hill]]</f>
        <v>20</v>
      </c>
      <c r="F127" s="392">
        <f ca="1">TblConstr[[#This Row],[Swamp]]</f>
        <v>20</v>
      </c>
      <c r="G127" s="187">
        <f ca="1">TblConstr[[#This Row],[Cavern]]</f>
        <v>20</v>
      </c>
      <c r="H127" s="188">
        <f ca="1">TblConstr[[#This Row],[Water]]</f>
        <v>20</v>
      </c>
      <c r="I127" s="225"/>
      <c r="J127" s="177">
        <f t="shared" si="3"/>
        <v>124</v>
      </c>
      <c r="K127" s="249">
        <f ca="1">TblImps[[#This Row],[Real time]]</f>
        <v>45737.124999999702</v>
      </c>
      <c r="L127" s="181"/>
      <c r="M127" s="181"/>
      <c r="N127" s="181"/>
      <c r="O127" s="181"/>
      <c r="P127" s="181"/>
      <c r="Q127" s="181"/>
      <c r="R127" s="181"/>
      <c r="S127" s="96">
        <f>SUMIF(TblRezone[[#This Row],[Plains Rezone]:[Water Rezone]],"&gt;0")</f>
        <v>0</v>
      </c>
      <c r="T127" s="61" t="str">
        <f>IF(SUM(TblRezone[[#This Row],[Plains Rezone]:[Water Rezone]])=0,"Ok","Nope")</f>
        <v>Ok</v>
      </c>
      <c r="U127" s="225"/>
      <c r="V127" s="96">
        <f ca="1">TblProd[[#This Row],[Platinum]]</f>
        <v>795656</v>
      </c>
      <c r="W127" s="225"/>
      <c r="X127" s="96">
        <f ca="1">ROUNDUP( (1-MIN(ROUND(facs_rezone_factor*TblRezone[[#This Row],[Facs]],4),facs_rezone_max) + tech_6_4*TblTech[[#This Row],[6-4]] + tech_10_2*TblTech[[#This Row],[10-2]] - IF(TblMagic[[#This Row],[Active Mechanical Genius]]&gt;0,mech_genius_bonus,0) + race_rezone_cost) * TblRezone[[#This Row],[Plat/acre*]],0)</f>
        <v>250</v>
      </c>
      <c r="Y127" s="96">
        <f ca="1">TblRezone[[#This Row],[Total acres]]*TblRezone[[#This Row],[Plat/acre]]</f>
        <v>0</v>
      </c>
      <c r="Z127" s="225"/>
      <c r="AA127" s="96">
        <f ca="1">250+0.6*(TblRezone[[#This Row],[Land]]-250)</f>
        <v>250</v>
      </c>
      <c r="AB127" s="225"/>
      <c r="AC127" s="159">
        <f ca="1">TblConstr[[#This Row],[Facs DB]]</f>
        <v>0</v>
      </c>
    </row>
    <row r="128" spans="1:29" x14ac:dyDescent="0.2">
      <c r="A128" s="224">
        <f ca="1">TblConstr[[#This Row],[Land]]</f>
        <v>250</v>
      </c>
      <c r="B128" s="226">
        <f ca="1">TblConstr[[#This Row],[Plain]]</f>
        <v>40</v>
      </c>
      <c r="C128" s="184">
        <f ca="1">TblConstr[[#This Row],[Forest]]</f>
        <v>20</v>
      </c>
      <c r="D128" s="384">
        <f ca="1">TblConstr[[#This Row],[Mountain]]</f>
        <v>20</v>
      </c>
      <c r="E128" s="388">
        <f ca="1">TblConstr[[#This Row],[Hill]]</f>
        <v>20</v>
      </c>
      <c r="F128" s="392">
        <f ca="1">TblConstr[[#This Row],[Swamp]]</f>
        <v>20</v>
      </c>
      <c r="G128" s="187">
        <f ca="1">TblConstr[[#This Row],[Cavern]]</f>
        <v>20</v>
      </c>
      <c r="H128" s="188">
        <f ca="1">TblConstr[[#This Row],[Water]]</f>
        <v>20</v>
      </c>
      <c r="I128" s="225"/>
      <c r="J128" s="177">
        <f t="shared" si="3"/>
        <v>125</v>
      </c>
      <c r="K128" s="249">
        <f ca="1">TblImps[[#This Row],[Real time]]</f>
        <v>45737.166666666366</v>
      </c>
      <c r="L128" s="181"/>
      <c r="M128" s="181"/>
      <c r="N128" s="181"/>
      <c r="O128" s="181"/>
      <c r="P128" s="181"/>
      <c r="Q128" s="181"/>
      <c r="R128" s="181"/>
      <c r="S128" s="96">
        <f>SUMIF(TblRezone[[#This Row],[Plains Rezone]:[Water Rezone]],"&gt;0")</f>
        <v>0</v>
      </c>
      <c r="T128" s="61" t="str">
        <f>IF(SUM(TblRezone[[#This Row],[Plains Rezone]:[Water Rezone]])=0,"Ok","Nope")</f>
        <v>Ok</v>
      </c>
      <c r="U128" s="225"/>
      <c r="V128" s="96">
        <f ca="1">TblProd[[#This Row],[Platinum]]</f>
        <v>801142</v>
      </c>
      <c r="W128" s="225"/>
      <c r="X128" s="96">
        <f ca="1">ROUNDUP( (1-MIN(ROUND(facs_rezone_factor*TblRezone[[#This Row],[Facs]],4),facs_rezone_max) + tech_6_4*TblTech[[#This Row],[6-4]] + tech_10_2*TblTech[[#This Row],[10-2]] - IF(TblMagic[[#This Row],[Active Mechanical Genius]]&gt;0,mech_genius_bonus,0) + race_rezone_cost) * TblRezone[[#This Row],[Plat/acre*]],0)</f>
        <v>250</v>
      </c>
      <c r="Y128" s="96">
        <f ca="1">TblRezone[[#This Row],[Total acres]]*TblRezone[[#This Row],[Plat/acre]]</f>
        <v>0</v>
      </c>
      <c r="Z128" s="225"/>
      <c r="AA128" s="96">
        <f ca="1">250+0.6*(TblRezone[[#This Row],[Land]]-250)</f>
        <v>250</v>
      </c>
      <c r="AB128" s="225"/>
      <c r="AC128" s="159">
        <f ca="1">TblConstr[[#This Row],[Facs DB]]</f>
        <v>0</v>
      </c>
    </row>
    <row r="129" spans="1:29" x14ac:dyDescent="0.2">
      <c r="A129" s="224">
        <f ca="1">TblConstr[[#This Row],[Land]]</f>
        <v>250</v>
      </c>
      <c r="B129" s="226">
        <f ca="1">TblConstr[[#This Row],[Plain]]</f>
        <v>40</v>
      </c>
      <c r="C129" s="184">
        <f ca="1">TblConstr[[#This Row],[Forest]]</f>
        <v>20</v>
      </c>
      <c r="D129" s="384">
        <f ca="1">TblConstr[[#This Row],[Mountain]]</f>
        <v>20</v>
      </c>
      <c r="E129" s="388">
        <f ca="1">TblConstr[[#This Row],[Hill]]</f>
        <v>20</v>
      </c>
      <c r="F129" s="392">
        <f ca="1">TblConstr[[#This Row],[Swamp]]</f>
        <v>20</v>
      </c>
      <c r="G129" s="187">
        <f ca="1">TblConstr[[#This Row],[Cavern]]</f>
        <v>20</v>
      </c>
      <c r="H129" s="188">
        <f ca="1">TblConstr[[#This Row],[Water]]</f>
        <v>20</v>
      </c>
      <c r="I129" s="225"/>
      <c r="J129" s="177">
        <f t="shared" si="3"/>
        <v>126</v>
      </c>
      <c r="K129" s="249">
        <f ca="1">TblImps[[#This Row],[Real time]]</f>
        <v>45737.20833333303</v>
      </c>
      <c r="L129" s="181"/>
      <c r="M129" s="181"/>
      <c r="N129" s="181"/>
      <c r="O129" s="181"/>
      <c r="P129" s="181"/>
      <c r="Q129" s="181"/>
      <c r="R129" s="181"/>
      <c r="S129" s="96">
        <f>SUMIF(TblRezone[[#This Row],[Plains Rezone]:[Water Rezone]],"&gt;0")</f>
        <v>0</v>
      </c>
      <c r="T129" s="61" t="str">
        <f>IF(SUM(TblRezone[[#This Row],[Plains Rezone]:[Water Rezone]])=0,"Ok","Nope")</f>
        <v>Ok</v>
      </c>
      <c r="U129" s="225"/>
      <c r="V129" s="96">
        <f ca="1">TblProd[[#This Row],[Platinum]]</f>
        <v>806628</v>
      </c>
      <c r="W129" s="225"/>
      <c r="X129" s="96">
        <f ca="1">ROUNDUP( (1-MIN(ROUND(facs_rezone_factor*TblRezone[[#This Row],[Facs]],4),facs_rezone_max) + tech_6_4*TblTech[[#This Row],[6-4]] + tech_10_2*TblTech[[#This Row],[10-2]] - IF(TblMagic[[#This Row],[Active Mechanical Genius]]&gt;0,mech_genius_bonus,0) + race_rezone_cost) * TblRezone[[#This Row],[Plat/acre*]],0)</f>
        <v>250</v>
      </c>
      <c r="Y129" s="96">
        <f ca="1">TblRezone[[#This Row],[Total acres]]*TblRezone[[#This Row],[Plat/acre]]</f>
        <v>0</v>
      </c>
      <c r="Z129" s="225"/>
      <c r="AA129" s="96">
        <f ca="1">250+0.6*(TblRezone[[#This Row],[Land]]-250)</f>
        <v>250</v>
      </c>
      <c r="AB129" s="225"/>
      <c r="AC129" s="159">
        <f ca="1">TblConstr[[#This Row],[Facs DB]]</f>
        <v>0</v>
      </c>
    </row>
    <row r="130" spans="1:29" x14ac:dyDescent="0.2">
      <c r="A130" s="224">
        <f ca="1">TblConstr[[#This Row],[Land]]</f>
        <v>250</v>
      </c>
      <c r="B130" s="226">
        <f ca="1">TblConstr[[#This Row],[Plain]]</f>
        <v>40</v>
      </c>
      <c r="C130" s="184">
        <f ca="1">TblConstr[[#This Row],[Forest]]</f>
        <v>20</v>
      </c>
      <c r="D130" s="384">
        <f ca="1">TblConstr[[#This Row],[Mountain]]</f>
        <v>20</v>
      </c>
      <c r="E130" s="388">
        <f ca="1">TblConstr[[#This Row],[Hill]]</f>
        <v>20</v>
      </c>
      <c r="F130" s="392">
        <f ca="1">TblConstr[[#This Row],[Swamp]]</f>
        <v>20</v>
      </c>
      <c r="G130" s="187">
        <f ca="1">TblConstr[[#This Row],[Cavern]]</f>
        <v>20</v>
      </c>
      <c r="H130" s="188">
        <f ca="1">TblConstr[[#This Row],[Water]]</f>
        <v>20</v>
      </c>
      <c r="I130" s="225"/>
      <c r="J130" s="177">
        <f t="shared" si="3"/>
        <v>127</v>
      </c>
      <c r="K130" s="249">
        <f ca="1">TblImps[[#This Row],[Real time]]</f>
        <v>45737.249999999694</v>
      </c>
      <c r="L130" s="181"/>
      <c r="M130" s="181"/>
      <c r="N130" s="181"/>
      <c r="O130" s="181"/>
      <c r="P130" s="181"/>
      <c r="Q130" s="181"/>
      <c r="R130" s="181"/>
      <c r="S130" s="96">
        <f>SUMIF(TblRezone[[#This Row],[Plains Rezone]:[Water Rezone]],"&gt;0")</f>
        <v>0</v>
      </c>
      <c r="T130" s="61" t="str">
        <f>IF(SUM(TblRezone[[#This Row],[Plains Rezone]:[Water Rezone]])=0,"Ok","Nope")</f>
        <v>Ok</v>
      </c>
      <c r="U130" s="225"/>
      <c r="V130" s="96">
        <f ca="1">TblProd[[#This Row],[Platinum]]</f>
        <v>812114</v>
      </c>
      <c r="W130" s="225"/>
      <c r="X130" s="96">
        <f ca="1">ROUNDUP( (1-MIN(ROUND(facs_rezone_factor*TblRezone[[#This Row],[Facs]],4),facs_rezone_max) + tech_6_4*TblTech[[#This Row],[6-4]] + tech_10_2*TblTech[[#This Row],[10-2]] - IF(TblMagic[[#This Row],[Active Mechanical Genius]]&gt;0,mech_genius_bonus,0) + race_rezone_cost) * TblRezone[[#This Row],[Plat/acre*]],0)</f>
        <v>250</v>
      </c>
      <c r="Y130" s="96">
        <f ca="1">TblRezone[[#This Row],[Total acres]]*TblRezone[[#This Row],[Plat/acre]]</f>
        <v>0</v>
      </c>
      <c r="Z130" s="225"/>
      <c r="AA130" s="96">
        <f ca="1">250+0.6*(TblRezone[[#This Row],[Land]]-250)</f>
        <v>250</v>
      </c>
      <c r="AB130" s="225"/>
      <c r="AC130" s="159">
        <f ca="1">TblConstr[[#This Row],[Facs DB]]</f>
        <v>0</v>
      </c>
    </row>
    <row r="131" spans="1:29" x14ac:dyDescent="0.2">
      <c r="A131" s="224">
        <f ca="1">TblConstr[[#This Row],[Land]]</f>
        <v>250</v>
      </c>
      <c r="B131" s="226">
        <f ca="1">TblConstr[[#This Row],[Plain]]</f>
        <v>40</v>
      </c>
      <c r="C131" s="184">
        <f ca="1">TblConstr[[#This Row],[Forest]]</f>
        <v>20</v>
      </c>
      <c r="D131" s="384">
        <f ca="1">TblConstr[[#This Row],[Mountain]]</f>
        <v>20</v>
      </c>
      <c r="E131" s="388">
        <f ca="1">TblConstr[[#This Row],[Hill]]</f>
        <v>20</v>
      </c>
      <c r="F131" s="392">
        <f ca="1">TblConstr[[#This Row],[Swamp]]</f>
        <v>20</v>
      </c>
      <c r="G131" s="187">
        <f ca="1">TblConstr[[#This Row],[Cavern]]</f>
        <v>20</v>
      </c>
      <c r="H131" s="188">
        <f ca="1">TblConstr[[#This Row],[Water]]</f>
        <v>20</v>
      </c>
      <c r="I131" s="225"/>
      <c r="J131" s="177">
        <f t="shared" si="3"/>
        <v>128</v>
      </c>
      <c r="K131" s="249">
        <f ca="1">TblImps[[#This Row],[Real time]]</f>
        <v>45737.291666666359</v>
      </c>
      <c r="L131" s="181"/>
      <c r="M131" s="181"/>
      <c r="N131" s="181"/>
      <c r="O131" s="181"/>
      <c r="P131" s="181"/>
      <c r="Q131" s="181"/>
      <c r="R131" s="181"/>
      <c r="S131" s="96">
        <f>SUMIF(TblRezone[[#This Row],[Plains Rezone]:[Water Rezone]],"&gt;0")</f>
        <v>0</v>
      </c>
      <c r="T131" s="61" t="str">
        <f>IF(SUM(TblRezone[[#This Row],[Plains Rezone]:[Water Rezone]])=0,"Ok","Nope")</f>
        <v>Ok</v>
      </c>
      <c r="U131" s="225"/>
      <c r="V131" s="96">
        <f ca="1">TblProd[[#This Row],[Platinum]]</f>
        <v>817600</v>
      </c>
      <c r="W131" s="225"/>
      <c r="X131" s="96">
        <f ca="1">ROUNDUP( (1-MIN(ROUND(facs_rezone_factor*TblRezone[[#This Row],[Facs]],4),facs_rezone_max) + tech_6_4*TblTech[[#This Row],[6-4]] + tech_10_2*TblTech[[#This Row],[10-2]] - IF(TblMagic[[#This Row],[Active Mechanical Genius]]&gt;0,mech_genius_bonus,0) + race_rezone_cost) * TblRezone[[#This Row],[Plat/acre*]],0)</f>
        <v>250</v>
      </c>
      <c r="Y131" s="96">
        <f ca="1">TblRezone[[#This Row],[Total acres]]*TblRezone[[#This Row],[Plat/acre]]</f>
        <v>0</v>
      </c>
      <c r="Z131" s="225"/>
      <c r="AA131" s="96">
        <f ca="1">250+0.6*(TblRezone[[#This Row],[Land]]-250)</f>
        <v>250</v>
      </c>
      <c r="AB131" s="225"/>
      <c r="AC131" s="159">
        <f ca="1">TblConstr[[#This Row],[Facs DB]]</f>
        <v>0</v>
      </c>
    </row>
    <row r="132" spans="1:29" x14ac:dyDescent="0.2">
      <c r="A132" s="224">
        <f ca="1">TblConstr[[#This Row],[Land]]</f>
        <v>250</v>
      </c>
      <c r="B132" s="226">
        <f ca="1">TblConstr[[#This Row],[Plain]]</f>
        <v>40</v>
      </c>
      <c r="C132" s="184">
        <f ca="1">TblConstr[[#This Row],[Forest]]</f>
        <v>20</v>
      </c>
      <c r="D132" s="384">
        <f ca="1">TblConstr[[#This Row],[Mountain]]</f>
        <v>20</v>
      </c>
      <c r="E132" s="388">
        <f ca="1">TblConstr[[#This Row],[Hill]]</f>
        <v>20</v>
      </c>
      <c r="F132" s="392">
        <f ca="1">TblConstr[[#This Row],[Swamp]]</f>
        <v>20</v>
      </c>
      <c r="G132" s="187">
        <f ca="1">TblConstr[[#This Row],[Cavern]]</f>
        <v>20</v>
      </c>
      <c r="H132" s="188">
        <f ca="1">TblConstr[[#This Row],[Water]]</f>
        <v>20</v>
      </c>
      <c r="I132" s="225"/>
      <c r="J132" s="177">
        <f t="shared" si="3"/>
        <v>129</v>
      </c>
      <c r="K132" s="249">
        <f ca="1">TblImps[[#This Row],[Real time]]</f>
        <v>45737.333333333023</v>
      </c>
      <c r="L132" s="181"/>
      <c r="M132" s="181"/>
      <c r="N132" s="181"/>
      <c r="O132" s="181"/>
      <c r="P132" s="181"/>
      <c r="Q132" s="181"/>
      <c r="R132" s="181"/>
      <c r="S132" s="96">
        <f>SUMIF(TblRezone[[#This Row],[Plains Rezone]:[Water Rezone]],"&gt;0")</f>
        <v>0</v>
      </c>
      <c r="T132" s="61" t="str">
        <f>IF(SUM(TblRezone[[#This Row],[Plains Rezone]:[Water Rezone]])=0,"Ok","Nope")</f>
        <v>Ok</v>
      </c>
      <c r="U132" s="225"/>
      <c r="V132" s="96">
        <f ca="1">TblProd[[#This Row],[Platinum]]</f>
        <v>823086</v>
      </c>
      <c r="W132" s="225"/>
      <c r="X132" s="96">
        <f ca="1">ROUNDUP( (1-MIN(ROUND(facs_rezone_factor*TblRezone[[#This Row],[Facs]],4),facs_rezone_max) + tech_6_4*TblTech[[#This Row],[6-4]] + tech_10_2*TblTech[[#This Row],[10-2]] - IF(TblMagic[[#This Row],[Active Mechanical Genius]]&gt;0,mech_genius_bonus,0) + race_rezone_cost) * TblRezone[[#This Row],[Plat/acre*]],0)</f>
        <v>250</v>
      </c>
      <c r="Y132" s="96">
        <f ca="1">TblRezone[[#This Row],[Total acres]]*TblRezone[[#This Row],[Plat/acre]]</f>
        <v>0</v>
      </c>
      <c r="Z132" s="225"/>
      <c r="AA132" s="96">
        <f ca="1">250+0.6*(TblRezone[[#This Row],[Land]]-250)</f>
        <v>250</v>
      </c>
      <c r="AB132" s="225"/>
      <c r="AC132" s="159">
        <f ca="1">TblConstr[[#This Row],[Facs DB]]</f>
        <v>0</v>
      </c>
    </row>
    <row r="133" spans="1:29" x14ac:dyDescent="0.2">
      <c r="A133" s="224">
        <f ca="1">TblConstr[[#This Row],[Land]]</f>
        <v>250</v>
      </c>
      <c r="B133" s="226">
        <f ca="1">TblConstr[[#This Row],[Plain]]</f>
        <v>40</v>
      </c>
      <c r="C133" s="184">
        <f ca="1">TblConstr[[#This Row],[Forest]]</f>
        <v>20</v>
      </c>
      <c r="D133" s="384">
        <f ca="1">TblConstr[[#This Row],[Mountain]]</f>
        <v>20</v>
      </c>
      <c r="E133" s="388">
        <f ca="1">TblConstr[[#This Row],[Hill]]</f>
        <v>20</v>
      </c>
      <c r="F133" s="392">
        <f ca="1">TblConstr[[#This Row],[Swamp]]</f>
        <v>20</v>
      </c>
      <c r="G133" s="187">
        <f ca="1">TblConstr[[#This Row],[Cavern]]</f>
        <v>20</v>
      </c>
      <c r="H133" s="188">
        <f ca="1">TblConstr[[#This Row],[Water]]</f>
        <v>20</v>
      </c>
      <c r="I133" s="225"/>
      <c r="J133" s="177">
        <f t="shared" si="3"/>
        <v>130</v>
      </c>
      <c r="K133" s="249">
        <f ca="1">TblImps[[#This Row],[Real time]]</f>
        <v>45737.374999999687</v>
      </c>
      <c r="L133" s="181"/>
      <c r="M133" s="181"/>
      <c r="N133" s="181"/>
      <c r="O133" s="181"/>
      <c r="P133" s="181"/>
      <c r="Q133" s="181"/>
      <c r="R133" s="181"/>
      <c r="S133" s="96">
        <f>SUMIF(TblRezone[[#This Row],[Plains Rezone]:[Water Rezone]],"&gt;0")</f>
        <v>0</v>
      </c>
      <c r="T133" s="61" t="str">
        <f>IF(SUM(TblRezone[[#This Row],[Plains Rezone]:[Water Rezone]])=0,"Ok","Nope")</f>
        <v>Ok</v>
      </c>
      <c r="U133" s="225"/>
      <c r="V133" s="96">
        <f ca="1">TblProd[[#This Row],[Platinum]]</f>
        <v>828572</v>
      </c>
      <c r="W133" s="225"/>
      <c r="X133" s="96">
        <f ca="1">ROUNDUP( (1-MIN(ROUND(facs_rezone_factor*TblRezone[[#This Row],[Facs]],4),facs_rezone_max) + tech_6_4*TblTech[[#This Row],[6-4]] + tech_10_2*TblTech[[#This Row],[10-2]] - IF(TblMagic[[#This Row],[Active Mechanical Genius]]&gt;0,mech_genius_bonus,0) + race_rezone_cost) * TblRezone[[#This Row],[Plat/acre*]],0)</f>
        <v>250</v>
      </c>
      <c r="Y133" s="96">
        <f ca="1">TblRezone[[#This Row],[Total acres]]*TblRezone[[#This Row],[Plat/acre]]</f>
        <v>0</v>
      </c>
      <c r="Z133" s="225"/>
      <c r="AA133" s="96">
        <f ca="1">250+0.6*(TblRezone[[#This Row],[Land]]-250)</f>
        <v>250</v>
      </c>
      <c r="AB133" s="225"/>
      <c r="AC133" s="159">
        <f ca="1">TblConstr[[#This Row],[Facs DB]]</f>
        <v>0</v>
      </c>
    </row>
    <row r="134" spans="1:29" x14ac:dyDescent="0.2">
      <c r="A134" s="224">
        <f ca="1">TblConstr[[#This Row],[Land]]</f>
        <v>250</v>
      </c>
      <c r="B134" s="226">
        <f ca="1">TblConstr[[#This Row],[Plain]]</f>
        <v>40</v>
      </c>
      <c r="C134" s="184">
        <f ca="1">TblConstr[[#This Row],[Forest]]</f>
        <v>20</v>
      </c>
      <c r="D134" s="384">
        <f ca="1">TblConstr[[#This Row],[Mountain]]</f>
        <v>20</v>
      </c>
      <c r="E134" s="388">
        <f ca="1">TblConstr[[#This Row],[Hill]]</f>
        <v>20</v>
      </c>
      <c r="F134" s="392">
        <f ca="1">TblConstr[[#This Row],[Swamp]]</f>
        <v>20</v>
      </c>
      <c r="G134" s="187">
        <f ca="1">TblConstr[[#This Row],[Cavern]]</f>
        <v>20</v>
      </c>
      <c r="H134" s="188">
        <f ca="1">TblConstr[[#This Row],[Water]]</f>
        <v>20</v>
      </c>
      <c r="I134" s="225"/>
      <c r="J134" s="177">
        <f t="shared" si="3"/>
        <v>131</v>
      </c>
      <c r="K134" s="249">
        <f ca="1">TblImps[[#This Row],[Real time]]</f>
        <v>45737.416666666351</v>
      </c>
      <c r="L134" s="181"/>
      <c r="M134" s="181"/>
      <c r="N134" s="181"/>
      <c r="O134" s="181"/>
      <c r="P134" s="181"/>
      <c r="Q134" s="181"/>
      <c r="R134" s="181"/>
      <c r="S134" s="96">
        <f>SUMIF(TblRezone[[#This Row],[Plains Rezone]:[Water Rezone]],"&gt;0")</f>
        <v>0</v>
      </c>
      <c r="T134" s="61" t="str">
        <f>IF(SUM(TblRezone[[#This Row],[Plains Rezone]:[Water Rezone]])=0,"Ok","Nope")</f>
        <v>Ok</v>
      </c>
      <c r="U134" s="225"/>
      <c r="V134" s="96">
        <f ca="1">TblProd[[#This Row],[Platinum]]</f>
        <v>834058</v>
      </c>
      <c r="W134" s="225"/>
      <c r="X134" s="96">
        <f ca="1">ROUNDUP( (1-MIN(ROUND(facs_rezone_factor*TblRezone[[#This Row],[Facs]],4),facs_rezone_max) + tech_6_4*TblTech[[#This Row],[6-4]] + tech_10_2*TblTech[[#This Row],[10-2]] - IF(TblMagic[[#This Row],[Active Mechanical Genius]]&gt;0,mech_genius_bonus,0) + race_rezone_cost) * TblRezone[[#This Row],[Plat/acre*]],0)</f>
        <v>250</v>
      </c>
      <c r="Y134" s="96">
        <f ca="1">TblRezone[[#This Row],[Total acres]]*TblRezone[[#This Row],[Plat/acre]]</f>
        <v>0</v>
      </c>
      <c r="Z134" s="225"/>
      <c r="AA134" s="96">
        <f ca="1">250+0.6*(TblRezone[[#This Row],[Land]]-250)</f>
        <v>250</v>
      </c>
      <c r="AB134" s="225"/>
      <c r="AC134" s="159">
        <f ca="1">TblConstr[[#This Row],[Facs DB]]</f>
        <v>0</v>
      </c>
    </row>
    <row r="135" spans="1:29" x14ac:dyDescent="0.2">
      <c r="A135" s="224">
        <f ca="1">TblConstr[[#This Row],[Land]]</f>
        <v>250</v>
      </c>
      <c r="B135" s="226">
        <f ca="1">TblConstr[[#This Row],[Plain]]</f>
        <v>40</v>
      </c>
      <c r="C135" s="184">
        <f ca="1">TblConstr[[#This Row],[Forest]]</f>
        <v>20</v>
      </c>
      <c r="D135" s="384">
        <f ca="1">TblConstr[[#This Row],[Mountain]]</f>
        <v>20</v>
      </c>
      <c r="E135" s="388">
        <f ca="1">TblConstr[[#This Row],[Hill]]</f>
        <v>20</v>
      </c>
      <c r="F135" s="392">
        <f ca="1">TblConstr[[#This Row],[Swamp]]</f>
        <v>20</v>
      </c>
      <c r="G135" s="187">
        <f ca="1">TblConstr[[#This Row],[Cavern]]</f>
        <v>20</v>
      </c>
      <c r="H135" s="188">
        <f ca="1">TblConstr[[#This Row],[Water]]</f>
        <v>20</v>
      </c>
      <c r="I135" s="225"/>
      <c r="J135" s="177">
        <f t="shared" si="3"/>
        <v>132</v>
      </c>
      <c r="K135" s="249">
        <f ca="1">TblImps[[#This Row],[Real time]]</f>
        <v>45737.458333333016</v>
      </c>
      <c r="L135" s="181"/>
      <c r="M135" s="181"/>
      <c r="N135" s="181"/>
      <c r="O135" s="181"/>
      <c r="P135" s="181"/>
      <c r="Q135" s="181"/>
      <c r="R135" s="181"/>
      <c r="S135" s="96">
        <f>SUMIF(TblRezone[[#This Row],[Plains Rezone]:[Water Rezone]],"&gt;0")</f>
        <v>0</v>
      </c>
      <c r="T135" s="61" t="str">
        <f>IF(SUM(TblRezone[[#This Row],[Plains Rezone]:[Water Rezone]])=0,"Ok","Nope")</f>
        <v>Ok</v>
      </c>
      <c r="U135" s="225"/>
      <c r="V135" s="96">
        <f ca="1">TblProd[[#This Row],[Platinum]]</f>
        <v>839544</v>
      </c>
      <c r="W135" s="225"/>
      <c r="X135" s="96">
        <f ca="1">ROUNDUP( (1-MIN(ROUND(facs_rezone_factor*TblRezone[[#This Row],[Facs]],4),facs_rezone_max) + tech_6_4*TblTech[[#This Row],[6-4]] + tech_10_2*TblTech[[#This Row],[10-2]] - IF(TblMagic[[#This Row],[Active Mechanical Genius]]&gt;0,mech_genius_bonus,0) + race_rezone_cost) * TblRezone[[#This Row],[Plat/acre*]],0)</f>
        <v>250</v>
      </c>
      <c r="Y135" s="96">
        <f ca="1">TblRezone[[#This Row],[Total acres]]*TblRezone[[#This Row],[Plat/acre]]</f>
        <v>0</v>
      </c>
      <c r="Z135" s="225"/>
      <c r="AA135" s="96">
        <f ca="1">250+0.6*(TblRezone[[#This Row],[Land]]-250)</f>
        <v>250</v>
      </c>
      <c r="AB135" s="225"/>
      <c r="AC135" s="159">
        <f ca="1">TblConstr[[#This Row],[Facs DB]]</f>
        <v>0</v>
      </c>
    </row>
    <row r="136" spans="1:29" x14ac:dyDescent="0.2">
      <c r="A136" s="224">
        <f ca="1">TblConstr[[#This Row],[Land]]</f>
        <v>250</v>
      </c>
      <c r="B136" s="226">
        <f ca="1">TblConstr[[#This Row],[Plain]]</f>
        <v>40</v>
      </c>
      <c r="C136" s="184">
        <f ca="1">TblConstr[[#This Row],[Forest]]</f>
        <v>20</v>
      </c>
      <c r="D136" s="384">
        <f ca="1">TblConstr[[#This Row],[Mountain]]</f>
        <v>20</v>
      </c>
      <c r="E136" s="388">
        <f ca="1">TblConstr[[#This Row],[Hill]]</f>
        <v>20</v>
      </c>
      <c r="F136" s="392">
        <f ca="1">TblConstr[[#This Row],[Swamp]]</f>
        <v>20</v>
      </c>
      <c r="G136" s="187">
        <f ca="1">TblConstr[[#This Row],[Cavern]]</f>
        <v>20</v>
      </c>
      <c r="H136" s="188">
        <f ca="1">TblConstr[[#This Row],[Water]]</f>
        <v>20</v>
      </c>
      <c r="I136" s="225"/>
      <c r="J136" s="177">
        <f t="shared" si="3"/>
        <v>133</v>
      </c>
      <c r="K136" s="249">
        <f ca="1">TblImps[[#This Row],[Real time]]</f>
        <v>45737.49999999968</v>
      </c>
      <c r="L136" s="181"/>
      <c r="M136" s="181"/>
      <c r="N136" s="181"/>
      <c r="O136" s="181"/>
      <c r="P136" s="181"/>
      <c r="Q136" s="181"/>
      <c r="R136" s="181"/>
      <c r="S136" s="96">
        <f>SUMIF(TblRezone[[#This Row],[Plains Rezone]:[Water Rezone]],"&gt;0")</f>
        <v>0</v>
      </c>
      <c r="T136" s="61" t="str">
        <f>IF(SUM(TblRezone[[#This Row],[Plains Rezone]:[Water Rezone]])=0,"Ok","Nope")</f>
        <v>Ok</v>
      </c>
      <c r="U136" s="225"/>
      <c r="V136" s="96">
        <f ca="1">TblProd[[#This Row],[Platinum]]</f>
        <v>845030</v>
      </c>
      <c r="W136" s="225"/>
      <c r="X136" s="96">
        <f ca="1">ROUNDUP( (1-MIN(ROUND(facs_rezone_factor*TblRezone[[#This Row],[Facs]],4),facs_rezone_max) + tech_6_4*TblTech[[#This Row],[6-4]] + tech_10_2*TblTech[[#This Row],[10-2]] - IF(TblMagic[[#This Row],[Active Mechanical Genius]]&gt;0,mech_genius_bonus,0) + race_rezone_cost) * TblRezone[[#This Row],[Plat/acre*]],0)</f>
        <v>250</v>
      </c>
      <c r="Y136" s="96">
        <f ca="1">TblRezone[[#This Row],[Total acres]]*TblRezone[[#This Row],[Plat/acre]]</f>
        <v>0</v>
      </c>
      <c r="Z136" s="225"/>
      <c r="AA136" s="96">
        <f ca="1">250+0.6*(TblRezone[[#This Row],[Land]]-250)</f>
        <v>250</v>
      </c>
      <c r="AB136" s="225"/>
      <c r="AC136" s="159">
        <f ca="1">TblConstr[[#This Row],[Facs DB]]</f>
        <v>0</v>
      </c>
    </row>
    <row r="1269" spans="1:18" x14ac:dyDescent="0.2">
      <c r="A1269" s="500" t="s">
        <v>314</v>
      </c>
      <c r="B1269" s="500"/>
      <c r="I1269" s="252" t="s">
        <v>304</v>
      </c>
      <c r="L1269" s="253"/>
      <c r="M1269" s="253">
        <v>-10</v>
      </c>
      <c r="N1269" s="253">
        <v>10</v>
      </c>
      <c r="O1269" s="253"/>
      <c r="P1269" s="253"/>
      <c r="Q1269" s="253"/>
      <c r="R1269" s="253"/>
    </row>
    <row r="1270" spans="1:18" x14ac:dyDescent="0.2">
      <c r="A1270" s="28">
        <f>Overview!E17</f>
        <v>0</v>
      </c>
      <c r="B1270" s="28"/>
      <c r="L1270" s="505" t="s">
        <v>303</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$J4=73</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63"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3" x14ac:dyDescent="0.2">
      <c r="A1" s="5"/>
      <c r="B1" s="5"/>
      <c r="C1" s="5"/>
      <c r="D1" s="5"/>
      <c r="E1" s="5"/>
      <c r="F1" s="5"/>
      <c r="G1" s="5"/>
      <c r="H1" s="5"/>
      <c r="I1" s="5"/>
      <c r="J1" s="5"/>
      <c r="K1" s="5"/>
      <c r="L1" s="5"/>
      <c r="M1" s="5"/>
      <c r="N1" s="5"/>
      <c r="O1" s="5"/>
      <c r="P1" s="501" t="s">
        <v>31</v>
      </c>
      <c r="Q1" s="501"/>
      <c r="R1" s="501"/>
      <c r="S1" s="506" t="s">
        <v>472</v>
      </c>
      <c r="T1" s="501"/>
      <c r="U1" s="175"/>
      <c r="V1" s="501" t="s">
        <v>473</v>
      </c>
      <c r="W1" s="501"/>
      <c r="X1" s="5"/>
      <c r="Y1" s="501" t="s">
        <v>24</v>
      </c>
      <c r="Z1" s="501"/>
      <c r="AA1" s="50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01" t="s">
        <v>488</v>
      </c>
      <c r="BJ1" s="501"/>
      <c r="BK1" s="501"/>
      <c r="BL1" s="501"/>
      <c r="BM1" s="501"/>
      <c r="BN1" s="501"/>
      <c r="BO1" s="501"/>
      <c r="BP1" s="501"/>
      <c r="BQ1" s="502"/>
      <c r="BR1" s="502"/>
      <c r="BS1" s="502"/>
      <c r="BT1" s="502"/>
      <c r="BU1" s="5"/>
      <c r="BW1" s="503" t="s">
        <v>296</v>
      </c>
      <c r="BX1" s="453"/>
      <c r="BY1" s="453"/>
      <c r="BZ1" s="28"/>
      <c r="CA1" s="5"/>
      <c r="CB1" s="5"/>
      <c r="CC1" s="28"/>
      <c r="CD1" s="28"/>
      <c r="CE1" s="28"/>
      <c r="CF1" s="28"/>
      <c r="CG1" s="28"/>
      <c r="CH1" s="28"/>
      <c r="CI1" s="28"/>
      <c r="CJ1" s="28"/>
      <c r="CK1" s="5"/>
      <c r="CL1" s="5"/>
      <c r="CM1" s="5"/>
      <c r="CO1" s="501" t="s">
        <v>310</v>
      </c>
      <c r="CP1" s="501"/>
      <c r="CQ1" s="501"/>
      <c r="CR1" s="502"/>
      <c r="CS1" s="502"/>
      <c r="CT1" s="502"/>
      <c r="CU1" s="502"/>
      <c r="CV1" s="502"/>
      <c r="CW1" s="502"/>
      <c r="CX1" s="57"/>
      <c r="CY1" s="57"/>
      <c r="CZ1" s="57"/>
      <c r="DA1" s="57"/>
      <c r="DB1" s="57"/>
      <c r="DC1" s="5"/>
      <c r="DD1" s="5"/>
      <c r="DF1" s="5" t="s">
        <v>253</v>
      </c>
    </row>
    <row r="2" spans="1:113" x14ac:dyDescent="0.2">
      <c r="A2" s="5"/>
      <c r="B2" s="5"/>
      <c r="C2" s="5"/>
      <c r="D2" s="5"/>
      <c r="E2" s="254" t="str">
        <f>Overview!$A$22</f>
        <v>Spearman</v>
      </c>
      <c r="F2" s="254" t="str">
        <f>Overview!$A$23</f>
        <v>Archer</v>
      </c>
      <c r="G2" s="254" t="str">
        <f>Overview!$A$24</f>
        <v>Knight</v>
      </c>
      <c r="H2" s="254" t="str">
        <f>Overview!$A$25</f>
        <v>Cavalry</v>
      </c>
      <c r="I2" s="254" t="s">
        <v>25</v>
      </c>
      <c r="J2" s="254" t="s">
        <v>1081</v>
      </c>
      <c r="K2" s="254" t="s">
        <v>26</v>
      </c>
      <c r="L2" s="254" t="s">
        <v>27</v>
      </c>
      <c r="M2" s="5"/>
      <c r="N2" s="5"/>
      <c r="O2" s="5"/>
      <c r="P2" s="28"/>
      <c r="Q2" s="28"/>
      <c r="R2" s="28"/>
      <c r="S2" s="255"/>
      <c r="T2" s="28"/>
      <c r="U2" s="175"/>
      <c r="V2" s="28"/>
      <c r="W2" s="28"/>
      <c r="X2" s="5"/>
      <c r="Y2" s="5"/>
      <c r="Z2" s="5"/>
      <c r="AA2" s="5"/>
      <c r="AB2" s="5"/>
      <c r="AC2" s="5"/>
      <c r="AD2" s="5"/>
      <c r="AE2" s="5"/>
      <c r="AF2" s="5"/>
      <c r="AG2" s="254" t="str">
        <f>Overview!$A$22</f>
        <v>Spearman</v>
      </c>
      <c r="AH2" s="254" t="str">
        <f>Overview!$A$23</f>
        <v>Archer</v>
      </c>
      <c r="AI2" s="254" t="str">
        <f>Overview!$A$24</f>
        <v>Knight</v>
      </c>
      <c r="AJ2" s="254" t="str">
        <f>Overview!$A$25</f>
        <v>Cavalry</v>
      </c>
      <c r="AK2" s="254" t="s">
        <v>25</v>
      </c>
      <c r="AL2" s="254" t="s">
        <v>1081</v>
      </c>
      <c r="AM2" s="254" t="s">
        <v>26</v>
      </c>
      <c r="AN2" s="254" t="s">
        <v>27</v>
      </c>
      <c r="AO2" s="5"/>
      <c r="AQ2" s="5"/>
      <c r="AR2" s="256" t="str">
        <f>INDEX(Constants!A137:B158,MATCH(race,Constants!A137:A158,0),2)</f>
        <v>Ore</v>
      </c>
      <c r="AS2" s="5"/>
      <c r="AT2" s="256" t="str">
        <f>AR2</f>
        <v>Ore</v>
      </c>
      <c r="AU2" s="5"/>
      <c r="AV2" s="5"/>
      <c r="AX2" s="254" t="s">
        <v>24</v>
      </c>
      <c r="AY2" s="254" t="str">
        <f>Overview!$A$22</f>
        <v>Spearman</v>
      </c>
      <c r="AZ2" s="254" t="str">
        <f>Overview!$A$23</f>
        <v>Archer</v>
      </c>
      <c r="BA2" s="254" t="str">
        <f>Overview!$A$24</f>
        <v>Knight</v>
      </c>
      <c r="BB2" s="254" t="str">
        <f>Overview!$A$25</f>
        <v>Cavalry</v>
      </c>
      <c r="BC2" s="254" t="s">
        <v>25</v>
      </c>
      <c r="BD2" s="254" t="s">
        <v>1081</v>
      </c>
      <c r="BE2" s="254" t="s">
        <v>26</v>
      </c>
      <c r="BF2" s="254"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1081</v>
      </c>
      <c r="K3" s="137" t="s">
        <v>26</v>
      </c>
      <c r="L3" s="137" t="s">
        <v>27</v>
      </c>
      <c r="M3" s="137" t="s">
        <v>770</v>
      </c>
      <c r="N3" s="137" t="s">
        <v>230</v>
      </c>
      <c r="O3" s="137" t="s">
        <v>771</v>
      </c>
      <c r="P3" s="137" t="s">
        <v>188</v>
      </c>
      <c r="Q3" s="137" t="s">
        <v>795</v>
      </c>
      <c r="R3" s="137" t="s">
        <v>227</v>
      </c>
      <c r="S3" s="257" t="s">
        <v>474</v>
      </c>
      <c r="T3" s="137" t="s">
        <v>471</v>
      </c>
      <c r="U3" s="137" t="s">
        <v>796</v>
      </c>
      <c r="V3" s="258" t="s">
        <v>864</v>
      </c>
      <c r="W3" s="137" t="s">
        <v>865</v>
      </c>
      <c r="X3" s="137" t="s">
        <v>1</v>
      </c>
      <c r="Y3" s="137" t="s">
        <v>179</v>
      </c>
      <c r="Z3" s="137" t="s">
        <v>178</v>
      </c>
      <c r="AA3" s="137" t="s">
        <v>24</v>
      </c>
      <c r="AB3" s="137" t="s">
        <v>785</v>
      </c>
      <c r="AC3" s="137" t="s">
        <v>183</v>
      </c>
      <c r="AD3" s="137" t="s">
        <v>786</v>
      </c>
      <c r="AE3" s="137" t="s">
        <v>850</v>
      </c>
      <c r="AF3" s="137" t="s">
        <v>309</v>
      </c>
      <c r="AG3" s="137" t="s">
        <v>779</v>
      </c>
      <c r="AH3" s="137" t="s">
        <v>780</v>
      </c>
      <c r="AI3" s="137" t="s">
        <v>781</v>
      </c>
      <c r="AJ3" s="137" t="s">
        <v>782</v>
      </c>
      <c r="AK3" s="137" t="s">
        <v>783</v>
      </c>
      <c r="AL3" s="137" t="s">
        <v>1080</v>
      </c>
      <c r="AM3" s="137" t="s">
        <v>784</v>
      </c>
      <c r="AN3" s="137" t="s">
        <v>1079</v>
      </c>
      <c r="AO3" s="137" t="s">
        <v>1117</v>
      </c>
      <c r="AP3" s="137" t="s">
        <v>1043</v>
      </c>
      <c r="AQ3" s="137" t="s">
        <v>2</v>
      </c>
      <c r="AR3" s="257" t="s">
        <v>1002</v>
      </c>
      <c r="AS3" s="137" t="s">
        <v>797</v>
      </c>
      <c r="AT3" s="257" t="s">
        <v>1003</v>
      </c>
      <c r="AU3" s="137" t="s">
        <v>1040</v>
      </c>
      <c r="AV3" s="137" t="s">
        <v>1042</v>
      </c>
      <c r="AW3" s="137" t="s">
        <v>773</v>
      </c>
      <c r="AX3" s="137" t="s">
        <v>788</v>
      </c>
      <c r="AY3" s="137" t="s">
        <v>789</v>
      </c>
      <c r="AZ3" s="137" t="s">
        <v>790</v>
      </c>
      <c r="BA3" s="137" t="s">
        <v>791</v>
      </c>
      <c r="BB3" s="137" t="s">
        <v>792</v>
      </c>
      <c r="BC3" s="137" t="s">
        <v>793</v>
      </c>
      <c r="BD3" s="137" t="s">
        <v>1082</v>
      </c>
      <c r="BE3" s="137" t="s">
        <v>794</v>
      </c>
      <c r="BF3" s="137" t="s">
        <v>1083</v>
      </c>
      <c r="BG3" s="137" t="s">
        <v>1010</v>
      </c>
      <c r="BH3" s="137" t="s">
        <v>231</v>
      </c>
      <c r="BI3" s="137" t="s">
        <v>352</v>
      </c>
      <c r="BJ3" s="137" t="s">
        <v>489</v>
      </c>
      <c r="BK3" s="137" t="s">
        <v>490</v>
      </c>
      <c r="BL3" s="137" t="s">
        <v>491</v>
      </c>
      <c r="BM3" s="137" t="s">
        <v>492</v>
      </c>
      <c r="BN3" s="137" t="s">
        <v>493</v>
      </c>
      <c r="BO3" s="137" t="s">
        <v>494</v>
      </c>
      <c r="BP3" s="137" t="s">
        <v>495</v>
      </c>
      <c r="BQ3" s="137" t="s">
        <v>496</v>
      </c>
      <c r="BR3" s="137" t="s">
        <v>893</v>
      </c>
      <c r="BS3" s="137" t="s">
        <v>1084</v>
      </c>
      <c r="BT3" s="137" t="s">
        <v>894</v>
      </c>
      <c r="BU3" s="137" t="s">
        <v>895</v>
      </c>
      <c r="BV3" s="137" t="s">
        <v>353</v>
      </c>
      <c r="BW3" s="137" t="s">
        <v>1133</v>
      </c>
      <c r="BX3" s="137" t="s">
        <v>295</v>
      </c>
      <c r="BY3" s="137" t="s">
        <v>124</v>
      </c>
      <c r="BZ3" s="137" t="s">
        <v>1005</v>
      </c>
      <c r="CA3" s="137" t="s">
        <v>1004</v>
      </c>
      <c r="CB3" s="137" t="s">
        <v>139</v>
      </c>
      <c r="CC3" s="137" t="s">
        <v>132</v>
      </c>
      <c r="CD3" s="137" t="s">
        <v>1066</v>
      </c>
      <c r="CE3" s="137" t="s">
        <v>1067</v>
      </c>
      <c r="CF3" s="137" t="s">
        <v>326</v>
      </c>
      <c r="CG3" s="137" t="s">
        <v>327</v>
      </c>
      <c r="CH3" s="137" t="s">
        <v>331</v>
      </c>
      <c r="CI3" s="137" t="s">
        <v>332</v>
      </c>
      <c r="CJ3" s="137" t="s">
        <v>143</v>
      </c>
      <c r="CK3" s="137" t="s">
        <v>498</v>
      </c>
      <c r="CL3" s="137" t="s">
        <v>1143</v>
      </c>
      <c r="CM3" s="137" t="s">
        <v>1142</v>
      </c>
      <c r="CN3" s="259" t="s">
        <v>774</v>
      </c>
      <c r="CO3" s="259" t="s">
        <v>775</v>
      </c>
      <c r="CP3" s="259" t="s">
        <v>776</v>
      </c>
      <c r="CQ3" s="137" t="s">
        <v>1006</v>
      </c>
      <c r="CR3" s="137" t="s">
        <v>879</v>
      </c>
      <c r="CS3" s="137" t="s">
        <v>880</v>
      </c>
      <c r="CT3" s="137" t="s">
        <v>881</v>
      </c>
      <c r="CU3" s="137" t="s">
        <v>882</v>
      </c>
      <c r="CV3" s="137" t="s">
        <v>883</v>
      </c>
      <c r="CW3" s="137" t="s">
        <v>884</v>
      </c>
      <c r="CX3" s="137" t="s">
        <v>885</v>
      </c>
      <c r="CY3" s="137" t="s">
        <v>886</v>
      </c>
      <c r="CZ3" s="137" t="s">
        <v>887</v>
      </c>
      <c r="DA3" s="137" t="s">
        <v>888</v>
      </c>
      <c r="DB3" s="137" t="s">
        <v>889</v>
      </c>
      <c r="DC3" s="259" t="s">
        <v>777</v>
      </c>
      <c r="DD3" s="137" t="s">
        <v>1074</v>
      </c>
      <c r="DE3" s="259" t="s">
        <v>778</v>
      </c>
      <c r="DF3" s="137" t="s">
        <v>890</v>
      </c>
      <c r="DG3" s="137" t="s">
        <v>1126</v>
      </c>
      <c r="DH3" s="137" t="s">
        <v>891</v>
      </c>
      <c r="DI3" s="137" t="s">
        <v>892</v>
      </c>
    </row>
    <row r="4" spans="1:113" x14ac:dyDescent="0.2">
      <c r="A4" s="139">
        <f>TblRezone[[#This Row],[Hour]]</f>
        <v>1</v>
      </c>
      <c r="B4" s="260">
        <f ca="1">SUM(TblMili[[#This Row],[Unit 1]:[Archmages]])+SUM(TblMili[[#This Row],[Train Unit 1]:[Train Unit 4]])+TblMili[[#This Row],[Draftees]]</f>
        <v>300</v>
      </c>
      <c r="C4" s="159">
        <f ca="1">TblPop[[#This Row],[Military%]]</f>
        <v>0.1875</v>
      </c>
      <c r="D4" s="144"/>
      <c r="E4" s="421">
        <f>start_op_specs - TblMili[[#This Row],[Release Unit 1]]</f>
        <v>0</v>
      </c>
      <c r="F4" s="421">
        <f>start_dp_specs - TblMili[[#This Row],[Release Unit 2]]+days_late*days_late_def_specs</f>
        <v>150</v>
      </c>
      <c r="G4" s="421">
        <f>start_elite1s - TblMili[[#This Row],[Release Unit 3]]</f>
        <v>0</v>
      </c>
      <c r="H4" s="421">
        <f>start_elite2s - TblMili[[#This Row],[Release Unit 4]]</f>
        <v>0</v>
      </c>
      <c r="I4" s="422">
        <f>start_spies -TblMili[[#This Row],[Release Spies]]-TblMili[[#This Row],[Train AS]]</f>
        <v>25</v>
      </c>
      <c r="J4" s="422">
        <f>start_ass - TblMili[[#This Row],[Release AS]]</f>
        <v>0</v>
      </c>
      <c r="K4" s="422">
        <f>start_wizards  - TblMili[[#This Row],[Train AM]] - TblMili[[#This Row],[Release Wizards]]</f>
        <v>25</v>
      </c>
      <c r="L4" s="421">
        <f>start_ams  - TblMili[[#This Row],[Release AM]]</f>
        <v>0</v>
      </c>
      <c r="M4" s="144"/>
      <c r="N4" s="96">
        <f ca="1">TblProd[[#This Row],[Networth]]</f>
        <v>6450</v>
      </c>
      <c r="O4" s="144"/>
      <c r="P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1">
        <f ca="1">TblMili[[#This Row],[Raw]]*(1+TblMili[[#This Row],[Mods_Off]])</f>
        <v>0</v>
      </c>
      <c r="S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 s="261">
        <f ca="1">TblMili[[#This Row],[Non Draft]]+TblMili[[#This Row],[Draftees]]</f>
        <v>550</v>
      </c>
      <c r="U4" s="262">
        <f ca="1">race_defense + TblImps[[#This Row],[Walls]] + ROUND( MIN(gt_bonus*TblConstr[[#This Row],[Tot GT]]/TblConstr[[#This Row],[Land]],gt_bonus_cap), 4) + IF(TblMagic[[#This Row],[Active Howling]]&gt;0,howling_dp_bonus,IF(TblMagic[[#This Row],[Active Ares Call]]&gt;0,ares_call_bonus))</f>
        <v>0</v>
      </c>
      <c r="V4" s="263">
        <f ca="1">TblMili[[#This Row],[Non Draft]] * (1 + TblMili[[#This Row],[Mods_Def]])</f>
        <v>450</v>
      </c>
      <c r="W4" s="261">
        <f ca="1">TblMili[[#This Row],[Draft]] * (1 + TblMili[[#This Row],[Mods_Def]])</f>
        <v>550</v>
      </c>
      <c r="X4" s="261">
        <f ca="1">TblConstr[[#This Row],[Land]]</f>
        <v>250</v>
      </c>
      <c r="Y4" s="264"/>
      <c r="Z4" s="269">
        <f>IF(TblMili[[#This Row],[Set]]&lt;&gt;"",TblMili[[#This Row],[Set]],0.35)</f>
        <v>0.35</v>
      </c>
      <c r="AA4" s="403">
        <f ca="1">start_draftees - SUM(TblMili[[#This Row],[Train Unit 1]:[Train Spies]],TblMili[[#This Row],[Train Wiz]]) - TblMili[[#This Row],[Release Draft]] + SUM(TblMili[[#This Row],[Release Unit 1]:[Release AM]]) - TblExplore[[#This Row],[Draftees (2)]]+MIN(13,days_late)*days_late_draftees</f>
        <v>100</v>
      </c>
      <c r="AB4" s="156"/>
      <c r="AC4" s="182">
        <f ca="1">(TblConstr[[#This Row],[Tot Smi]]+TblConstr[[#This Row],[Dest Smi]])/(TblConstr[[#This Row],[Land]]-TblExplore[[#This Row],[Land Bonus]]*20)</f>
        <v>0</v>
      </c>
      <c r="AD4" s="260"/>
      <c r="AE4" s="260">
        <f>TblMili[[#This Row],[Hour]]</f>
        <v>1</v>
      </c>
      <c r="AF4" s="140">
        <f>TblExplore[[#This Row],[Time]]</f>
        <v>45732</v>
      </c>
      <c r="AG4" s="181"/>
      <c r="AH4" s="181"/>
      <c r="AI4" s="181"/>
      <c r="AJ4" s="181"/>
      <c r="AK4" s="181"/>
      <c r="AL4" s="181"/>
      <c r="AM4" s="181"/>
      <c r="AN4" s="181"/>
      <c r="AO4" s="448">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45732</v>
      </c>
      <c r="AW4" s="96">
        <f ca="1">TblMili[[#This Row],[Draftees]]</f>
        <v>100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0.44</v>
      </c>
      <c r="BX4" s="159">
        <f ca="1">TblMili[[#This Row],[WG''s]]</f>
        <v>0</v>
      </c>
      <c r="BY4" s="265">
        <f ca="1">IF(mystic_cap="none",TblMili[[#This Row],[Homeland%]]/mystic_bonus,MIN(mystic_cap,TblMili[[#This Row],[Homeland%]]/mystic_bonus))</f>
        <v>2</v>
      </c>
      <c r="BZ4" s="265">
        <f ca="1">IF(druid_op_cap="none",TblMili[[#This Row],[Homeland%]]/druid_op_bonus,MIN(druid_op_cap,TblMili[[#This Row],[Homeland%]]/druid_op_bonus))</f>
        <v>2</v>
      </c>
      <c r="CA4" s="265">
        <f ca="1">IF(druid_dp_cap="none",TblMili[[#This Row],[Homeland%]]/druid_dp_bonus,MIN(druid_dp_cap,TblMili[[#This Row],[Homeland%]]/druid_dp_bonus))</f>
        <v>2</v>
      </c>
      <c r="CB4" s="265">
        <f ca="1">MIN(dryad_cap,TblMili[[#This Row],[Homeland%]]/dryad_bonus)</f>
        <v>2.1999999999999997</v>
      </c>
      <c r="CC4" s="265">
        <f ca="1">MIN(rocka_cap,TblMili[[#This Row],[Homeland%]]/rocka_bonus)</f>
        <v>2</v>
      </c>
      <c r="CD4" s="265">
        <f ca="1">MIN(adept_op_cap,TblMili[[#This Row],[WG]]/adept_op_bonus)</f>
        <v>0</v>
      </c>
      <c r="CE4" s="265">
        <f ca="1">MIN(adept_dp_cap,TblMili[[#This Row],[WG]]/adept_dp_bonus)</f>
        <v>0</v>
      </c>
      <c r="CF4" s="96">
        <f>MIN(TblMili[[#This Row],[Unit 3]],TblMili[[#This Row],[Unit 2]])*2</f>
        <v>0</v>
      </c>
      <c r="CG4" s="96">
        <f>MIN(TblMili[[#This Row],[Unit 1]],TblMili[[#This Row],[Unit 4]])*2</f>
        <v>0</v>
      </c>
      <c r="CH4" s="265">
        <f ca="1">MIN(frost_mage_cap,TblMili[[#This Row],[Homeland%]]/frost_mage_bonus)</f>
        <v>2.1999999999999997</v>
      </c>
      <c r="CI4" s="45">
        <f ca="1">MIN(ice_elem_cap,TblMili[[#This Row],[Raw (2)]]*ice_elem_bonus)</f>
        <v>0.1</v>
      </c>
      <c r="CJ4" s="265">
        <f t="shared" ref="CJ4:CJ35" si="0">MIN(bone_breaker_cap,250/bone_breaker_bonus)</f>
        <v>0.83333333333333337</v>
      </c>
      <c r="CK4" s="265">
        <f ca="1">MIN(nox_nightshade_cap,TblConstr[[#This Row],[Homeland]]/TblConstr[[#This Row],[Land]]/nox_nightshade_swamp_bonus)</f>
        <v>4</v>
      </c>
      <c r="CL4" s="265">
        <f ca="1">MIN(TblConstr[[#This Row],[Tot Tow]]/TblConstr[[#This Row],[Land]]/abyss_enforce_bonus,abyss_enforcer_cap)</f>
        <v>0</v>
      </c>
      <c r="CM4" s="265">
        <f>IF(TblMagic[[#This Row],[Active Demonic Pact]]&gt;0,MIN(TblMili[[#This Row],[Unit 1]],TblMili[[#This Row],[Unit 4]])*demonic_pact_oppair,0)</f>
        <v>0</v>
      </c>
      <c r="CN4" s="266"/>
      <c r="CO4" s="266"/>
      <c r="CP4" s="266"/>
      <c r="CQ4" s="265">
        <f ca="1">MIN(6,TblMili[[#This Row],[Mystic]]+Races!$F$19)*1.8 +  IF(TblMili[[#This Row],[Mystic]]+Races!$F$19&gt;6,(TblMili[[#This Row],[Mystic]]+Races!$F$19-6)*0.2,0) - Races!$I$19</f>
        <v>1</v>
      </c>
      <c r="CR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-0.64000000000000057</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65">
        <f ca="1">1.8 * MIN(MAX(TblMili[[#This Row],[Frost Mage]]+Races!$F$71,Races!$E$71),6)  +  0.45 * MIN(MIN(TblMili[[#This Row],[Frost Mage]]+Races!$F$71,Races!$E$71),6)  +  0.2 * ( MAX(TblMili[[#This Row],[Frost Mage]]+Races!$F$71-6,0) + MAX(Races!$E$71-6,0) )  -  Races!$I$71</f>
        <v>4.7099999999999991</v>
      </c>
      <c r="DA4" s="265">
        <f ca="1">1.8 * MIN(MAX(TblMili[[#This Row],[Ice Elemental]]+Races!$E$71,Races!$F$71),6)  +  0.45 * MIN(MIN(TblMili[[#This Row],[Ice Elemental]]+Races!$E$71,Races!$F$71),6)  +  0.2 * ( MAX(TblMili[[#This Row],[Ice Elemental]]+Races!$E$71-6,0) + MAX(Races!$F$71-6,0) )  -  Races!$I$71</f>
        <v>0.92999999999999972</v>
      </c>
      <c r="DB4" s="96">
        <f ca="1">TblMili[[#This Row],[Frost Mage bonus]]*TblMili[[#This Row],[Unit 3]]+TblMili[[#This Row],[Ice Elemental bonus]]*TblMili[[#This Row],[Unit 4]]</f>
        <v>0</v>
      </c>
      <c r="DC4" s="267"/>
      <c r="DD4" s="145">
        <f ca="1">MIN(SUM(TblConstr[[#This Row],[Plain]:[Water]])/TblMili[[#This Row],[Land]]/favorable_terrain_bonus/100,favorable_terrain_max)</f>
        <v>0.1</v>
      </c>
      <c r="DE4" s="267"/>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 s="144"/>
      <c r="DH4" s="268">
        <f ca="1">(TblMili[[#This Row],[Wizards]]+2*TblMili[[#This Row],[Archmages]])/TblConstr[[#This Row],[Land]]</f>
        <v>0.1</v>
      </c>
      <c r="DI4" s="268">
        <f ca="1">TblMili[[#This Row],[Raw (2)]]*(1+race_wizard_strength+IF(TblMili[[#This Row],[Hour]]&gt;72,tech_magical_weaponry_wiz*TblTech[[#This Row],[3-5]],0))</f>
        <v>0.1</v>
      </c>
    </row>
    <row r="5" spans="1:113" x14ac:dyDescent="0.2">
      <c r="A5" s="139">
        <f>TblRezone[[#This Row],[Hour]]</f>
        <v>2</v>
      </c>
      <c r="B5" s="260">
        <f ca="1">SUM(TblMili[[#This Row],[Unit 1]:[Archmages]])+SUM(OFFSET(TblMili[[#This Row],[Train Unit 1]],-1,0):TblMili[[#This Row],[Train Unit 4]])+TblMili[[#This Row],[Draftees]]</f>
        <v>313</v>
      </c>
      <c r="C5" s="159">
        <f ca="1">TblPop[[#This Row],[Military%]]</f>
        <v>0.19097010372178158</v>
      </c>
      <c r="D5" s="144"/>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4"/>
      <c r="N5" s="96">
        <f ca="1">TblProd[[#This Row],[Networth]]</f>
        <v>6450</v>
      </c>
      <c r="O5" s="144"/>
      <c r="P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1">
        <f ca="1">TblMili[[#This Row],[Raw]]*(1+TblMili[[#This Row],[Mods_Off]])</f>
        <v>0</v>
      </c>
      <c r="S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 s="261">
        <f ca="1">TblMili[[#This Row],[Non Draft]]+TblMili[[#This Row],[Draftees]]</f>
        <v>563</v>
      </c>
      <c r="U5" s="262">
        <f ca="1">race_defense + TblImps[[#This Row],[Walls]] + ROUND( MIN(gt_bonus*TblConstr[[#This Row],[Tot GT]]/TblConstr[[#This Row],[Land]],gt_bonus_cap), 4) + IF(TblMagic[[#This Row],[Active Howling]]&gt;0,howling_dp_bonus,IF(TblMagic[[#This Row],[Active Ares Call]]&gt;0,ares_call_bonus))</f>
        <v>0</v>
      </c>
      <c r="V5" s="263">
        <f ca="1">TblMili[[#This Row],[Non Draft]] * (1 + TblMili[[#This Row],[Mods_Def]])</f>
        <v>450</v>
      </c>
      <c r="W5" s="261">
        <f ca="1">TblMili[[#This Row],[Draft]] * (1 + TblMili[[#This Row],[Mods_Def]])</f>
        <v>563</v>
      </c>
      <c r="X5" s="261">
        <f ca="1">TblConstr[[#This Row],[Land]]</f>
        <v>250</v>
      </c>
      <c r="Y5" s="264"/>
      <c r="Z5" s="269">
        <f ca="1">IF(TblMili[[#This Row],[Set]]&lt;&gt;"",TblMili[[#This Row],[Set]],OFFSET(TblMili[[#This Row],[Draftrate]],-1,0))</f>
        <v>0.35</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6"/>
      <c r="AC5" s="182">
        <f ca="1">(TblConstr[[#This Row],[Tot Smi]]+TblConstr[[#This Row],[Dest Smi]])/(TblConstr[[#This Row],[Land]]-TblExplore[[#This Row],[Land Bonus]]*20)</f>
        <v>0</v>
      </c>
      <c r="AD5" s="139"/>
      <c r="AE5" s="260">
        <f>TblMili[[#This Row],[Hour]]</f>
        <v>2</v>
      </c>
      <c r="AF5" s="140">
        <f ca="1">TblExplore[[#This Row],[Time]]</f>
        <v>45732.041666666664</v>
      </c>
      <c r="AG5" s="181"/>
      <c r="AH5" s="181"/>
      <c r="AI5" s="181"/>
      <c r="AJ5" s="181"/>
      <c r="AK5" s="181"/>
      <c r="AL5" s="181"/>
      <c r="AM5" s="181"/>
      <c r="AN5" s="181"/>
      <c r="AO5" s="448">
        <f ca="1">ROUND(IF(AND(TblMagic[[#This Row],[Active DnD]]&lt;12,TblMagic[[#This Row],[Active DnD]]&gt;5),OFFSET(TblPop[[#This Row],[Draft Growth]],-1,0)*0.375,0),0)</f>
        <v>0</v>
      </c>
      <c r="AP5" s="144"/>
      <c r="AQ5" s="96">
        <f ca="1">TblProd[[#This Row],[Platinum]]</f>
        <v>124860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45732.041666666664</v>
      </c>
      <c r="AW5" s="96">
        <f ca="1">TblMili[[#This Row],[Draftees]]</f>
        <v>113</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0.44</v>
      </c>
      <c r="BX5" s="159">
        <f ca="1">TblMili[[#This Row],[WG''s]]</f>
        <v>0</v>
      </c>
      <c r="BY5" s="265">
        <f ca="1">IF(mystic_cap="none",TblMili[[#This Row],[Homeland%]]/mystic_bonus,MIN(mystic_cap,TblMili[[#This Row],[Homeland%]]/mystic_bonus))</f>
        <v>2</v>
      </c>
      <c r="BZ5" s="265">
        <f ca="1">IF(druid_op_cap="none",TblMili[[#This Row],[Homeland%]]/druid_op_bonus,MIN(druid_op_cap,TblMili[[#This Row],[Homeland%]]/druid_op_bonus))</f>
        <v>2</v>
      </c>
      <c r="CA5" s="265">
        <f ca="1">IF(druid_dp_cap="none",TblMili[[#This Row],[Homeland%]]/druid_dp_bonus,MIN(druid_dp_cap,TblMili[[#This Row],[Homeland%]]/druid_dp_bonus))</f>
        <v>2</v>
      </c>
      <c r="CB5" s="265">
        <f ca="1">MIN(dryad_cap,TblMili[[#This Row],[Homeland%]]/dryad_bonus)</f>
        <v>2.1999999999999997</v>
      </c>
      <c r="CC5" s="265">
        <f ca="1">MIN(rocka_cap,TblMili[[#This Row],[Homeland%]]/rocka_bonus)</f>
        <v>2</v>
      </c>
      <c r="CD5" s="265">
        <f ca="1">MIN(adept_op_cap,TblMili[[#This Row],[WG]]/adept_op_bonus)</f>
        <v>0</v>
      </c>
      <c r="CE5" s="265">
        <f ca="1">MIN(adept_dp_cap,TblMili[[#This Row],[WG]]/adept_dp_bonus)</f>
        <v>0</v>
      </c>
      <c r="CF5" s="96">
        <f ca="1">MIN(TblMili[[#This Row],[Unit 3]],TblMili[[#This Row],[Unit 2]])*2</f>
        <v>0</v>
      </c>
      <c r="CG5" s="96">
        <f ca="1">MIN(TblMili[[#This Row],[Unit 1]],TblMili[[#This Row],[Unit 4]])*2</f>
        <v>0</v>
      </c>
      <c r="CH5" s="265">
        <f ca="1">MIN(frost_mage_cap,TblMili[[#This Row],[Homeland%]]/frost_mage_bonus)</f>
        <v>2.1999999999999997</v>
      </c>
      <c r="CI5" s="45">
        <f ca="1">MIN(ice_elem_cap,TblMili[[#This Row],[Raw (2)]]*ice_elem_bonus)</f>
        <v>0.1</v>
      </c>
      <c r="CJ5" s="265">
        <f t="shared" si="0"/>
        <v>0.83333333333333337</v>
      </c>
      <c r="CK5" s="265">
        <f ca="1">MIN(nox_nightshade_cap,TblConstr[[#This Row],[Homeland]]/TblConstr[[#This Row],[Land]]/nox_nightshade_swamp_bonus)</f>
        <v>4</v>
      </c>
      <c r="CL5" s="265">
        <f ca="1">MIN(TblConstr[[#This Row],[Tot Tow]]/TblConstr[[#This Row],[Land]]/abyss_enforce_bonus,abyss_enforcer_cap)</f>
        <v>0</v>
      </c>
      <c r="CM5" s="265">
        <f ca="1">IF(TblMagic[[#This Row],[Active Demonic Pact]]&gt;0,MIN(TblMili[[#This Row],[Unit 1]],TblMili[[#This Row],[Unit 4]])*demonic_pact_oppair,0)</f>
        <v>0</v>
      </c>
      <c r="CN5" s="266" t="s">
        <v>92</v>
      </c>
      <c r="CO5" s="266" t="b">
        <f t="shared" ref="CO5:CO12" si="1">race=CN5</f>
        <v>0</v>
      </c>
      <c r="CP5" s="266"/>
      <c r="CQ5" s="265">
        <f ca="1">MIN(6,TblMili[[#This Row],[Mystic]]+Races!$F$19)*1.8 +  IF(TblMili[[#This Row],[Mystic]]+Races!$F$19&gt;6,(TblMili[[#This Row],[Mystic]]+Races!$F$19-6)*0.2,0) - Races!$I$19</f>
        <v>1</v>
      </c>
      <c r="CR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-0.64000000000000057</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4.7099999999999991</v>
      </c>
      <c r="DA5" s="157">
        <f ca="1">1.8 * MIN(MAX(TblMili[[#This Row],[Ice Elemental]]+Races!$E$71,Races!$F$71),6)  +  0.45 * MIN(MIN(TblMili[[#This Row],[Ice Elemental]]+Races!$E$71,Races!$F$71),6)  +  0.2 * ( MAX(TblMili[[#This Row],[Ice Elemental]]+Races!$E$71-6,0) + MAX(Races!$F$71-6,0) )  -  Races!$I$71</f>
        <v>0.92999999999999972</v>
      </c>
      <c r="DB5" s="96">
        <f ca="1">TblMili[[#This Row],[Frost Mage bonus]]*TblMili[[#This Row],[Unit 3]]+TblMili[[#This Row],[Ice Elemental bonus]]*TblMili[[#This Row],[Unit 4]]</f>
        <v>0</v>
      </c>
      <c r="DC5" s="267"/>
      <c r="DD5" s="145">
        <f ca="1">MIN(SUM(TblConstr[[#This Row],[Plain]:[Water]])/TblMili[[#This Row],[Land]]/favorable_terrain_bonus/100,favorable_terrain_max)</f>
        <v>0.1</v>
      </c>
      <c r="DE5" s="267"/>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 s="144"/>
      <c r="DH5" s="268">
        <f ca="1">(TblMili[[#This Row],[Wizards]]+2*TblMili[[#This Row],[Archmages]])/TblConstr[[#This Row],[Land]]</f>
        <v>0.1</v>
      </c>
      <c r="DI5" s="268">
        <f ca="1">TblMili[[#This Row],[Raw (2)]]*(1+race_wizard_strength+IF(TblMili[[#This Row],[Hour]]&gt;72,tech_magical_weaponry_wiz*TblTech[[#This Row],[3-5]],0))</f>
        <v>0.1</v>
      </c>
    </row>
    <row r="6" spans="1:113" x14ac:dyDescent="0.2">
      <c r="A6" s="139">
        <f>TblRezone[[#This Row],[Hour]]</f>
        <v>3</v>
      </c>
      <c r="B6" s="260">
        <f ca="1">SUM(TblMili[[#This Row],[Unit 1]:[Archmages]])+SUM(OFFSET(TblMili[[#This Row],[Train Unit 1]],-2,0):TblMili[[#This Row],[Train Unit 4]])+TblMili[[#This Row],[Draftees]]</f>
        <v>326</v>
      </c>
      <c r="C6" s="159">
        <f ca="1">TblPop[[#This Row],[Military%]]</f>
        <v>0.19427890345649582</v>
      </c>
      <c r="D6" s="144"/>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4"/>
      <c r="N6" s="96">
        <f ca="1">TblProd[[#This Row],[Networth]]</f>
        <v>6450</v>
      </c>
      <c r="O6" s="144"/>
      <c r="P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1">
        <f ca="1">TblMili[[#This Row],[Raw]]*(1+TblMili[[#This Row],[Mods_Off]])</f>
        <v>0</v>
      </c>
      <c r="S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 s="261">
        <f ca="1">TblMili[[#This Row],[Non Draft]]+TblMili[[#This Row],[Draftees]]</f>
        <v>576</v>
      </c>
      <c r="U6" s="262">
        <f ca="1">race_defense + TblImps[[#This Row],[Walls]] + ROUND( MIN(gt_bonus*TblConstr[[#This Row],[Tot GT]]/TblConstr[[#This Row],[Land]],gt_bonus_cap), 4) + IF(TblMagic[[#This Row],[Active Howling]]&gt;0,howling_dp_bonus,IF(TblMagic[[#This Row],[Active Ares Call]]&gt;0,ares_call_bonus))</f>
        <v>0</v>
      </c>
      <c r="V6" s="263">
        <f ca="1">TblMili[[#This Row],[Non Draft]] * (1 + TblMili[[#This Row],[Mods_Def]])</f>
        <v>450</v>
      </c>
      <c r="W6" s="261">
        <f ca="1">TblMili[[#This Row],[Draft]] * (1 + TblMili[[#This Row],[Mods_Def]])</f>
        <v>576</v>
      </c>
      <c r="X6" s="261">
        <f ca="1">TblConstr[[#This Row],[Land]]</f>
        <v>250</v>
      </c>
      <c r="Y6" s="264"/>
      <c r="Z6" s="269">
        <f ca="1">IF(TblMili[[#This Row],[Set]]&lt;&gt;"",TblMili[[#This Row],[Set]],OFFSET(TblMili[[#This Row],[Draftrate]],-1,0))</f>
        <v>0.35</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6"/>
      <c r="AC6" s="182">
        <f ca="1">(TblConstr[[#This Row],[Tot Smi]]+TblConstr[[#This Row],[Dest Smi]])/(TblConstr[[#This Row],[Land]]-TblExplore[[#This Row],[Land Bonus]]*20)</f>
        <v>0</v>
      </c>
      <c r="AD6" s="139"/>
      <c r="AE6" s="260">
        <f>TblMili[[#This Row],[Hour]]</f>
        <v>3</v>
      </c>
      <c r="AF6" s="140">
        <f ca="1">TblExplore[[#This Row],[Time]]</f>
        <v>45732.083333333328</v>
      </c>
      <c r="AG6" s="181"/>
      <c r="AH6" s="181"/>
      <c r="AI6" s="181"/>
      <c r="AJ6" s="181"/>
      <c r="AK6" s="181"/>
      <c r="AL6" s="181"/>
      <c r="AM6" s="181"/>
      <c r="AN6" s="181"/>
      <c r="AO6" s="448">
        <f ca="1">ROUND(IF(AND(TblMagic[[#This Row],[Active DnD]]&lt;12,TblMagic[[#This Row],[Active DnD]]&gt;5),OFFSET(TblPop[[#This Row],[Draft Growth]],-1,0)*0.375,0),0)</f>
        <v>0</v>
      </c>
      <c r="AP6" s="144"/>
      <c r="AQ6" s="96">
        <f ca="1">TblProd[[#This Row],[Platinum]]</f>
        <v>129790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45732.083333333328</v>
      </c>
      <c r="AW6" s="96">
        <f ca="1">TblMili[[#This Row],[Draftees]]</f>
        <v>126</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0.44</v>
      </c>
      <c r="BX6" s="159">
        <f ca="1">TblMili[[#This Row],[WG''s]]</f>
        <v>0</v>
      </c>
      <c r="BY6" s="265">
        <f ca="1">IF(mystic_cap="none",TblMili[[#This Row],[Homeland%]]/mystic_bonus,MIN(mystic_cap,TblMili[[#This Row],[Homeland%]]/mystic_bonus))</f>
        <v>2</v>
      </c>
      <c r="BZ6" s="265">
        <f ca="1">IF(druid_op_cap="none",TblMili[[#This Row],[Homeland%]]/druid_op_bonus,MIN(druid_op_cap,TblMili[[#This Row],[Homeland%]]/druid_op_bonus))</f>
        <v>2</v>
      </c>
      <c r="CA6" s="265">
        <f ca="1">IF(druid_dp_cap="none",TblMili[[#This Row],[Homeland%]]/druid_dp_bonus,MIN(druid_dp_cap,TblMili[[#This Row],[Homeland%]]/druid_dp_bonus))</f>
        <v>2</v>
      </c>
      <c r="CB6" s="265">
        <f ca="1">MIN(dryad_cap,TblMili[[#This Row],[Homeland%]]/dryad_bonus)</f>
        <v>2.1999999999999997</v>
      </c>
      <c r="CC6" s="265">
        <f ca="1">MIN(rocka_cap,TblMili[[#This Row],[Homeland%]]/rocka_bonus)</f>
        <v>2</v>
      </c>
      <c r="CD6" s="265">
        <f ca="1">MIN(adept_op_cap,TblMili[[#This Row],[WG]]/adept_op_bonus)</f>
        <v>0</v>
      </c>
      <c r="CE6" s="265">
        <f ca="1">MIN(adept_dp_cap,TblMili[[#This Row],[WG]]/adept_dp_bonus)</f>
        <v>0</v>
      </c>
      <c r="CF6" s="96">
        <f ca="1">MIN(TblMili[[#This Row],[Unit 3]],TblMili[[#This Row],[Unit 2]])*2</f>
        <v>0</v>
      </c>
      <c r="CG6" s="96">
        <f ca="1">MIN(TblMili[[#This Row],[Unit 1]],TblMili[[#This Row],[Unit 4]])*2</f>
        <v>0</v>
      </c>
      <c r="CH6" s="265">
        <f ca="1">MIN(frost_mage_cap,TblMili[[#This Row],[Homeland%]]/frost_mage_bonus)</f>
        <v>2.1999999999999997</v>
      </c>
      <c r="CI6" s="45">
        <f ca="1">MIN(ice_elem_cap,TblMili[[#This Row],[Raw (2)]]*ice_elem_bonus)</f>
        <v>0.1</v>
      </c>
      <c r="CJ6" s="265">
        <f t="shared" si="0"/>
        <v>0.83333333333333337</v>
      </c>
      <c r="CK6" s="265">
        <f ca="1">MIN(nox_nightshade_cap,TblConstr[[#This Row],[Homeland]]/TblConstr[[#This Row],[Land]]/nox_nightshade_swamp_bonus)</f>
        <v>4</v>
      </c>
      <c r="CL6" s="265">
        <f ca="1">MIN(TblConstr[[#This Row],[Tot Tow]]/TblConstr[[#This Row],[Land]]/abyss_enforce_bonus,abyss_enforcer_cap)</f>
        <v>0</v>
      </c>
      <c r="CM6" s="265">
        <f ca="1">IF(TblMagic[[#This Row],[Active Demonic Pact]]&gt;0,MIN(TblMili[[#This Row],[Unit 1]],TblMili[[#This Row],[Unit 4]])*demonic_pact_oppair,0)</f>
        <v>0</v>
      </c>
      <c r="CN6" s="266" t="s">
        <v>96</v>
      </c>
      <c r="CO6" s="266" t="b">
        <f t="shared" si="1"/>
        <v>0</v>
      </c>
      <c r="CP6" s="266"/>
      <c r="CQ6" s="265">
        <f ca="1">MIN(6,TblMili[[#This Row],[Mystic]]+Races!$F$19)*1.8 +  IF(TblMili[[#This Row],[Mystic]]+Races!$F$19&gt;6,(TblMili[[#This Row],[Mystic]]+Races!$F$19-6)*0.2,0) - Races!$I$19</f>
        <v>1</v>
      </c>
      <c r="CR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-0.64000000000000057</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4.7099999999999991</v>
      </c>
      <c r="DA6" s="157">
        <f ca="1">1.8 * MIN(MAX(TblMili[[#This Row],[Ice Elemental]]+Races!$E$71,Races!$F$71),6)  +  0.45 * MIN(MIN(TblMili[[#This Row],[Ice Elemental]]+Races!$E$71,Races!$F$71),6)  +  0.2 * ( MAX(TblMili[[#This Row],[Ice Elemental]]+Races!$E$71-6,0) + MAX(Races!$F$71-6,0) )  -  Races!$I$71</f>
        <v>0.92999999999999972</v>
      </c>
      <c r="DB6" s="96">
        <f ca="1">TblMili[[#This Row],[Frost Mage bonus]]*TblMili[[#This Row],[Unit 3]]+TblMili[[#This Row],[Ice Elemental bonus]]*TblMili[[#This Row],[Unit 4]]</f>
        <v>0</v>
      </c>
      <c r="DC6" s="267"/>
      <c r="DD6" s="145">
        <f ca="1">MIN(SUM(TblConstr[[#This Row],[Plain]:[Water]])/TblMili[[#This Row],[Land]]/favorable_terrain_bonus/100,favorable_terrain_max)</f>
        <v>0.1</v>
      </c>
      <c r="DE6" s="267"/>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 s="144"/>
      <c r="DH6" s="268">
        <f ca="1">(TblMili[[#This Row],[Wizards]]+2*TblMili[[#This Row],[Archmages]])/TblConstr[[#This Row],[Land]]</f>
        <v>0.1</v>
      </c>
      <c r="DI6" s="268">
        <f ca="1">TblMili[[#This Row],[Raw (2)]]*(1+race_wizard_strength+IF(TblMili[[#This Row],[Hour]]&gt;72,tech_magical_weaponry_wiz*TblTech[[#This Row],[3-5]],0))</f>
        <v>0.1</v>
      </c>
    </row>
    <row r="7" spans="1:113" x14ac:dyDescent="0.2">
      <c r="A7" s="139">
        <f>TblRezone[[#This Row],[Hour]]</f>
        <v>4</v>
      </c>
      <c r="B7" s="260">
        <f ca="1">SUM(TblMili[[#This Row],[Unit 1]:[Archmages]])+SUM(OFFSET(TblMili[[#This Row],[Train Unit 1]],-3,0):TblMili[[#This Row],[Train Unit 4]])+TblMili[[#This Row],[Draftees]]</f>
        <v>340</v>
      </c>
      <c r="C7" s="159">
        <f ca="1">TblPop[[#This Row],[Military%]]</f>
        <v>0.1979045401629802</v>
      </c>
      <c r="D7" s="144"/>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4"/>
      <c r="N7" s="96">
        <f ca="1">TblProd[[#This Row],[Networth]]</f>
        <v>6450</v>
      </c>
      <c r="O7" s="144"/>
      <c r="P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1">
        <f ca="1">TblMili[[#This Row],[Raw]]*(1+TblMili[[#This Row],[Mods_Off]])</f>
        <v>0</v>
      </c>
      <c r="S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 s="261">
        <f ca="1">TblMili[[#This Row],[Non Draft]]+TblMili[[#This Row],[Draftees]]</f>
        <v>590</v>
      </c>
      <c r="U7" s="262">
        <f ca="1">race_defense + TblImps[[#This Row],[Walls]] + ROUND( MIN(gt_bonus*TblConstr[[#This Row],[Tot GT]]/TblConstr[[#This Row],[Land]],gt_bonus_cap), 4) + IF(TblMagic[[#This Row],[Active Howling]]&gt;0,howling_dp_bonus,IF(TblMagic[[#This Row],[Active Ares Call]]&gt;0,ares_call_bonus))</f>
        <v>0</v>
      </c>
      <c r="V7" s="263">
        <f ca="1">TblMili[[#This Row],[Non Draft]] * (1 + TblMili[[#This Row],[Mods_Def]])</f>
        <v>450</v>
      </c>
      <c r="W7" s="261">
        <f ca="1">TblMili[[#This Row],[Draft]] * (1 + TblMili[[#This Row],[Mods_Def]])</f>
        <v>590</v>
      </c>
      <c r="X7" s="261">
        <f ca="1">TblConstr[[#This Row],[Land]]</f>
        <v>250</v>
      </c>
      <c r="Y7" s="264"/>
      <c r="Z7" s="269">
        <f ca="1">IF(TblMili[[#This Row],[Set]]&lt;&gt;"",TblMili[[#This Row],[Set]],OFFSET(TblMili[[#This Row],[Draftrate]],-1,0))</f>
        <v>0.35</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6"/>
      <c r="AC7" s="182">
        <f ca="1">(TblConstr[[#This Row],[Tot Smi]]+TblConstr[[#This Row],[Dest Smi]])/(TblConstr[[#This Row],[Land]]-TblExplore[[#This Row],[Land Bonus]]*20)</f>
        <v>0</v>
      </c>
      <c r="AD7" s="139"/>
      <c r="AE7" s="260">
        <f>TblMili[[#This Row],[Hour]]</f>
        <v>4</v>
      </c>
      <c r="AF7" s="140">
        <f ca="1">TblExplore[[#This Row],[Time]]</f>
        <v>45732.124999999993</v>
      </c>
      <c r="AG7" s="181"/>
      <c r="AH7" s="181"/>
      <c r="AI7" s="181"/>
      <c r="AJ7" s="181"/>
      <c r="AK7" s="181"/>
      <c r="AL7" s="181"/>
      <c r="AM7" s="181"/>
      <c r="AN7" s="181"/>
      <c r="AO7" s="448">
        <f ca="1">ROUND(IF(AND(TblMagic[[#This Row],[Active DnD]]&lt;12,TblMagic[[#This Row],[Active DnD]]&gt;5),OFFSET(TblPop[[#This Row],[Draft Growth]],-1,0)*0.375,0),0)</f>
        <v>0</v>
      </c>
      <c r="AP7" s="144"/>
      <c r="AQ7" s="96">
        <f ca="1">TblProd[[#This Row],[Platinum]]</f>
        <v>134790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45732.124999999993</v>
      </c>
      <c r="AW7" s="96">
        <f ca="1">TblMili[[#This Row],[Draftees]]</f>
        <v>140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0.44</v>
      </c>
      <c r="BX7" s="159">
        <f ca="1">TblMili[[#This Row],[WG''s]]</f>
        <v>0</v>
      </c>
      <c r="BY7" s="265">
        <f ca="1">IF(mystic_cap="none",TblMili[[#This Row],[Homeland%]]/mystic_bonus,MIN(mystic_cap,TblMili[[#This Row],[Homeland%]]/mystic_bonus))</f>
        <v>2</v>
      </c>
      <c r="BZ7" s="265">
        <f ca="1">IF(druid_op_cap="none",TblMili[[#This Row],[Homeland%]]/druid_op_bonus,MIN(druid_op_cap,TblMili[[#This Row],[Homeland%]]/druid_op_bonus))</f>
        <v>2</v>
      </c>
      <c r="CA7" s="265">
        <f ca="1">IF(druid_dp_cap="none",TblMili[[#This Row],[Homeland%]]/druid_dp_bonus,MIN(druid_dp_cap,TblMili[[#This Row],[Homeland%]]/druid_dp_bonus))</f>
        <v>2</v>
      </c>
      <c r="CB7" s="265">
        <f ca="1">MIN(dryad_cap,TblMili[[#This Row],[Homeland%]]/dryad_bonus)</f>
        <v>2.1999999999999997</v>
      </c>
      <c r="CC7" s="265">
        <f ca="1">MIN(rocka_cap,TblMili[[#This Row],[Homeland%]]/rocka_bonus)</f>
        <v>2</v>
      </c>
      <c r="CD7" s="265">
        <f ca="1">MIN(adept_op_cap,TblMili[[#This Row],[WG]]/adept_op_bonus)</f>
        <v>0</v>
      </c>
      <c r="CE7" s="265">
        <f ca="1">MIN(adept_dp_cap,TblMili[[#This Row],[WG]]/adept_dp_bonus)</f>
        <v>0</v>
      </c>
      <c r="CF7" s="96">
        <f ca="1">MIN(TblMili[[#This Row],[Unit 3]],TblMili[[#This Row],[Unit 2]])*2</f>
        <v>0</v>
      </c>
      <c r="CG7" s="96">
        <f ca="1">MIN(TblMili[[#This Row],[Unit 1]],TblMili[[#This Row],[Unit 4]])*2</f>
        <v>0</v>
      </c>
      <c r="CH7" s="265">
        <f ca="1">MIN(frost_mage_cap,TblMili[[#This Row],[Homeland%]]/frost_mage_bonus)</f>
        <v>2.1999999999999997</v>
      </c>
      <c r="CI7" s="45">
        <f ca="1">MIN(ice_elem_cap,TblMili[[#This Row],[Raw (2)]]*ice_elem_bonus)</f>
        <v>0.1</v>
      </c>
      <c r="CJ7" s="265">
        <f t="shared" si="0"/>
        <v>0.83333333333333337</v>
      </c>
      <c r="CK7" s="265">
        <f ca="1">MIN(nox_nightshade_cap,TblConstr[[#This Row],[Homeland]]/TblConstr[[#This Row],[Land]]/nox_nightshade_swamp_bonus)</f>
        <v>4</v>
      </c>
      <c r="CL7" s="265">
        <f ca="1">MIN(TblConstr[[#This Row],[Tot Tow]]/TblConstr[[#This Row],[Land]]/abyss_enforce_bonus,abyss_enforcer_cap)</f>
        <v>0</v>
      </c>
      <c r="CM7" s="265">
        <f ca="1">IF(TblMagic[[#This Row],[Active Demonic Pact]]&gt;0,MIN(TblMili[[#This Row],[Unit 1]],TblMili[[#This Row],[Unit 4]])*demonic_pact_oppair,0)</f>
        <v>0</v>
      </c>
      <c r="CN7" s="266" t="s">
        <v>94</v>
      </c>
      <c r="CO7" s="266" t="b">
        <f t="shared" si="1"/>
        <v>0</v>
      </c>
      <c r="CP7" s="266"/>
      <c r="CQ7" s="265">
        <f ca="1">MIN(6,TblMili[[#This Row],[Mystic]]+Races!$F$19)*1.8 +  IF(TblMili[[#This Row],[Mystic]]+Races!$F$19&gt;6,(TblMili[[#This Row],[Mystic]]+Races!$F$19-6)*0.2,0) - Races!$I$19</f>
        <v>1</v>
      </c>
      <c r="CR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-0.64000000000000057</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4.7099999999999991</v>
      </c>
      <c r="DA7" s="157">
        <f ca="1">1.8 * MIN(MAX(TblMili[[#This Row],[Ice Elemental]]+Races!$E$71,Races!$F$71),6)  +  0.45 * MIN(MIN(TblMili[[#This Row],[Ice Elemental]]+Races!$E$71,Races!$F$71),6)  +  0.2 * ( MAX(TblMili[[#This Row],[Ice Elemental]]+Races!$E$71-6,0) + MAX(Races!$F$71-6,0) )  -  Races!$I$71</f>
        <v>0.92999999999999972</v>
      </c>
      <c r="DB7" s="96">
        <f ca="1">TblMili[[#This Row],[Frost Mage bonus]]*TblMili[[#This Row],[Unit 3]]+TblMili[[#This Row],[Ice Elemental bonus]]*TblMili[[#This Row],[Unit 4]]</f>
        <v>0</v>
      </c>
      <c r="DC7" s="267"/>
      <c r="DD7" s="145">
        <f ca="1">MIN(SUM(TblConstr[[#This Row],[Plain]:[Water]])/TblMili[[#This Row],[Land]]/favorable_terrain_bonus/100,favorable_terrain_max)</f>
        <v>0.1</v>
      </c>
      <c r="DE7" s="267"/>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 s="144"/>
      <c r="DH7" s="268">
        <f ca="1">(TblMili[[#This Row],[Wizards]]+2*TblMili[[#This Row],[Archmages]])/TblConstr[[#This Row],[Land]]</f>
        <v>0.1</v>
      </c>
      <c r="DI7" s="268">
        <f ca="1">TblMili[[#This Row],[Raw (2)]]*(1+race_wizard_strength+IF(TblMili[[#This Row],[Hour]]&gt;72,tech_magical_weaponry_wiz*TblTech[[#This Row],[3-5]],0))</f>
        <v>0.1</v>
      </c>
    </row>
    <row r="8" spans="1:113" x14ac:dyDescent="0.2">
      <c r="A8" s="139">
        <f>TblRezone[[#This Row],[Hour]]</f>
        <v>5</v>
      </c>
      <c r="B8" s="260">
        <f ca="1">SUM(TblMili[[#This Row],[Unit 1]:[Archmages]])+SUM(OFFSET(TblMili[[#This Row],[Train Unit 1]],-4,0):TblMili[[#This Row],[Train Unit 4]])+TblMili[[#This Row],[Draftees]]</f>
        <v>354</v>
      </c>
      <c r="C8" s="159">
        <f ca="1">TblPop[[#This Row],[Military%]]</f>
        <v>0.20125071063104036</v>
      </c>
      <c r="D8" s="144"/>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4"/>
      <c r="N8" s="96">
        <f ca="1">TblProd[[#This Row],[Networth]]</f>
        <v>6450</v>
      </c>
      <c r="O8" s="144"/>
      <c r="P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1">
        <f ca="1">TblMili[[#This Row],[Raw]]*(1+TblMili[[#This Row],[Mods_Off]])</f>
        <v>0</v>
      </c>
      <c r="S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 s="261">
        <f ca="1">TblMili[[#This Row],[Non Draft]]+TblMili[[#This Row],[Draftees]]</f>
        <v>604</v>
      </c>
      <c r="U8" s="262">
        <f ca="1">race_defense + TblImps[[#This Row],[Walls]] + ROUND( MIN(gt_bonus*TblConstr[[#This Row],[Tot GT]]/TblConstr[[#This Row],[Land]],gt_bonus_cap), 4) + IF(TblMagic[[#This Row],[Active Howling]]&gt;0,howling_dp_bonus,IF(TblMagic[[#This Row],[Active Ares Call]]&gt;0,ares_call_bonus))</f>
        <v>0</v>
      </c>
      <c r="V8" s="263">
        <f ca="1">TblMili[[#This Row],[Non Draft]] * (1 + TblMili[[#This Row],[Mods_Def]])</f>
        <v>450</v>
      </c>
      <c r="W8" s="261">
        <f ca="1">TblMili[[#This Row],[Draft]] * (1 + TblMili[[#This Row],[Mods_Def]])</f>
        <v>604</v>
      </c>
      <c r="X8" s="261">
        <f ca="1">TblConstr[[#This Row],[Land]]</f>
        <v>250</v>
      </c>
      <c r="Y8" s="264"/>
      <c r="Z8" s="269">
        <f ca="1">IF(TblMili[[#This Row],[Set]]&lt;&gt;"",TblMili[[#This Row],[Set]],OFFSET(TblMili[[#This Row],[Draftrate]],-1,0))</f>
        <v>0.35</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6"/>
      <c r="AC8" s="182">
        <f ca="1">(TblConstr[[#This Row],[Tot Smi]]+TblConstr[[#This Row],[Dest Smi]])/(TblConstr[[#This Row],[Land]]-TblExplore[[#This Row],[Land Bonus]]*20)</f>
        <v>0</v>
      </c>
      <c r="AD8" s="139"/>
      <c r="AE8" s="260">
        <f>TblMili[[#This Row],[Hour]]</f>
        <v>5</v>
      </c>
      <c r="AF8" s="140">
        <f ca="1">TblExplore[[#This Row],[Time]]</f>
        <v>45732.166666666657</v>
      </c>
      <c r="AG8" s="181"/>
      <c r="AH8" s="181"/>
      <c r="AI8" s="181"/>
      <c r="AJ8" s="181"/>
      <c r="AK8" s="181"/>
      <c r="AL8" s="181"/>
      <c r="AM8" s="181"/>
      <c r="AN8" s="181"/>
      <c r="AO8" s="448">
        <f ca="1">ROUND(IF(AND(TblMagic[[#This Row],[Active DnD]]&lt;12,TblMagic[[#This Row],[Active DnD]]&gt;5),OFFSET(TblPop[[#This Row],[Draft Growth]],-1,0)*0.375,0),0)</f>
        <v>0</v>
      </c>
      <c r="AP8" s="144"/>
      <c r="AQ8" s="96">
        <f ca="1">TblProd[[#This Row],[Platinum]]</f>
        <v>139860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45732.166666666657</v>
      </c>
      <c r="AW8" s="96">
        <f ca="1">TblMili[[#This Row],[Draftees]]</f>
        <v>154</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0.44</v>
      </c>
      <c r="BX8" s="159">
        <f ca="1">TblMili[[#This Row],[WG''s]]</f>
        <v>0</v>
      </c>
      <c r="BY8" s="265">
        <f ca="1">IF(mystic_cap="none",TblMili[[#This Row],[Homeland%]]/mystic_bonus,MIN(mystic_cap,TblMili[[#This Row],[Homeland%]]/mystic_bonus))</f>
        <v>2</v>
      </c>
      <c r="BZ8" s="265">
        <f ca="1">IF(druid_op_cap="none",TblMili[[#This Row],[Homeland%]]/druid_op_bonus,MIN(druid_op_cap,TblMili[[#This Row],[Homeland%]]/druid_op_bonus))</f>
        <v>2</v>
      </c>
      <c r="CA8" s="265">
        <f ca="1">IF(druid_dp_cap="none",TblMili[[#This Row],[Homeland%]]/druid_dp_bonus,MIN(druid_dp_cap,TblMili[[#This Row],[Homeland%]]/druid_dp_bonus))</f>
        <v>2</v>
      </c>
      <c r="CB8" s="265">
        <f ca="1">MIN(dryad_cap,TblMili[[#This Row],[Homeland%]]/dryad_bonus)</f>
        <v>2.1999999999999997</v>
      </c>
      <c r="CC8" s="265">
        <f ca="1">MIN(rocka_cap,TblMili[[#This Row],[Homeland%]]/rocka_bonus)</f>
        <v>2</v>
      </c>
      <c r="CD8" s="265">
        <f ca="1">MIN(adept_op_cap,TblMili[[#This Row],[WG]]/adept_op_bonus)</f>
        <v>0</v>
      </c>
      <c r="CE8" s="265">
        <f ca="1">MIN(adept_dp_cap,TblMili[[#This Row],[WG]]/adept_dp_bonus)</f>
        <v>0</v>
      </c>
      <c r="CF8" s="96">
        <f ca="1">MIN(TblMili[[#This Row],[Unit 3]],TblMili[[#This Row],[Unit 2]])*2</f>
        <v>0</v>
      </c>
      <c r="CG8" s="96">
        <f ca="1">MIN(TblMili[[#This Row],[Unit 1]],TblMili[[#This Row],[Unit 4]])*2</f>
        <v>0</v>
      </c>
      <c r="CH8" s="265">
        <f ca="1">MIN(frost_mage_cap,TblMili[[#This Row],[Homeland%]]/frost_mage_bonus)</f>
        <v>2.1999999999999997</v>
      </c>
      <c r="CI8" s="45">
        <f ca="1">MIN(ice_elem_cap,TblMili[[#This Row],[Raw (2)]]*ice_elem_bonus)</f>
        <v>0.1</v>
      </c>
      <c r="CJ8" s="265">
        <f t="shared" si="0"/>
        <v>0.83333333333333337</v>
      </c>
      <c r="CK8" s="265">
        <f ca="1">MIN(nox_nightshade_cap,TblConstr[[#This Row],[Homeland]]/TblConstr[[#This Row],[Land]]/nox_nightshade_swamp_bonus)</f>
        <v>4</v>
      </c>
      <c r="CL8" s="265">
        <f ca="1">MIN(TblConstr[[#This Row],[Tot Tow]]/TblConstr[[#This Row],[Land]]/abyss_enforce_bonus,abyss_enforcer_cap)</f>
        <v>0</v>
      </c>
      <c r="CM8" s="265">
        <f ca="1">IF(TblMagic[[#This Row],[Active Demonic Pact]]&gt;0,MIN(TblMili[[#This Row],[Unit 1]],TblMili[[#This Row],[Unit 4]])*demonic_pact_oppair,0)</f>
        <v>0</v>
      </c>
      <c r="CN8" s="266" t="s">
        <v>99</v>
      </c>
      <c r="CO8" s="266" t="b">
        <f t="shared" si="1"/>
        <v>0</v>
      </c>
      <c r="CP8" s="266"/>
      <c r="CQ8" s="265">
        <f ca="1">MIN(6,TblMili[[#This Row],[Mystic]]+Races!$F$19)*1.8 +  IF(TblMili[[#This Row],[Mystic]]+Races!$F$19&gt;6,(TblMili[[#This Row],[Mystic]]+Races!$F$19-6)*0.2,0) - Races!$I$19</f>
        <v>1</v>
      </c>
      <c r="CR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-0.64000000000000057</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4.7099999999999991</v>
      </c>
      <c r="DA8" s="157">
        <f ca="1">1.8 * MIN(MAX(TblMili[[#This Row],[Ice Elemental]]+Races!$E$71,Races!$F$71),6)  +  0.45 * MIN(MIN(TblMili[[#This Row],[Ice Elemental]]+Races!$E$71,Races!$F$71),6)  +  0.2 * ( MAX(TblMili[[#This Row],[Ice Elemental]]+Races!$E$71-6,0) + MAX(Races!$F$71-6,0) )  -  Races!$I$71</f>
        <v>0.92999999999999972</v>
      </c>
      <c r="DB8" s="96">
        <f ca="1">TblMili[[#This Row],[Frost Mage bonus]]*TblMili[[#This Row],[Unit 3]]+TblMili[[#This Row],[Ice Elemental bonus]]*TblMili[[#This Row],[Unit 4]]</f>
        <v>0</v>
      </c>
      <c r="DC8" s="267"/>
      <c r="DD8" s="145">
        <f ca="1">MIN(SUM(TblConstr[[#This Row],[Plain]:[Water]])/TblMili[[#This Row],[Land]]/favorable_terrain_bonus/100,favorable_terrain_max)</f>
        <v>0.1</v>
      </c>
      <c r="DE8" s="267"/>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 s="144"/>
      <c r="DH8" s="268">
        <f ca="1">(TblMili[[#This Row],[Wizards]]+2*TblMili[[#This Row],[Archmages]])/TblConstr[[#This Row],[Land]]</f>
        <v>0.1</v>
      </c>
      <c r="DI8" s="268">
        <f ca="1">TblMili[[#This Row],[Raw (2)]]*(1+race_wizard_strength+IF(TblMili[[#This Row],[Hour]]&gt;72,tech_magical_weaponry_wiz*TblTech[[#This Row],[3-5]],0))</f>
        <v>0.1</v>
      </c>
    </row>
    <row r="9" spans="1:113" x14ac:dyDescent="0.2">
      <c r="A9" s="139">
        <f>TblRezone[[#This Row],[Hour]]</f>
        <v>6</v>
      </c>
      <c r="B9" s="260">
        <f ca="1">SUM(TblMili[[#This Row],[Unit 1]:[Archmages]])+SUM(OFFSET(TblMili[[#This Row],[Train Unit 1]],-5,0):TblMili[[#This Row],[Train Unit 4]])+TblMili[[#This Row],[Draftees]]</f>
        <v>368</v>
      </c>
      <c r="C9" s="159">
        <f ca="1">TblPop[[#This Row],[Military%]]</f>
        <v>0.20433092726263188</v>
      </c>
      <c r="D9" s="144"/>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4"/>
      <c r="N9" s="96">
        <f ca="1">TblProd[[#This Row],[Networth]]</f>
        <v>6450</v>
      </c>
      <c r="O9" s="144"/>
      <c r="P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1">
        <f ca="1">TblMili[[#This Row],[Raw]]*(1+TblMili[[#This Row],[Mods_Off]])</f>
        <v>0</v>
      </c>
      <c r="S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 s="261">
        <f ca="1">TblMili[[#This Row],[Non Draft]]+TblMili[[#This Row],[Draftees]]</f>
        <v>618</v>
      </c>
      <c r="U9" s="262">
        <f ca="1">race_defense + TblImps[[#This Row],[Walls]] + ROUND( MIN(gt_bonus*TblConstr[[#This Row],[Tot GT]]/TblConstr[[#This Row],[Land]],gt_bonus_cap), 4) + IF(TblMagic[[#This Row],[Active Howling]]&gt;0,howling_dp_bonus,IF(TblMagic[[#This Row],[Active Ares Call]]&gt;0,ares_call_bonus))</f>
        <v>0</v>
      </c>
      <c r="V9" s="263">
        <f ca="1">TblMili[[#This Row],[Non Draft]] * (1 + TblMili[[#This Row],[Mods_Def]])</f>
        <v>450</v>
      </c>
      <c r="W9" s="261">
        <f ca="1">TblMili[[#This Row],[Draft]] * (1 + TblMili[[#This Row],[Mods_Def]])</f>
        <v>618</v>
      </c>
      <c r="X9" s="261">
        <f ca="1">TblConstr[[#This Row],[Land]]</f>
        <v>250</v>
      </c>
      <c r="Y9" s="264"/>
      <c r="Z9" s="269">
        <f ca="1">IF(TblMili[[#This Row],[Set]]&lt;&gt;"",TblMili[[#This Row],[Set]],OFFSET(TblMili[[#This Row],[Draftrate]],-1,0))</f>
        <v>0.35</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6"/>
      <c r="AC9" s="182">
        <f ca="1">(TblConstr[[#This Row],[Tot Smi]]+TblConstr[[#This Row],[Dest Smi]])/(TblConstr[[#This Row],[Land]]-TblExplore[[#This Row],[Land Bonus]]*20)</f>
        <v>0</v>
      </c>
      <c r="AD9" s="139"/>
      <c r="AE9" s="260">
        <f>TblMili[[#This Row],[Hour]]</f>
        <v>6</v>
      </c>
      <c r="AF9" s="140">
        <f ca="1">TblExplore[[#This Row],[Time]]</f>
        <v>45732.208333333321</v>
      </c>
      <c r="AG9" s="181"/>
      <c r="AH9" s="181"/>
      <c r="AI9" s="181"/>
      <c r="AJ9" s="181"/>
      <c r="AK9" s="181"/>
      <c r="AL9" s="181"/>
      <c r="AM9" s="181"/>
      <c r="AN9" s="181"/>
      <c r="AO9" s="448">
        <f ca="1">ROUND(IF(AND(TblMagic[[#This Row],[Active DnD]]&lt;12,TblMagic[[#This Row],[Active DnD]]&gt;5),OFFSET(TblPop[[#This Row],[Draft Growth]],-1,0)*0.375,0),0)</f>
        <v>0</v>
      </c>
      <c r="AP9" s="144"/>
      <c r="AQ9" s="96">
        <f ca="1">TblProd[[#This Row],[Platinum]]</f>
        <v>145003</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45732.208333333321</v>
      </c>
      <c r="AW9" s="96">
        <f ca="1">TblMili[[#This Row],[Draftees]]</f>
        <v>168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0.44</v>
      </c>
      <c r="BX9" s="159">
        <f ca="1">TblMili[[#This Row],[WG''s]]</f>
        <v>0</v>
      </c>
      <c r="BY9" s="265">
        <f ca="1">IF(mystic_cap="none",TblMili[[#This Row],[Homeland%]]/mystic_bonus,MIN(mystic_cap,TblMili[[#This Row],[Homeland%]]/mystic_bonus))</f>
        <v>2</v>
      </c>
      <c r="BZ9" s="265">
        <f ca="1">IF(druid_op_cap="none",TblMili[[#This Row],[Homeland%]]/druid_op_bonus,MIN(druid_op_cap,TblMili[[#This Row],[Homeland%]]/druid_op_bonus))</f>
        <v>2</v>
      </c>
      <c r="CA9" s="265">
        <f ca="1">IF(druid_dp_cap="none",TblMili[[#This Row],[Homeland%]]/druid_dp_bonus,MIN(druid_dp_cap,TblMili[[#This Row],[Homeland%]]/druid_dp_bonus))</f>
        <v>2</v>
      </c>
      <c r="CB9" s="265">
        <f ca="1">MIN(dryad_cap,TblMili[[#This Row],[Homeland%]]/dryad_bonus)</f>
        <v>2.1999999999999997</v>
      </c>
      <c r="CC9" s="265">
        <f ca="1">MIN(rocka_cap,TblMili[[#This Row],[Homeland%]]/rocka_bonus)</f>
        <v>2</v>
      </c>
      <c r="CD9" s="265">
        <f ca="1">MIN(adept_op_cap,TblMili[[#This Row],[WG]]/adept_op_bonus)</f>
        <v>0</v>
      </c>
      <c r="CE9" s="265">
        <f ca="1">MIN(adept_dp_cap,TblMili[[#This Row],[WG]]/adept_dp_bonus)</f>
        <v>0</v>
      </c>
      <c r="CF9" s="96">
        <f ca="1">MIN(TblMili[[#This Row],[Unit 3]],TblMili[[#This Row],[Unit 2]])*2</f>
        <v>0</v>
      </c>
      <c r="CG9" s="96">
        <f ca="1">MIN(TblMili[[#This Row],[Unit 1]],TblMili[[#This Row],[Unit 4]])*2</f>
        <v>0</v>
      </c>
      <c r="CH9" s="265">
        <f ca="1">MIN(frost_mage_cap,TblMili[[#This Row],[Homeland%]]/frost_mage_bonus)</f>
        <v>2.1999999999999997</v>
      </c>
      <c r="CI9" s="45">
        <f ca="1">MIN(ice_elem_cap,TblMili[[#This Row],[Raw (2)]]*ice_elem_bonus)</f>
        <v>0.1</v>
      </c>
      <c r="CJ9" s="265">
        <f t="shared" si="0"/>
        <v>0.83333333333333337</v>
      </c>
      <c r="CK9" s="265">
        <f ca="1">MIN(nox_nightshade_cap,TblConstr[[#This Row],[Homeland]]/TblConstr[[#This Row],[Land]]/nox_nightshade_swamp_bonus)</f>
        <v>4</v>
      </c>
      <c r="CL9" s="265">
        <f ca="1">MIN(TblConstr[[#This Row],[Tot Tow]]/TblConstr[[#This Row],[Land]]/abyss_enforce_bonus,abyss_enforcer_cap)</f>
        <v>0</v>
      </c>
      <c r="CM9" s="265">
        <f ca="1">IF(TblMagic[[#This Row],[Active Demonic Pact]]&gt;0,MIN(TblMili[[#This Row],[Unit 1]],TblMili[[#This Row],[Unit 4]])*demonic_pact_oppair,0)</f>
        <v>0</v>
      </c>
      <c r="CN9" s="266" t="s">
        <v>103</v>
      </c>
      <c r="CO9" s="266" t="b">
        <f t="shared" si="1"/>
        <v>0</v>
      </c>
      <c r="CP9" s="266"/>
      <c r="CQ9" s="265">
        <f ca="1">MIN(6,TblMili[[#This Row],[Mystic]]+Races!$F$19)*1.8 +  IF(TblMili[[#This Row],[Mystic]]+Races!$F$19&gt;6,(TblMili[[#This Row],[Mystic]]+Races!$F$19-6)*0.2,0) - Races!$I$19</f>
        <v>1</v>
      </c>
      <c r="CR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-0.64000000000000057</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4.7099999999999991</v>
      </c>
      <c r="DA9" s="157">
        <f ca="1">1.8 * MIN(MAX(TblMili[[#This Row],[Ice Elemental]]+Races!$E$71,Races!$F$71),6)  +  0.45 * MIN(MIN(TblMili[[#This Row],[Ice Elemental]]+Races!$E$71,Races!$F$71),6)  +  0.2 * ( MAX(TblMili[[#This Row],[Ice Elemental]]+Races!$E$71-6,0) + MAX(Races!$F$71-6,0) )  -  Races!$I$71</f>
        <v>0.92999999999999972</v>
      </c>
      <c r="DB9" s="96">
        <f ca="1">TblMili[[#This Row],[Frost Mage bonus]]*TblMili[[#This Row],[Unit 3]]+TblMili[[#This Row],[Ice Elemental bonus]]*TblMili[[#This Row],[Unit 4]]</f>
        <v>0</v>
      </c>
      <c r="DC9" s="267"/>
      <c r="DD9" s="145">
        <f ca="1">MIN(SUM(TblConstr[[#This Row],[Plain]:[Water]])/TblMili[[#This Row],[Land]]/favorable_terrain_bonus/100,favorable_terrain_max)</f>
        <v>0.1</v>
      </c>
      <c r="DE9" s="267"/>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 s="144"/>
      <c r="DH9" s="268">
        <f ca="1">(TblMili[[#This Row],[Wizards]]+2*TblMili[[#This Row],[Archmages]])/TblConstr[[#This Row],[Land]]</f>
        <v>0.1</v>
      </c>
      <c r="DI9" s="268">
        <f ca="1">TblMili[[#This Row],[Raw (2)]]*(1+race_wizard_strength+IF(TblMili[[#This Row],[Hour]]&gt;72,tech_magical_weaponry_wiz*TblTech[[#This Row],[3-5]],0))</f>
        <v>0.1</v>
      </c>
    </row>
    <row r="10" spans="1:113" x14ac:dyDescent="0.2">
      <c r="A10" s="139">
        <f>TblRezone[[#This Row],[Hour]]</f>
        <v>7</v>
      </c>
      <c r="B10" s="260">
        <f ca="1">SUM(TblMili[[#This Row],[Unit 1]:[Archmages]])+SUM(OFFSET(TblMili[[#This Row],[Train Unit 1]],-6,0):TblMili[[#This Row],[Train Unit 4]])+TblMili[[#This Row],[Draftees]]</f>
        <v>382</v>
      </c>
      <c r="C10" s="159">
        <f ca="1">TblPop[[#This Row],[Military%]]</f>
        <v>0.20715835140997832</v>
      </c>
      <c r="D10" s="144"/>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4"/>
      <c r="N10" s="96">
        <f ca="1">TblProd[[#This Row],[Networth]]</f>
        <v>6450</v>
      </c>
      <c r="O10" s="144"/>
      <c r="P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1">
        <f ca="1">TblMili[[#This Row],[Raw]]*(1+TblMili[[#This Row],[Mods_Off]])</f>
        <v>0</v>
      </c>
      <c r="S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 s="261">
        <f ca="1">TblMili[[#This Row],[Non Draft]]+TblMili[[#This Row],[Draftees]]</f>
        <v>632</v>
      </c>
      <c r="U10" s="262">
        <f ca="1">race_defense + TblImps[[#This Row],[Walls]] + ROUND( MIN(gt_bonus*TblConstr[[#This Row],[Tot GT]]/TblConstr[[#This Row],[Land]],gt_bonus_cap), 4) + IF(TblMagic[[#This Row],[Active Howling]]&gt;0,howling_dp_bonus,IF(TblMagic[[#This Row],[Active Ares Call]]&gt;0,ares_call_bonus))</f>
        <v>0</v>
      </c>
      <c r="V10" s="263">
        <f ca="1">TblMili[[#This Row],[Non Draft]] * (1 + TblMili[[#This Row],[Mods_Def]])</f>
        <v>450</v>
      </c>
      <c r="W10" s="261">
        <f ca="1">TblMili[[#This Row],[Draft]] * (1 + TblMili[[#This Row],[Mods_Def]])</f>
        <v>632</v>
      </c>
      <c r="X10" s="261">
        <f ca="1">TblConstr[[#This Row],[Land]]</f>
        <v>250</v>
      </c>
      <c r="Y10" s="264"/>
      <c r="Z10" s="269">
        <f ca="1">IF(TblMili[[#This Row],[Set]]&lt;&gt;"",TblMili[[#This Row],[Set]],OFFSET(TblMili[[#This Row],[Draftrate]],-1,0))</f>
        <v>0.35</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6"/>
      <c r="AC10" s="182">
        <f ca="1">(TblConstr[[#This Row],[Tot Smi]]+TblConstr[[#This Row],[Dest Smi]])/(TblConstr[[#This Row],[Land]]-TblExplore[[#This Row],[Land Bonus]]*20)</f>
        <v>0</v>
      </c>
      <c r="AD10" s="139"/>
      <c r="AE10" s="260">
        <f>TblMili[[#This Row],[Hour]]</f>
        <v>7</v>
      </c>
      <c r="AF10" s="140">
        <f ca="1">TblExplore[[#This Row],[Time]]</f>
        <v>45732.249999999985</v>
      </c>
      <c r="AG10" s="181"/>
      <c r="AH10" s="181"/>
      <c r="AI10" s="181"/>
      <c r="AJ10" s="181"/>
      <c r="AK10" s="181"/>
      <c r="AL10" s="181"/>
      <c r="AM10" s="181"/>
      <c r="AN10" s="181"/>
      <c r="AO10" s="448">
        <f ca="1">ROUND(IF(AND(TblMagic[[#This Row],[Active DnD]]&lt;12,TblMagic[[#This Row],[Active DnD]]&gt;5),OFFSET(TblPop[[#This Row],[Draft Growth]],-1,0)*0.375,0),0)</f>
        <v>0</v>
      </c>
      <c r="AP10" s="448"/>
      <c r="AQ10" s="96">
        <f ca="1">TblProd[[#This Row],[Platinum]]</f>
        <v>150222</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45732.249999999985</v>
      </c>
      <c r="AW10" s="96">
        <f ca="1">TblMili[[#This Row],[Draftees]]</f>
        <v>182</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0.44</v>
      </c>
      <c r="BX10" s="159">
        <f ca="1">TblMili[[#This Row],[WG''s]]</f>
        <v>0</v>
      </c>
      <c r="BY10" s="265">
        <f ca="1">IF(mystic_cap="none",TblMili[[#This Row],[Homeland%]]/mystic_bonus,MIN(mystic_cap,TblMili[[#This Row],[Homeland%]]/mystic_bonus))</f>
        <v>2</v>
      </c>
      <c r="BZ10" s="265">
        <f ca="1">IF(druid_op_cap="none",TblMili[[#This Row],[Homeland%]]/druid_op_bonus,MIN(druid_op_cap,TblMili[[#This Row],[Homeland%]]/druid_op_bonus))</f>
        <v>2</v>
      </c>
      <c r="CA10" s="265">
        <f ca="1">IF(druid_dp_cap="none",TblMili[[#This Row],[Homeland%]]/druid_dp_bonus,MIN(druid_dp_cap,TblMili[[#This Row],[Homeland%]]/druid_dp_bonus))</f>
        <v>2</v>
      </c>
      <c r="CB10" s="265">
        <f ca="1">MIN(dryad_cap,TblMili[[#This Row],[Homeland%]]/dryad_bonus)</f>
        <v>2.1999999999999997</v>
      </c>
      <c r="CC10" s="265">
        <f ca="1">MIN(rocka_cap,TblMili[[#This Row],[Homeland%]]/rocka_bonus)</f>
        <v>2</v>
      </c>
      <c r="CD10" s="265">
        <f ca="1">MIN(adept_op_cap,TblMili[[#This Row],[WG]]/adept_op_bonus)</f>
        <v>0</v>
      </c>
      <c r="CE10" s="265">
        <f ca="1">MIN(adept_dp_cap,TblMili[[#This Row],[WG]]/adept_dp_bonus)</f>
        <v>0</v>
      </c>
      <c r="CF10" s="96">
        <f ca="1">MIN(TblMili[[#This Row],[Unit 3]],TblMili[[#This Row],[Unit 2]])*2</f>
        <v>0</v>
      </c>
      <c r="CG10" s="96">
        <f ca="1">MIN(TblMili[[#This Row],[Unit 1]],TblMili[[#This Row],[Unit 4]])*2</f>
        <v>0</v>
      </c>
      <c r="CH10" s="265">
        <f ca="1">MIN(frost_mage_cap,TblMili[[#This Row],[Homeland%]]/frost_mage_bonus)</f>
        <v>2.1999999999999997</v>
      </c>
      <c r="CI10" s="45">
        <f ca="1">MIN(ice_elem_cap,TblMili[[#This Row],[Raw (2)]]*ice_elem_bonus)</f>
        <v>0.1</v>
      </c>
      <c r="CJ10" s="265">
        <f t="shared" si="0"/>
        <v>0.83333333333333337</v>
      </c>
      <c r="CK10" s="265">
        <f ca="1">MIN(nox_nightshade_cap,TblConstr[[#This Row],[Homeland]]/TblConstr[[#This Row],[Land]]/nox_nightshade_swamp_bonus)</f>
        <v>4</v>
      </c>
      <c r="CL10" s="265">
        <f ca="1">MIN(TblConstr[[#This Row],[Tot Tow]]/TblConstr[[#This Row],[Land]]/abyss_enforce_bonus,abyss_enforcer_cap)</f>
        <v>0</v>
      </c>
      <c r="CM10" s="265">
        <f ca="1">IF(TblMagic[[#This Row],[Active Demonic Pact]]&gt;0,MIN(TblMili[[#This Row],[Unit 1]],TblMili[[#This Row],[Unit 4]])*demonic_pact_oppair,0)</f>
        <v>0</v>
      </c>
      <c r="CN10" s="266" t="s">
        <v>328</v>
      </c>
      <c r="CO10" s="266" t="b">
        <f t="shared" si="1"/>
        <v>0</v>
      </c>
      <c r="CP10" s="266"/>
      <c r="CQ10" s="265">
        <f ca="1">MIN(6,TblMili[[#This Row],[Mystic]]+Races!$F$19)*1.8 +  IF(TblMili[[#This Row],[Mystic]]+Races!$F$19&gt;6,(TblMili[[#This Row],[Mystic]]+Races!$F$19-6)*0.2,0) - Races!$I$19</f>
        <v>1</v>
      </c>
      <c r="CR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-0.64000000000000057</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4.7099999999999991</v>
      </c>
      <c r="DA10" s="157">
        <f ca="1">1.8 * MIN(MAX(TblMili[[#This Row],[Ice Elemental]]+Races!$E$71,Races!$F$71),6)  +  0.45 * MIN(MIN(TblMili[[#This Row],[Ice Elemental]]+Races!$E$71,Races!$F$71),6)  +  0.2 * ( MAX(TblMili[[#This Row],[Ice Elemental]]+Races!$E$71-6,0) + MAX(Races!$F$71-6,0) )  -  Races!$I$71</f>
        <v>0.92999999999999972</v>
      </c>
      <c r="DB10" s="96">
        <f ca="1">TblMili[[#This Row],[Frost Mage bonus]]*TblMili[[#This Row],[Unit 3]]+TblMili[[#This Row],[Ice Elemental bonus]]*TblMili[[#This Row],[Unit 4]]</f>
        <v>0</v>
      </c>
      <c r="DC10" s="267"/>
      <c r="DD10" s="145">
        <f ca="1">MIN(SUM(TblConstr[[#This Row],[Plain]:[Water]])/TblMili[[#This Row],[Land]]/favorable_terrain_bonus/100,favorable_terrain_max)</f>
        <v>0.1</v>
      </c>
      <c r="DE10" s="267"/>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 s="144"/>
      <c r="DH10" s="268">
        <f ca="1">(TblMili[[#This Row],[Wizards]]+2*TblMili[[#This Row],[Archmages]])/TblConstr[[#This Row],[Land]]</f>
        <v>0.1</v>
      </c>
      <c r="DI10" s="268">
        <f ca="1">TblMili[[#This Row],[Raw (2)]]*(1+race_wizard_strength+IF(TblMili[[#This Row],[Hour]]&gt;72,tech_magical_weaponry_wiz*TblTech[[#This Row],[3-5]],0))</f>
        <v>0.1</v>
      </c>
    </row>
    <row r="11" spans="1:113" x14ac:dyDescent="0.2">
      <c r="A11" s="139">
        <f>TblRezone[[#This Row],[Hour]]</f>
        <v>8</v>
      </c>
      <c r="B11" s="260">
        <f ca="1">SUM(TblMili[[#This Row],[Unit 1]:[Archmages]])+SUM(OFFSET(TblMili[[#This Row],[Train Unit 1]],-7,0):TblMili[[#This Row],[Train Unit 4]])+TblMili[[#This Row],[Draftees]]</f>
        <v>397</v>
      </c>
      <c r="C11" s="159">
        <f ca="1">TblPop[[#This Row],[Military%]]</f>
        <v>0.21038685744568097</v>
      </c>
      <c r="D11" s="144"/>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4"/>
      <c r="N11" s="96">
        <f ca="1">TblProd[[#This Row],[Networth]]</f>
        <v>6450</v>
      </c>
      <c r="O11" s="144"/>
      <c r="P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1">
        <f ca="1">TblMili[[#This Row],[Raw]]*(1+TblMili[[#This Row],[Mods_Off]])</f>
        <v>0</v>
      </c>
      <c r="S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 s="261">
        <f ca="1">TblMili[[#This Row],[Non Draft]]+TblMili[[#This Row],[Draftees]]</f>
        <v>647</v>
      </c>
      <c r="U11" s="262">
        <f ca="1">race_defense + TblImps[[#This Row],[Walls]] + ROUND( MIN(gt_bonus*TblConstr[[#This Row],[Tot GT]]/TblConstr[[#This Row],[Land]],gt_bonus_cap), 4) + IF(TblMagic[[#This Row],[Active Howling]]&gt;0,howling_dp_bonus,IF(TblMagic[[#This Row],[Active Ares Call]]&gt;0,ares_call_bonus))</f>
        <v>0</v>
      </c>
      <c r="V11" s="263">
        <f ca="1">TblMili[[#This Row],[Non Draft]] * (1 + TblMili[[#This Row],[Mods_Def]])</f>
        <v>450</v>
      </c>
      <c r="W11" s="261">
        <f ca="1">TblMili[[#This Row],[Draft]] * (1 + TblMili[[#This Row],[Mods_Def]])</f>
        <v>647</v>
      </c>
      <c r="X11" s="261">
        <f ca="1">TblConstr[[#This Row],[Land]]</f>
        <v>250</v>
      </c>
      <c r="Y11" s="264"/>
      <c r="Z11" s="269">
        <f ca="1">IF(TblMili[[#This Row],[Set]]&lt;&gt;"",TblMili[[#This Row],[Set]],OFFSET(TblMili[[#This Row],[Draftrate]],-1,0))</f>
        <v>0.35</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6"/>
      <c r="AC11" s="182">
        <f ca="1">(TblConstr[[#This Row],[Tot Smi]]+TblConstr[[#This Row],[Dest Smi]])/(TblConstr[[#This Row],[Land]]-TblExplore[[#This Row],[Land Bonus]]*20)</f>
        <v>0</v>
      </c>
      <c r="AD11" s="139"/>
      <c r="AE11" s="260">
        <f>TblMili[[#This Row],[Hour]]</f>
        <v>8</v>
      </c>
      <c r="AF11" s="140">
        <f ca="1">TblExplore[[#This Row],[Time]]</f>
        <v>45732.29166666665</v>
      </c>
      <c r="AG11" s="181"/>
      <c r="AH11" s="181"/>
      <c r="AI11" s="181"/>
      <c r="AJ11" s="181"/>
      <c r="AK11" s="181"/>
      <c r="AL11" s="181"/>
      <c r="AM11" s="181"/>
      <c r="AN11" s="181"/>
      <c r="AO11" s="448">
        <f ca="1">ROUND(IF(AND(TblMagic[[#This Row],[Active DnD]]&lt;12,TblMagic[[#This Row],[Active DnD]]&gt;5),OFFSET(TblPop[[#This Row],[Draft Growth]],-1,0)*0.375,0),0)</f>
        <v>0</v>
      </c>
      <c r="AP11" s="144"/>
      <c r="AQ11" s="96">
        <f ca="1">TblProd[[#This Row],[Platinum]]</f>
        <v>155519</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45732.29166666665</v>
      </c>
      <c r="AW11" s="96">
        <f ca="1">TblMili[[#This Row],[Draftees]]</f>
        <v>197</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0.44</v>
      </c>
      <c r="BX11" s="159">
        <f ca="1">TblMili[[#This Row],[WG''s]]</f>
        <v>0</v>
      </c>
      <c r="BY11" s="265">
        <f ca="1">IF(mystic_cap="none",TblMili[[#This Row],[Homeland%]]/mystic_bonus,MIN(mystic_cap,TblMili[[#This Row],[Homeland%]]/mystic_bonus))</f>
        <v>2</v>
      </c>
      <c r="BZ11" s="265">
        <f ca="1">IF(druid_op_cap="none",TblMili[[#This Row],[Homeland%]]/druid_op_bonus,MIN(druid_op_cap,TblMili[[#This Row],[Homeland%]]/druid_op_bonus))</f>
        <v>2</v>
      </c>
      <c r="CA11" s="265">
        <f ca="1">IF(druid_dp_cap="none",TblMili[[#This Row],[Homeland%]]/druid_dp_bonus,MIN(druid_dp_cap,TblMili[[#This Row],[Homeland%]]/druid_dp_bonus))</f>
        <v>2</v>
      </c>
      <c r="CB11" s="265">
        <f ca="1">MIN(dryad_cap,TblMili[[#This Row],[Homeland%]]/dryad_bonus)</f>
        <v>2.1999999999999997</v>
      </c>
      <c r="CC11" s="265">
        <f ca="1">MIN(rocka_cap,TblMili[[#This Row],[Homeland%]]/rocka_bonus)</f>
        <v>2</v>
      </c>
      <c r="CD11" s="265">
        <f ca="1">MIN(adept_op_cap,TblMili[[#This Row],[WG]]/adept_op_bonus)</f>
        <v>0</v>
      </c>
      <c r="CE11" s="265">
        <f ca="1">MIN(adept_dp_cap,TblMili[[#This Row],[WG]]/adept_dp_bonus)</f>
        <v>0</v>
      </c>
      <c r="CF11" s="96">
        <f ca="1">MIN(TblMili[[#This Row],[Unit 3]],TblMili[[#This Row],[Unit 2]])*2</f>
        <v>0</v>
      </c>
      <c r="CG11" s="96">
        <f ca="1">MIN(TblMili[[#This Row],[Unit 1]],TblMili[[#This Row],[Unit 4]])*2</f>
        <v>0</v>
      </c>
      <c r="CH11" s="265">
        <f ca="1">MIN(frost_mage_cap,TblMili[[#This Row],[Homeland%]]/frost_mage_bonus)</f>
        <v>2.1999999999999997</v>
      </c>
      <c r="CI11" s="45">
        <f ca="1">MIN(ice_elem_cap,TblMili[[#This Row],[Raw (2)]]*ice_elem_bonus)</f>
        <v>0.1</v>
      </c>
      <c r="CJ11" s="265">
        <f t="shared" si="0"/>
        <v>0.83333333333333337</v>
      </c>
      <c r="CK11" s="265">
        <f ca="1">MIN(nox_nightshade_cap,TblConstr[[#This Row],[Homeland]]/TblConstr[[#This Row],[Land]]/nox_nightshade_swamp_bonus)</f>
        <v>4</v>
      </c>
      <c r="CL11" s="265">
        <f ca="1">MIN(TblConstr[[#This Row],[Tot Tow]]/TblConstr[[#This Row],[Land]]/abyss_enforce_bonus,abyss_enforcer_cap)</f>
        <v>0</v>
      </c>
      <c r="CM11" s="265">
        <f ca="1">IF(TblMagic[[#This Row],[Active Demonic Pact]]&gt;0,MIN(TblMili[[#This Row],[Unit 1]],TblMili[[#This Row],[Unit 4]])*demonic_pact_oppair,0)</f>
        <v>0</v>
      </c>
      <c r="CN11" s="266" t="s">
        <v>143</v>
      </c>
      <c r="CO11" s="266" t="b">
        <f t="shared" si="1"/>
        <v>0</v>
      </c>
      <c r="CP11" s="266"/>
      <c r="CQ11" s="265">
        <f ca="1">MIN(6,TblMili[[#This Row],[Mystic]]+Races!$F$19)*1.8 +  IF(TblMili[[#This Row],[Mystic]]+Races!$F$19&gt;6,(TblMili[[#This Row],[Mystic]]+Races!$F$19-6)*0.2,0) - Races!$I$19</f>
        <v>1</v>
      </c>
      <c r="CR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-0.64000000000000057</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4.7099999999999991</v>
      </c>
      <c r="DA11" s="157">
        <f ca="1">1.8 * MIN(MAX(TblMili[[#This Row],[Ice Elemental]]+Races!$E$71,Races!$F$71),6)  +  0.45 * MIN(MIN(TblMili[[#This Row],[Ice Elemental]]+Races!$E$71,Races!$F$71),6)  +  0.2 * ( MAX(TblMili[[#This Row],[Ice Elemental]]+Races!$E$71-6,0) + MAX(Races!$F$71-6,0) )  -  Races!$I$71</f>
        <v>0.92999999999999972</v>
      </c>
      <c r="DB11" s="96">
        <f ca="1">TblMili[[#This Row],[Frost Mage bonus]]*TblMili[[#This Row],[Unit 3]]+TblMili[[#This Row],[Ice Elemental bonus]]*TblMili[[#This Row],[Unit 4]]</f>
        <v>0</v>
      </c>
      <c r="DC11" s="267"/>
      <c r="DD11" s="145">
        <f ca="1">MIN(SUM(TblConstr[[#This Row],[Plain]:[Water]])/TblMili[[#This Row],[Land]]/favorable_terrain_bonus/100,favorable_terrain_max)</f>
        <v>0.1</v>
      </c>
      <c r="DE11" s="267"/>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 s="144"/>
      <c r="DH11" s="268">
        <f ca="1">(TblMili[[#This Row],[Wizards]]+2*TblMili[[#This Row],[Archmages]])/TblConstr[[#This Row],[Land]]</f>
        <v>0.1</v>
      </c>
      <c r="DI11" s="268">
        <f ca="1">TblMili[[#This Row],[Raw (2)]]*(1+race_wizard_strength+IF(TblMili[[#This Row],[Hour]]&gt;72,tech_magical_weaponry_wiz*TblTech[[#This Row],[3-5]],0))</f>
        <v>0.1</v>
      </c>
    </row>
    <row r="12" spans="1:113" x14ac:dyDescent="0.2">
      <c r="A12" s="139">
        <f>TblRezone[[#This Row],[Hour]]</f>
        <v>9</v>
      </c>
      <c r="B12" s="260">
        <f ca="1">SUM(TblMili[[#This Row],[Unit 1]:[Archmages]])+SUM(OFFSET(TblMili[[#This Row],[Train Unit 1]],-8,0):TblMili[[#This Row],[Train Unit 4]])+TblMili[[#This Row],[Draftees]]</f>
        <v>412</v>
      </c>
      <c r="C12" s="159">
        <f ca="1">TblPop[[#This Row],[Military%]]</f>
        <v>0.21336095287415846</v>
      </c>
      <c r="D12" s="144"/>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4"/>
      <c r="N12" s="96">
        <f ca="1">TblProd[[#This Row],[Networth]]</f>
        <v>6450</v>
      </c>
      <c r="O12" s="144"/>
      <c r="P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1">
        <f ca="1">TblMili[[#This Row],[Raw]]*(1+TblMili[[#This Row],[Mods_Off]])</f>
        <v>0</v>
      </c>
      <c r="S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 s="261">
        <f ca="1">TblMili[[#This Row],[Non Draft]]+TblMili[[#This Row],[Draftees]]</f>
        <v>662</v>
      </c>
      <c r="U12" s="262">
        <f ca="1">race_defense + TblImps[[#This Row],[Walls]] + ROUND( MIN(gt_bonus*TblConstr[[#This Row],[Tot GT]]/TblConstr[[#This Row],[Land]],gt_bonus_cap), 4) + IF(TblMagic[[#This Row],[Active Howling]]&gt;0,howling_dp_bonus,IF(TblMagic[[#This Row],[Active Ares Call]]&gt;0,ares_call_bonus))</f>
        <v>0</v>
      </c>
      <c r="V12" s="263">
        <f ca="1">TblMili[[#This Row],[Non Draft]] * (1 + TblMili[[#This Row],[Mods_Def]])</f>
        <v>450</v>
      </c>
      <c r="W12" s="261">
        <f ca="1">TblMili[[#This Row],[Draft]] * (1 + TblMili[[#This Row],[Mods_Def]])</f>
        <v>662</v>
      </c>
      <c r="X12" s="261">
        <f ca="1">TblConstr[[#This Row],[Land]]</f>
        <v>250</v>
      </c>
      <c r="Y12" s="264"/>
      <c r="Z12" s="269">
        <f ca="1">IF(TblMili[[#This Row],[Set]]&lt;&gt;"",TblMili[[#This Row],[Set]],OFFSET(TblMili[[#This Row],[Draftrate]],-1,0))</f>
        <v>0.35</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6"/>
      <c r="AC12" s="182">
        <f ca="1">(TblConstr[[#This Row],[Tot Smi]]+TblConstr[[#This Row],[Dest Smi]])/(TblConstr[[#This Row],[Land]]-TblExplore[[#This Row],[Land Bonus]]*20)</f>
        <v>0</v>
      </c>
      <c r="AD12" s="139"/>
      <c r="AE12" s="260">
        <f>TblMili[[#This Row],[Hour]]</f>
        <v>9</v>
      </c>
      <c r="AF12" s="140">
        <f ca="1">TblExplore[[#This Row],[Time]]</f>
        <v>45732.333333333314</v>
      </c>
      <c r="AG12" s="181"/>
      <c r="AH12" s="181"/>
      <c r="AI12" s="181"/>
      <c r="AJ12" s="181"/>
      <c r="AK12" s="181"/>
      <c r="AL12" s="181"/>
      <c r="AM12" s="181"/>
      <c r="AN12" s="181"/>
      <c r="AO12" s="448">
        <f ca="1">ROUND(IF(AND(TblMagic[[#This Row],[Active DnD]]&lt;12,TblMagic[[#This Row],[Active DnD]]&gt;5),OFFSET(TblPop[[#This Row],[Draft Growth]],-1,0)*0.375,0),0)</f>
        <v>0</v>
      </c>
      <c r="AP12" s="144"/>
      <c r="AQ12" s="96">
        <f ca="1">TblProd[[#This Row],[Platinum]]</f>
        <v>160892</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45732.333333333314</v>
      </c>
      <c r="AW12" s="96">
        <f ca="1">TblMili[[#This Row],[Draftees]]</f>
        <v>212</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0.44</v>
      </c>
      <c r="BX12" s="159">
        <f ca="1">TblMili[[#This Row],[WG''s]]</f>
        <v>0</v>
      </c>
      <c r="BY12" s="265">
        <f ca="1">IF(mystic_cap="none",TblMili[[#This Row],[Homeland%]]/mystic_bonus,MIN(mystic_cap,TblMili[[#This Row],[Homeland%]]/mystic_bonus))</f>
        <v>2</v>
      </c>
      <c r="BZ12" s="265">
        <f ca="1">IF(druid_op_cap="none",TblMili[[#This Row],[Homeland%]]/druid_op_bonus,MIN(druid_op_cap,TblMili[[#This Row],[Homeland%]]/druid_op_bonus))</f>
        <v>2</v>
      </c>
      <c r="CA12" s="265">
        <f ca="1">IF(druid_dp_cap="none",TblMili[[#This Row],[Homeland%]]/druid_dp_bonus,MIN(druid_dp_cap,TblMili[[#This Row],[Homeland%]]/druid_dp_bonus))</f>
        <v>2</v>
      </c>
      <c r="CB12" s="265">
        <f ca="1">MIN(dryad_cap,TblMili[[#This Row],[Homeland%]]/dryad_bonus)</f>
        <v>2.1999999999999997</v>
      </c>
      <c r="CC12" s="265">
        <f ca="1">MIN(rocka_cap,TblMili[[#This Row],[Homeland%]]/rocka_bonus)</f>
        <v>2</v>
      </c>
      <c r="CD12" s="265">
        <f ca="1">MIN(adept_op_cap,TblMili[[#This Row],[WG]]/adept_op_bonus)</f>
        <v>0</v>
      </c>
      <c r="CE12" s="265">
        <f ca="1">MIN(adept_dp_cap,TblMili[[#This Row],[WG]]/adept_dp_bonus)</f>
        <v>0</v>
      </c>
      <c r="CF12" s="96">
        <f ca="1">MIN(TblMili[[#This Row],[Unit 3]],TblMili[[#This Row],[Unit 2]])*2</f>
        <v>0</v>
      </c>
      <c r="CG12" s="96">
        <f ca="1">MIN(TblMili[[#This Row],[Unit 1]],TblMili[[#This Row],[Unit 4]])*2</f>
        <v>0</v>
      </c>
      <c r="CH12" s="265">
        <f ca="1">MIN(frost_mage_cap,TblMili[[#This Row],[Homeland%]]/frost_mage_bonus)</f>
        <v>2.1999999999999997</v>
      </c>
      <c r="CI12" s="45">
        <f ca="1">MIN(ice_elem_cap,TblMili[[#This Row],[Raw (2)]]*ice_elem_bonus)</f>
        <v>0.1</v>
      </c>
      <c r="CJ12" s="265">
        <f t="shared" si="0"/>
        <v>0.83333333333333337</v>
      </c>
      <c r="CK12" s="265">
        <f ca="1">MIN(nox_nightshade_cap,TblConstr[[#This Row],[Homeland]]/TblConstr[[#This Row],[Land]]/nox_nightshade_swamp_bonus)</f>
        <v>4</v>
      </c>
      <c r="CL12" s="265">
        <f ca="1">MIN(TblConstr[[#This Row],[Tot Tow]]/TblConstr[[#This Row],[Land]]/abyss_enforce_bonus,abyss_enforcer_cap)</f>
        <v>0</v>
      </c>
      <c r="CM12" s="265">
        <f ca="1">IF(TblMagic[[#This Row],[Active Demonic Pact]]&gt;0,MIN(TblMili[[#This Row],[Unit 1]],TblMili[[#This Row],[Unit 4]])*demonic_pact_oppair,0)</f>
        <v>0</v>
      </c>
      <c r="CN12" s="266" t="s">
        <v>498</v>
      </c>
      <c r="CO12" s="266" t="b">
        <f t="shared" si="1"/>
        <v>0</v>
      </c>
      <c r="CP12" s="266"/>
      <c r="CQ12" s="265">
        <f ca="1">MIN(6,TblMili[[#This Row],[Mystic]]+Races!$F$19)*1.8 +  IF(TblMili[[#This Row],[Mystic]]+Races!$F$19&gt;6,(TblMili[[#This Row],[Mystic]]+Races!$F$19-6)*0.2,0) - Races!$I$19</f>
        <v>1</v>
      </c>
      <c r="CR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-0.64000000000000057</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4.7099999999999991</v>
      </c>
      <c r="DA12" s="157">
        <f ca="1">1.8 * MIN(MAX(TblMili[[#This Row],[Ice Elemental]]+Races!$E$71,Races!$F$71),6)  +  0.45 * MIN(MIN(TblMili[[#This Row],[Ice Elemental]]+Races!$E$71,Races!$F$71),6)  +  0.2 * ( MAX(TblMili[[#This Row],[Ice Elemental]]+Races!$E$71-6,0) + MAX(Races!$F$71-6,0) )  -  Races!$I$71</f>
        <v>0.92999999999999972</v>
      </c>
      <c r="DB12" s="96">
        <f ca="1">TblMili[[#This Row],[Frost Mage bonus]]*TblMili[[#This Row],[Unit 3]]+TblMili[[#This Row],[Ice Elemental bonus]]*TblMili[[#This Row],[Unit 4]]</f>
        <v>0</v>
      </c>
      <c r="DC12" s="267"/>
      <c r="DD12" s="145">
        <f ca="1">MIN(SUM(TblConstr[[#This Row],[Plain]:[Water]])/TblMili[[#This Row],[Land]]/favorable_terrain_bonus/100,favorable_terrain_max)</f>
        <v>0.1</v>
      </c>
      <c r="DE12" s="267"/>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 s="144"/>
      <c r="DH12" s="268">
        <f ca="1">(TblMili[[#This Row],[Wizards]]+2*TblMili[[#This Row],[Archmages]])/TblConstr[[#This Row],[Land]]</f>
        <v>0.1</v>
      </c>
      <c r="DI12" s="268">
        <f ca="1">TblMili[[#This Row],[Raw (2)]]*(1+race_wizard_strength+IF(TblMili[[#This Row],[Hour]]&gt;72,tech_magical_weaponry_wiz*TblTech[[#This Row],[3-5]],0))</f>
        <v>0.1</v>
      </c>
    </row>
    <row r="13" spans="1:113" x14ac:dyDescent="0.2">
      <c r="A13" s="139">
        <f>TblRezone[[#This Row],[Hour]]</f>
        <v>10</v>
      </c>
      <c r="B13" s="260">
        <f ca="1">SUM(TblMili[[#This Row],[Unit 1]:[Archmages]])+SUM(OFFSET(TblMili[[#This Row],[Train Unit 1]],-8,0):TblMili[[#This Row],[Train Unit 2]]) + SUM(OFFSET(TblMili[[#This Row],[Train Unit 3]],-9,0):TblMili[[#This Row],[Train Unit 4]]) + TblMili[[#This Row],[Draftees]]</f>
        <v>427</v>
      </c>
      <c r="C13" s="159">
        <f ca="1">TblPop[[#This Row],[Military%]]</f>
        <v>0.21609311740890688</v>
      </c>
      <c r="D13" s="144"/>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4"/>
      <c r="N13" s="96">
        <f ca="1">TblProd[[#This Row],[Networth]]</f>
        <v>6450</v>
      </c>
      <c r="O13" s="144"/>
      <c r="P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1">
        <f ca="1">TblMili[[#This Row],[Raw]]*(1+TblMili[[#This Row],[Mods_Off]])</f>
        <v>0</v>
      </c>
      <c r="S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 s="261">
        <f ca="1">TblMili[[#This Row],[Non Draft]]+TblMili[[#This Row],[Draftees]]</f>
        <v>677</v>
      </c>
      <c r="U13" s="262">
        <f ca="1">race_defense + TblImps[[#This Row],[Walls]] + ROUND( MIN(gt_bonus*TblConstr[[#This Row],[Tot GT]]/TblConstr[[#This Row],[Land]],gt_bonus_cap), 4) + IF(TblMagic[[#This Row],[Active Howling]]&gt;0,howling_dp_bonus,IF(TblMagic[[#This Row],[Active Ares Call]]&gt;0,ares_call_bonus))</f>
        <v>0</v>
      </c>
      <c r="V13" s="263">
        <f ca="1">TblMili[[#This Row],[Non Draft]] * (1 + TblMili[[#This Row],[Mods_Def]])</f>
        <v>450</v>
      </c>
      <c r="W13" s="261">
        <f ca="1">TblMili[[#This Row],[Draft]] * (1 + TblMili[[#This Row],[Mods_Def]])</f>
        <v>677</v>
      </c>
      <c r="X13" s="261">
        <f ca="1">TblConstr[[#This Row],[Land]]</f>
        <v>250</v>
      </c>
      <c r="Y13" s="264"/>
      <c r="Z13" s="269">
        <f ca="1">IF(TblMili[[#This Row],[Set]]&lt;&gt;"",TblMili[[#This Row],[Set]],OFFSET(TblMili[[#This Row],[Draftrate]],-1,0))</f>
        <v>0.35</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6"/>
      <c r="AC13" s="182">
        <f ca="1">(TblConstr[[#This Row],[Tot Smi]]+TblConstr[[#This Row],[Dest Smi]])/(TblConstr[[#This Row],[Land]]-TblExplore[[#This Row],[Land Bonus]]*20)</f>
        <v>0</v>
      </c>
      <c r="AD13" s="139"/>
      <c r="AE13" s="260">
        <f>TblMili[[#This Row],[Hour]]</f>
        <v>10</v>
      </c>
      <c r="AF13" s="140">
        <f ca="1">TblExplore[[#This Row],[Time]]</f>
        <v>45732.374999999978</v>
      </c>
      <c r="AG13" s="181"/>
      <c r="AH13" s="181"/>
      <c r="AI13" s="181"/>
      <c r="AJ13" s="181"/>
      <c r="AK13" s="181"/>
      <c r="AL13" s="181"/>
      <c r="AM13" s="181"/>
      <c r="AN13" s="181"/>
      <c r="AO13" s="448">
        <f ca="1">ROUND(IF(AND(TblMagic[[#This Row],[Active DnD]]&lt;12,TblMagic[[#This Row],[Active DnD]]&gt;5),OFFSET(TblPop[[#This Row],[Draft Growth]],-1,0)*0.375,0),0)</f>
        <v>0</v>
      </c>
      <c r="AP13" s="144"/>
      <c r="AQ13" s="96">
        <f ca="1">TblProd[[#This Row],[Platinum]]</f>
        <v>166343</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45732.374999999978</v>
      </c>
      <c r="AW13" s="96">
        <f ca="1">TblMili[[#This Row],[Draftees]]</f>
        <v>227</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0.44</v>
      </c>
      <c r="BX13" s="159">
        <f ca="1">TblMili[[#This Row],[WG''s]]</f>
        <v>0</v>
      </c>
      <c r="BY13" s="265">
        <f ca="1">IF(mystic_cap="none",TblMili[[#This Row],[Homeland%]]/mystic_bonus,MIN(mystic_cap,TblMili[[#This Row],[Homeland%]]/mystic_bonus))</f>
        <v>2</v>
      </c>
      <c r="BZ13" s="265">
        <f ca="1">IF(druid_op_cap="none",TblMili[[#This Row],[Homeland%]]/druid_op_bonus,MIN(druid_op_cap,TblMili[[#This Row],[Homeland%]]/druid_op_bonus))</f>
        <v>2</v>
      </c>
      <c r="CA13" s="265">
        <f ca="1">IF(druid_dp_cap="none",TblMili[[#This Row],[Homeland%]]/druid_dp_bonus,MIN(druid_dp_cap,TblMili[[#This Row],[Homeland%]]/druid_dp_bonus))</f>
        <v>2</v>
      </c>
      <c r="CB13" s="265">
        <f ca="1">MIN(dryad_cap,TblMili[[#This Row],[Homeland%]]/dryad_bonus)</f>
        <v>2.1999999999999997</v>
      </c>
      <c r="CC13" s="265">
        <f ca="1">MIN(rocka_cap,TblMili[[#This Row],[Homeland%]]/rocka_bonus)</f>
        <v>2</v>
      </c>
      <c r="CD13" s="265">
        <f ca="1">MIN(adept_op_cap,TblMili[[#This Row],[WG]]/adept_op_bonus)</f>
        <v>0</v>
      </c>
      <c r="CE13" s="265">
        <f ca="1">MIN(adept_dp_cap,TblMili[[#This Row],[WG]]/adept_dp_bonus)</f>
        <v>0</v>
      </c>
      <c r="CF13" s="96">
        <f ca="1">MIN(TblMili[[#This Row],[Unit 3]],TblMili[[#This Row],[Unit 2]])*2</f>
        <v>0</v>
      </c>
      <c r="CG13" s="96">
        <f ca="1">MIN(TblMili[[#This Row],[Unit 1]],TblMili[[#This Row],[Unit 4]])*2</f>
        <v>0</v>
      </c>
      <c r="CH13" s="265">
        <f ca="1">MIN(frost_mage_cap,TblMili[[#This Row],[Homeland%]]/frost_mage_bonus)</f>
        <v>2.1999999999999997</v>
      </c>
      <c r="CI13" s="45">
        <f ca="1">MIN(ice_elem_cap,TblMili[[#This Row],[Raw (2)]]*ice_elem_bonus)</f>
        <v>0.1</v>
      </c>
      <c r="CJ13" s="265">
        <f t="shared" si="0"/>
        <v>0.83333333333333337</v>
      </c>
      <c r="CK13" s="265">
        <f ca="1">MIN(nox_nightshade_cap,TblConstr[[#This Row],[Homeland]]/TblConstr[[#This Row],[Land]]/nox_nightshade_swamp_bonus)</f>
        <v>4</v>
      </c>
      <c r="CL13" s="265">
        <f ca="1">MIN(TblConstr[[#This Row],[Tot Tow]]/TblConstr[[#This Row],[Land]]/abyss_enforce_bonus,abyss_enforcer_cap)</f>
        <v>0</v>
      </c>
      <c r="CM13" s="265">
        <f ca="1">IF(TblMagic[[#This Row],[Active Demonic Pact]]&gt;0,MIN(TblMili[[#This Row],[Unit 1]],TblMili[[#This Row],[Unit 4]])*demonic_pact_oppair,0)</f>
        <v>0</v>
      </c>
      <c r="CN13" s="266" t="s">
        <v>1134</v>
      </c>
      <c r="CO13" s="266" t="b">
        <f>race=TblMili[[#This Row],[Column36]]</f>
        <v>0</v>
      </c>
      <c r="CP13" s="266"/>
      <c r="CQ13" s="265">
        <f ca="1">MIN(6,TblMili[[#This Row],[Mystic]]+Races!$F$19)*1.8 +  IF(TblMili[[#This Row],[Mystic]]+Races!$F$19&gt;6,(TblMili[[#This Row],[Mystic]]+Races!$F$19-6)*0.2,0) - Races!$I$19</f>
        <v>1</v>
      </c>
      <c r="CR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-0.64000000000000057</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4.7099999999999991</v>
      </c>
      <c r="DA13" s="157">
        <f ca="1">1.8 * MIN(MAX(TblMili[[#This Row],[Ice Elemental]]+Races!$E$71,Races!$F$71),6)  +  0.45 * MIN(MIN(TblMili[[#This Row],[Ice Elemental]]+Races!$E$71,Races!$F$71),6)  +  0.2 * ( MAX(TblMili[[#This Row],[Ice Elemental]]+Races!$E$71-6,0) + MAX(Races!$F$71-6,0) )  -  Races!$I$71</f>
        <v>0.92999999999999972</v>
      </c>
      <c r="DB13" s="96">
        <f ca="1">TblMili[[#This Row],[Frost Mage bonus]]*TblMili[[#This Row],[Unit 3]]+TblMili[[#This Row],[Ice Elemental bonus]]*TblMili[[#This Row],[Unit 4]]</f>
        <v>0</v>
      </c>
      <c r="DC13" s="267"/>
      <c r="DD13" s="145">
        <f ca="1">MIN(SUM(TblConstr[[#This Row],[Plain]:[Water]])/TblMili[[#This Row],[Land]]/favorable_terrain_bonus/100,favorable_terrain_max)</f>
        <v>0.1</v>
      </c>
      <c r="DE13" s="267"/>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 s="144"/>
      <c r="DH13" s="268">
        <f ca="1">(TblMili[[#This Row],[Wizards]]+2*TblMili[[#This Row],[Archmages]])/TblConstr[[#This Row],[Land]]</f>
        <v>0.1</v>
      </c>
      <c r="DI13" s="268">
        <f ca="1">TblMili[[#This Row],[Raw (2)]]*(1+race_wizard_strength+IF(TblMili[[#This Row],[Hour]]&gt;72,tech_magical_weaponry_wiz*TblTech[[#This Row],[3-5]],0))</f>
        <v>0.1</v>
      </c>
    </row>
    <row r="14" spans="1:113" x14ac:dyDescent="0.2">
      <c r="A14" s="139">
        <f>TblRezone[[#This Row],[Hour]]</f>
        <v>11</v>
      </c>
      <c r="B14" s="260">
        <f ca="1">SUM(TblMili[[#This Row],[Unit 1]:[Archmages]])+SUM(OFFSET(TblMili[[#This Row],[Train Unit 1]],-8,0):TblMili[[#This Row],[Train Unit 2]]) + SUM(OFFSET(TblMili[[#This Row],[Train Unit 3]],-10,0):TblMili[[#This Row],[Train Unit 4]]) + TblMili[[#This Row],[Draftees]]</f>
        <v>442</v>
      </c>
      <c r="C14" s="159">
        <f ca="1">TblPop[[#This Row],[Military%]]</f>
        <v>0.21859545004945599</v>
      </c>
      <c r="D14" s="144"/>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4"/>
      <c r="N14" s="96">
        <f ca="1">TblProd[[#This Row],[Networth]]</f>
        <v>6450</v>
      </c>
      <c r="O14" s="144"/>
      <c r="P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1">
        <f ca="1">TblMili[[#This Row],[Raw]]*(1+TblMili[[#This Row],[Mods_Off]])</f>
        <v>0</v>
      </c>
      <c r="S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4" s="261">
        <f ca="1">TblMili[[#This Row],[Non Draft]]+TblMili[[#This Row],[Draftees]]</f>
        <v>692</v>
      </c>
      <c r="U14" s="262">
        <f ca="1">race_defense + TblImps[[#This Row],[Walls]] + ROUND( MIN(gt_bonus*TblConstr[[#This Row],[Tot GT]]/TblConstr[[#This Row],[Land]],gt_bonus_cap), 4) + IF(TblMagic[[#This Row],[Active Howling]]&gt;0,howling_dp_bonus,IF(TblMagic[[#This Row],[Active Ares Call]]&gt;0,ares_call_bonus))</f>
        <v>0</v>
      </c>
      <c r="V14" s="263">
        <f ca="1">TblMili[[#This Row],[Non Draft]] * (1 + TblMili[[#This Row],[Mods_Def]])</f>
        <v>450</v>
      </c>
      <c r="W14" s="261">
        <f ca="1">TblMili[[#This Row],[Draft]] * (1 + TblMili[[#This Row],[Mods_Def]])</f>
        <v>692</v>
      </c>
      <c r="X14" s="261">
        <f ca="1">TblConstr[[#This Row],[Land]]</f>
        <v>250</v>
      </c>
      <c r="Y14" s="264"/>
      <c r="Z14" s="269">
        <f ca="1">IF(TblMili[[#This Row],[Set]]&lt;&gt;"",TblMili[[#This Row],[Set]],OFFSET(TblMili[[#This Row],[Draftrate]],-1,0))</f>
        <v>0.35</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6"/>
      <c r="AC14" s="182">
        <f ca="1">(TblConstr[[#This Row],[Tot Smi]]+TblConstr[[#This Row],[Dest Smi]])/(TblConstr[[#This Row],[Land]]-TblExplore[[#This Row],[Land Bonus]]*20)</f>
        <v>0</v>
      </c>
      <c r="AD14" s="139"/>
      <c r="AE14" s="260">
        <f>TblMili[[#This Row],[Hour]]</f>
        <v>11</v>
      </c>
      <c r="AF14" s="140">
        <f ca="1">TblExplore[[#This Row],[Time]]</f>
        <v>45732.416666666642</v>
      </c>
      <c r="AG14" s="181"/>
      <c r="AH14" s="181"/>
      <c r="AI14" s="181"/>
      <c r="AJ14" s="181"/>
      <c r="AK14" s="181"/>
      <c r="AL14" s="181"/>
      <c r="AM14" s="181"/>
      <c r="AN14" s="181"/>
      <c r="AO14" s="448">
        <f ca="1">ROUND(IF(AND(TblMagic[[#This Row],[Active DnD]]&lt;12,TblMagic[[#This Row],[Active DnD]]&gt;5),OFFSET(TblPop[[#This Row],[Draft Growth]],-1,0)*0.375,0),0)</f>
        <v>0</v>
      </c>
      <c r="AP14" s="144"/>
      <c r="AQ14" s="96">
        <f ca="1">TblProd[[#This Row],[Platinum]]</f>
        <v>171875</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45732.416666666642</v>
      </c>
      <c r="AW14" s="96">
        <f ca="1">TblMili[[#This Row],[Draftees]]</f>
        <v>242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0.44</v>
      </c>
      <c r="BX14" s="159">
        <f ca="1">TblMili[[#This Row],[WG''s]]</f>
        <v>0</v>
      </c>
      <c r="BY14" s="265">
        <f ca="1">IF(mystic_cap="none",TblMili[[#This Row],[Homeland%]]/mystic_bonus,MIN(mystic_cap,TblMili[[#This Row],[Homeland%]]/mystic_bonus))</f>
        <v>2</v>
      </c>
      <c r="BZ14" s="265">
        <f ca="1">IF(druid_op_cap="none",TblMili[[#This Row],[Homeland%]]/druid_op_bonus,MIN(druid_op_cap,TblMili[[#This Row],[Homeland%]]/druid_op_bonus))</f>
        <v>2</v>
      </c>
      <c r="CA14" s="265">
        <f ca="1">IF(druid_dp_cap="none",TblMili[[#This Row],[Homeland%]]/druid_dp_bonus,MIN(druid_dp_cap,TblMili[[#This Row],[Homeland%]]/druid_dp_bonus))</f>
        <v>2</v>
      </c>
      <c r="CB14" s="265">
        <f ca="1">MIN(dryad_cap,TblMili[[#This Row],[Homeland%]]/dryad_bonus)</f>
        <v>2.1999999999999997</v>
      </c>
      <c r="CC14" s="265">
        <f ca="1">MIN(rocka_cap,TblMili[[#This Row],[Homeland%]]/rocka_bonus)</f>
        <v>2</v>
      </c>
      <c r="CD14" s="265">
        <f ca="1">MIN(adept_op_cap,TblMili[[#This Row],[WG]]/adept_op_bonus)</f>
        <v>0</v>
      </c>
      <c r="CE14" s="265">
        <f ca="1">MIN(adept_dp_cap,TblMili[[#This Row],[WG]]/adept_dp_bonus)</f>
        <v>0</v>
      </c>
      <c r="CF14" s="96">
        <f ca="1">MIN(TblMili[[#This Row],[Unit 3]],TblMili[[#This Row],[Unit 2]])*2</f>
        <v>0</v>
      </c>
      <c r="CG14" s="96">
        <f ca="1">MIN(TblMili[[#This Row],[Unit 1]],TblMili[[#This Row],[Unit 4]])*2</f>
        <v>0</v>
      </c>
      <c r="CH14" s="265">
        <f ca="1">MIN(frost_mage_cap,TblMili[[#This Row],[Homeland%]]/frost_mage_bonus)</f>
        <v>2.1999999999999997</v>
      </c>
      <c r="CI14" s="45">
        <f ca="1">MIN(ice_elem_cap,TblMili[[#This Row],[Raw (2)]]*ice_elem_bonus)</f>
        <v>0.1</v>
      </c>
      <c r="CJ14" s="265">
        <f t="shared" si="0"/>
        <v>0.83333333333333337</v>
      </c>
      <c r="CK14" s="265">
        <f ca="1">MIN(nox_nightshade_cap,TblConstr[[#This Row],[Homeland]]/TblConstr[[#This Row],[Land]]/nox_nightshade_swamp_bonus)</f>
        <v>4</v>
      </c>
      <c r="CL14" s="265">
        <f ca="1">MIN(TblConstr[[#This Row],[Tot Tow]]/TblConstr[[#This Row],[Land]]/abyss_enforce_bonus,abyss_enforcer_cap)</f>
        <v>0</v>
      </c>
      <c r="CM14" s="265">
        <f ca="1">IF(TblMagic[[#This Row],[Active Demonic Pact]]&gt;0,MIN(TblMili[[#This Row],[Unit 1]],TblMili[[#This Row],[Unit 4]])*demonic_pact_oppair,0)</f>
        <v>0</v>
      </c>
      <c r="CN14" s="266"/>
      <c r="CO14" s="266"/>
      <c r="CP14" s="266"/>
      <c r="CQ14" s="265">
        <f ca="1">MIN(6,TblMili[[#This Row],[Mystic]]+Races!$F$19)*1.8 +  IF(TblMili[[#This Row],[Mystic]]+Races!$F$19&gt;6,(TblMili[[#This Row],[Mystic]]+Races!$F$19-6)*0.2,0) - Races!$I$19</f>
        <v>1</v>
      </c>
      <c r="CR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-0.64000000000000057</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4.7099999999999991</v>
      </c>
      <c r="DA14" s="157">
        <f ca="1">1.8 * MIN(MAX(TblMili[[#This Row],[Ice Elemental]]+Races!$E$71,Races!$F$71),6)  +  0.45 * MIN(MIN(TblMili[[#This Row],[Ice Elemental]]+Races!$E$71,Races!$F$71),6)  +  0.2 * ( MAX(TblMili[[#This Row],[Ice Elemental]]+Races!$E$71-6,0) + MAX(Races!$F$71-6,0) )  -  Races!$I$71</f>
        <v>0.92999999999999972</v>
      </c>
      <c r="DB14" s="96">
        <f ca="1">TblMili[[#This Row],[Frost Mage bonus]]*TblMili[[#This Row],[Unit 3]]+TblMili[[#This Row],[Ice Elemental bonus]]*TblMili[[#This Row],[Unit 4]]</f>
        <v>0</v>
      </c>
      <c r="DC14" s="267"/>
      <c r="DD14" s="145">
        <f ca="1">MIN(SUM(TblConstr[[#This Row],[Plain]:[Water]])/TblMili[[#This Row],[Land]]/favorable_terrain_bonus/100,favorable_terrain_max)</f>
        <v>0.1</v>
      </c>
      <c r="DE14" s="267"/>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4" s="144"/>
      <c r="DH14" s="268">
        <f ca="1">(TblMili[[#This Row],[Wizards]]+2*TblMili[[#This Row],[Archmages]])/TblConstr[[#This Row],[Land]]</f>
        <v>0.1</v>
      </c>
      <c r="DI14" s="268">
        <f ca="1">TblMili[[#This Row],[Raw (2)]]*(1+race_wizard_strength+IF(TblMili[[#This Row],[Hour]]&gt;72,tech_magical_weaponry_wiz*TblTech[[#This Row],[3-5]],0))</f>
        <v>0.1</v>
      </c>
    </row>
    <row r="15" spans="1:113" x14ac:dyDescent="0.2">
      <c r="A15" s="139">
        <f>TblRezone[[#This Row],[Hour]]</f>
        <v>12</v>
      </c>
      <c r="B15" s="260">
        <f ca="1">SUM(TblMili[[#This Row],[Unit 1]:[Archmages]])+SUM(OFFSET(TblMili[[#This Row],[Train Unit 1]],-8,0):TblMili[[#This Row],[Train Unit 2]]) + SUM(OFFSET(TblMili[[#This Row],[Train Unit 3]],-11,0):TblMili[[#This Row],[Train Unit 4]]) + TblMili[[#This Row],[Draftees]]</f>
        <v>458</v>
      </c>
      <c r="C15" s="159">
        <f ca="1">TblPop[[#This Row],[Military%]]</f>
        <v>0.22136297728371193</v>
      </c>
      <c r="D15" s="144"/>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4"/>
      <c r="N15" s="96">
        <f ca="1">TblProd[[#This Row],[Networth]]</f>
        <v>6450</v>
      </c>
      <c r="O15" s="144"/>
      <c r="P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1">
        <f ca="1">TblMili[[#This Row],[Raw]]*(1+TblMili[[#This Row],[Mods_Off]])</f>
        <v>0</v>
      </c>
      <c r="S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5" s="261">
        <f ca="1">TblMili[[#This Row],[Non Draft]]+TblMili[[#This Row],[Draftees]]</f>
        <v>708</v>
      </c>
      <c r="U15" s="262">
        <f ca="1">race_defense + TblImps[[#This Row],[Walls]] + ROUND( MIN(gt_bonus*TblConstr[[#This Row],[Tot GT]]/TblConstr[[#This Row],[Land]],gt_bonus_cap), 4) + IF(TblMagic[[#This Row],[Active Howling]]&gt;0,howling_dp_bonus,IF(TblMagic[[#This Row],[Active Ares Call]]&gt;0,ares_call_bonus))</f>
        <v>0</v>
      </c>
      <c r="V15" s="263">
        <f ca="1">TblMili[[#This Row],[Non Draft]] * (1 + TblMili[[#This Row],[Mods_Def]])</f>
        <v>450</v>
      </c>
      <c r="W15" s="261">
        <f ca="1">TblMili[[#This Row],[Draft]] * (1 + TblMili[[#This Row],[Mods_Def]])</f>
        <v>708</v>
      </c>
      <c r="X15" s="261">
        <f ca="1">TblConstr[[#This Row],[Land]]</f>
        <v>250</v>
      </c>
      <c r="Y15" s="264"/>
      <c r="Z15" s="269">
        <f ca="1">IF(TblMili[[#This Row],[Set]]&lt;&gt;"",TblMili[[#This Row],[Set]],OFFSET(TblMili[[#This Row],[Draftrate]],-1,0))</f>
        <v>0.35</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6"/>
      <c r="AC15" s="182">
        <f ca="1">(TblConstr[[#This Row],[Tot Smi]]+TblConstr[[#This Row],[Dest Smi]])/(TblConstr[[#This Row],[Land]]-TblExplore[[#This Row],[Land Bonus]]*20)</f>
        <v>0</v>
      </c>
      <c r="AD15" s="139"/>
      <c r="AE15" s="260">
        <f>TblMili[[#This Row],[Hour]]</f>
        <v>12</v>
      </c>
      <c r="AF15" s="140">
        <f ca="1">TblExplore[[#This Row],[Time]]</f>
        <v>45732.458333333307</v>
      </c>
      <c r="AG15" s="181"/>
      <c r="AH15" s="181"/>
      <c r="AI15" s="181"/>
      <c r="AJ15" s="181"/>
      <c r="AK15" s="181"/>
      <c r="AL15" s="181"/>
      <c r="AM15" s="181"/>
      <c r="AN15" s="181"/>
      <c r="AO15" s="448">
        <f ca="1">ROUND(IF(AND(TblMagic[[#This Row],[Active DnD]]&lt;12,TblMagic[[#This Row],[Active DnD]]&gt;5),OFFSET(TblPop[[#This Row],[Draft Growth]],-1,0)*0.375,0),0)</f>
        <v>0</v>
      </c>
      <c r="AP15" s="144"/>
      <c r="AQ15" s="96">
        <f ca="1">TblProd[[#This Row],[Platinum]]</f>
        <v>177491</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45732.458333333307</v>
      </c>
      <c r="AW15" s="96">
        <f ca="1">TblMili[[#This Row],[Draftees]]</f>
        <v>258</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0.44</v>
      </c>
      <c r="BX15" s="159">
        <f ca="1">TblMili[[#This Row],[WG''s]]</f>
        <v>0</v>
      </c>
      <c r="BY15" s="265">
        <f ca="1">IF(mystic_cap="none",TblMili[[#This Row],[Homeland%]]/mystic_bonus,MIN(mystic_cap,TblMili[[#This Row],[Homeland%]]/mystic_bonus))</f>
        <v>2</v>
      </c>
      <c r="BZ15" s="265">
        <f ca="1">IF(druid_op_cap="none",TblMili[[#This Row],[Homeland%]]/druid_op_bonus,MIN(druid_op_cap,TblMili[[#This Row],[Homeland%]]/druid_op_bonus))</f>
        <v>2</v>
      </c>
      <c r="CA15" s="265">
        <f ca="1">IF(druid_dp_cap="none",TblMili[[#This Row],[Homeland%]]/druid_dp_bonus,MIN(druid_dp_cap,TblMili[[#This Row],[Homeland%]]/druid_dp_bonus))</f>
        <v>2</v>
      </c>
      <c r="CB15" s="265">
        <f ca="1">MIN(dryad_cap,TblMili[[#This Row],[Homeland%]]/dryad_bonus)</f>
        <v>2.1999999999999997</v>
      </c>
      <c r="CC15" s="265">
        <f ca="1">MIN(rocka_cap,TblMili[[#This Row],[Homeland%]]/rocka_bonus)</f>
        <v>2</v>
      </c>
      <c r="CD15" s="265">
        <f ca="1">MIN(adept_op_cap,TblMili[[#This Row],[WG]]/adept_op_bonus)</f>
        <v>0</v>
      </c>
      <c r="CE15" s="265">
        <f ca="1">MIN(adept_dp_cap,TblMili[[#This Row],[WG]]/adept_dp_bonus)</f>
        <v>0</v>
      </c>
      <c r="CF15" s="96">
        <f ca="1">MIN(TblMili[[#This Row],[Unit 3]],TblMili[[#This Row],[Unit 2]])*2</f>
        <v>0</v>
      </c>
      <c r="CG15" s="96">
        <f ca="1">MIN(TblMili[[#This Row],[Unit 1]],TblMili[[#This Row],[Unit 4]])*2</f>
        <v>0</v>
      </c>
      <c r="CH15" s="265">
        <f ca="1">MIN(frost_mage_cap,TblMili[[#This Row],[Homeland%]]/frost_mage_bonus)</f>
        <v>2.1999999999999997</v>
      </c>
      <c r="CI15" s="45">
        <f ca="1">MIN(ice_elem_cap,TblMili[[#This Row],[Raw (2)]]*ice_elem_bonus)</f>
        <v>0.1</v>
      </c>
      <c r="CJ15" s="265">
        <f t="shared" si="0"/>
        <v>0.83333333333333337</v>
      </c>
      <c r="CK15" s="265">
        <f ca="1">MIN(nox_nightshade_cap,TblConstr[[#This Row],[Homeland]]/TblConstr[[#This Row],[Land]]/nox_nightshade_swamp_bonus)</f>
        <v>4</v>
      </c>
      <c r="CL15" s="265">
        <f ca="1">MIN(TblConstr[[#This Row],[Tot Tow]]/TblConstr[[#This Row],[Land]]/abyss_enforce_bonus,abyss_enforcer_cap)</f>
        <v>0</v>
      </c>
      <c r="CM15" s="265">
        <f ca="1">IF(TblMagic[[#This Row],[Active Demonic Pact]]&gt;0,MIN(TblMili[[#This Row],[Unit 1]],TblMili[[#This Row],[Unit 4]])*demonic_pact_oppair,0)</f>
        <v>0</v>
      </c>
      <c r="CN15" s="266"/>
      <c r="CO15" s="266"/>
      <c r="CP15" s="266"/>
      <c r="CQ15" s="265">
        <f ca="1">MIN(6,TblMili[[#This Row],[Mystic]]+Races!$F$19)*1.8 +  IF(TblMili[[#This Row],[Mystic]]+Races!$F$19&gt;6,(TblMili[[#This Row],[Mystic]]+Races!$F$19-6)*0.2,0) - Races!$I$19</f>
        <v>1</v>
      </c>
      <c r="CR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-0.64000000000000057</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4.7099999999999991</v>
      </c>
      <c r="DA15" s="157">
        <f ca="1">1.8 * MIN(MAX(TblMili[[#This Row],[Ice Elemental]]+Races!$E$71,Races!$F$71),6)  +  0.45 * MIN(MIN(TblMili[[#This Row],[Ice Elemental]]+Races!$E$71,Races!$F$71),6)  +  0.2 * ( MAX(TblMili[[#This Row],[Ice Elemental]]+Races!$E$71-6,0) + MAX(Races!$F$71-6,0) )  -  Races!$I$71</f>
        <v>0.92999999999999972</v>
      </c>
      <c r="DB15" s="96">
        <f ca="1">TblMili[[#This Row],[Frost Mage bonus]]*TblMili[[#This Row],[Unit 3]]+TblMili[[#This Row],[Ice Elemental bonus]]*TblMili[[#This Row],[Unit 4]]</f>
        <v>0</v>
      </c>
      <c r="DC15" s="267"/>
      <c r="DD15" s="145">
        <f ca="1">MIN(SUM(TblConstr[[#This Row],[Plain]:[Water]])/TblMili[[#This Row],[Land]]/favorable_terrain_bonus/100,favorable_terrain_max)</f>
        <v>0.1</v>
      </c>
      <c r="DE15" s="267"/>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5" s="144"/>
      <c r="DH15" s="268">
        <f ca="1">(TblMili[[#This Row],[Wizards]]+2*TblMili[[#This Row],[Archmages]])/TblConstr[[#This Row],[Land]]</f>
        <v>0.1</v>
      </c>
      <c r="DI15" s="268">
        <f ca="1">TblMili[[#This Row],[Raw (2)]]*(1+race_wizard_strength+IF(TblMili[[#This Row],[Hour]]&gt;72,tech_magical_weaponry_wiz*TblTech[[#This Row],[3-5]],0))</f>
        <v>0.1</v>
      </c>
    </row>
    <row r="16" spans="1:113" x14ac:dyDescent="0.2">
      <c r="A16" s="139">
        <f>TblRezone[[#This Row],[Hour]]</f>
        <v>13</v>
      </c>
      <c r="B16" s="260">
        <f ca="1">SUM(TblMili[[#This Row],[Unit 1]:[Archmages]])+SUM(OFFSET(TblMili[[#This Row],[Train Unit 1]],-8,0):TblMili[[#This Row],[Train Unit 2]]) + SUM(OFFSET(TblMili[[#This Row],[Train Unit 3]],-11,0):TblMili[[#This Row],[Train AM]]) + TblMili[[#This Row],[Draftees]]</f>
        <v>474</v>
      </c>
      <c r="C16" s="159">
        <f ca="1">TblPop[[#This Row],[Military%]]</f>
        <v>0.22390174775625885</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4"/>
      <c r="N16" s="96">
        <f ca="1">TblProd[[#This Row],[Networth]]</f>
        <v>6450</v>
      </c>
      <c r="O16" s="144"/>
      <c r="P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1">
        <f ca="1">TblMili[[#This Row],[Raw]]*(1+TblMili[[#This Row],[Mods_Off]])</f>
        <v>0</v>
      </c>
      <c r="S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6" s="261">
        <f ca="1">TblMili[[#This Row],[Non Draft]]+TblMili[[#This Row],[Draftees]]</f>
        <v>724</v>
      </c>
      <c r="U16" s="262">
        <f ca="1">race_defense + TblImps[[#This Row],[Walls]] + ROUND( MIN(gt_bonus*TblConstr[[#This Row],[Tot GT]]/TblConstr[[#This Row],[Land]],gt_bonus_cap), 4) + IF(TblMagic[[#This Row],[Active Howling]]&gt;0,howling_dp_bonus,IF(TblMagic[[#This Row],[Active Ares Call]]&gt;0,ares_call_bonus))</f>
        <v>0</v>
      </c>
      <c r="V16" s="263">
        <f ca="1">TblMili[[#This Row],[Non Draft]] * (1 + TblMili[[#This Row],[Mods_Def]])</f>
        <v>450</v>
      </c>
      <c r="W16" s="261">
        <f ca="1">TblMili[[#This Row],[Draft]] * (1 + TblMili[[#This Row],[Mods_Def]])</f>
        <v>724</v>
      </c>
      <c r="X16" s="261">
        <f ca="1">TblConstr[[#This Row],[Land]]</f>
        <v>250</v>
      </c>
      <c r="Y16" s="264"/>
      <c r="Z16" s="269">
        <f ca="1">IF(TblMili[[#This Row],[Set]]&lt;&gt;"",TblMili[[#This Row],[Set]],OFFSET(TblMili[[#This Row],[Draftrate]],-1,0))</f>
        <v>0.35</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6"/>
      <c r="AC16" s="182">
        <f ca="1">(TblConstr[[#This Row],[Tot Smi]]+TblConstr[[#This Row],[Dest Smi]])/(TblConstr[[#This Row],[Land]]-TblExplore[[#This Row],[Land Bonus]]*20)</f>
        <v>0</v>
      </c>
      <c r="AD16" s="260"/>
      <c r="AE16" s="260">
        <f>TblMili[[#This Row],[Hour]]</f>
        <v>13</v>
      </c>
      <c r="AF16" s="140">
        <f ca="1">TblExplore[[#This Row],[Time]]</f>
        <v>45732.499999999971</v>
      </c>
      <c r="AG16" s="181"/>
      <c r="AH16" s="181"/>
      <c r="AI16" s="181"/>
      <c r="AJ16" s="181"/>
      <c r="AK16" s="181"/>
      <c r="AL16" s="181"/>
      <c r="AM16" s="181"/>
      <c r="AN16" s="181"/>
      <c r="AO16" s="448">
        <f ca="1">ROUND(IF(AND(TblMagic[[#This Row],[Active DnD]]&lt;12,TblMagic[[#This Row],[Active DnD]]&gt;5),OFFSET(TblPop[[#This Row],[Draft Growth]],-1,0)*0.375,0),0)</f>
        <v>0</v>
      </c>
      <c r="AP16" s="144"/>
      <c r="AQ16" s="96">
        <f ca="1">TblProd[[#This Row],[Platinum]]</f>
        <v>183161</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45732.499999999971</v>
      </c>
      <c r="AW16" s="96">
        <f ca="1">TblMili[[#This Row],[Draftees]]</f>
        <v>274</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0.44</v>
      </c>
      <c r="BX16" s="159">
        <f ca="1">TblMili[[#This Row],[WG''s]]</f>
        <v>0</v>
      </c>
      <c r="BY16" s="265">
        <f ca="1">IF(mystic_cap="none",TblMili[[#This Row],[Homeland%]]/mystic_bonus,MIN(mystic_cap,TblMili[[#This Row],[Homeland%]]/mystic_bonus))</f>
        <v>2</v>
      </c>
      <c r="BZ16" s="265">
        <f ca="1">IF(druid_op_cap="none",TblMili[[#This Row],[Homeland%]]/druid_op_bonus,MIN(druid_op_cap,TblMili[[#This Row],[Homeland%]]/druid_op_bonus))</f>
        <v>2</v>
      </c>
      <c r="CA16" s="265">
        <f ca="1">IF(druid_dp_cap="none",TblMili[[#This Row],[Homeland%]]/druid_dp_bonus,MIN(druid_dp_cap,TblMili[[#This Row],[Homeland%]]/druid_dp_bonus))</f>
        <v>2</v>
      </c>
      <c r="CB16" s="265">
        <f ca="1">MIN(dryad_cap,TblMili[[#This Row],[Homeland%]]/dryad_bonus)</f>
        <v>2.1999999999999997</v>
      </c>
      <c r="CC16" s="265">
        <f ca="1">MIN(rocka_cap,TblMili[[#This Row],[Homeland%]]/rocka_bonus)</f>
        <v>2</v>
      </c>
      <c r="CD16" s="265">
        <f ca="1">MIN(adept_op_cap,TblMili[[#This Row],[WG]]/adept_op_bonus)</f>
        <v>0</v>
      </c>
      <c r="CE16" s="265">
        <f ca="1">MIN(adept_dp_cap,TblMili[[#This Row],[WG]]/adept_dp_bonus)</f>
        <v>0</v>
      </c>
      <c r="CF16" s="96">
        <f ca="1">MIN(TblMili[[#This Row],[Unit 3]],TblMili[[#This Row],[Unit 2]])*2</f>
        <v>0</v>
      </c>
      <c r="CG16" s="96">
        <f ca="1">MIN(TblMili[[#This Row],[Unit 1]],TblMili[[#This Row],[Unit 4]])*2</f>
        <v>0</v>
      </c>
      <c r="CH16" s="265">
        <f ca="1">MIN(frost_mage_cap,TblMili[[#This Row],[Homeland%]]/frost_mage_bonus)</f>
        <v>2.1999999999999997</v>
      </c>
      <c r="CI16" s="45">
        <f ca="1">MIN(ice_elem_cap,TblMili[[#This Row],[Raw (2)]]*ice_elem_bonus)</f>
        <v>0.1</v>
      </c>
      <c r="CJ16" s="265">
        <f t="shared" si="0"/>
        <v>0.83333333333333337</v>
      </c>
      <c r="CK16" s="265">
        <f ca="1">MIN(nox_nightshade_cap,TblConstr[[#This Row],[Homeland]]/TblConstr[[#This Row],[Land]]/nox_nightshade_swamp_bonus)</f>
        <v>4</v>
      </c>
      <c r="CL16" s="265">
        <f ca="1">MIN(TblConstr[[#This Row],[Tot Tow]]/TblConstr[[#This Row],[Land]]/abyss_enforce_bonus,abyss_enforcer_cap)</f>
        <v>0</v>
      </c>
      <c r="CM16" s="265">
        <f ca="1">IF(TblMagic[[#This Row],[Active Demonic Pact]]&gt;0,MIN(TblMili[[#This Row],[Unit 1]],TblMili[[#This Row],[Unit 4]])*demonic_pact_oppair,0)</f>
        <v>0</v>
      </c>
      <c r="CN16" s="266"/>
      <c r="CO16" s="266"/>
      <c r="CP16" s="266"/>
      <c r="CQ16" s="265">
        <f ca="1">MIN(6,TblMili[[#This Row],[Mystic]]+Races!$F$19)*1.8 +  IF(TblMili[[#This Row],[Mystic]]+Races!$F$19&gt;6,(TblMili[[#This Row],[Mystic]]+Races!$F$19-6)*0.2,0) - Races!$I$19</f>
        <v>1</v>
      </c>
      <c r="CR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-0.64000000000000057</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4.7099999999999991</v>
      </c>
      <c r="DA16" s="157">
        <f ca="1">1.8 * MIN(MAX(TblMili[[#This Row],[Ice Elemental]]+Races!$E$71,Races!$F$71),6)  +  0.45 * MIN(MIN(TblMili[[#This Row],[Ice Elemental]]+Races!$E$71,Races!$F$71),6)  +  0.2 * ( MAX(TblMili[[#This Row],[Ice Elemental]]+Races!$E$71-6,0) + MAX(Races!$F$71-6,0) )  -  Races!$I$71</f>
        <v>0.92999999999999972</v>
      </c>
      <c r="DB16" s="96">
        <f ca="1">TblMili[[#This Row],[Frost Mage bonus]]*TblMili[[#This Row],[Unit 3]]+TblMili[[#This Row],[Ice Elemental bonus]]*TblMili[[#This Row],[Unit 4]]</f>
        <v>0</v>
      </c>
      <c r="DC16" s="267"/>
      <c r="DD16" s="145">
        <f ca="1">MIN(SUM(TblConstr[[#This Row],[Plain]:[Water]])/TblMili[[#This Row],[Land]]/favorable_terrain_bonus/100,favorable_terrain_max)</f>
        <v>0.1</v>
      </c>
      <c r="DE16" s="267"/>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6" s="144"/>
      <c r="DH16" s="268">
        <f ca="1">(TblMili[[#This Row],[Wizards]]+2*TblMili[[#This Row],[Archmages]])/TblConstr[[#This Row],[Land]]</f>
        <v>0.1</v>
      </c>
      <c r="DI16" s="268">
        <f ca="1">TblMili[[#This Row],[Raw (2)]]*(1+race_wizard_strength+IF(TblMili[[#This Row],[Hour]]&gt;72,tech_magical_weaponry_wiz*TblTech[[#This Row],[3-5]],0))</f>
        <v>0.1</v>
      </c>
    </row>
    <row r="17" spans="1:113" x14ac:dyDescent="0.2">
      <c r="A17" s="139">
        <f>TblRezone[[#This Row],[Hour]]</f>
        <v>14</v>
      </c>
      <c r="B17" s="260">
        <f ca="1">SUM(TblMili[[#This Row],[Unit 1]:[Archmages]])+SUM(OFFSET(TblMili[[#This Row],[Train Unit 1]],-8,0):TblMili[[#This Row],[Train Unit 2]]) + SUM(OFFSET(TblMili[[#This Row],[Train Unit 3]],-11,0):TblMili[[#This Row],[Train AM]]) + TblMili[[#This Row],[Draftees]]</f>
        <v>490</v>
      </c>
      <c r="C17" s="159">
        <f ca="1">TblPop[[#This Row],[Military%]]</f>
        <v>0.22622345337026778</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4"/>
      <c r="N17" s="96">
        <f ca="1">TblProd[[#This Row],[Networth]]</f>
        <v>6450</v>
      </c>
      <c r="O17" s="144"/>
      <c r="P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1">
        <f ca="1">TblMili[[#This Row],[Raw]]*(1+TblMili[[#This Row],[Mods_Off]])</f>
        <v>0</v>
      </c>
      <c r="S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7" s="261">
        <f ca="1">TblMili[[#This Row],[Non Draft]]+TblMili[[#This Row],[Draftees]]</f>
        <v>740</v>
      </c>
      <c r="U17" s="262">
        <f ca="1">race_defense + TblImps[[#This Row],[Walls]] + ROUND( MIN(gt_bonus*TblConstr[[#This Row],[Tot GT]]/TblConstr[[#This Row],[Land]],gt_bonus_cap), 4) + IF(TblMagic[[#This Row],[Active Howling]]&gt;0,howling_dp_bonus,IF(TblMagic[[#This Row],[Active Ares Call]]&gt;0,ares_call_bonus))</f>
        <v>0</v>
      </c>
      <c r="V17" s="263">
        <f ca="1">TblMili[[#This Row],[Non Draft]] * (1 + TblMili[[#This Row],[Mods_Def]])</f>
        <v>450</v>
      </c>
      <c r="W17" s="261">
        <f ca="1">TblMili[[#This Row],[Draft]] * (1 + TblMili[[#This Row],[Mods_Def]])</f>
        <v>740</v>
      </c>
      <c r="X17" s="261">
        <f ca="1">TblConstr[[#This Row],[Land]]</f>
        <v>250</v>
      </c>
      <c r="Y17" s="264"/>
      <c r="Z17" s="269">
        <f ca="1">IF(TblMili[[#This Row],[Set]]&lt;&gt;"",TblMili[[#This Row],[Set]],OFFSET(TblMili[[#This Row],[Draftrate]],-1,0))</f>
        <v>0.35</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6"/>
      <c r="AC17" s="182">
        <f ca="1">(TblConstr[[#This Row],[Tot Smi]]+TblConstr[[#This Row],[Dest Smi]])/(TblConstr[[#This Row],[Land]]-TblExplore[[#This Row],[Land Bonus]]*20)</f>
        <v>0</v>
      </c>
      <c r="AD17" s="139"/>
      <c r="AE17" s="260">
        <f>TblMili[[#This Row],[Hour]]</f>
        <v>14</v>
      </c>
      <c r="AF17" s="140">
        <f ca="1">TblExplore[[#This Row],[Time]]</f>
        <v>45732.541666666635</v>
      </c>
      <c r="AG17" s="181"/>
      <c r="AH17" s="181"/>
      <c r="AI17" s="181"/>
      <c r="AJ17" s="181"/>
      <c r="AK17" s="181"/>
      <c r="AL17" s="181"/>
      <c r="AM17" s="181"/>
      <c r="AN17" s="181"/>
      <c r="AO17" s="448">
        <f ca="1">ROUND(IF(AND(TblMagic[[#This Row],[Active DnD]]&lt;12,TblMagic[[#This Row],[Active DnD]]&gt;5),OFFSET(TblPop[[#This Row],[Draft Growth]],-1,0)*0.375,0),0)</f>
        <v>0</v>
      </c>
      <c r="AP17" s="144"/>
      <c r="AQ17" s="96">
        <f ca="1">TblProd[[#This Row],[Platinum]]</f>
        <v>188831</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45732.541666666635</v>
      </c>
      <c r="AW17" s="96">
        <f ca="1">TblMili[[#This Row],[Draftees]]</f>
        <v>290</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0.44</v>
      </c>
      <c r="BX17" s="159">
        <f ca="1">TblMili[[#This Row],[WG''s]]</f>
        <v>0</v>
      </c>
      <c r="BY17" s="265">
        <f ca="1">IF(mystic_cap="none",TblMili[[#This Row],[Homeland%]]/mystic_bonus,MIN(mystic_cap,TblMili[[#This Row],[Homeland%]]/mystic_bonus))</f>
        <v>2</v>
      </c>
      <c r="BZ17" s="265">
        <f ca="1">IF(druid_op_cap="none",TblMili[[#This Row],[Homeland%]]/druid_op_bonus,MIN(druid_op_cap,TblMili[[#This Row],[Homeland%]]/druid_op_bonus))</f>
        <v>2</v>
      </c>
      <c r="CA17" s="265">
        <f ca="1">IF(druid_dp_cap="none",TblMili[[#This Row],[Homeland%]]/druid_dp_bonus,MIN(druid_dp_cap,TblMili[[#This Row],[Homeland%]]/druid_dp_bonus))</f>
        <v>2</v>
      </c>
      <c r="CB17" s="265">
        <f ca="1">MIN(dryad_cap,TblMili[[#This Row],[Homeland%]]/dryad_bonus)</f>
        <v>2.1999999999999997</v>
      </c>
      <c r="CC17" s="265">
        <f ca="1">MIN(rocka_cap,TblMili[[#This Row],[Homeland%]]/rocka_bonus)</f>
        <v>2</v>
      </c>
      <c r="CD17" s="265">
        <f ca="1">MIN(adept_op_cap,TblMili[[#This Row],[WG]]/adept_op_bonus)</f>
        <v>0</v>
      </c>
      <c r="CE17" s="265">
        <f ca="1">MIN(adept_dp_cap,TblMili[[#This Row],[WG]]/adept_dp_bonus)</f>
        <v>0</v>
      </c>
      <c r="CF17" s="96">
        <f ca="1">MIN(TblMili[[#This Row],[Unit 3]],TblMili[[#This Row],[Unit 2]])*2</f>
        <v>0</v>
      </c>
      <c r="CG17" s="96">
        <f ca="1">MIN(TblMili[[#This Row],[Unit 1]],TblMili[[#This Row],[Unit 4]])*2</f>
        <v>0</v>
      </c>
      <c r="CH17" s="265">
        <f ca="1">MIN(frost_mage_cap,TblMili[[#This Row],[Homeland%]]/frost_mage_bonus)</f>
        <v>2.1999999999999997</v>
      </c>
      <c r="CI17" s="45">
        <f ca="1">MIN(ice_elem_cap,TblMili[[#This Row],[Raw (2)]]*ice_elem_bonus)</f>
        <v>0.1</v>
      </c>
      <c r="CJ17" s="265">
        <f t="shared" si="0"/>
        <v>0.83333333333333337</v>
      </c>
      <c r="CK17" s="265">
        <f ca="1">MIN(nox_nightshade_cap,TblConstr[[#This Row],[Homeland]]/TblConstr[[#This Row],[Land]]/nox_nightshade_swamp_bonus)</f>
        <v>4</v>
      </c>
      <c r="CL17" s="265">
        <f ca="1">MIN(TblConstr[[#This Row],[Tot Tow]]/TblConstr[[#This Row],[Land]]/abyss_enforce_bonus,abyss_enforcer_cap)</f>
        <v>0</v>
      </c>
      <c r="CM17" s="265">
        <f ca="1">IF(TblMagic[[#This Row],[Active Demonic Pact]]&gt;0,MIN(TblMili[[#This Row],[Unit 1]],TblMili[[#This Row],[Unit 4]])*demonic_pact_oppair,0)</f>
        <v>0</v>
      </c>
      <c r="CN17" s="266" t="s">
        <v>519</v>
      </c>
      <c r="CO17" s="266"/>
      <c r="CP17" s="266"/>
      <c r="CQ17" s="265">
        <f ca="1">MIN(6,TblMili[[#This Row],[Mystic]]+Races!$F$19)*1.8 +  IF(TblMili[[#This Row],[Mystic]]+Races!$F$19&gt;6,(TblMili[[#This Row],[Mystic]]+Races!$F$19-6)*0.2,0) - Races!$I$19</f>
        <v>1</v>
      </c>
      <c r="CR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-0.64000000000000057</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4.7099999999999991</v>
      </c>
      <c r="DA17" s="157">
        <f ca="1">1.8 * MIN(MAX(TblMili[[#This Row],[Ice Elemental]]+Races!$E$71,Races!$F$71),6)  +  0.45 * MIN(MIN(TblMili[[#This Row],[Ice Elemental]]+Races!$E$71,Races!$F$71),6)  +  0.2 * ( MAX(TblMili[[#This Row],[Ice Elemental]]+Races!$E$71-6,0) + MAX(Races!$F$71-6,0) )  -  Races!$I$71</f>
        <v>0.92999999999999972</v>
      </c>
      <c r="DB17" s="96">
        <f ca="1">TblMili[[#This Row],[Frost Mage bonus]]*TblMili[[#This Row],[Unit 3]]+TblMili[[#This Row],[Ice Elemental bonus]]*TblMili[[#This Row],[Unit 4]]</f>
        <v>0</v>
      </c>
      <c r="DC17" s="267"/>
      <c r="DD17" s="145">
        <f ca="1">MIN(SUM(TblConstr[[#This Row],[Plain]:[Water]])/TblMili[[#This Row],[Land]]/favorable_terrain_bonus/100,favorable_terrain_max)</f>
        <v>0.1</v>
      </c>
      <c r="DE17" s="267"/>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7" s="144"/>
      <c r="DH17" s="268">
        <f ca="1">(TblMili[[#This Row],[Wizards]]+2*TblMili[[#This Row],[Archmages]])/TblConstr[[#This Row],[Land]]</f>
        <v>0.1</v>
      </c>
      <c r="DI17" s="268">
        <f ca="1">TblMili[[#This Row],[Raw (2)]]*(1+race_wizard_strength+IF(TblMili[[#This Row],[Hour]]&gt;72,tech_magical_weaponry_wiz*TblTech[[#This Row],[3-5]],0))</f>
        <v>0.1</v>
      </c>
    </row>
    <row r="18" spans="1:113" x14ac:dyDescent="0.2">
      <c r="A18" s="139">
        <f>TblRezone[[#This Row],[Hour]]</f>
        <v>15</v>
      </c>
      <c r="B18" s="260">
        <f ca="1">SUM(TblMili[[#This Row],[Unit 1]:[Archmages]])+SUM(OFFSET(TblMili[[#This Row],[Train Unit 1]],-8,0):TblMili[[#This Row],[Train Unit 2]]) + SUM(OFFSET(TblMili[[#This Row],[Train Unit 3]],-11,0):TblMili[[#This Row],[Train AM]]) + TblMili[[#This Row],[Draftees]]</f>
        <v>507</v>
      </c>
      <c r="C18" s="159">
        <f ca="1">TblPop[[#This Row],[Military%]]</f>
        <v>0.22879061371841156</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4"/>
      <c r="N18" s="96">
        <f ca="1">TblProd[[#This Row],[Networth]]</f>
        <v>6450</v>
      </c>
      <c r="O18" s="144"/>
      <c r="P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1">
        <f ca="1">TblMili[[#This Row],[Raw]]*(1+TblMili[[#This Row],[Mods_Off]])</f>
        <v>0</v>
      </c>
      <c r="S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8" s="261">
        <f ca="1">TblMili[[#This Row],[Non Draft]]+TblMili[[#This Row],[Draftees]]</f>
        <v>757</v>
      </c>
      <c r="U18" s="262">
        <f ca="1">race_defense + TblImps[[#This Row],[Walls]] + ROUND( MIN(gt_bonus*TblConstr[[#This Row],[Tot GT]]/TblConstr[[#This Row],[Land]],gt_bonus_cap), 4) + IF(TblMagic[[#This Row],[Active Howling]]&gt;0,howling_dp_bonus,IF(TblMagic[[#This Row],[Active Ares Call]]&gt;0,ares_call_bonus))</f>
        <v>0</v>
      </c>
      <c r="V18" s="263">
        <f ca="1">TblMili[[#This Row],[Non Draft]] * (1 + TblMili[[#This Row],[Mods_Def]])</f>
        <v>450</v>
      </c>
      <c r="W18" s="261">
        <f ca="1">TblMili[[#This Row],[Draft]] * (1 + TblMili[[#This Row],[Mods_Def]])</f>
        <v>757</v>
      </c>
      <c r="X18" s="261">
        <f ca="1">TblConstr[[#This Row],[Land]]</f>
        <v>250</v>
      </c>
      <c r="Y18" s="264"/>
      <c r="Z18" s="269">
        <f ca="1">IF(TblMili[[#This Row],[Set]]&lt;&gt;"",TblMili[[#This Row],[Set]],OFFSET(TblMili[[#This Row],[Draftrate]],-1,0))</f>
        <v>0.35</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6"/>
      <c r="AC18" s="182">
        <f ca="1">(TblConstr[[#This Row],[Tot Smi]]+TblConstr[[#This Row],[Dest Smi]])/(TblConstr[[#This Row],[Land]]-TblExplore[[#This Row],[Land Bonus]]*20)</f>
        <v>0</v>
      </c>
      <c r="AD18" s="139"/>
      <c r="AE18" s="260">
        <f>TblMili[[#This Row],[Hour]]</f>
        <v>15</v>
      </c>
      <c r="AF18" s="140">
        <f ca="1">TblExplore[[#This Row],[Time]]</f>
        <v>45732.583333333299</v>
      </c>
      <c r="AG18" s="181"/>
      <c r="AH18" s="181"/>
      <c r="AI18" s="181"/>
      <c r="AJ18" s="181"/>
      <c r="AK18" s="181"/>
      <c r="AL18" s="181"/>
      <c r="AM18" s="181"/>
      <c r="AN18" s="181"/>
      <c r="AO18" s="448">
        <f ca="1">ROUND(IF(AND(TblMagic[[#This Row],[Active DnD]]&lt;12,TblMagic[[#This Row],[Active DnD]]&gt;5),OFFSET(TblPop[[#This Row],[Draft Growth]],-1,0)*0.375,0),0)</f>
        <v>0</v>
      </c>
      <c r="AP18" s="144"/>
      <c r="AQ18" s="96">
        <f ca="1">TblProd[[#This Row],[Platinum]]</f>
        <v>194501</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45732.583333333299</v>
      </c>
      <c r="AW18" s="96">
        <f ca="1">TblMili[[#This Row],[Draftees]]</f>
        <v>307</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0.44</v>
      </c>
      <c r="BX18" s="159">
        <f ca="1">TblMili[[#This Row],[WG''s]]</f>
        <v>0</v>
      </c>
      <c r="BY18" s="265">
        <f ca="1">IF(mystic_cap="none",TblMili[[#This Row],[Homeland%]]/mystic_bonus,MIN(mystic_cap,TblMili[[#This Row],[Homeland%]]/mystic_bonus))</f>
        <v>2</v>
      </c>
      <c r="BZ18" s="265">
        <f ca="1">IF(druid_op_cap="none",TblMili[[#This Row],[Homeland%]]/druid_op_bonus,MIN(druid_op_cap,TblMili[[#This Row],[Homeland%]]/druid_op_bonus))</f>
        <v>2</v>
      </c>
      <c r="CA18" s="265">
        <f ca="1">IF(druid_dp_cap="none",TblMili[[#This Row],[Homeland%]]/druid_dp_bonus,MIN(druid_dp_cap,TblMili[[#This Row],[Homeland%]]/druid_dp_bonus))</f>
        <v>2</v>
      </c>
      <c r="CB18" s="265">
        <f ca="1">MIN(dryad_cap,TblMili[[#This Row],[Homeland%]]/dryad_bonus)</f>
        <v>2.1999999999999997</v>
      </c>
      <c r="CC18" s="265">
        <f ca="1">MIN(rocka_cap,TblMili[[#This Row],[Homeland%]]/rocka_bonus)</f>
        <v>2</v>
      </c>
      <c r="CD18" s="265">
        <f ca="1">MIN(adept_op_cap,TblMili[[#This Row],[WG]]/adept_op_bonus)</f>
        <v>0</v>
      </c>
      <c r="CE18" s="265">
        <f ca="1">MIN(adept_dp_cap,TblMili[[#This Row],[WG]]/adept_dp_bonus)</f>
        <v>0</v>
      </c>
      <c r="CF18" s="96">
        <f ca="1">MIN(TblMili[[#This Row],[Unit 3]],TblMili[[#This Row],[Unit 2]])*2</f>
        <v>0</v>
      </c>
      <c r="CG18" s="96">
        <f ca="1">MIN(TblMili[[#This Row],[Unit 1]],TblMili[[#This Row],[Unit 4]])*2</f>
        <v>0</v>
      </c>
      <c r="CH18" s="265">
        <f ca="1">MIN(frost_mage_cap,TblMili[[#This Row],[Homeland%]]/frost_mage_bonus)</f>
        <v>2.1999999999999997</v>
      </c>
      <c r="CI18" s="45">
        <f ca="1">MIN(ice_elem_cap,TblMili[[#This Row],[Raw (2)]]*ice_elem_bonus)</f>
        <v>0.1</v>
      </c>
      <c r="CJ18" s="265">
        <f t="shared" si="0"/>
        <v>0.83333333333333337</v>
      </c>
      <c r="CK18" s="265">
        <f ca="1">MIN(nox_nightshade_cap,TblConstr[[#This Row],[Homeland]]/TblConstr[[#This Row],[Land]]/nox_nightshade_swamp_bonus)</f>
        <v>4</v>
      </c>
      <c r="CL18" s="265">
        <f ca="1">MIN(TblConstr[[#This Row],[Tot Tow]]/TblConstr[[#This Row],[Land]]/abyss_enforce_bonus,abyss_enforcer_cap)</f>
        <v>0</v>
      </c>
      <c r="CM18" s="265">
        <f ca="1">IF(TblMagic[[#This Row],[Active Demonic Pact]]&gt;0,MIN(TblMili[[#This Row],[Unit 1]],TblMili[[#This Row],[Unit 4]])*demonic_pact_oppair,0)</f>
        <v>0</v>
      </c>
      <c r="CN18" s="266" t="s">
        <v>520</v>
      </c>
      <c r="CO18" s="266">
        <f>VLOOKUP(Overview!$A24,Races!$D$4:$H$120,2,FALSE)</f>
        <v>2</v>
      </c>
      <c r="CP18" s="266"/>
      <c r="CQ18" s="265">
        <f ca="1">MIN(6,TblMili[[#This Row],[Mystic]]+Races!$F$19)*1.8 +  IF(TblMili[[#This Row],[Mystic]]+Races!$F$19&gt;6,(TblMili[[#This Row],[Mystic]]+Races!$F$19-6)*0.2,0) - Races!$I$19</f>
        <v>1</v>
      </c>
      <c r="CR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-0.64000000000000057</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4.7099999999999991</v>
      </c>
      <c r="DA18" s="157">
        <f ca="1">1.8 * MIN(MAX(TblMili[[#This Row],[Ice Elemental]]+Races!$E$71,Races!$F$71),6)  +  0.45 * MIN(MIN(TblMili[[#This Row],[Ice Elemental]]+Races!$E$71,Races!$F$71),6)  +  0.2 * ( MAX(TblMili[[#This Row],[Ice Elemental]]+Races!$E$71-6,0) + MAX(Races!$F$71-6,0) )  -  Races!$I$71</f>
        <v>0.92999999999999972</v>
      </c>
      <c r="DB18" s="96">
        <f ca="1">TblMili[[#This Row],[Frost Mage bonus]]*TblMili[[#This Row],[Unit 3]]+TblMili[[#This Row],[Ice Elemental bonus]]*TblMili[[#This Row],[Unit 4]]</f>
        <v>0</v>
      </c>
      <c r="DC18" s="267"/>
      <c r="DD18" s="145">
        <f ca="1">MIN(SUM(TblConstr[[#This Row],[Plain]:[Water]])/TblMili[[#This Row],[Land]]/favorable_terrain_bonus/100,favorable_terrain_max)</f>
        <v>0.1</v>
      </c>
      <c r="DE18" s="267"/>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8" s="144"/>
      <c r="DH18" s="268">
        <f ca="1">(TblMili[[#This Row],[Wizards]]+2*TblMili[[#This Row],[Archmages]])/TblConstr[[#This Row],[Land]]</f>
        <v>0.1</v>
      </c>
      <c r="DI18" s="268">
        <f ca="1">TblMili[[#This Row],[Raw (2)]]*(1+race_wizard_strength+IF(TblMili[[#This Row],[Hour]]&gt;72,tech_magical_weaponry_wiz*TblTech[[#This Row],[3-5]],0))</f>
        <v>0.1</v>
      </c>
    </row>
    <row r="19" spans="1:113" x14ac:dyDescent="0.2">
      <c r="A19" s="139">
        <f>TblRezone[[#This Row],[Hour]]</f>
        <v>16</v>
      </c>
      <c r="B19" s="260">
        <f ca="1">SUM(TblMili[[#This Row],[Unit 1]:[Archmages]])+SUM(OFFSET(TblMili[[#This Row],[Train Unit 1]],-8,0):TblMili[[#This Row],[Train Unit 2]]) + SUM(OFFSET(TblMili[[#This Row],[Train Unit 3]],-11,0):TblMili[[#This Row],[Train AM]]) + TblMili[[#This Row],[Draftees]]</f>
        <v>524</v>
      </c>
      <c r="C19" s="159">
        <f ca="1">TblPop[[#This Row],[Military%]]</f>
        <v>0.23114247904719895</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4"/>
      <c r="N19" s="96">
        <f ca="1">TblProd[[#This Row],[Networth]]</f>
        <v>6450</v>
      </c>
      <c r="O19" s="144"/>
      <c r="P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1">
        <f ca="1">TblMili[[#This Row],[Raw]]*(1+TblMili[[#This Row],[Mods_Off]])</f>
        <v>0</v>
      </c>
      <c r="S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9" s="261">
        <f ca="1">TblMili[[#This Row],[Non Draft]]+TblMili[[#This Row],[Draftees]]</f>
        <v>774</v>
      </c>
      <c r="U19" s="262">
        <f ca="1">race_defense + TblImps[[#This Row],[Walls]] + ROUND( MIN(gt_bonus*TblConstr[[#This Row],[Tot GT]]/TblConstr[[#This Row],[Land]],gt_bonus_cap), 4) + IF(TblMagic[[#This Row],[Active Howling]]&gt;0,howling_dp_bonus,IF(TblMagic[[#This Row],[Active Ares Call]]&gt;0,ares_call_bonus))</f>
        <v>0</v>
      </c>
      <c r="V19" s="263">
        <f ca="1">TblMili[[#This Row],[Non Draft]] * (1 + TblMili[[#This Row],[Mods_Def]])</f>
        <v>450</v>
      </c>
      <c r="W19" s="261">
        <f ca="1">TblMili[[#This Row],[Draft]] * (1 + TblMili[[#This Row],[Mods_Def]])</f>
        <v>774</v>
      </c>
      <c r="X19" s="261">
        <f ca="1">TblConstr[[#This Row],[Land]]</f>
        <v>250</v>
      </c>
      <c r="Y19" s="264"/>
      <c r="Z19" s="269">
        <f ca="1">IF(TblMili[[#This Row],[Set]]&lt;&gt;"",TblMili[[#This Row],[Set]],OFFSET(TblMili[[#This Row],[Draftrate]],-1,0))</f>
        <v>0.35</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6"/>
      <c r="AC19" s="182">
        <f ca="1">(TblConstr[[#This Row],[Tot Smi]]+TblConstr[[#This Row],[Dest Smi]])/(TblConstr[[#This Row],[Land]]-TblExplore[[#This Row],[Land Bonus]]*20)</f>
        <v>0</v>
      </c>
      <c r="AD19" s="139"/>
      <c r="AE19" s="260">
        <f>TblMili[[#This Row],[Hour]]</f>
        <v>16</v>
      </c>
      <c r="AF19" s="140">
        <f ca="1">TblExplore[[#This Row],[Time]]</f>
        <v>45732.624999999964</v>
      </c>
      <c r="AG19" s="181"/>
      <c r="AH19" s="181"/>
      <c r="AI19" s="181"/>
      <c r="AJ19" s="181"/>
      <c r="AK19" s="181"/>
      <c r="AL19" s="181"/>
      <c r="AM19" s="181"/>
      <c r="AN19" s="181"/>
      <c r="AO19" s="448">
        <f ca="1">ROUND(IF(AND(TblMagic[[#This Row],[Active DnD]]&lt;12,TblMagic[[#This Row],[Active DnD]]&gt;5),OFFSET(TblPop[[#This Row],[Draft Growth]],-1,0)*0.375,0),0)</f>
        <v>0</v>
      </c>
      <c r="AP19" s="144"/>
      <c r="AQ19" s="96">
        <f ca="1">TblProd[[#This Row],[Platinum]]</f>
        <v>200171</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45732.624999999964</v>
      </c>
      <c r="AW19" s="96">
        <f ca="1">TblMili[[#This Row],[Draftees]]</f>
        <v>324</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0.44</v>
      </c>
      <c r="BX19" s="159">
        <f ca="1">TblMili[[#This Row],[WG''s]]</f>
        <v>0</v>
      </c>
      <c r="BY19" s="265">
        <f ca="1">IF(mystic_cap="none",TblMili[[#This Row],[Homeland%]]/mystic_bonus,MIN(mystic_cap,TblMili[[#This Row],[Homeland%]]/mystic_bonus))</f>
        <v>2</v>
      </c>
      <c r="BZ19" s="265">
        <f ca="1">IF(druid_op_cap="none",TblMili[[#This Row],[Homeland%]]/druid_op_bonus,MIN(druid_op_cap,TblMili[[#This Row],[Homeland%]]/druid_op_bonus))</f>
        <v>2</v>
      </c>
      <c r="CA19" s="265">
        <f ca="1">IF(druid_dp_cap="none",TblMili[[#This Row],[Homeland%]]/druid_dp_bonus,MIN(druid_dp_cap,TblMili[[#This Row],[Homeland%]]/druid_dp_bonus))</f>
        <v>2</v>
      </c>
      <c r="CB19" s="265">
        <f ca="1">MIN(dryad_cap,TblMili[[#This Row],[Homeland%]]/dryad_bonus)</f>
        <v>2.1999999999999997</v>
      </c>
      <c r="CC19" s="265">
        <f ca="1">MIN(rocka_cap,TblMili[[#This Row],[Homeland%]]/rocka_bonus)</f>
        <v>2</v>
      </c>
      <c r="CD19" s="265">
        <f ca="1">MIN(adept_op_cap,TblMili[[#This Row],[WG]]/adept_op_bonus)</f>
        <v>0</v>
      </c>
      <c r="CE19" s="265">
        <f ca="1">MIN(adept_dp_cap,TblMili[[#This Row],[WG]]/adept_dp_bonus)</f>
        <v>0</v>
      </c>
      <c r="CF19" s="96">
        <f ca="1">MIN(TblMili[[#This Row],[Unit 3]],TblMili[[#This Row],[Unit 2]])*2</f>
        <v>0</v>
      </c>
      <c r="CG19" s="96">
        <f ca="1">MIN(TblMili[[#This Row],[Unit 1]],TblMili[[#This Row],[Unit 4]])*2</f>
        <v>0</v>
      </c>
      <c r="CH19" s="265">
        <f ca="1">MIN(frost_mage_cap,TblMili[[#This Row],[Homeland%]]/frost_mage_bonus)</f>
        <v>2.1999999999999997</v>
      </c>
      <c r="CI19" s="45">
        <f ca="1">MIN(ice_elem_cap,TblMili[[#This Row],[Raw (2)]]*ice_elem_bonus)</f>
        <v>0.1</v>
      </c>
      <c r="CJ19" s="265">
        <f t="shared" si="0"/>
        <v>0.83333333333333337</v>
      </c>
      <c r="CK19" s="265">
        <f ca="1">MIN(nox_nightshade_cap,TblConstr[[#This Row],[Homeland]]/TblConstr[[#This Row],[Land]]/nox_nightshade_swamp_bonus)</f>
        <v>4</v>
      </c>
      <c r="CL19" s="265">
        <f ca="1">MIN(TblConstr[[#This Row],[Tot Tow]]/TblConstr[[#This Row],[Land]]/abyss_enforce_bonus,abyss_enforcer_cap)</f>
        <v>0</v>
      </c>
      <c r="CM19" s="265">
        <f ca="1">IF(TblMagic[[#This Row],[Active Demonic Pact]]&gt;0,MIN(TblMili[[#This Row],[Unit 1]],TblMili[[#This Row],[Unit 4]])*demonic_pact_oppair,0)</f>
        <v>0</v>
      </c>
      <c r="CN19" s="266" t="s">
        <v>521</v>
      </c>
      <c r="CO19" s="266">
        <f>VLOOKUP(Overview!$A24,Races!$D$4:$H$120,3,FALSE)</f>
        <v>6</v>
      </c>
      <c r="CP19" s="266"/>
      <c r="CQ19" s="265">
        <f ca="1">MIN(6,TblMili[[#This Row],[Mystic]]+Races!$F$19)*1.8 +  IF(TblMili[[#This Row],[Mystic]]+Races!$F$19&gt;6,(TblMili[[#This Row],[Mystic]]+Races!$F$19-6)*0.2,0) - Races!$I$19</f>
        <v>1</v>
      </c>
      <c r="CR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-0.64000000000000057</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4.7099999999999991</v>
      </c>
      <c r="DA19" s="157">
        <f ca="1">1.8 * MIN(MAX(TblMili[[#This Row],[Ice Elemental]]+Races!$E$71,Races!$F$71),6)  +  0.45 * MIN(MIN(TblMili[[#This Row],[Ice Elemental]]+Races!$E$71,Races!$F$71),6)  +  0.2 * ( MAX(TblMili[[#This Row],[Ice Elemental]]+Races!$E$71-6,0) + MAX(Races!$F$71-6,0) )  -  Races!$I$71</f>
        <v>0.92999999999999972</v>
      </c>
      <c r="DB19" s="96">
        <f ca="1">TblMili[[#This Row],[Frost Mage bonus]]*TblMili[[#This Row],[Unit 3]]+TblMili[[#This Row],[Ice Elemental bonus]]*TblMili[[#This Row],[Unit 4]]</f>
        <v>0</v>
      </c>
      <c r="DC19" s="267"/>
      <c r="DD19" s="145">
        <f ca="1">MIN(SUM(TblConstr[[#This Row],[Plain]:[Water]])/TblMili[[#This Row],[Land]]/favorable_terrain_bonus/100,favorable_terrain_max)</f>
        <v>0.1</v>
      </c>
      <c r="DE19" s="267"/>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9" s="144"/>
      <c r="DH19" s="268">
        <f ca="1">(TblMili[[#This Row],[Wizards]]+2*TblMili[[#This Row],[Archmages]])/TblConstr[[#This Row],[Land]]</f>
        <v>0.1</v>
      </c>
      <c r="DI19" s="268">
        <f ca="1">TblMili[[#This Row],[Raw (2)]]*(1+race_wizard_strength+IF(TblMili[[#This Row],[Hour]]&gt;72,tech_magical_weaponry_wiz*TblTech[[#This Row],[3-5]],0))</f>
        <v>0.1</v>
      </c>
    </row>
    <row r="20" spans="1:113" x14ac:dyDescent="0.2">
      <c r="A20" s="139">
        <f>TblRezone[[#This Row],[Hour]]</f>
        <v>17</v>
      </c>
      <c r="B20" s="260">
        <f ca="1">SUM(TblMili[[#This Row],[Unit 1]:[Archmages]])+SUM(OFFSET(TblMili[[#This Row],[Train Unit 1]],-8,0):TblMili[[#This Row],[Train Unit 2]]) + SUM(OFFSET(TblMili[[#This Row],[Train Unit 3]],-11,0):TblMili[[#This Row],[Train AM]]) + TblMili[[#This Row],[Draftees]]</f>
        <v>541</v>
      </c>
      <c r="C20" s="159">
        <f ca="1">TblPop[[#This Row],[Military%]]</f>
        <v>0.23329021129797325</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4"/>
      <c r="N20" s="96">
        <f ca="1">TblProd[[#This Row],[Networth]]</f>
        <v>6450</v>
      </c>
      <c r="O20" s="144"/>
      <c r="P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1">
        <f ca="1">TblMili[[#This Row],[Raw]]*(1+TblMili[[#This Row],[Mods_Off]])</f>
        <v>0</v>
      </c>
      <c r="S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0" s="261">
        <f ca="1">TblMili[[#This Row],[Non Draft]]+TblMili[[#This Row],[Draftees]]</f>
        <v>791</v>
      </c>
      <c r="U20" s="262">
        <f ca="1">race_defense + TblImps[[#This Row],[Walls]] + ROUND( MIN(gt_bonus*TblConstr[[#This Row],[Tot GT]]/TblConstr[[#This Row],[Land]],gt_bonus_cap), 4) + IF(TblMagic[[#This Row],[Active Howling]]&gt;0,howling_dp_bonus,IF(TblMagic[[#This Row],[Active Ares Call]]&gt;0,ares_call_bonus))</f>
        <v>0</v>
      </c>
      <c r="V20" s="263">
        <f ca="1">TblMili[[#This Row],[Non Draft]] * (1 + TblMili[[#This Row],[Mods_Def]])</f>
        <v>450</v>
      </c>
      <c r="W20" s="261">
        <f ca="1">TblMili[[#This Row],[Draft]] * (1 + TblMili[[#This Row],[Mods_Def]])</f>
        <v>791</v>
      </c>
      <c r="X20" s="261">
        <f ca="1">TblConstr[[#This Row],[Land]]</f>
        <v>250</v>
      </c>
      <c r="Y20" s="264"/>
      <c r="Z20" s="269">
        <f ca="1">IF(TblMili[[#This Row],[Set]]&lt;&gt;"",TblMili[[#This Row],[Set]],OFFSET(TblMili[[#This Row],[Draftrate]],-1,0))</f>
        <v>0.35</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6"/>
      <c r="AC20" s="182">
        <f ca="1">(TblConstr[[#This Row],[Tot Smi]]+TblConstr[[#This Row],[Dest Smi]])/(TblConstr[[#This Row],[Land]]-TblExplore[[#This Row],[Land Bonus]]*20)</f>
        <v>0</v>
      </c>
      <c r="AD20" s="139"/>
      <c r="AE20" s="260">
        <f>TblMili[[#This Row],[Hour]]</f>
        <v>17</v>
      </c>
      <c r="AF20" s="140">
        <f ca="1">TblExplore[[#This Row],[Time]]</f>
        <v>45732.666666666628</v>
      </c>
      <c r="AG20" s="181"/>
      <c r="AH20" s="181"/>
      <c r="AI20" s="181"/>
      <c r="AJ20" s="181"/>
      <c r="AK20" s="181"/>
      <c r="AL20" s="181"/>
      <c r="AM20" s="181"/>
      <c r="AN20" s="181"/>
      <c r="AO20" s="448">
        <f ca="1">ROUND(IF(AND(TblMagic[[#This Row],[Active DnD]]&lt;12,TblMagic[[#This Row],[Active DnD]]&gt;5),OFFSET(TblPop[[#This Row],[Draft Growth]],-1,0)*0.375,0),0)</f>
        <v>0</v>
      </c>
      <c r="AP20" s="144"/>
      <c r="AQ20" s="96">
        <f ca="1">TblProd[[#This Row],[Platinum]]</f>
        <v>205841</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45732.666666666628</v>
      </c>
      <c r="AW20" s="96">
        <f ca="1">TblMili[[#This Row],[Draftees]]</f>
        <v>341</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0.44</v>
      </c>
      <c r="BX20" s="159">
        <f ca="1">TblMili[[#This Row],[WG''s]]</f>
        <v>0</v>
      </c>
      <c r="BY20" s="265">
        <f ca="1">IF(mystic_cap="none",TblMili[[#This Row],[Homeland%]]/mystic_bonus,MIN(mystic_cap,TblMili[[#This Row],[Homeland%]]/mystic_bonus))</f>
        <v>2</v>
      </c>
      <c r="BZ20" s="265">
        <f ca="1">IF(druid_op_cap="none",TblMili[[#This Row],[Homeland%]]/druid_op_bonus,MIN(druid_op_cap,TblMili[[#This Row],[Homeland%]]/druid_op_bonus))</f>
        <v>2</v>
      </c>
      <c r="CA20" s="265">
        <f ca="1">IF(druid_dp_cap="none",TblMili[[#This Row],[Homeland%]]/druid_dp_bonus,MIN(druid_dp_cap,TblMili[[#This Row],[Homeland%]]/druid_dp_bonus))</f>
        <v>2</v>
      </c>
      <c r="CB20" s="265">
        <f ca="1">MIN(dryad_cap,TblMili[[#This Row],[Homeland%]]/dryad_bonus)</f>
        <v>2.1999999999999997</v>
      </c>
      <c r="CC20" s="265">
        <f ca="1">MIN(rocka_cap,TblMili[[#This Row],[Homeland%]]/rocka_bonus)</f>
        <v>2</v>
      </c>
      <c r="CD20" s="265">
        <f ca="1">MIN(adept_op_cap,TblMili[[#This Row],[WG]]/adept_op_bonus)</f>
        <v>0</v>
      </c>
      <c r="CE20" s="265">
        <f ca="1">MIN(adept_dp_cap,TblMili[[#This Row],[WG]]/adept_dp_bonus)</f>
        <v>0</v>
      </c>
      <c r="CF20" s="96">
        <f ca="1">MIN(TblMili[[#This Row],[Unit 3]],TblMili[[#This Row],[Unit 2]])*2</f>
        <v>0</v>
      </c>
      <c r="CG20" s="96">
        <f ca="1">MIN(TblMili[[#This Row],[Unit 1]],TblMili[[#This Row],[Unit 4]])*2</f>
        <v>0</v>
      </c>
      <c r="CH20" s="265">
        <f ca="1">MIN(frost_mage_cap,TblMili[[#This Row],[Homeland%]]/frost_mage_bonus)</f>
        <v>2.1999999999999997</v>
      </c>
      <c r="CI20" s="45">
        <f ca="1">MIN(ice_elem_cap,TblMili[[#This Row],[Raw (2)]]*ice_elem_bonus)</f>
        <v>0.1</v>
      </c>
      <c r="CJ20" s="265">
        <f t="shared" si="0"/>
        <v>0.83333333333333337</v>
      </c>
      <c r="CK20" s="265">
        <f ca="1">MIN(nox_nightshade_cap,TblConstr[[#This Row],[Homeland]]/TblConstr[[#This Row],[Land]]/nox_nightshade_swamp_bonus)</f>
        <v>4</v>
      </c>
      <c r="CL20" s="265">
        <f ca="1">MIN(TblConstr[[#This Row],[Tot Tow]]/TblConstr[[#This Row],[Land]]/abyss_enforce_bonus,abyss_enforcer_cap)</f>
        <v>0</v>
      </c>
      <c r="CM20" s="265">
        <f ca="1">IF(TblMagic[[#This Row],[Active Demonic Pact]]&gt;0,MIN(TblMili[[#This Row],[Unit 1]],TblMili[[#This Row],[Unit 4]])*demonic_pact_oppair,0)</f>
        <v>0</v>
      </c>
      <c r="CN20" s="266" t="s">
        <v>523</v>
      </c>
      <c r="CO20" s="266">
        <f>VLOOKUP(Overview!$A25,Races!$D$4:$H$120,2,FALSE)</f>
        <v>6</v>
      </c>
      <c r="CP20" s="266"/>
      <c r="CQ20" s="265">
        <f ca="1">MIN(6,TblMili[[#This Row],[Mystic]]+Races!$F$19)*1.8 +  IF(TblMili[[#This Row],[Mystic]]+Races!$F$19&gt;6,(TblMili[[#This Row],[Mystic]]+Races!$F$19-6)*0.2,0) - Races!$I$19</f>
        <v>1</v>
      </c>
      <c r="CR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-0.64000000000000057</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4.7099999999999991</v>
      </c>
      <c r="DA20" s="157">
        <f ca="1">1.8 * MIN(MAX(TblMili[[#This Row],[Ice Elemental]]+Races!$E$71,Races!$F$71),6)  +  0.45 * MIN(MIN(TblMili[[#This Row],[Ice Elemental]]+Races!$E$71,Races!$F$71),6)  +  0.2 * ( MAX(TblMili[[#This Row],[Ice Elemental]]+Races!$E$71-6,0) + MAX(Races!$F$71-6,0) )  -  Races!$I$71</f>
        <v>0.92999999999999972</v>
      </c>
      <c r="DB20" s="96">
        <f ca="1">TblMili[[#This Row],[Frost Mage bonus]]*TblMili[[#This Row],[Unit 3]]+TblMili[[#This Row],[Ice Elemental bonus]]*TblMili[[#This Row],[Unit 4]]</f>
        <v>0</v>
      </c>
      <c r="DC20" s="267"/>
      <c r="DD20" s="145">
        <f ca="1">MIN(SUM(TblConstr[[#This Row],[Plain]:[Water]])/TblMili[[#This Row],[Land]]/favorable_terrain_bonus/100,favorable_terrain_max)</f>
        <v>0.1</v>
      </c>
      <c r="DE20" s="267"/>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0" s="144"/>
      <c r="DH20" s="268">
        <f ca="1">(TblMili[[#This Row],[Wizards]]+2*TblMili[[#This Row],[Archmages]])/TblConstr[[#This Row],[Land]]</f>
        <v>0.1</v>
      </c>
      <c r="DI20" s="268">
        <f ca="1">TblMili[[#This Row],[Raw (2)]]*(1+race_wizard_strength+IF(TblMili[[#This Row],[Hour]]&gt;72,tech_magical_weaponry_wiz*TblTech[[#This Row],[3-5]],0))</f>
        <v>0.1</v>
      </c>
    </row>
    <row r="21" spans="1:113" x14ac:dyDescent="0.2">
      <c r="A21" s="139">
        <f>TblRezone[[#This Row],[Hour]]</f>
        <v>18</v>
      </c>
      <c r="B21" s="260">
        <f ca="1">SUM(TblMili[[#This Row],[Unit 1]:[Archmages]])+SUM(OFFSET(TblMili[[#This Row],[Train Unit 1]],-8,0):TblMili[[#This Row],[Train Unit 2]]) + SUM(OFFSET(TblMili[[#This Row],[Train Unit 3]],-11,0):TblMili[[#This Row],[Train AM]]) + TblMili[[#This Row],[Draftees]]</f>
        <v>559</v>
      </c>
      <c r="C21" s="159">
        <f ca="1">TblPop[[#This Row],[Military%]]</f>
        <v>0.23706530958439356</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4"/>
      <c r="N21" s="96">
        <f ca="1">TblProd[[#This Row],[Networth]]</f>
        <v>6450</v>
      </c>
      <c r="O21" s="144"/>
      <c r="P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1">
        <f ca="1">TblMili[[#This Row],[Raw]]*(1+TblMili[[#This Row],[Mods_Off]])</f>
        <v>0</v>
      </c>
      <c r="S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1" s="261">
        <f ca="1">TblMili[[#This Row],[Non Draft]]+TblMili[[#This Row],[Draftees]]</f>
        <v>809</v>
      </c>
      <c r="U21" s="262">
        <f ca="1">race_defense + TblImps[[#This Row],[Walls]] + ROUND( MIN(gt_bonus*TblConstr[[#This Row],[Tot GT]]/TblConstr[[#This Row],[Land]],gt_bonus_cap), 4) + IF(TblMagic[[#This Row],[Active Howling]]&gt;0,howling_dp_bonus,IF(TblMagic[[#This Row],[Active Ares Call]]&gt;0,ares_call_bonus))</f>
        <v>0</v>
      </c>
      <c r="V21" s="263">
        <f ca="1">TblMili[[#This Row],[Non Draft]] * (1 + TblMili[[#This Row],[Mods_Def]])</f>
        <v>450</v>
      </c>
      <c r="W21" s="261">
        <f ca="1">TblMili[[#This Row],[Draft]] * (1 + TblMili[[#This Row],[Mods_Def]])</f>
        <v>809</v>
      </c>
      <c r="X21" s="261">
        <f ca="1">TblConstr[[#This Row],[Land]]</f>
        <v>250</v>
      </c>
      <c r="Y21" s="264"/>
      <c r="Z21" s="269">
        <f ca="1">IF(TblMili[[#This Row],[Set]]&lt;&gt;"",TblMili[[#This Row],[Set]],OFFSET(TblMili[[#This Row],[Draftrate]],-1,0))</f>
        <v>0.35</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6"/>
      <c r="AC21" s="182">
        <f ca="1">(TblConstr[[#This Row],[Tot Smi]]+TblConstr[[#This Row],[Dest Smi]])/(TblConstr[[#This Row],[Land]]-TblExplore[[#This Row],[Land Bonus]]*20)</f>
        <v>0</v>
      </c>
      <c r="AD21" s="139"/>
      <c r="AE21" s="260">
        <f>TblMili[[#This Row],[Hour]]</f>
        <v>18</v>
      </c>
      <c r="AF21" s="140">
        <f ca="1">TblExplore[[#This Row],[Time]]</f>
        <v>45732.708333333292</v>
      </c>
      <c r="AG21" s="181"/>
      <c r="AH21" s="181"/>
      <c r="AI21" s="181"/>
      <c r="AJ21" s="181"/>
      <c r="AK21" s="181"/>
      <c r="AL21" s="181"/>
      <c r="AM21" s="181"/>
      <c r="AN21" s="181"/>
      <c r="AO21" s="448">
        <f ca="1">ROUND(IF(AND(TblMagic[[#This Row],[Active DnD]]&lt;12,TblMagic[[#This Row],[Active DnD]]&gt;5),OFFSET(TblPop[[#This Row],[Draft Growth]],-1,0)*0.375,0),0)</f>
        <v>0</v>
      </c>
      <c r="AP21" s="144"/>
      <c r="AQ21" s="96">
        <f ca="1">TblProd[[#This Row],[Platinum]]</f>
        <v>211511</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45732.708333333292</v>
      </c>
      <c r="AW21" s="96">
        <f ca="1">TblMili[[#This Row],[Draftees]]</f>
        <v>359</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0.44</v>
      </c>
      <c r="BX21" s="159">
        <f ca="1">TblMili[[#This Row],[WG''s]]</f>
        <v>0</v>
      </c>
      <c r="BY21" s="265">
        <f ca="1">IF(mystic_cap="none",TblMili[[#This Row],[Homeland%]]/mystic_bonus,MIN(mystic_cap,TblMili[[#This Row],[Homeland%]]/mystic_bonus))</f>
        <v>2</v>
      </c>
      <c r="BZ21" s="265">
        <f ca="1">IF(druid_op_cap="none",TblMili[[#This Row],[Homeland%]]/druid_op_bonus,MIN(druid_op_cap,TblMili[[#This Row],[Homeland%]]/druid_op_bonus))</f>
        <v>2</v>
      </c>
      <c r="CA21" s="265">
        <f ca="1">IF(druid_dp_cap="none",TblMili[[#This Row],[Homeland%]]/druid_dp_bonus,MIN(druid_dp_cap,TblMili[[#This Row],[Homeland%]]/druid_dp_bonus))</f>
        <v>2</v>
      </c>
      <c r="CB21" s="265">
        <f ca="1">MIN(dryad_cap,TblMili[[#This Row],[Homeland%]]/dryad_bonus)</f>
        <v>2.1999999999999997</v>
      </c>
      <c r="CC21" s="265">
        <f ca="1">MIN(rocka_cap,TblMili[[#This Row],[Homeland%]]/rocka_bonus)</f>
        <v>2</v>
      </c>
      <c r="CD21" s="265">
        <f ca="1">MIN(adept_op_cap,TblMili[[#This Row],[WG]]/adept_op_bonus)</f>
        <v>0</v>
      </c>
      <c r="CE21" s="265">
        <f ca="1">MIN(adept_dp_cap,TblMili[[#This Row],[WG]]/adept_dp_bonus)</f>
        <v>0</v>
      </c>
      <c r="CF21" s="96">
        <f ca="1">MIN(TblMili[[#This Row],[Unit 3]],TblMili[[#This Row],[Unit 2]])*2</f>
        <v>0</v>
      </c>
      <c r="CG21" s="96">
        <f ca="1">MIN(TblMili[[#This Row],[Unit 1]],TblMili[[#This Row],[Unit 4]])*2</f>
        <v>0</v>
      </c>
      <c r="CH21" s="265">
        <f ca="1">MIN(frost_mage_cap,TblMili[[#This Row],[Homeland%]]/frost_mage_bonus)</f>
        <v>2.1999999999999997</v>
      </c>
      <c r="CI21" s="45">
        <f ca="1">MIN(ice_elem_cap,TblMili[[#This Row],[Raw (2)]]*ice_elem_bonus)</f>
        <v>0.1</v>
      </c>
      <c r="CJ21" s="265">
        <f t="shared" si="0"/>
        <v>0.83333333333333337</v>
      </c>
      <c r="CK21" s="265">
        <f ca="1">MIN(nox_nightshade_cap,TblConstr[[#This Row],[Homeland]]/TblConstr[[#This Row],[Land]]/nox_nightshade_swamp_bonus)</f>
        <v>4</v>
      </c>
      <c r="CL21" s="265">
        <f ca="1">MIN(TblConstr[[#This Row],[Tot Tow]]/TblConstr[[#This Row],[Land]]/abyss_enforce_bonus,abyss_enforcer_cap)</f>
        <v>0</v>
      </c>
      <c r="CM21" s="265">
        <f ca="1">IF(TblMagic[[#This Row],[Active Demonic Pact]]&gt;0,MIN(TblMili[[#This Row],[Unit 1]],TblMili[[#This Row],[Unit 4]])*demonic_pact_oppair,0)</f>
        <v>0</v>
      </c>
      <c r="CN21" s="266" t="s">
        <v>522</v>
      </c>
      <c r="CO21" s="266">
        <f>VLOOKUP(Overview!$A25,Races!$D$4:$H$120,3,FALSE)</f>
        <v>3</v>
      </c>
      <c r="CP21" s="266"/>
      <c r="CQ21" s="265">
        <f ca="1">MIN(6,TblMili[[#This Row],[Mystic]]+Races!$F$19)*1.8 +  IF(TblMili[[#This Row],[Mystic]]+Races!$F$19&gt;6,(TblMili[[#This Row],[Mystic]]+Races!$F$19-6)*0.2,0) - Races!$I$19</f>
        <v>1</v>
      </c>
      <c r="CR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-0.64000000000000057</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4.7099999999999991</v>
      </c>
      <c r="DA21" s="157">
        <f ca="1">1.8 * MIN(MAX(TblMili[[#This Row],[Ice Elemental]]+Races!$E$71,Races!$F$71),6)  +  0.45 * MIN(MIN(TblMili[[#This Row],[Ice Elemental]]+Races!$E$71,Races!$F$71),6)  +  0.2 * ( MAX(TblMili[[#This Row],[Ice Elemental]]+Races!$E$71-6,0) + MAX(Races!$F$71-6,0) )  -  Races!$I$71</f>
        <v>0.92999999999999972</v>
      </c>
      <c r="DB21" s="96">
        <f ca="1">TblMili[[#This Row],[Frost Mage bonus]]*TblMili[[#This Row],[Unit 3]]+TblMili[[#This Row],[Ice Elemental bonus]]*TblMili[[#This Row],[Unit 4]]</f>
        <v>0</v>
      </c>
      <c r="DC21" s="267"/>
      <c r="DD21" s="145">
        <f ca="1">MIN(SUM(TblConstr[[#This Row],[Plain]:[Water]])/TblMili[[#This Row],[Land]]/favorable_terrain_bonus/100,favorable_terrain_max)</f>
        <v>0.1</v>
      </c>
      <c r="DE21" s="267"/>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1" s="144"/>
      <c r="DH21" s="268">
        <f ca="1">(TblMili[[#This Row],[Wizards]]+2*TblMili[[#This Row],[Archmages]])/TblConstr[[#This Row],[Land]]</f>
        <v>0.1</v>
      </c>
      <c r="DI21" s="268">
        <f ca="1">TblMili[[#This Row],[Raw (2)]]*(1+race_wizard_strength+IF(TblMili[[#This Row],[Hour]]&gt;72,tech_magical_weaponry_wiz*TblTech[[#This Row],[3-5]],0))</f>
        <v>0.1</v>
      </c>
    </row>
    <row r="22" spans="1:113" x14ac:dyDescent="0.2">
      <c r="A22" s="139">
        <f>TblRezone[[#This Row],[Hour]]</f>
        <v>19</v>
      </c>
      <c r="B22" s="260">
        <f ca="1">SUM(TblMili[[#This Row],[Unit 1]:[Archmages]])+SUM(OFFSET(TblMili[[#This Row],[Train Unit 1]],-8,0):TblMili[[#This Row],[Train Unit 2]]) + SUM(OFFSET(TblMili[[#This Row],[Train Unit 3]],-11,0):TblMili[[#This Row],[Train AM]]) + TblMili[[#This Row],[Draftees]]</f>
        <v>577</v>
      </c>
      <c r="C22" s="159">
        <f ca="1">TblPop[[#This Row],[Military%]]</f>
        <v>0.24469889737065309</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4"/>
      <c r="N22" s="96">
        <f ca="1">TblProd[[#This Row],[Networth]]</f>
        <v>6450</v>
      </c>
      <c r="O22" s="144"/>
      <c r="P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1">
        <f ca="1">TblMili[[#This Row],[Raw]]*(1+TblMili[[#This Row],[Mods_Off]])</f>
        <v>0</v>
      </c>
      <c r="S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2" s="261">
        <f ca="1">TblMili[[#This Row],[Non Draft]]+TblMili[[#This Row],[Draftees]]</f>
        <v>827</v>
      </c>
      <c r="U22" s="262">
        <f ca="1">race_defense + TblImps[[#This Row],[Walls]] + ROUND( MIN(gt_bonus*TblConstr[[#This Row],[Tot GT]]/TblConstr[[#This Row],[Land]],gt_bonus_cap), 4) + IF(TblMagic[[#This Row],[Active Howling]]&gt;0,howling_dp_bonus,IF(TblMagic[[#This Row],[Active Ares Call]]&gt;0,ares_call_bonus))</f>
        <v>0</v>
      </c>
      <c r="V22" s="263">
        <f ca="1">TblMili[[#This Row],[Non Draft]] * (1 + TblMili[[#This Row],[Mods_Def]])</f>
        <v>450</v>
      </c>
      <c r="W22" s="261">
        <f ca="1">TblMili[[#This Row],[Draft]] * (1 + TblMili[[#This Row],[Mods_Def]])</f>
        <v>827</v>
      </c>
      <c r="X22" s="261">
        <f ca="1">TblConstr[[#This Row],[Land]]</f>
        <v>250</v>
      </c>
      <c r="Y22" s="264"/>
      <c r="Z22" s="269">
        <f ca="1">IF(TblMili[[#This Row],[Set]]&lt;&gt;"",TblMili[[#This Row],[Set]],OFFSET(TblMili[[#This Row],[Draftrate]],-1,0))</f>
        <v>0.35</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6"/>
      <c r="AC22" s="182">
        <f ca="1">(TblConstr[[#This Row],[Tot Smi]]+TblConstr[[#This Row],[Dest Smi]])/(TblConstr[[#This Row],[Land]]-TblExplore[[#This Row],[Land Bonus]]*20)</f>
        <v>0</v>
      </c>
      <c r="AD22" s="139"/>
      <c r="AE22" s="260">
        <f>TblMili[[#This Row],[Hour]]</f>
        <v>19</v>
      </c>
      <c r="AF22" s="140">
        <f ca="1">TblExplore[[#This Row],[Time]]</f>
        <v>45732.749999999956</v>
      </c>
      <c r="AG22" s="181"/>
      <c r="AH22" s="181"/>
      <c r="AI22" s="181"/>
      <c r="AJ22" s="181"/>
      <c r="AK22" s="181"/>
      <c r="AL22" s="181"/>
      <c r="AM22" s="181"/>
      <c r="AN22" s="181"/>
      <c r="AO22" s="448">
        <f ca="1">ROUND(IF(AND(TblMagic[[#This Row],[Active DnD]]&lt;12,TblMagic[[#This Row],[Active DnD]]&gt;5),OFFSET(TblPop[[#This Row],[Draft Growth]],-1,0)*0.375,0),0)</f>
        <v>0</v>
      </c>
      <c r="AP22" s="144"/>
      <c r="AQ22" s="96">
        <f ca="1">TblProd[[#This Row],[Platinum]]</f>
        <v>217181</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45732.749999999956</v>
      </c>
      <c r="AW22" s="96">
        <f ca="1">TblMili[[#This Row],[Draftees]]</f>
        <v>377</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0.44</v>
      </c>
      <c r="BX22" s="159">
        <f ca="1">TblMili[[#This Row],[WG''s]]</f>
        <v>0</v>
      </c>
      <c r="BY22" s="265">
        <f ca="1">IF(mystic_cap="none",TblMili[[#This Row],[Homeland%]]/mystic_bonus,MIN(mystic_cap,TblMili[[#This Row],[Homeland%]]/mystic_bonus))</f>
        <v>2</v>
      </c>
      <c r="BZ22" s="265">
        <f ca="1">IF(druid_op_cap="none",TblMili[[#This Row],[Homeland%]]/druid_op_bonus,MIN(druid_op_cap,TblMili[[#This Row],[Homeland%]]/druid_op_bonus))</f>
        <v>2</v>
      </c>
      <c r="CA22" s="265">
        <f ca="1">IF(druid_dp_cap="none",TblMili[[#This Row],[Homeland%]]/druid_dp_bonus,MIN(druid_dp_cap,TblMili[[#This Row],[Homeland%]]/druid_dp_bonus))</f>
        <v>2</v>
      </c>
      <c r="CB22" s="265">
        <f ca="1">MIN(dryad_cap,TblMili[[#This Row],[Homeland%]]/dryad_bonus)</f>
        <v>2.1999999999999997</v>
      </c>
      <c r="CC22" s="265">
        <f ca="1">MIN(rocka_cap,TblMili[[#This Row],[Homeland%]]/rocka_bonus)</f>
        <v>2</v>
      </c>
      <c r="CD22" s="265">
        <f ca="1">MIN(adept_op_cap,TblMili[[#This Row],[WG]]/adept_op_bonus)</f>
        <v>0</v>
      </c>
      <c r="CE22" s="265">
        <f ca="1">MIN(adept_dp_cap,TblMili[[#This Row],[WG]]/adept_dp_bonus)</f>
        <v>0</v>
      </c>
      <c r="CF22" s="96">
        <f ca="1">MIN(TblMili[[#This Row],[Unit 3]],TblMili[[#This Row],[Unit 2]])*2</f>
        <v>0</v>
      </c>
      <c r="CG22" s="96">
        <f ca="1">MIN(TblMili[[#This Row],[Unit 1]],TblMili[[#This Row],[Unit 4]])*2</f>
        <v>0</v>
      </c>
      <c r="CH22" s="265">
        <f ca="1">MIN(frost_mage_cap,TblMili[[#This Row],[Homeland%]]/frost_mage_bonus)</f>
        <v>2.1999999999999997</v>
      </c>
      <c r="CI22" s="45">
        <f ca="1">MIN(ice_elem_cap,TblMili[[#This Row],[Raw (2)]]*ice_elem_bonus)</f>
        <v>0.1</v>
      </c>
      <c r="CJ22" s="265">
        <f t="shared" si="0"/>
        <v>0.83333333333333337</v>
      </c>
      <c r="CK22" s="265">
        <f ca="1">MIN(nox_nightshade_cap,TblConstr[[#This Row],[Homeland]]/TblConstr[[#This Row],[Land]]/nox_nightshade_swamp_bonus)</f>
        <v>4</v>
      </c>
      <c r="CL22" s="265">
        <f ca="1">MIN(TblConstr[[#This Row],[Tot Tow]]/TblConstr[[#This Row],[Land]]/abyss_enforce_bonus,abyss_enforcer_cap)</f>
        <v>0</v>
      </c>
      <c r="CM22" s="265">
        <f ca="1">IF(TblMagic[[#This Row],[Active Demonic Pact]]&gt;0,MIN(TblMili[[#This Row],[Unit 1]],TblMili[[#This Row],[Unit 4]])*demonic_pact_oppair,0)</f>
        <v>0</v>
      </c>
      <c r="CN22" s="266"/>
      <c r="CO22" s="266"/>
      <c r="CP22" s="266"/>
      <c r="CQ22" s="265">
        <f ca="1">MIN(6,TblMili[[#This Row],[Mystic]]+Races!$F$19)*1.8 +  IF(TblMili[[#This Row],[Mystic]]+Races!$F$19&gt;6,(TblMili[[#This Row],[Mystic]]+Races!$F$19-6)*0.2,0) - Races!$I$19</f>
        <v>1</v>
      </c>
      <c r="CR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-0.64000000000000057</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4.7099999999999991</v>
      </c>
      <c r="DA22" s="157">
        <f ca="1">1.8 * MIN(MAX(TblMili[[#This Row],[Ice Elemental]]+Races!$E$71,Races!$F$71),6)  +  0.45 * MIN(MIN(TblMili[[#This Row],[Ice Elemental]]+Races!$E$71,Races!$F$71),6)  +  0.2 * ( MAX(TblMili[[#This Row],[Ice Elemental]]+Races!$E$71-6,0) + MAX(Races!$F$71-6,0) )  -  Races!$I$71</f>
        <v>0.92999999999999972</v>
      </c>
      <c r="DB22" s="96">
        <f ca="1">TblMili[[#This Row],[Frost Mage bonus]]*TblMili[[#This Row],[Unit 3]]+TblMili[[#This Row],[Ice Elemental bonus]]*TblMili[[#This Row],[Unit 4]]</f>
        <v>0</v>
      </c>
      <c r="DC22" s="267"/>
      <c r="DD22" s="145">
        <f ca="1">MIN(SUM(TblConstr[[#This Row],[Plain]:[Water]])/TblMili[[#This Row],[Land]]/favorable_terrain_bonus/100,favorable_terrain_max)</f>
        <v>0.1</v>
      </c>
      <c r="DE22" s="267"/>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2" s="144"/>
      <c r="DH22" s="268">
        <f ca="1">(TblMili[[#This Row],[Wizards]]+2*TblMili[[#This Row],[Archmages]])/TblConstr[[#This Row],[Land]]</f>
        <v>0.1</v>
      </c>
      <c r="DI22" s="268">
        <f ca="1">TblMili[[#This Row],[Raw (2)]]*(1+race_wizard_strength+IF(TblMili[[#This Row],[Hour]]&gt;72,tech_magical_weaponry_wiz*TblTech[[#This Row],[3-5]],0))</f>
        <v>0.1</v>
      </c>
    </row>
    <row r="23" spans="1:113" x14ac:dyDescent="0.2">
      <c r="A23" s="139">
        <f>TblRezone[[#This Row],[Hour]]</f>
        <v>20</v>
      </c>
      <c r="B23" s="260">
        <f ca="1">SUM(TblMili[[#This Row],[Unit 1]:[Archmages]])+SUM(OFFSET(TblMili[[#This Row],[Train Unit 1]],-8,0):TblMili[[#This Row],[Train Unit 2]]) + SUM(OFFSET(TblMili[[#This Row],[Train Unit 3]],-11,0):TblMili[[#This Row],[Train AM]]) + TblMili[[#This Row],[Draftees]]</f>
        <v>595</v>
      </c>
      <c r="C23" s="159">
        <f ca="1">TblPop[[#This Row],[Military%]]</f>
        <v>0.25233248515691264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4"/>
      <c r="N23" s="96">
        <f ca="1">TblProd[[#This Row],[Networth]]</f>
        <v>6450</v>
      </c>
      <c r="O23" s="144"/>
      <c r="P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1">
        <f ca="1">TblMili[[#This Row],[Raw]]*(1+TblMili[[#This Row],[Mods_Off]])</f>
        <v>0</v>
      </c>
      <c r="S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3" s="261">
        <f ca="1">TblMili[[#This Row],[Non Draft]]+TblMili[[#This Row],[Draftees]]</f>
        <v>845</v>
      </c>
      <c r="U23" s="262">
        <f ca="1">race_defense + TblImps[[#This Row],[Walls]] + ROUND( MIN(gt_bonus*TblConstr[[#This Row],[Tot GT]]/TblConstr[[#This Row],[Land]],gt_bonus_cap), 4) + IF(TblMagic[[#This Row],[Active Howling]]&gt;0,howling_dp_bonus,IF(TblMagic[[#This Row],[Active Ares Call]]&gt;0,ares_call_bonus))</f>
        <v>0</v>
      </c>
      <c r="V23" s="263">
        <f ca="1">TblMili[[#This Row],[Non Draft]] * (1 + TblMili[[#This Row],[Mods_Def]])</f>
        <v>450</v>
      </c>
      <c r="W23" s="261">
        <f ca="1">TblMili[[#This Row],[Draft]] * (1 + TblMili[[#This Row],[Mods_Def]])</f>
        <v>845</v>
      </c>
      <c r="X23" s="261">
        <f ca="1">TblConstr[[#This Row],[Land]]</f>
        <v>250</v>
      </c>
      <c r="Y23" s="264"/>
      <c r="Z23" s="269">
        <f ca="1">IF(TblMili[[#This Row],[Set]]&lt;&gt;"",TblMili[[#This Row],[Set]],OFFSET(TblMili[[#This Row],[Draftrate]],-1,0))</f>
        <v>0.35</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6"/>
      <c r="AC23" s="182">
        <f ca="1">(TblConstr[[#This Row],[Tot Smi]]+TblConstr[[#This Row],[Dest Smi]])/(TblConstr[[#This Row],[Land]]-TblExplore[[#This Row],[Land Bonus]]*20)</f>
        <v>0</v>
      </c>
      <c r="AD23" s="139"/>
      <c r="AE23" s="260">
        <f>TblMili[[#This Row],[Hour]]</f>
        <v>20</v>
      </c>
      <c r="AF23" s="140">
        <f ca="1">TblExplore[[#This Row],[Time]]</f>
        <v>45732.791666666621</v>
      </c>
      <c r="AG23" s="181"/>
      <c r="AH23" s="181"/>
      <c r="AI23" s="181"/>
      <c r="AJ23" s="181"/>
      <c r="AK23" s="181"/>
      <c r="AL23" s="181"/>
      <c r="AM23" s="181"/>
      <c r="AN23" s="181"/>
      <c r="AO23" s="448">
        <f ca="1">ROUND(IF(AND(TblMagic[[#This Row],[Active DnD]]&lt;12,TblMagic[[#This Row],[Active DnD]]&gt;5),OFFSET(TblPop[[#This Row],[Draft Growth]],-1,0)*0.375,0),0)</f>
        <v>0</v>
      </c>
      <c r="AP23" s="144"/>
      <c r="AQ23" s="96">
        <f ca="1">TblProd[[#This Row],[Platinum]]</f>
        <v>222851</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45732.791666666621</v>
      </c>
      <c r="AW23" s="96">
        <f ca="1">TblMili[[#This Row],[Draftees]]</f>
        <v>395</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0.44</v>
      </c>
      <c r="BX23" s="159">
        <f ca="1">TblMili[[#This Row],[WG''s]]</f>
        <v>0</v>
      </c>
      <c r="BY23" s="265">
        <f ca="1">IF(mystic_cap="none",TblMili[[#This Row],[Homeland%]]/mystic_bonus,MIN(mystic_cap,TblMili[[#This Row],[Homeland%]]/mystic_bonus))</f>
        <v>2</v>
      </c>
      <c r="BZ23" s="265">
        <f ca="1">IF(druid_op_cap="none",TblMili[[#This Row],[Homeland%]]/druid_op_bonus,MIN(druid_op_cap,TblMili[[#This Row],[Homeland%]]/druid_op_bonus))</f>
        <v>2</v>
      </c>
      <c r="CA23" s="265">
        <f ca="1">IF(druid_dp_cap="none",TblMili[[#This Row],[Homeland%]]/druid_dp_bonus,MIN(druid_dp_cap,TblMili[[#This Row],[Homeland%]]/druid_dp_bonus))</f>
        <v>2</v>
      </c>
      <c r="CB23" s="265">
        <f ca="1">MIN(dryad_cap,TblMili[[#This Row],[Homeland%]]/dryad_bonus)</f>
        <v>2.1999999999999997</v>
      </c>
      <c r="CC23" s="265">
        <f ca="1">MIN(rocka_cap,TblMili[[#This Row],[Homeland%]]/rocka_bonus)</f>
        <v>2</v>
      </c>
      <c r="CD23" s="265">
        <f ca="1">MIN(adept_op_cap,TblMili[[#This Row],[WG]]/adept_op_bonus)</f>
        <v>0</v>
      </c>
      <c r="CE23" s="265">
        <f ca="1">MIN(adept_dp_cap,TblMili[[#This Row],[WG]]/adept_dp_bonus)</f>
        <v>0</v>
      </c>
      <c r="CF23" s="96">
        <f ca="1">MIN(TblMili[[#This Row],[Unit 3]],TblMili[[#This Row],[Unit 2]])*2</f>
        <v>0</v>
      </c>
      <c r="CG23" s="96">
        <f ca="1">MIN(TblMili[[#This Row],[Unit 1]],TblMili[[#This Row],[Unit 4]])*2</f>
        <v>0</v>
      </c>
      <c r="CH23" s="265">
        <f ca="1">MIN(frost_mage_cap,TblMili[[#This Row],[Homeland%]]/frost_mage_bonus)</f>
        <v>2.1999999999999997</v>
      </c>
      <c r="CI23" s="45">
        <f ca="1">MIN(ice_elem_cap,TblMili[[#This Row],[Raw (2)]]*ice_elem_bonus)</f>
        <v>0.1</v>
      </c>
      <c r="CJ23" s="265">
        <f t="shared" si="0"/>
        <v>0.83333333333333337</v>
      </c>
      <c r="CK23" s="265">
        <f ca="1">MIN(nox_nightshade_cap,TblConstr[[#This Row],[Homeland]]/TblConstr[[#This Row],[Land]]/nox_nightshade_swamp_bonus)</f>
        <v>4</v>
      </c>
      <c r="CL23" s="265">
        <f ca="1">MIN(TblConstr[[#This Row],[Tot Tow]]/TblConstr[[#This Row],[Land]]/abyss_enforce_bonus,abyss_enforcer_cap)</f>
        <v>0</v>
      </c>
      <c r="CM23" s="265">
        <f ca="1">IF(TblMagic[[#This Row],[Active Demonic Pact]]&gt;0,MIN(TblMili[[#This Row],[Unit 1]],TblMili[[#This Row],[Unit 4]])*demonic_pact_oppair,0)</f>
        <v>0</v>
      </c>
      <c r="CN23" s="266"/>
      <c r="CO23" s="266"/>
      <c r="CP23" s="266"/>
      <c r="CQ23" s="265">
        <f ca="1">MIN(6,TblMili[[#This Row],[Mystic]]+Races!$F$19)*1.8 +  IF(TblMili[[#This Row],[Mystic]]+Races!$F$19&gt;6,(TblMili[[#This Row],[Mystic]]+Races!$F$19-6)*0.2,0) - Races!$I$19</f>
        <v>1</v>
      </c>
      <c r="CR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-0.64000000000000057</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4.7099999999999991</v>
      </c>
      <c r="DA23" s="157">
        <f ca="1">1.8 * MIN(MAX(TblMili[[#This Row],[Ice Elemental]]+Races!$E$71,Races!$F$71),6)  +  0.45 * MIN(MIN(TblMili[[#This Row],[Ice Elemental]]+Races!$E$71,Races!$F$71),6)  +  0.2 * ( MAX(TblMili[[#This Row],[Ice Elemental]]+Races!$E$71-6,0) + MAX(Races!$F$71-6,0) )  -  Races!$I$71</f>
        <v>0.92999999999999972</v>
      </c>
      <c r="DB23" s="96">
        <f ca="1">TblMili[[#This Row],[Frost Mage bonus]]*TblMili[[#This Row],[Unit 3]]+TblMili[[#This Row],[Ice Elemental bonus]]*TblMili[[#This Row],[Unit 4]]</f>
        <v>0</v>
      </c>
      <c r="DC23" s="267"/>
      <c r="DD23" s="145">
        <f ca="1">MIN(SUM(TblConstr[[#This Row],[Plain]:[Water]])/TblMili[[#This Row],[Land]]/favorable_terrain_bonus/100,favorable_terrain_max)</f>
        <v>0.1</v>
      </c>
      <c r="DE23" s="267"/>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3" s="144"/>
      <c r="DH23" s="268">
        <f ca="1">(TblMili[[#This Row],[Wizards]]+2*TblMili[[#This Row],[Archmages]])/TblConstr[[#This Row],[Land]]</f>
        <v>0.1</v>
      </c>
      <c r="DI23" s="268">
        <f ca="1">TblMili[[#This Row],[Raw (2)]]*(1+race_wizard_strength+IF(TblMili[[#This Row],[Hour]]&gt;72,tech_magical_weaponry_wiz*TblTech[[#This Row],[3-5]],0))</f>
        <v>0.1</v>
      </c>
    </row>
    <row r="24" spans="1:113" x14ac:dyDescent="0.2">
      <c r="A24" s="139">
        <f>TblRezone[[#This Row],[Hour]]</f>
        <v>21</v>
      </c>
      <c r="B24" s="260">
        <f ca="1">SUM(TblMili[[#This Row],[Unit 1]:[Archmages]])+SUM(OFFSET(TblMili[[#This Row],[Train Unit 1]],-8,0):TblMili[[#This Row],[Train Unit 2]]) + SUM(OFFSET(TblMili[[#This Row],[Train Unit 3]],-11,0):TblMili[[#This Row],[Train AM]]) + TblMili[[#This Row],[Draftees]]</f>
        <v>613</v>
      </c>
      <c r="C24" s="159">
        <f ca="1">TblPop[[#This Row],[Military%]]</f>
        <v>0.2599660729431722</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4"/>
      <c r="N24" s="96">
        <f ca="1">TblProd[[#This Row],[Networth]]</f>
        <v>6450</v>
      </c>
      <c r="O24" s="144"/>
      <c r="P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1">
        <f ca="1">TblMili[[#This Row],[Raw]]*(1+TblMili[[#This Row],[Mods_Off]])</f>
        <v>0</v>
      </c>
      <c r="S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4" s="261">
        <f ca="1">TblMili[[#This Row],[Non Draft]]+TblMili[[#This Row],[Draftees]]</f>
        <v>863</v>
      </c>
      <c r="U24" s="262">
        <f ca="1">race_defense + TblImps[[#This Row],[Walls]] + ROUND( MIN(gt_bonus*TblConstr[[#This Row],[Tot GT]]/TblConstr[[#This Row],[Land]],gt_bonus_cap), 4) + IF(TblMagic[[#This Row],[Active Howling]]&gt;0,howling_dp_bonus,IF(TblMagic[[#This Row],[Active Ares Call]]&gt;0,ares_call_bonus))</f>
        <v>0</v>
      </c>
      <c r="V24" s="263">
        <f ca="1">TblMili[[#This Row],[Non Draft]] * (1 + TblMili[[#This Row],[Mods_Def]])</f>
        <v>450</v>
      </c>
      <c r="W24" s="261">
        <f ca="1">TblMili[[#This Row],[Draft]] * (1 + TblMili[[#This Row],[Mods_Def]])</f>
        <v>863</v>
      </c>
      <c r="X24" s="261">
        <f ca="1">TblConstr[[#This Row],[Land]]</f>
        <v>250</v>
      </c>
      <c r="Y24" s="264"/>
      <c r="Z24" s="269">
        <f ca="1">IF(TblMili[[#This Row],[Set]]&lt;&gt;"",TblMili[[#This Row],[Set]],OFFSET(TblMili[[#This Row],[Draftrate]],-1,0))</f>
        <v>0.35</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6"/>
      <c r="AC24" s="182">
        <f ca="1">(TblConstr[[#This Row],[Tot Smi]]+TblConstr[[#This Row],[Dest Smi]])/(TblConstr[[#This Row],[Land]]-TblExplore[[#This Row],[Land Bonus]]*20)</f>
        <v>0</v>
      </c>
      <c r="AD24" s="139"/>
      <c r="AE24" s="260">
        <f>TblMili[[#This Row],[Hour]]</f>
        <v>21</v>
      </c>
      <c r="AF24" s="140">
        <f ca="1">TblExplore[[#This Row],[Time]]</f>
        <v>45732.833333333285</v>
      </c>
      <c r="AG24" s="181"/>
      <c r="AH24" s="181"/>
      <c r="AI24" s="181"/>
      <c r="AJ24" s="181"/>
      <c r="AK24" s="181"/>
      <c r="AL24" s="181"/>
      <c r="AM24" s="181"/>
      <c r="AN24" s="181"/>
      <c r="AO24" s="448">
        <f ca="1">ROUND(IF(AND(TblMagic[[#This Row],[Active DnD]]&lt;12,TblMagic[[#This Row],[Active DnD]]&gt;5),OFFSET(TblPop[[#This Row],[Draft Growth]],-1,0)*0.375,0),0)</f>
        <v>0</v>
      </c>
      <c r="AP24" s="144"/>
      <c r="AQ24" s="96">
        <f ca="1">TblProd[[#This Row],[Platinum]]</f>
        <v>228521</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45732.833333333285</v>
      </c>
      <c r="AW24" s="96">
        <f ca="1">TblMili[[#This Row],[Draftees]]</f>
        <v>413</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0.44</v>
      </c>
      <c r="BX24" s="159">
        <f ca="1">TblMili[[#This Row],[WG''s]]</f>
        <v>0</v>
      </c>
      <c r="BY24" s="265">
        <f ca="1">IF(mystic_cap="none",TblMili[[#This Row],[Homeland%]]/mystic_bonus,MIN(mystic_cap,TblMili[[#This Row],[Homeland%]]/mystic_bonus))</f>
        <v>2</v>
      </c>
      <c r="BZ24" s="265">
        <f ca="1">IF(druid_op_cap="none",TblMili[[#This Row],[Homeland%]]/druid_op_bonus,MIN(druid_op_cap,TblMili[[#This Row],[Homeland%]]/druid_op_bonus))</f>
        <v>2</v>
      </c>
      <c r="CA24" s="265">
        <f ca="1">IF(druid_dp_cap="none",TblMili[[#This Row],[Homeland%]]/druid_dp_bonus,MIN(druid_dp_cap,TblMili[[#This Row],[Homeland%]]/druid_dp_bonus))</f>
        <v>2</v>
      </c>
      <c r="CB24" s="265">
        <f ca="1">MIN(dryad_cap,TblMili[[#This Row],[Homeland%]]/dryad_bonus)</f>
        <v>2.1999999999999997</v>
      </c>
      <c r="CC24" s="265">
        <f ca="1">MIN(rocka_cap,TblMili[[#This Row],[Homeland%]]/rocka_bonus)</f>
        <v>2</v>
      </c>
      <c r="CD24" s="265">
        <f ca="1">MIN(adept_op_cap,TblMili[[#This Row],[WG]]/adept_op_bonus)</f>
        <v>0</v>
      </c>
      <c r="CE24" s="265">
        <f ca="1">MIN(adept_dp_cap,TblMili[[#This Row],[WG]]/adept_dp_bonus)</f>
        <v>0</v>
      </c>
      <c r="CF24" s="96">
        <f ca="1">MIN(TblMili[[#This Row],[Unit 3]],TblMili[[#This Row],[Unit 2]])*2</f>
        <v>0</v>
      </c>
      <c r="CG24" s="96">
        <f ca="1">MIN(TblMili[[#This Row],[Unit 1]],TblMili[[#This Row],[Unit 4]])*2</f>
        <v>0</v>
      </c>
      <c r="CH24" s="265">
        <f ca="1">MIN(frost_mage_cap,TblMili[[#This Row],[Homeland%]]/frost_mage_bonus)</f>
        <v>2.1999999999999997</v>
      </c>
      <c r="CI24" s="45">
        <f ca="1">MIN(ice_elem_cap,TblMili[[#This Row],[Raw (2)]]*ice_elem_bonus)</f>
        <v>0.1</v>
      </c>
      <c r="CJ24" s="265">
        <f t="shared" si="0"/>
        <v>0.83333333333333337</v>
      </c>
      <c r="CK24" s="265">
        <f ca="1">MIN(nox_nightshade_cap,TblConstr[[#This Row],[Homeland]]/TblConstr[[#This Row],[Land]]/nox_nightshade_swamp_bonus)</f>
        <v>4</v>
      </c>
      <c r="CL24" s="265">
        <f ca="1">MIN(TblConstr[[#This Row],[Tot Tow]]/TblConstr[[#This Row],[Land]]/abyss_enforce_bonus,abyss_enforcer_cap)</f>
        <v>0</v>
      </c>
      <c r="CM24" s="265">
        <f ca="1">IF(TblMagic[[#This Row],[Active Demonic Pact]]&gt;0,MIN(TblMili[[#This Row],[Unit 1]],TblMili[[#This Row],[Unit 4]])*demonic_pact_oppair,0)</f>
        <v>0</v>
      </c>
      <c r="CN24" s="266" t="s">
        <v>3</v>
      </c>
      <c r="CO24" s="266" t="b">
        <f>CN24=secondary_resource</f>
        <v>1</v>
      </c>
      <c r="CP24" s="266"/>
      <c r="CQ24" s="265">
        <f ca="1">MIN(6,TblMili[[#This Row],[Mystic]]+Races!$F$19)*1.8 +  IF(TblMili[[#This Row],[Mystic]]+Races!$F$19&gt;6,(TblMili[[#This Row],[Mystic]]+Races!$F$19-6)*0.2,0) - Races!$I$19</f>
        <v>1</v>
      </c>
      <c r="CR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-0.64000000000000057</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4.7099999999999991</v>
      </c>
      <c r="DA24" s="157">
        <f ca="1">1.8 * MIN(MAX(TblMili[[#This Row],[Ice Elemental]]+Races!$E$71,Races!$F$71),6)  +  0.45 * MIN(MIN(TblMili[[#This Row],[Ice Elemental]]+Races!$E$71,Races!$F$71),6)  +  0.2 * ( MAX(TblMili[[#This Row],[Ice Elemental]]+Races!$E$71-6,0) + MAX(Races!$F$71-6,0) )  -  Races!$I$71</f>
        <v>0.92999999999999972</v>
      </c>
      <c r="DB24" s="96">
        <f ca="1">TblMili[[#This Row],[Frost Mage bonus]]*TblMili[[#This Row],[Unit 3]]+TblMili[[#This Row],[Ice Elemental bonus]]*TblMili[[#This Row],[Unit 4]]</f>
        <v>0</v>
      </c>
      <c r="DC24" s="267"/>
      <c r="DD24" s="145">
        <f ca="1">MIN(SUM(TblConstr[[#This Row],[Plain]:[Water]])/TblMili[[#This Row],[Land]]/favorable_terrain_bonus/100,favorable_terrain_max)</f>
        <v>0.1</v>
      </c>
      <c r="DE24" s="267"/>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4" s="144"/>
      <c r="DH24" s="268">
        <f ca="1">(TblMili[[#This Row],[Wizards]]+2*TblMili[[#This Row],[Archmages]])/TblConstr[[#This Row],[Land]]</f>
        <v>0.1</v>
      </c>
      <c r="DI24" s="268">
        <f ca="1">TblMili[[#This Row],[Raw (2)]]*(1+race_wizard_strength+IF(TblMili[[#This Row],[Hour]]&gt;72,tech_magical_weaponry_wiz*TblTech[[#This Row],[3-5]],0))</f>
        <v>0.1</v>
      </c>
    </row>
    <row r="25" spans="1:113" x14ac:dyDescent="0.2">
      <c r="A25" s="139">
        <f>TblRezone[[#This Row],[Hour]]</f>
        <v>22</v>
      </c>
      <c r="B25" s="260">
        <f ca="1">SUM(TblMili[[#This Row],[Unit 1]:[Archmages]])+SUM(OFFSET(TblMili[[#This Row],[Train Unit 1]],-8,0):TblMili[[#This Row],[Train Unit 2]]) + SUM(OFFSET(TblMili[[#This Row],[Train Unit 3]],-11,0):TblMili[[#This Row],[Train AM]]) + TblMili[[#This Row],[Draftees]]</f>
        <v>630</v>
      </c>
      <c r="C25" s="159">
        <f ca="1">TblPop[[#This Row],[Military%]]</f>
        <v>0.26717557251908397</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4"/>
      <c r="N25" s="96">
        <f ca="1">TblProd[[#This Row],[Networth]]</f>
        <v>6450</v>
      </c>
      <c r="O25" s="144"/>
      <c r="P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1">
        <f ca="1">TblMili[[#This Row],[Raw]]*(1+TblMili[[#This Row],[Mods_Off]])</f>
        <v>0</v>
      </c>
      <c r="S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5" s="261">
        <f ca="1">TblMili[[#This Row],[Non Draft]]+TblMili[[#This Row],[Draftees]]</f>
        <v>880</v>
      </c>
      <c r="U25" s="262">
        <f ca="1">race_defense + TblImps[[#This Row],[Walls]] + ROUND( MIN(gt_bonus*TblConstr[[#This Row],[Tot GT]]/TblConstr[[#This Row],[Land]],gt_bonus_cap), 4) + IF(TblMagic[[#This Row],[Active Howling]]&gt;0,howling_dp_bonus,IF(TblMagic[[#This Row],[Active Ares Call]]&gt;0,ares_call_bonus))</f>
        <v>0</v>
      </c>
      <c r="V25" s="263">
        <f ca="1">TblMili[[#This Row],[Non Draft]] * (1 + TblMili[[#This Row],[Mods_Def]])</f>
        <v>450</v>
      </c>
      <c r="W25" s="261">
        <f ca="1">TblMili[[#This Row],[Draft]] * (1 + TblMili[[#This Row],[Mods_Def]])</f>
        <v>880</v>
      </c>
      <c r="X25" s="261">
        <f ca="1">TblConstr[[#This Row],[Land]]</f>
        <v>250</v>
      </c>
      <c r="Y25" s="264"/>
      <c r="Z25" s="269">
        <f ca="1">IF(TblMili[[#This Row],[Set]]&lt;&gt;"",TblMili[[#This Row],[Set]],OFFSET(TblMili[[#This Row],[Draftrate]],-1,0))</f>
        <v>0.35</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6"/>
      <c r="AC25" s="182">
        <f ca="1">(TblConstr[[#This Row],[Tot Smi]]+TblConstr[[#This Row],[Dest Smi]])/(TblConstr[[#This Row],[Land]]-TblExplore[[#This Row],[Land Bonus]]*20)</f>
        <v>0</v>
      </c>
      <c r="AD25" s="139"/>
      <c r="AE25" s="260">
        <f>TblMili[[#This Row],[Hour]]</f>
        <v>22</v>
      </c>
      <c r="AF25" s="140">
        <f ca="1">TblExplore[[#This Row],[Time]]</f>
        <v>45732.874999999949</v>
      </c>
      <c r="AG25" s="181"/>
      <c r="AH25" s="181"/>
      <c r="AI25" s="181"/>
      <c r="AJ25" s="181"/>
      <c r="AK25" s="181"/>
      <c r="AL25" s="181"/>
      <c r="AM25" s="181"/>
      <c r="AN25" s="181"/>
      <c r="AO25" s="448">
        <f ca="1">ROUND(IF(AND(TblMagic[[#This Row],[Active DnD]]&lt;12,TblMagic[[#This Row],[Active DnD]]&gt;5),OFFSET(TblPop[[#This Row],[Draft Growth]],-1,0)*0.375,0),0)</f>
        <v>0</v>
      </c>
      <c r="AP25" s="144"/>
      <c r="AQ25" s="96">
        <f ca="1">TblProd[[#This Row],[Platinum]]</f>
        <v>234191</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45732.874999999949</v>
      </c>
      <c r="AW25" s="96">
        <f ca="1">TblMili[[#This Row],[Draftees]]</f>
        <v>430</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0.44</v>
      </c>
      <c r="BX25" s="159">
        <f ca="1">TblMili[[#This Row],[WG''s]]</f>
        <v>0</v>
      </c>
      <c r="BY25" s="265">
        <f ca="1">IF(mystic_cap="none",TblMili[[#This Row],[Homeland%]]/mystic_bonus,MIN(mystic_cap,TblMili[[#This Row],[Homeland%]]/mystic_bonus))</f>
        <v>2</v>
      </c>
      <c r="BZ25" s="265">
        <f ca="1">IF(druid_op_cap="none",TblMili[[#This Row],[Homeland%]]/druid_op_bonus,MIN(druid_op_cap,TblMili[[#This Row],[Homeland%]]/druid_op_bonus))</f>
        <v>2</v>
      </c>
      <c r="CA25" s="265">
        <f ca="1">IF(druid_dp_cap="none",TblMili[[#This Row],[Homeland%]]/druid_dp_bonus,MIN(druid_dp_cap,TblMili[[#This Row],[Homeland%]]/druid_dp_bonus))</f>
        <v>2</v>
      </c>
      <c r="CB25" s="265">
        <f ca="1">MIN(dryad_cap,TblMili[[#This Row],[Homeland%]]/dryad_bonus)</f>
        <v>2.1999999999999997</v>
      </c>
      <c r="CC25" s="265">
        <f ca="1">MIN(rocka_cap,TblMili[[#This Row],[Homeland%]]/rocka_bonus)</f>
        <v>2</v>
      </c>
      <c r="CD25" s="265">
        <f ca="1">MIN(adept_op_cap,TblMili[[#This Row],[WG]]/adept_op_bonus)</f>
        <v>0</v>
      </c>
      <c r="CE25" s="265">
        <f ca="1">MIN(adept_dp_cap,TblMili[[#This Row],[WG]]/adept_dp_bonus)</f>
        <v>0</v>
      </c>
      <c r="CF25" s="96">
        <f ca="1">MIN(TblMili[[#This Row],[Unit 3]],TblMili[[#This Row],[Unit 2]])*2</f>
        <v>0</v>
      </c>
      <c r="CG25" s="96">
        <f ca="1">MIN(TblMili[[#This Row],[Unit 1]],TblMili[[#This Row],[Unit 4]])*2</f>
        <v>0</v>
      </c>
      <c r="CH25" s="265">
        <f ca="1">MIN(frost_mage_cap,TblMili[[#This Row],[Homeland%]]/frost_mage_bonus)</f>
        <v>2.1999999999999997</v>
      </c>
      <c r="CI25" s="45">
        <f ca="1">MIN(ice_elem_cap,TblMili[[#This Row],[Raw (2)]]*ice_elem_bonus)</f>
        <v>0.1</v>
      </c>
      <c r="CJ25" s="265">
        <f t="shared" si="0"/>
        <v>0.83333333333333337</v>
      </c>
      <c r="CK25" s="265">
        <f ca="1">MIN(nox_nightshade_cap,TblConstr[[#This Row],[Homeland]]/TblConstr[[#This Row],[Land]]/nox_nightshade_swamp_bonus)</f>
        <v>4</v>
      </c>
      <c r="CL25" s="265">
        <f ca="1">MIN(TblConstr[[#This Row],[Tot Tow]]/TblConstr[[#This Row],[Land]]/abyss_enforce_bonus,abyss_enforcer_cap)</f>
        <v>0</v>
      </c>
      <c r="CM25" s="265">
        <f ca="1">IF(TblMagic[[#This Row],[Active Demonic Pact]]&gt;0,MIN(TblMili[[#This Row],[Unit 1]],TblMili[[#This Row],[Unit 4]])*demonic_pact_oppair,0)</f>
        <v>0</v>
      </c>
      <c r="CN25" s="266" t="s">
        <v>7</v>
      </c>
      <c r="CO25" s="266" t="b">
        <f>CN25=secondary_resource</f>
        <v>0</v>
      </c>
      <c r="CP25" s="266"/>
      <c r="CQ25" s="265">
        <f ca="1">MIN(6,TblMili[[#This Row],[Mystic]]+Races!$F$19)*1.8 +  IF(TblMili[[#This Row],[Mystic]]+Races!$F$19&gt;6,(TblMili[[#This Row],[Mystic]]+Races!$F$19-6)*0.2,0) - Races!$I$19</f>
        <v>1</v>
      </c>
      <c r="CR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-0.64000000000000057</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4.7099999999999991</v>
      </c>
      <c r="DA25" s="157">
        <f ca="1">1.8 * MIN(MAX(TblMili[[#This Row],[Ice Elemental]]+Races!$E$71,Races!$F$71),6)  +  0.45 * MIN(MIN(TblMili[[#This Row],[Ice Elemental]]+Races!$E$71,Races!$F$71),6)  +  0.2 * ( MAX(TblMili[[#This Row],[Ice Elemental]]+Races!$E$71-6,0) + MAX(Races!$F$71-6,0) )  -  Races!$I$71</f>
        <v>0.92999999999999972</v>
      </c>
      <c r="DB25" s="96">
        <f ca="1">TblMili[[#This Row],[Frost Mage bonus]]*TblMili[[#This Row],[Unit 3]]+TblMili[[#This Row],[Ice Elemental bonus]]*TblMili[[#This Row],[Unit 4]]</f>
        <v>0</v>
      </c>
      <c r="DC25" s="267"/>
      <c r="DD25" s="145">
        <f ca="1">MIN(SUM(TblConstr[[#This Row],[Plain]:[Water]])/TblMili[[#This Row],[Land]]/favorable_terrain_bonus/100,favorable_terrain_max)</f>
        <v>0.1</v>
      </c>
      <c r="DE25" s="267"/>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5" s="144"/>
      <c r="DH25" s="268">
        <f ca="1">(TblMili[[#This Row],[Wizards]]+2*TblMili[[#This Row],[Archmages]])/TblConstr[[#This Row],[Land]]</f>
        <v>0.1</v>
      </c>
      <c r="DI25" s="268">
        <f ca="1">TblMili[[#This Row],[Raw (2)]]*(1+race_wizard_strength+IF(TblMili[[#This Row],[Hour]]&gt;72,tech_magical_weaponry_wiz*TblTech[[#This Row],[3-5]],0))</f>
        <v>0.1</v>
      </c>
    </row>
    <row r="26" spans="1:113" x14ac:dyDescent="0.2">
      <c r="A26" s="139">
        <f>TblRezone[[#This Row],[Hour]]</f>
        <v>23</v>
      </c>
      <c r="B26" s="260">
        <f ca="1">SUM(TblMili[[#This Row],[Unit 1]:[Archmages]])+SUM(OFFSET(TblMili[[#This Row],[Train Unit 1]],-8,0):TblMili[[#This Row],[Train Unit 2]]) + SUM(OFFSET(TblMili[[#This Row],[Train Unit 3]],-11,0):TblMili[[#This Row],[Train AM]]) + TblMili[[#This Row],[Draftees]]</f>
        <v>647</v>
      </c>
      <c r="C26" s="159">
        <f ca="1">TblPop[[#This Row],[Military%]]</f>
        <v>0.27438507209499574</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4"/>
      <c r="N26" s="96">
        <f ca="1">TblProd[[#This Row],[Networth]]</f>
        <v>6450</v>
      </c>
      <c r="O26" s="144"/>
      <c r="P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1">
        <f ca="1">TblMili[[#This Row],[Raw]]*(1+TblMili[[#This Row],[Mods_Off]])</f>
        <v>0</v>
      </c>
      <c r="S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6" s="261">
        <f ca="1">TblMili[[#This Row],[Non Draft]]+TblMili[[#This Row],[Draftees]]</f>
        <v>897</v>
      </c>
      <c r="U26" s="262">
        <f ca="1">race_defense + TblImps[[#This Row],[Walls]] + ROUND( MIN(gt_bonus*TblConstr[[#This Row],[Tot GT]]/TblConstr[[#This Row],[Land]],gt_bonus_cap), 4) + IF(TblMagic[[#This Row],[Active Howling]]&gt;0,howling_dp_bonus,IF(TblMagic[[#This Row],[Active Ares Call]]&gt;0,ares_call_bonus))</f>
        <v>0</v>
      </c>
      <c r="V26" s="263">
        <f ca="1">TblMili[[#This Row],[Non Draft]] * (1 + TblMili[[#This Row],[Mods_Def]])</f>
        <v>450</v>
      </c>
      <c r="W26" s="261">
        <f ca="1">TblMili[[#This Row],[Draft]] * (1 + TblMili[[#This Row],[Mods_Def]])</f>
        <v>897</v>
      </c>
      <c r="X26" s="261">
        <f ca="1">TblConstr[[#This Row],[Land]]</f>
        <v>250</v>
      </c>
      <c r="Y26" s="264"/>
      <c r="Z26" s="269">
        <f ca="1">IF(TblMili[[#This Row],[Set]]&lt;&gt;"",TblMili[[#This Row],[Set]],OFFSET(TblMili[[#This Row],[Draftrate]],-1,0))</f>
        <v>0.35</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6"/>
      <c r="AC26" s="182">
        <f ca="1">(TblConstr[[#This Row],[Tot Smi]]+TblConstr[[#This Row],[Dest Smi]])/(TblConstr[[#This Row],[Land]]-TblExplore[[#This Row],[Land Bonus]]*20)</f>
        <v>0</v>
      </c>
      <c r="AD26" s="139"/>
      <c r="AE26" s="260">
        <f>TblMili[[#This Row],[Hour]]</f>
        <v>23</v>
      </c>
      <c r="AF26" s="140">
        <f ca="1">TblExplore[[#This Row],[Time]]</f>
        <v>45732.916666666613</v>
      </c>
      <c r="AG26" s="181"/>
      <c r="AH26" s="181"/>
      <c r="AI26" s="181"/>
      <c r="AJ26" s="181"/>
      <c r="AK26" s="181"/>
      <c r="AL26" s="181"/>
      <c r="AM26" s="181"/>
      <c r="AN26" s="181"/>
      <c r="AO26" s="448">
        <f ca="1">ROUND(IF(AND(TblMagic[[#This Row],[Active DnD]]&lt;12,TblMagic[[#This Row],[Active DnD]]&gt;5),OFFSET(TblPop[[#This Row],[Draft Growth]],-1,0)*0.375,0),0)</f>
        <v>0</v>
      </c>
      <c r="AP26" s="144"/>
      <c r="AQ26" s="96">
        <f ca="1">TblProd[[#This Row],[Platinum]]</f>
        <v>239861</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45732.916666666613</v>
      </c>
      <c r="AW26" s="96">
        <f ca="1">TblMili[[#This Row],[Draftees]]</f>
        <v>447</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0.44</v>
      </c>
      <c r="BX26" s="159">
        <f ca="1">TblMili[[#This Row],[WG''s]]</f>
        <v>0</v>
      </c>
      <c r="BY26" s="265">
        <f ca="1">IF(mystic_cap="none",TblMili[[#This Row],[Homeland%]]/mystic_bonus,MIN(mystic_cap,TblMili[[#This Row],[Homeland%]]/mystic_bonus))</f>
        <v>2</v>
      </c>
      <c r="BZ26" s="265">
        <f ca="1">IF(druid_op_cap="none",TblMili[[#This Row],[Homeland%]]/druid_op_bonus,MIN(druid_op_cap,TblMili[[#This Row],[Homeland%]]/druid_op_bonus))</f>
        <v>2</v>
      </c>
      <c r="CA26" s="265">
        <f ca="1">IF(druid_dp_cap="none",TblMili[[#This Row],[Homeland%]]/druid_dp_bonus,MIN(druid_dp_cap,TblMili[[#This Row],[Homeland%]]/druid_dp_bonus))</f>
        <v>2</v>
      </c>
      <c r="CB26" s="265">
        <f ca="1">MIN(dryad_cap,TblMili[[#This Row],[Homeland%]]/dryad_bonus)</f>
        <v>2.1999999999999997</v>
      </c>
      <c r="CC26" s="265">
        <f ca="1">MIN(rocka_cap,TblMili[[#This Row],[Homeland%]]/rocka_bonus)</f>
        <v>2</v>
      </c>
      <c r="CD26" s="265">
        <f ca="1">MIN(adept_op_cap,TblMili[[#This Row],[WG]]/adept_op_bonus)</f>
        <v>0</v>
      </c>
      <c r="CE26" s="265">
        <f ca="1">MIN(adept_dp_cap,TblMili[[#This Row],[WG]]/adept_dp_bonus)</f>
        <v>0</v>
      </c>
      <c r="CF26" s="96">
        <f ca="1">MIN(TblMili[[#This Row],[Unit 3]],TblMili[[#This Row],[Unit 2]])*2</f>
        <v>0</v>
      </c>
      <c r="CG26" s="96">
        <f ca="1">MIN(TblMili[[#This Row],[Unit 1]],TblMili[[#This Row],[Unit 4]])*2</f>
        <v>0</v>
      </c>
      <c r="CH26" s="265">
        <f ca="1">MIN(frost_mage_cap,TblMili[[#This Row],[Homeland%]]/frost_mage_bonus)</f>
        <v>2.1999999999999997</v>
      </c>
      <c r="CI26" s="45">
        <f ca="1">MIN(ice_elem_cap,TblMili[[#This Row],[Raw (2)]]*ice_elem_bonus)</f>
        <v>0.1</v>
      </c>
      <c r="CJ26" s="265">
        <f t="shared" si="0"/>
        <v>0.83333333333333337</v>
      </c>
      <c r="CK26" s="265">
        <f ca="1">MIN(nox_nightshade_cap,TblConstr[[#This Row],[Homeland]]/TblConstr[[#This Row],[Land]]/nox_nightshade_swamp_bonus)</f>
        <v>4</v>
      </c>
      <c r="CL26" s="265">
        <f ca="1">MIN(TblConstr[[#This Row],[Tot Tow]]/TblConstr[[#This Row],[Land]]/abyss_enforce_bonus,abyss_enforcer_cap)</f>
        <v>0</v>
      </c>
      <c r="CM26" s="265">
        <f ca="1">IF(TblMagic[[#This Row],[Active Demonic Pact]]&gt;0,MIN(TblMili[[#This Row],[Unit 1]],TblMili[[#This Row],[Unit 4]])*demonic_pact_oppair,0)</f>
        <v>0</v>
      </c>
      <c r="CN26" s="266" t="s">
        <v>12</v>
      </c>
      <c r="CO26" s="266" t="b">
        <f>CN26=secondary_resource</f>
        <v>0</v>
      </c>
      <c r="CP26" s="266"/>
      <c r="CQ26" s="265">
        <f ca="1">MIN(6,TblMili[[#This Row],[Mystic]]+Races!$F$19)*1.8 +  IF(TblMili[[#This Row],[Mystic]]+Races!$F$19&gt;6,(TblMili[[#This Row],[Mystic]]+Races!$F$19-6)*0.2,0) - Races!$I$19</f>
        <v>1</v>
      </c>
      <c r="CR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-0.64000000000000057</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4.7099999999999991</v>
      </c>
      <c r="DA26" s="157">
        <f ca="1">1.8 * MIN(MAX(TblMili[[#This Row],[Ice Elemental]]+Races!$E$71,Races!$F$71),6)  +  0.45 * MIN(MIN(TblMili[[#This Row],[Ice Elemental]]+Races!$E$71,Races!$F$71),6)  +  0.2 * ( MAX(TblMili[[#This Row],[Ice Elemental]]+Races!$E$71-6,0) + MAX(Races!$F$71-6,0) )  -  Races!$I$71</f>
        <v>0.92999999999999972</v>
      </c>
      <c r="DB26" s="96">
        <f ca="1">TblMili[[#This Row],[Frost Mage bonus]]*TblMili[[#This Row],[Unit 3]]+TblMili[[#This Row],[Ice Elemental bonus]]*TblMili[[#This Row],[Unit 4]]</f>
        <v>0</v>
      </c>
      <c r="DC26" s="267"/>
      <c r="DD26" s="145">
        <f ca="1">MIN(SUM(TblConstr[[#This Row],[Plain]:[Water]])/TblMili[[#This Row],[Land]]/favorable_terrain_bonus/100,favorable_terrain_max)</f>
        <v>0.1</v>
      </c>
      <c r="DE26" s="267"/>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6" s="144"/>
      <c r="DH26" s="268">
        <f ca="1">(TblMili[[#This Row],[Wizards]]+2*TblMili[[#This Row],[Archmages]])/TblConstr[[#This Row],[Land]]</f>
        <v>0.1</v>
      </c>
      <c r="DI26" s="268">
        <f ca="1">TblMili[[#This Row],[Raw (2)]]*(1+race_wizard_strength+IF(TblMili[[#This Row],[Hour]]&gt;72,tech_magical_weaponry_wiz*TblTech[[#This Row],[3-5]],0))</f>
        <v>0.1</v>
      </c>
    </row>
    <row r="27" spans="1:113" x14ac:dyDescent="0.2">
      <c r="A27" s="139">
        <f>TblRezone[[#This Row],[Hour]]</f>
        <v>24</v>
      </c>
      <c r="B27" s="260">
        <f ca="1">SUM(TblMili[[#This Row],[Unit 1]:[Archmages]])+SUM(OFFSET(TblMili[[#This Row],[Train Unit 1]],-8,0):TblMili[[#This Row],[Train Unit 2]]) + SUM(OFFSET(TblMili[[#This Row],[Train Unit 3]],-11,0):TblMili[[#This Row],[Train AM]]) + TblMili[[#This Row],[Draftees]]</f>
        <v>664</v>
      </c>
      <c r="C27" s="159">
        <f ca="1">TblPop[[#This Row],[Military%]]</f>
        <v>0.28159457167090757</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4"/>
      <c r="N27" s="96">
        <f ca="1">TblProd[[#This Row],[Networth]]</f>
        <v>6450</v>
      </c>
      <c r="O27" s="144"/>
      <c r="P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1">
        <f ca="1">TblMili[[#This Row],[Raw]]*(1+TblMili[[#This Row],[Mods_Off]])</f>
        <v>0</v>
      </c>
      <c r="S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7" s="261">
        <f ca="1">TblMili[[#This Row],[Non Draft]]+TblMili[[#This Row],[Draftees]]</f>
        <v>914</v>
      </c>
      <c r="U27" s="262">
        <f ca="1">race_defense + TblImps[[#This Row],[Walls]] + ROUND( MIN(gt_bonus*TblConstr[[#This Row],[Tot GT]]/TblConstr[[#This Row],[Land]],gt_bonus_cap), 4) + IF(TblMagic[[#This Row],[Active Howling]]&gt;0,howling_dp_bonus,IF(TblMagic[[#This Row],[Active Ares Call]]&gt;0,ares_call_bonus))</f>
        <v>0</v>
      </c>
      <c r="V27" s="263">
        <f ca="1">TblMili[[#This Row],[Non Draft]] * (1 + TblMili[[#This Row],[Mods_Def]])</f>
        <v>450</v>
      </c>
      <c r="W27" s="261">
        <f ca="1">TblMili[[#This Row],[Draft]] * (1 + TblMili[[#This Row],[Mods_Def]])</f>
        <v>914</v>
      </c>
      <c r="X27" s="261">
        <f ca="1">TblConstr[[#This Row],[Land]]</f>
        <v>250</v>
      </c>
      <c r="Y27" s="264"/>
      <c r="Z27" s="269">
        <f ca="1">IF(TblMili[[#This Row],[Set]]&lt;&gt;"",TblMili[[#This Row],[Set]],OFFSET(TblMili[[#This Row],[Draftrate]],-1,0))</f>
        <v>0.35</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6"/>
      <c r="AC27" s="182">
        <f ca="1">(TblConstr[[#This Row],[Tot Smi]]+TblConstr[[#This Row],[Dest Smi]])/(TblConstr[[#This Row],[Land]]-TblExplore[[#This Row],[Land Bonus]]*20)</f>
        <v>0</v>
      </c>
      <c r="AD27" s="139"/>
      <c r="AE27" s="260">
        <f>TblMili[[#This Row],[Hour]]</f>
        <v>24</v>
      </c>
      <c r="AF27" s="140">
        <f ca="1">TblExplore[[#This Row],[Time]]</f>
        <v>45732.958333333278</v>
      </c>
      <c r="AG27" s="181"/>
      <c r="AH27" s="181"/>
      <c r="AI27" s="181"/>
      <c r="AJ27" s="181"/>
      <c r="AK27" s="181"/>
      <c r="AL27" s="181"/>
      <c r="AM27" s="181"/>
      <c r="AN27" s="181"/>
      <c r="AO27" s="448">
        <f ca="1">ROUND(IF(AND(TblMagic[[#This Row],[Active DnD]]&lt;12,TblMagic[[#This Row],[Active DnD]]&gt;5),OFFSET(TblPop[[#This Row],[Draft Growth]],-1,0)*0.375,0),0)</f>
        <v>0</v>
      </c>
      <c r="AP27" s="144"/>
      <c r="AQ27" s="96">
        <f ca="1">TblProd[[#This Row],[Platinum]]</f>
        <v>245531</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45732.958333333278</v>
      </c>
      <c r="AW27" s="96">
        <f ca="1">TblMili[[#This Row],[Draftees]]</f>
        <v>464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0.44</v>
      </c>
      <c r="BX27" s="159">
        <f ca="1">TblMili[[#This Row],[WG''s]]</f>
        <v>0</v>
      </c>
      <c r="BY27" s="265">
        <f ca="1">IF(mystic_cap="none",TblMili[[#This Row],[Homeland%]]/mystic_bonus,MIN(mystic_cap,TblMili[[#This Row],[Homeland%]]/mystic_bonus))</f>
        <v>2</v>
      </c>
      <c r="BZ27" s="265">
        <f ca="1">IF(druid_op_cap="none",TblMili[[#This Row],[Homeland%]]/druid_op_bonus,MIN(druid_op_cap,TblMili[[#This Row],[Homeland%]]/druid_op_bonus))</f>
        <v>2</v>
      </c>
      <c r="CA27" s="265">
        <f ca="1">IF(druid_dp_cap="none",TblMili[[#This Row],[Homeland%]]/druid_dp_bonus,MIN(druid_dp_cap,TblMili[[#This Row],[Homeland%]]/druid_dp_bonus))</f>
        <v>2</v>
      </c>
      <c r="CB27" s="265">
        <f ca="1">MIN(dryad_cap,TblMili[[#This Row],[Homeland%]]/dryad_bonus)</f>
        <v>2.1999999999999997</v>
      </c>
      <c r="CC27" s="265">
        <f ca="1">MIN(rocka_cap,TblMili[[#This Row],[Homeland%]]/rocka_bonus)</f>
        <v>2</v>
      </c>
      <c r="CD27" s="265">
        <f ca="1">MIN(adept_op_cap,TblMili[[#This Row],[WG]]/adept_op_bonus)</f>
        <v>0</v>
      </c>
      <c r="CE27" s="265">
        <f ca="1">MIN(adept_dp_cap,TblMili[[#This Row],[WG]]/adept_dp_bonus)</f>
        <v>0</v>
      </c>
      <c r="CF27" s="96">
        <f ca="1">MIN(TblMili[[#This Row],[Unit 3]],TblMili[[#This Row],[Unit 2]])*2</f>
        <v>0</v>
      </c>
      <c r="CG27" s="96">
        <f ca="1">MIN(TblMili[[#This Row],[Unit 1]],TblMili[[#This Row],[Unit 4]])*2</f>
        <v>0</v>
      </c>
      <c r="CH27" s="265">
        <f ca="1">MIN(frost_mage_cap,TblMili[[#This Row],[Homeland%]]/frost_mage_bonus)</f>
        <v>2.1999999999999997</v>
      </c>
      <c r="CI27" s="45">
        <f ca="1">MIN(ice_elem_cap,TblMili[[#This Row],[Raw (2)]]*ice_elem_bonus)</f>
        <v>0.1</v>
      </c>
      <c r="CJ27" s="265">
        <f t="shared" si="0"/>
        <v>0.83333333333333337</v>
      </c>
      <c r="CK27" s="265">
        <f ca="1">MIN(nox_nightshade_cap,TblConstr[[#This Row],[Homeland]]/TblConstr[[#This Row],[Land]]/nox_nightshade_swamp_bonus)</f>
        <v>4</v>
      </c>
      <c r="CL27" s="265">
        <f ca="1">MIN(TblConstr[[#This Row],[Tot Tow]]/TblConstr[[#This Row],[Land]]/abyss_enforce_bonus,abyss_enforcer_cap)</f>
        <v>0</v>
      </c>
      <c r="CM27" s="265">
        <f ca="1">IF(TblMagic[[#This Row],[Active Demonic Pact]]&gt;0,MIN(TblMili[[#This Row],[Unit 1]],TblMili[[#This Row],[Unit 4]])*demonic_pact_oppair,0)</f>
        <v>0</v>
      </c>
      <c r="CN27" s="266"/>
      <c r="CO27" s="266"/>
      <c r="CP27" s="266"/>
      <c r="CQ27" s="265">
        <f ca="1">MIN(6,TblMili[[#This Row],[Mystic]]+Races!$F$19)*1.8 +  IF(TblMili[[#This Row],[Mystic]]+Races!$F$19&gt;6,(TblMili[[#This Row],[Mystic]]+Races!$F$19-6)*0.2,0) - Races!$I$19</f>
        <v>1</v>
      </c>
      <c r="CR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-0.64000000000000057</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4.7099999999999991</v>
      </c>
      <c r="DA27" s="157">
        <f ca="1">1.8 * MIN(MAX(TblMili[[#This Row],[Ice Elemental]]+Races!$E$71,Races!$F$71),6)  +  0.45 * MIN(MIN(TblMili[[#This Row],[Ice Elemental]]+Races!$E$71,Races!$F$71),6)  +  0.2 * ( MAX(TblMili[[#This Row],[Ice Elemental]]+Races!$E$71-6,0) + MAX(Races!$F$71-6,0) )  -  Races!$I$71</f>
        <v>0.92999999999999972</v>
      </c>
      <c r="DB27" s="96">
        <f ca="1">TblMili[[#This Row],[Frost Mage bonus]]*TblMili[[#This Row],[Unit 3]]+TblMili[[#This Row],[Ice Elemental bonus]]*TblMili[[#This Row],[Unit 4]]</f>
        <v>0</v>
      </c>
      <c r="DC27" s="267"/>
      <c r="DD27" s="145">
        <f ca="1">MIN(SUM(TblConstr[[#This Row],[Plain]:[Water]])/TblMili[[#This Row],[Land]]/favorable_terrain_bonus/100,favorable_terrain_max)</f>
        <v>0.1</v>
      </c>
      <c r="DE27" s="267"/>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7" s="144"/>
      <c r="DH27" s="268">
        <f ca="1">(TblMili[[#This Row],[Wizards]]+2*TblMili[[#This Row],[Archmages]])/TblConstr[[#This Row],[Land]]</f>
        <v>0.1</v>
      </c>
      <c r="DI27" s="268">
        <f ca="1">TblMili[[#This Row],[Raw (2)]]*(1+race_wizard_strength+IF(TblMili[[#This Row],[Hour]]&gt;72,tech_magical_weaponry_wiz*TblTech[[#This Row],[3-5]],0))</f>
        <v>0.1</v>
      </c>
    </row>
    <row r="28" spans="1:113" x14ac:dyDescent="0.2">
      <c r="A28" s="139">
        <f>TblRezone[[#This Row],[Hour]]</f>
        <v>25</v>
      </c>
      <c r="B28" s="260">
        <f ca="1">SUM(TblMili[[#This Row],[Unit 1]:[Archmages]])+SUM(OFFSET(TblMili[[#This Row],[Train Unit 1]],-8,0):TblMili[[#This Row],[Train Unit 2]]) + SUM(OFFSET(TblMili[[#This Row],[Train Unit 3]],-11,0):TblMili[[#This Row],[Train AM]]) + TblMili[[#This Row],[Draftees]]</f>
        <v>681</v>
      </c>
      <c r="C28" s="159">
        <f ca="1">TblPop[[#This Row],[Military%]]</f>
        <v>0.28880407124681934</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4"/>
      <c r="N28" s="96">
        <f ca="1">TblProd[[#This Row],[Networth]]</f>
        <v>6450</v>
      </c>
      <c r="O28" s="144"/>
      <c r="P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1">
        <f ca="1">TblMili[[#This Row],[Raw]]*(1+TblMili[[#This Row],[Mods_Off]])</f>
        <v>0</v>
      </c>
      <c r="S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8" s="261">
        <f ca="1">TblMili[[#This Row],[Non Draft]]+TblMili[[#This Row],[Draftees]]</f>
        <v>931</v>
      </c>
      <c r="U28" s="262">
        <f ca="1">race_defense + TblImps[[#This Row],[Walls]] + ROUND( MIN(gt_bonus*TblConstr[[#This Row],[Tot GT]]/TblConstr[[#This Row],[Land]],gt_bonus_cap), 4) + IF(TblMagic[[#This Row],[Active Howling]]&gt;0,howling_dp_bonus,IF(TblMagic[[#This Row],[Active Ares Call]]&gt;0,ares_call_bonus))</f>
        <v>0</v>
      </c>
      <c r="V28" s="263">
        <f ca="1">TblMili[[#This Row],[Non Draft]] * (1 + TblMili[[#This Row],[Mods_Def]])</f>
        <v>450</v>
      </c>
      <c r="W28" s="261">
        <f ca="1">TblMili[[#This Row],[Draft]] * (1 + TblMili[[#This Row],[Mods_Def]])</f>
        <v>931</v>
      </c>
      <c r="X28" s="261">
        <f ca="1">TblConstr[[#This Row],[Land]]</f>
        <v>250</v>
      </c>
      <c r="Y28" s="264"/>
      <c r="Z28" s="269">
        <f ca="1">IF(TblMili[[#This Row],[Set]]&lt;&gt;"",TblMili[[#This Row],[Set]],OFFSET(TblMili[[#This Row],[Draftrate]],-1,0))</f>
        <v>0.35</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6"/>
      <c r="AC28" s="182">
        <f ca="1">(TblConstr[[#This Row],[Tot Smi]]+TblConstr[[#This Row],[Dest Smi]])/(TblConstr[[#This Row],[Land]]-TblExplore[[#This Row],[Land Bonus]]*20)</f>
        <v>0</v>
      </c>
      <c r="AD28" s="139"/>
      <c r="AE28" s="260">
        <f>TblMili[[#This Row],[Hour]]</f>
        <v>25</v>
      </c>
      <c r="AF28" s="140">
        <f ca="1">TblExplore[[#This Row],[Time]]</f>
        <v>45732.999999999942</v>
      </c>
      <c r="AG28" s="181"/>
      <c r="AH28" s="181"/>
      <c r="AI28" s="181"/>
      <c r="AJ28" s="181"/>
      <c r="AK28" s="181"/>
      <c r="AL28" s="181"/>
      <c r="AM28" s="181"/>
      <c r="AN28" s="181"/>
      <c r="AO28" s="448">
        <f ca="1">ROUND(IF(AND(TblMagic[[#This Row],[Active DnD]]&lt;12,TblMagic[[#This Row],[Active DnD]]&gt;5),OFFSET(TblPop[[#This Row],[Draft Growth]],-1,0)*0.375,0),0)</f>
        <v>0</v>
      </c>
      <c r="AP28" s="144"/>
      <c r="AQ28" s="96">
        <f ca="1">TblProd[[#This Row],[Platinum]]</f>
        <v>251201</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45732.999999999942</v>
      </c>
      <c r="AW28" s="96">
        <f ca="1">TblMili[[#This Row],[Draftees]]</f>
        <v>481</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0.44</v>
      </c>
      <c r="BX28" s="159">
        <f ca="1">TblMili[[#This Row],[WG''s]]</f>
        <v>0</v>
      </c>
      <c r="BY28" s="265">
        <f ca="1">IF(mystic_cap="none",TblMili[[#This Row],[Homeland%]]/mystic_bonus,MIN(mystic_cap,TblMili[[#This Row],[Homeland%]]/mystic_bonus))</f>
        <v>2</v>
      </c>
      <c r="BZ28" s="265">
        <f ca="1">IF(druid_op_cap="none",TblMili[[#This Row],[Homeland%]]/druid_op_bonus,MIN(druid_op_cap,TblMili[[#This Row],[Homeland%]]/druid_op_bonus))</f>
        <v>2</v>
      </c>
      <c r="CA28" s="265">
        <f ca="1">IF(druid_dp_cap="none",TblMili[[#This Row],[Homeland%]]/druid_dp_bonus,MIN(druid_dp_cap,TblMili[[#This Row],[Homeland%]]/druid_dp_bonus))</f>
        <v>2</v>
      </c>
      <c r="CB28" s="265">
        <f ca="1">MIN(dryad_cap,TblMili[[#This Row],[Homeland%]]/dryad_bonus)</f>
        <v>2.1999999999999997</v>
      </c>
      <c r="CC28" s="265">
        <f ca="1">MIN(rocka_cap,TblMili[[#This Row],[Homeland%]]/rocka_bonus)</f>
        <v>2</v>
      </c>
      <c r="CD28" s="265">
        <f ca="1">MIN(adept_op_cap,TblMili[[#This Row],[WG]]/adept_op_bonus)</f>
        <v>0</v>
      </c>
      <c r="CE28" s="265">
        <f ca="1">MIN(adept_dp_cap,TblMili[[#This Row],[WG]]/adept_dp_bonus)</f>
        <v>0</v>
      </c>
      <c r="CF28" s="96">
        <f ca="1">MIN(TblMili[[#This Row],[Unit 3]],TblMili[[#This Row],[Unit 2]])*2</f>
        <v>0</v>
      </c>
      <c r="CG28" s="96">
        <f ca="1">MIN(TblMili[[#This Row],[Unit 1]],TblMili[[#This Row],[Unit 4]])*2</f>
        <v>0</v>
      </c>
      <c r="CH28" s="265">
        <f ca="1">MIN(frost_mage_cap,TblMili[[#This Row],[Homeland%]]/frost_mage_bonus)</f>
        <v>2.1999999999999997</v>
      </c>
      <c r="CI28" s="45">
        <f ca="1">MIN(ice_elem_cap,TblMili[[#This Row],[Raw (2)]]*ice_elem_bonus)</f>
        <v>0.1</v>
      </c>
      <c r="CJ28" s="265">
        <f t="shared" si="0"/>
        <v>0.83333333333333337</v>
      </c>
      <c r="CK28" s="265">
        <f ca="1">MIN(nox_nightshade_cap,TblConstr[[#This Row],[Homeland]]/TblConstr[[#This Row],[Land]]/nox_nightshade_swamp_bonus)</f>
        <v>4</v>
      </c>
      <c r="CL28" s="265">
        <f ca="1">MIN(TblConstr[[#This Row],[Tot Tow]]/TblConstr[[#This Row],[Land]]/abyss_enforce_bonus,abyss_enforcer_cap)</f>
        <v>0</v>
      </c>
      <c r="CM28" s="265">
        <f ca="1">IF(TblMagic[[#This Row],[Active Demonic Pact]]&gt;0,MIN(TblMili[[#This Row],[Unit 1]],TblMili[[#This Row],[Unit 4]])*demonic_pact_oppair,0)</f>
        <v>0</v>
      </c>
      <c r="CN28" s="266"/>
      <c r="CO28" s="266"/>
      <c r="CP28" s="266"/>
      <c r="CQ28" s="265">
        <f ca="1">MIN(6,TblMili[[#This Row],[Mystic]]+Races!$F$19)*1.8 +  IF(TblMili[[#This Row],[Mystic]]+Races!$F$19&gt;6,(TblMili[[#This Row],[Mystic]]+Races!$F$19-6)*0.2,0) - Races!$I$19</f>
        <v>1</v>
      </c>
      <c r="CR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-0.64000000000000057</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4.7099999999999991</v>
      </c>
      <c r="DA28" s="157">
        <f ca="1">1.8 * MIN(MAX(TblMili[[#This Row],[Ice Elemental]]+Races!$E$71,Races!$F$71),6)  +  0.45 * MIN(MIN(TblMili[[#This Row],[Ice Elemental]]+Races!$E$71,Races!$F$71),6)  +  0.2 * ( MAX(TblMili[[#This Row],[Ice Elemental]]+Races!$E$71-6,0) + MAX(Races!$F$71-6,0) )  -  Races!$I$71</f>
        <v>0.92999999999999972</v>
      </c>
      <c r="DB28" s="96">
        <f ca="1">TblMili[[#This Row],[Frost Mage bonus]]*TblMili[[#This Row],[Unit 3]]+TblMili[[#This Row],[Ice Elemental bonus]]*TblMili[[#This Row],[Unit 4]]</f>
        <v>0</v>
      </c>
      <c r="DC28" s="267"/>
      <c r="DD28" s="145">
        <f ca="1">MIN(SUM(TblConstr[[#This Row],[Plain]:[Water]])/TblMili[[#This Row],[Land]]/favorable_terrain_bonus/100,favorable_terrain_max)</f>
        <v>0.1</v>
      </c>
      <c r="DE28" s="267"/>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8" s="144"/>
      <c r="DH28" s="268">
        <f ca="1">(TblMili[[#This Row],[Wizards]]+2*TblMili[[#This Row],[Archmages]])/TblConstr[[#This Row],[Land]]</f>
        <v>0.1</v>
      </c>
      <c r="DI28" s="268">
        <f ca="1">TblMili[[#This Row],[Raw (2)]]*(1+race_wizard_strength+IF(TblMili[[#This Row],[Hour]]&gt;72,tech_magical_weaponry_wiz*TblTech[[#This Row],[3-5]],0))</f>
        <v>0.1</v>
      </c>
    </row>
    <row r="29" spans="1:113" x14ac:dyDescent="0.2">
      <c r="A29" s="139">
        <f>TblRezone[[#This Row],[Hour]]</f>
        <v>26</v>
      </c>
      <c r="B29" s="260">
        <f ca="1">SUM(TblMili[[#This Row],[Unit 1]:[Archmages]])+SUM(OFFSET(TblMili[[#This Row],[Train Unit 1]],-8,0):TblMili[[#This Row],[Train Unit 2]]) + SUM(OFFSET(TblMili[[#This Row],[Train Unit 3]],-11,0):TblMili[[#This Row],[Train AM]]) + TblMili[[#This Row],[Draftees]]</f>
        <v>698</v>
      </c>
      <c r="C29" s="159">
        <f ca="1">TblPop[[#This Row],[Military%]]</f>
        <v>0.29601357082273111</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4"/>
      <c r="N29" s="96">
        <f ca="1">TblProd[[#This Row],[Networth]]</f>
        <v>6450</v>
      </c>
      <c r="O29" s="144"/>
      <c r="P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1">
        <f ca="1">TblMili[[#This Row],[Raw]]*(1+TblMili[[#This Row],[Mods_Off]])</f>
        <v>0</v>
      </c>
      <c r="S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9" s="261">
        <f ca="1">TblMili[[#This Row],[Non Draft]]+TblMili[[#This Row],[Draftees]]</f>
        <v>948</v>
      </c>
      <c r="U29" s="262">
        <f ca="1">race_defense + TblImps[[#This Row],[Walls]] + ROUND( MIN(gt_bonus*TblConstr[[#This Row],[Tot GT]]/TblConstr[[#This Row],[Land]],gt_bonus_cap), 4) + IF(TblMagic[[#This Row],[Active Howling]]&gt;0,howling_dp_bonus,IF(TblMagic[[#This Row],[Active Ares Call]]&gt;0,ares_call_bonus))</f>
        <v>0</v>
      </c>
      <c r="V29" s="263">
        <f ca="1">TblMili[[#This Row],[Non Draft]] * (1 + TblMili[[#This Row],[Mods_Def]])</f>
        <v>450</v>
      </c>
      <c r="W29" s="261">
        <f ca="1">TblMili[[#This Row],[Draft]] * (1 + TblMili[[#This Row],[Mods_Def]])</f>
        <v>948</v>
      </c>
      <c r="X29" s="261">
        <f ca="1">TblConstr[[#This Row],[Land]]</f>
        <v>250</v>
      </c>
      <c r="Y29" s="264"/>
      <c r="Z29" s="269">
        <f ca="1">IF(TblMili[[#This Row],[Set]]&lt;&gt;"",TblMili[[#This Row],[Set]],OFFSET(TblMili[[#This Row],[Draftrate]],-1,0))</f>
        <v>0.35</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6"/>
      <c r="AC29" s="182">
        <f ca="1">(TblConstr[[#This Row],[Tot Smi]]+TblConstr[[#This Row],[Dest Smi]])/(TblConstr[[#This Row],[Land]]-TblExplore[[#This Row],[Land Bonus]]*20)</f>
        <v>0</v>
      </c>
      <c r="AD29" s="139"/>
      <c r="AE29" s="260">
        <f>TblMili[[#This Row],[Hour]]</f>
        <v>26</v>
      </c>
      <c r="AF29" s="140">
        <f ca="1">TblExplore[[#This Row],[Time]]</f>
        <v>45733.041666666606</v>
      </c>
      <c r="AG29" s="181"/>
      <c r="AH29" s="181"/>
      <c r="AI29" s="181"/>
      <c r="AJ29" s="181"/>
      <c r="AK29" s="181"/>
      <c r="AL29" s="181"/>
      <c r="AM29" s="181"/>
      <c r="AN29" s="181"/>
      <c r="AO29" s="448">
        <f ca="1">ROUND(IF(AND(TblMagic[[#This Row],[Active DnD]]&lt;12,TblMagic[[#This Row],[Active DnD]]&gt;5),OFFSET(TblPop[[#This Row],[Draft Growth]],-1,0)*0.375,0),0)</f>
        <v>0</v>
      </c>
      <c r="AP29" s="144"/>
      <c r="AQ29" s="96">
        <f ca="1">TblProd[[#This Row],[Platinum]]</f>
        <v>256871</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45733.041666666606</v>
      </c>
      <c r="AW29" s="96">
        <f ca="1">TblMili[[#This Row],[Draftees]]</f>
        <v>498</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0.44</v>
      </c>
      <c r="BX29" s="159">
        <f ca="1">TblMili[[#This Row],[WG''s]]</f>
        <v>0</v>
      </c>
      <c r="BY29" s="265">
        <f ca="1">IF(mystic_cap="none",TblMili[[#This Row],[Homeland%]]/mystic_bonus,MIN(mystic_cap,TblMili[[#This Row],[Homeland%]]/mystic_bonus))</f>
        <v>2</v>
      </c>
      <c r="BZ29" s="265">
        <f ca="1">IF(druid_op_cap="none",TblMili[[#This Row],[Homeland%]]/druid_op_bonus,MIN(druid_op_cap,TblMili[[#This Row],[Homeland%]]/druid_op_bonus))</f>
        <v>2</v>
      </c>
      <c r="CA29" s="265">
        <f ca="1">IF(druid_dp_cap="none",TblMili[[#This Row],[Homeland%]]/druid_dp_bonus,MIN(druid_dp_cap,TblMili[[#This Row],[Homeland%]]/druid_dp_bonus))</f>
        <v>2</v>
      </c>
      <c r="CB29" s="265">
        <f ca="1">MIN(dryad_cap,TblMili[[#This Row],[Homeland%]]/dryad_bonus)</f>
        <v>2.1999999999999997</v>
      </c>
      <c r="CC29" s="265">
        <f ca="1">MIN(rocka_cap,TblMili[[#This Row],[Homeland%]]/rocka_bonus)</f>
        <v>2</v>
      </c>
      <c r="CD29" s="265">
        <f ca="1">MIN(adept_op_cap,TblMili[[#This Row],[WG]]/adept_op_bonus)</f>
        <v>0</v>
      </c>
      <c r="CE29" s="265">
        <f ca="1">MIN(adept_dp_cap,TblMili[[#This Row],[WG]]/adept_dp_bonus)</f>
        <v>0</v>
      </c>
      <c r="CF29" s="96">
        <f ca="1">MIN(TblMili[[#This Row],[Unit 3]],TblMili[[#This Row],[Unit 2]])*2</f>
        <v>0</v>
      </c>
      <c r="CG29" s="96">
        <f ca="1">MIN(TblMili[[#This Row],[Unit 1]],TblMili[[#This Row],[Unit 4]])*2</f>
        <v>0</v>
      </c>
      <c r="CH29" s="265">
        <f ca="1">MIN(frost_mage_cap,TblMili[[#This Row],[Homeland%]]/frost_mage_bonus)</f>
        <v>2.1999999999999997</v>
      </c>
      <c r="CI29" s="45">
        <f ca="1">MIN(ice_elem_cap,TblMili[[#This Row],[Raw (2)]]*ice_elem_bonus)</f>
        <v>0.1</v>
      </c>
      <c r="CJ29" s="265">
        <f t="shared" si="0"/>
        <v>0.83333333333333337</v>
      </c>
      <c r="CK29" s="265">
        <f ca="1">MIN(nox_nightshade_cap,TblConstr[[#This Row],[Homeland]]/TblConstr[[#This Row],[Land]]/nox_nightshade_swamp_bonus)</f>
        <v>4</v>
      </c>
      <c r="CL29" s="265">
        <f ca="1">MIN(TblConstr[[#This Row],[Tot Tow]]/TblConstr[[#This Row],[Land]]/abyss_enforce_bonus,abyss_enforcer_cap)</f>
        <v>0</v>
      </c>
      <c r="CM29" s="265">
        <f ca="1">IF(TblMagic[[#This Row],[Active Demonic Pact]]&gt;0,MIN(TblMili[[#This Row],[Unit 1]],TblMili[[#This Row],[Unit 4]])*demonic_pact_oppair,0)</f>
        <v>0</v>
      </c>
      <c r="CN29" s="266"/>
      <c r="CO29" s="266"/>
      <c r="CP29" s="266"/>
      <c r="CQ29" s="265">
        <f ca="1">MIN(6,TblMili[[#This Row],[Mystic]]+Races!$F$19)*1.8 +  IF(TblMili[[#This Row],[Mystic]]+Races!$F$19&gt;6,(TblMili[[#This Row],[Mystic]]+Races!$F$19-6)*0.2,0) - Races!$I$19</f>
        <v>1</v>
      </c>
      <c r="CR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-0.64000000000000057</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4.7099999999999991</v>
      </c>
      <c r="DA29" s="157">
        <f ca="1">1.8 * MIN(MAX(TblMili[[#This Row],[Ice Elemental]]+Races!$E$71,Races!$F$71),6)  +  0.45 * MIN(MIN(TblMili[[#This Row],[Ice Elemental]]+Races!$E$71,Races!$F$71),6)  +  0.2 * ( MAX(TblMili[[#This Row],[Ice Elemental]]+Races!$E$71-6,0) + MAX(Races!$F$71-6,0) )  -  Races!$I$71</f>
        <v>0.92999999999999972</v>
      </c>
      <c r="DB29" s="96">
        <f ca="1">TblMili[[#This Row],[Frost Mage bonus]]*TblMili[[#This Row],[Unit 3]]+TblMili[[#This Row],[Ice Elemental bonus]]*TblMili[[#This Row],[Unit 4]]</f>
        <v>0</v>
      </c>
      <c r="DC29" s="267"/>
      <c r="DD29" s="145">
        <f ca="1">MIN(SUM(TblConstr[[#This Row],[Plain]:[Water]])/TblMili[[#This Row],[Land]]/favorable_terrain_bonus/100,favorable_terrain_max)</f>
        <v>0.1</v>
      </c>
      <c r="DE29" s="267"/>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9" s="144"/>
      <c r="DH29" s="268">
        <f ca="1">(TblMili[[#This Row],[Wizards]]+2*TblMili[[#This Row],[Archmages]])/TblConstr[[#This Row],[Land]]</f>
        <v>0.1</v>
      </c>
      <c r="DI29" s="268">
        <f ca="1">TblMili[[#This Row],[Raw (2)]]*(1+race_wizard_strength+IF(TblMili[[#This Row],[Hour]]&gt;72,tech_magical_weaponry_wiz*TblTech[[#This Row],[3-5]],0))</f>
        <v>0.1</v>
      </c>
    </row>
    <row r="30" spans="1:113" x14ac:dyDescent="0.2">
      <c r="A30" s="139">
        <f>TblRezone[[#This Row],[Hour]]</f>
        <v>27</v>
      </c>
      <c r="B30" s="260">
        <f ca="1">SUM(TblMili[[#This Row],[Unit 1]:[Archmages]])+SUM(OFFSET(TblMili[[#This Row],[Train Unit 1]],-8,0):TblMili[[#This Row],[Train Unit 2]]) + SUM(OFFSET(TblMili[[#This Row],[Train Unit 3]],-11,0):TblMili[[#This Row],[Train AM]]) + TblMili[[#This Row],[Draftees]]</f>
        <v>715</v>
      </c>
      <c r="C30" s="159">
        <f ca="1">TblPop[[#This Row],[Military%]]</f>
        <v>0.30322307039864294</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4"/>
      <c r="N30" s="96">
        <f ca="1">TblProd[[#This Row],[Networth]]</f>
        <v>6450</v>
      </c>
      <c r="O30" s="144"/>
      <c r="P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1">
        <f ca="1">TblMili[[#This Row],[Raw]]*(1+TblMili[[#This Row],[Mods_Off]])</f>
        <v>0</v>
      </c>
      <c r="S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0" s="261">
        <f ca="1">TblMili[[#This Row],[Non Draft]]+TblMili[[#This Row],[Draftees]]</f>
        <v>965</v>
      </c>
      <c r="U30" s="262">
        <f ca="1">race_defense + TblImps[[#This Row],[Walls]] + ROUND( MIN(gt_bonus*TblConstr[[#This Row],[Tot GT]]/TblConstr[[#This Row],[Land]],gt_bonus_cap), 4) + IF(TblMagic[[#This Row],[Active Howling]]&gt;0,howling_dp_bonus,IF(TblMagic[[#This Row],[Active Ares Call]]&gt;0,ares_call_bonus))</f>
        <v>0</v>
      </c>
      <c r="V30" s="263">
        <f ca="1">TblMili[[#This Row],[Non Draft]] * (1 + TblMili[[#This Row],[Mods_Def]])</f>
        <v>450</v>
      </c>
      <c r="W30" s="261">
        <f ca="1">TblMili[[#This Row],[Draft]] * (1 + TblMili[[#This Row],[Mods_Def]])</f>
        <v>965</v>
      </c>
      <c r="X30" s="261">
        <f ca="1">TblConstr[[#This Row],[Land]]</f>
        <v>250</v>
      </c>
      <c r="Y30" s="264"/>
      <c r="Z30" s="269">
        <f ca="1">IF(TblMili[[#This Row],[Set]]&lt;&gt;"",TblMili[[#This Row],[Set]],OFFSET(TblMili[[#This Row],[Draftrate]],-1,0))</f>
        <v>0.35</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6"/>
      <c r="AC30" s="182">
        <f ca="1">(TblConstr[[#This Row],[Tot Smi]]+TblConstr[[#This Row],[Dest Smi]])/(TblConstr[[#This Row],[Land]]-TblExplore[[#This Row],[Land Bonus]]*20)</f>
        <v>0</v>
      </c>
      <c r="AD30" s="139"/>
      <c r="AE30" s="260">
        <f>TblMili[[#This Row],[Hour]]</f>
        <v>27</v>
      </c>
      <c r="AF30" s="140">
        <f ca="1">TblExplore[[#This Row],[Time]]</f>
        <v>45733.08333333327</v>
      </c>
      <c r="AG30" s="181"/>
      <c r="AH30" s="181"/>
      <c r="AI30" s="181"/>
      <c r="AJ30" s="181"/>
      <c r="AK30" s="181"/>
      <c r="AL30" s="181"/>
      <c r="AM30" s="181"/>
      <c r="AN30" s="181"/>
      <c r="AO30" s="448">
        <f ca="1">ROUND(IF(AND(TblMagic[[#This Row],[Active DnD]]&lt;12,TblMagic[[#This Row],[Active DnD]]&gt;5),OFFSET(TblPop[[#This Row],[Draft Growth]],-1,0)*0.375,0),0)</f>
        <v>0</v>
      </c>
      <c r="AP30" s="144"/>
      <c r="AQ30" s="96">
        <f ca="1">TblProd[[#This Row],[Platinum]]</f>
        <v>262541</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45733.08333333327</v>
      </c>
      <c r="AW30" s="96">
        <f ca="1">TblMili[[#This Row],[Draftees]]</f>
        <v>515</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0.44</v>
      </c>
      <c r="BX30" s="159">
        <f ca="1">TblMili[[#This Row],[WG''s]]</f>
        <v>0</v>
      </c>
      <c r="BY30" s="265">
        <f ca="1">IF(mystic_cap="none",TblMili[[#This Row],[Homeland%]]/mystic_bonus,MIN(mystic_cap,TblMili[[#This Row],[Homeland%]]/mystic_bonus))</f>
        <v>2</v>
      </c>
      <c r="BZ30" s="265">
        <f ca="1">IF(druid_op_cap="none",TblMili[[#This Row],[Homeland%]]/druid_op_bonus,MIN(druid_op_cap,TblMili[[#This Row],[Homeland%]]/druid_op_bonus))</f>
        <v>2</v>
      </c>
      <c r="CA30" s="265">
        <f ca="1">IF(druid_dp_cap="none",TblMili[[#This Row],[Homeland%]]/druid_dp_bonus,MIN(druid_dp_cap,TblMili[[#This Row],[Homeland%]]/druid_dp_bonus))</f>
        <v>2</v>
      </c>
      <c r="CB30" s="265">
        <f ca="1">MIN(dryad_cap,TblMili[[#This Row],[Homeland%]]/dryad_bonus)</f>
        <v>2.1999999999999997</v>
      </c>
      <c r="CC30" s="265">
        <f ca="1">MIN(rocka_cap,TblMili[[#This Row],[Homeland%]]/rocka_bonus)</f>
        <v>2</v>
      </c>
      <c r="CD30" s="265">
        <f ca="1">MIN(adept_op_cap,TblMili[[#This Row],[WG]]/adept_op_bonus)</f>
        <v>0</v>
      </c>
      <c r="CE30" s="265">
        <f ca="1">MIN(adept_dp_cap,TblMili[[#This Row],[WG]]/adept_dp_bonus)</f>
        <v>0</v>
      </c>
      <c r="CF30" s="96">
        <f ca="1">MIN(TblMili[[#This Row],[Unit 3]],TblMili[[#This Row],[Unit 2]])*2</f>
        <v>0</v>
      </c>
      <c r="CG30" s="96">
        <f ca="1">MIN(TblMili[[#This Row],[Unit 1]],TblMili[[#This Row],[Unit 4]])*2</f>
        <v>0</v>
      </c>
      <c r="CH30" s="265">
        <f ca="1">MIN(frost_mage_cap,TblMili[[#This Row],[Homeland%]]/frost_mage_bonus)</f>
        <v>2.1999999999999997</v>
      </c>
      <c r="CI30" s="45">
        <f ca="1">MIN(ice_elem_cap,TblMili[[#This Row],[Raw (2)]]*ice_elem_bonus)</f>
        <v>0.1</v>
      </c>
      <c r="CJ30" s="265">
        <f t="shared" si="0"/>
        <v>0.83333333333333337</v>
      </c>
      <c r="CK30" s="265">
        <f ca="1">MIN(nox_nightshade_cap,TblConstr[[#This Row],[Homeland]]/TblConstr[[#This Row],[Land]]/nox_nightshade_swamp_bonus)</f>
        <v>4</v>
      </c>
      <c r="CL30" s="265">
        <f ca="1">MIN(TblConstr[[#This Row],[Tot Tow]]/TblConstr[[#This Row],[Land]]/abyss_enforce_bonus,abyss_enforcer_cap)</f>
        <v>0</v>
      </c>
      <c r="CM30" s="265">
        <f ca="1">IF(TblMagic[[#This Row],[Active Demonic Pact]]&gt;0,MIN(TblMili[[#This Row],[Unit 1]],TblMili[[#This Row],[Unit 4]])*demonic_pact_oppair,0)</f>
        <v>0</v>
      </c>
      <c r="CN30" s="266"/>
      <c r="CO30" s="266"/>
      <c r="CP30" s="266"/>
      <c r="CQ30" s="265">
        <f ca="1">MIN(6,TblMili[[#This Row],[Mystic]]+Races!$F$19)*1.8 +  IF(TblMili[[#This Row],[Mystic]]+Races!$F$19&gt;6,(TblMili[[#This Row],[Mystic]]+Races!$F$19-6)*0.2,0) - Races!$I$19</f>
        <v>1</v>
      </c>
      <c r="CR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-0.64000000000000057</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4.7099999999999991</v>
      </c>
      <c r="DA30" s="157">
        <f ca="1">1.8 * MIN(MAX(TblMili[[#This Row],[Ice Elemental]]+Races!$E$71,Races!$F$71),6)  +  0.45 * MIN(MIN(TblMili[[#This Row],[Ice Elemental]]+Races!$E$71,Races!$F$71),6)  +  0.2 * ( MAX(TblMili[[#This Row],[Ice Elemental]]+Races!$E$71-6,0) + MAX(Races!$F$71-6,0) )  -  Races!$I$71</f>
        <v>0.92999999999999972</v>
      </c>
      <c r="DB30" s="96">
        <f ca="1">TblMili[[#This Row],[Frost Mage bonus]]*TblMili[[#This Row],[Unit 3]]+TblMili[[#This Row],[Ice Elemental bonus]]*TblMili[[#This Row],[Unit 4]]</f>
        <v>0</v>
      </c>
      <c r="DC30" s="267"/>
      <c r="DD30" s="145">
        <f ca="1">MIN(SUM(TblConstr[[#This Row],[Plain]:[Water]])/TblMili[[#This Row],[Land]]/favorable_terrain_bonus/100,favorable_terrain_max)</f>
        <v>0.1</v>
      </c>
      <c r="DE30" s="267"/>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0" s="144"/>
      <c r="DH30" s="268">
        <f ca="1">(TblMili[[#This Row],[Wizards]]+2*TblMili[[#This Row],[Archmages]])/TblConstr[[#This Row],[Land]]</f>
        <v>0.1</v>
      </c>
      <c r="DI30" s="268">
        <f ca="1">TblMili[[#This Row],[Raw (2)]]*(1+race_wizard_strength+IF(TblMili[[#This Row],[Hour]]&gt;72,tech_magical_weaponry_wiz*TblTech[[#This Row],[3-5]],0))</f>
        <v>0.1</v>
      </c>
    </row>
    <row r="31" spans="1:113" x14ac:dyDescent="0.2">
      <c r="A31" s="139">
        <f>TblRezone[[#This Row],[Hour]]</f>
        <v>28</v>
      </c>
      <c r="B31" s="260">
        <f ca="1">SUM(TblMili[[#This Row],[Unit 1]:[Archmages]])+SUM(OFFSET(TblMili[[#This Row],[Train Unit 1]],-8,0):TblMili[[#This Row],[Train Unit 2]]) + SUM(OFFSET(TblMili[[#This Row],[Train Unit 3]],-11,0):TblMili[[#This Row],[Train AM]]) + TblMili[[#This Row],[Draftees]]</f>
        <v>731</v>
      </c>
      <c r="C31" s="159">
        <f ca="1">TblPop[[#This Row],[Military%]]</f>
        <v>0.31000848176420698</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4"/>
      <c r="N31" s="96">
        <f ca="1">TblProd[[#This Row],[Networth]]</f>
        <v>6450</v>
      </c>
      <c r="O31" s="144"/>
      <c r="P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1">
        <f ca="1">TblMili[[#This Row],[Raw]]*(1+TblMili[[#This Row],[Mods_Off]])</f>
        <v>0</v>
      </c>
      <c r="S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1" s="261">
        <f ca="1">TblMili[[#This Row],[Non Draft]]+TblMili[[#This Row],[Draftees]]</f>
        <v>981</v>
      </c>
      <c r="U31" s="262">
        <f ca="1">race_defense + TblImps[[#This Row],[Walls]] + ROUND( MIN(gt_bonus*TblConstr[[#This Row],[Tot GT]]/TblConstr[[#This Row],[Land]],gt_bonus_cap), 4) + IF(TblMagic[[#This Row],[Active Howling]]&gt;0,howling_dp_bonus,IF(TblMagic[[#This Row],[Active Ares Call]]&gt;0,ares_call_bonus))</f>
        <v>0</v>
      </c>
      <c r="V31" s="263">
        <f ca="1">TblMili[[#This Row],[Non Draft]] * (1 + TblMili[[#This Row],[Mods_Def]])</f>
        <v>450</v>
      </c>
      <c r="W31" s="261">
        <f ca="1">TblMili[[#This Row],[Draft]] * (1 + TblMili[[#This Row],[Mods_Def]])</f>
        <v>981</v>
      </c>
      <c r="X31" s="261">
        <f ca="1">TblConstr[[#This Row],[Land]]</f>
        <v>250</v>
      </c>
      <c r="Y31" s="264"/>
      <c r="Z31" s="269">
        <f ca="1">IF(TblMili[[#This Row],[Set]]&lt;&gt;"",TblMili[[#This Row],[Set]],OFFSET(TblMili[[#This Row],[Draftrate]],-1,0))</f>
        <v>0.35</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6"/>
      <c r="AC31" s="182">
        <f ca="1">(TblConstr[[#This Row],[Tot Smi]]+TblConstr[[#This Row],[Dest Smi]])/(TblConstr[[#This Row],[Land]]-TblExplore[[#This Row],[Land Bonus]]*20)</f>
        <v>0</v>
      </c>
      <c r="AD31" s="139"/>
      <c r="AE31" s="260">
        <f>TblMili[[#This Row],[Hour]]</f>
        <v>28</v>
      </c>
      <c r="AF31" s="140">
        <f ca="1">TblExplore[[#This Row],[Time]]</f>
        <v>45733.124999999935</v>
      </c>
      <c r="AG31" s="181"/>
      <c r="AH31" s="181"/>
      <c r="AI31" s="181"/>
      <c r="AJ31" s="181"/>
      <c r="AK31" s="181"/>
      <c r="AL31" s="181"/>
      <c r="AM31" s="181"/>
      <c r="AN31" s="181"/>
      <c r="AO31" s="448">
        <f ca="1">ROUND(IF(AND(TblMagic[[#This Row],[Active DnD]]&lt;12,TblMagic[[#This Row],[Active DnD]]&gt;5),OFFSET(TblPop[[#This Row],[Draft Growth]],-1,0)*0.375,0),0)</f>
        <v>0</v>
      </c>
      <c r="AP31" s="144"/>
      <c r="AQ31" s="96">
        <f ca="1">TblProd[[#This Row],[Platinum]]</f>
        <v>268211</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45733.124999999935</v>
      </c>
      <c r="AW31" s="96">
        <f ca="1">TblMili[[#This Row],[Draftees]]</f>
        <v>531</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0.44</v>
      </c>
      <c r="BX31" s="159">
        <f ca="1">TblMili[[#This Row],[WG''s]]</f>
        <v>0</v>
      </c>
      <c r="BY31" s="265">
        <f ca="1">IF(mystic_cap="none",TblMili[[#This Row],[Homeland%]]/mystic_bonus,MIN(mystic_cap,TblMili[[#This Row],[Homeland%]]/mystic_bonus))</f>
        <v>2</v>
      </c>
      <c r="BZ31" s="265">
        <f ca="1">IF(druid_op_cap="none",TblMili[[#This Row],[Homeland%]]/druid_op_bonus,MIN(druid_op_cap,TblMili[[#This Row],[Homeland%]]/druid_op_bonus))</f>
        <v>2</v>
      </c>
      <c r="CA31" s="265">
        <f ca="1">IF(druid_dp_cap="none",TblMili[[#This Row],[Homeland%]]/druid_dp_bonus,MIN(druid_dp_cap,TblMili[[#This Row],[Homeland%]]/druid_dp_bonus))</f>
        <v>2</v>
      </c>
      <c r="CB31" s="265">
        <f ca="1">MIN(dryad_cap,TblMili[[#This Row],[Homeland%]]/dryad_bonus)</f>
        <v>2.1999999999999997</v>
      </c>
      <c r="CC31" s="265">
        <f ca="1">MIN(rocka_cap,TblMili[[#This Row],[Homeland%]]/rocka_bonus)</f>
        <v>2</v>
      </c>
      <c r="CD31" s="265">
        <f ca="1">MIN(adept_op_cap,TblMili[[#This Row],[WG]]/adept_op_bonus)</f>
        <v>0</v>
      </c>
      <c r="CE31" s="265">
        <f ca="1">MIN(adept_dp_cap,TblMili[[#This Row],[WG]]/adept_dp_bonus)</f>
        <v>0</v>
      </c>
      <c r="CF31" s="96">
        <f ca="1">MIN(TblMili[[#This Row],[Unit 3]],TblMili[[#This Row],[Unit 2]])*2</f>
        <v>0</v>
      </c>
      <c r="CG31" s="96">
        <f ca="1">MIN(TblMili[[#This Row],[Unit 1]],TblMili[[#This Row],[Unit 4]])*2</f>
        <v>0</v>
      </c>
      <c r="CH31" s="265">
        <f ca="1">MIN(frost_mage_cap,TblMili[[#This Row],[Homeland%]]/frost_mage_bonus)</f>
        <v>2.1999999999999997</v>
      </c>
      <c r="CI31" s="45">
        <f ca="1">MIN(ice_elem_cap,TblMili[[#This Row],[Raw (2)]]*ice_elem_bonus)</f>
        <v>0.1</v>
      </c>
      <c r="CJ31" s="265">
        <f t="shared" si="0"/>
        <v>0.83333333333333337</v>
      </c>
      <c r="CK31" s="265">
        <f ca="1">MIN(nox_nightshade_cap,TblConstr[[#This Row],[Homeland]]/TblConstr[[#This Row],[Land]]/nox_nightshade_swamp_bonus)</f>
        <v>4</v>
      </c>
      <c r="CL31" s="265">
        <f ca="1">MIN(TblConstr[[#This Row],[Tot Tow]]/TblConstr[[#This Row],[Land]]/abyss_enforce_bonus,abyss_enforcer_cap)</f>
        <v>0</v>
      </c>
      <c r="CM31" s="265">
        <f ca="1">IF(TblMagic[[#This Row],[Active Demonic Pact]]&gt;0,MIN(TblMili[[#This Row],[Unit 1]],TblMili[[#This Row],[Unit 4]])*demonic_pact_oppair,0)</f>
        <v>0</v>
      </c>
      <c r="CN31" s="266"/>
      <c r="CO31" s="266"/>
      <c r="CP31" s="266"/>
      <c r="CQ31" s="265">
        <f ca="1">MIN(6,TblMili[[#This Row],[Mystic]]+Races!$F$19)*1.8 +  IF(TblMili[[#This Row],[Mystic]]+Races!$F$19&gt;6,(TblMili[[#This Row],[Mystic]]+Races!$F$19-6)*0.2,0) - Races!$I$19</f>
        <v>1</v>
      </c>
      <c r="CR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-0.64000000000000057</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4.7099999999999991</v>
      </c>
      <c r="DA31" s="157">
        <f ca="1">1.8 * MIN(MAX(TblMili[[#This Row],[Ice Elemental]]+Races!$E$71,Races!$F$71),6)  +  0.45 * MIN(MIN(TblMili[[#This Row],[Ice Elemental]]+Races!$E$71,Races!$F$71),6)  +  0.2 * ( MAX(TblMili[[#This Row],[Ice Elemental]]+Races!$E$71-6,0) + MAX(Races!$F$71-6,0) )  -  Races!$I$71</f>
        <v>0.92999999999999972</v>
      </c>
      <c r="DB31" s="96">
        <f ca="1">TblMili[[#This Row],[Frost Mage bonus]]*TblMili[[#This Row],[Unit 3]]+TblMili[[#This Row],[Ice Elemental bonus]]*TblMili[[#This Row],[Unit 4]]</f>
        <v>0</v>
      </c>
      <c r="DC31" s="267"/>
      <c r="DD31" s="145">
        <f ca="1">MIN(SUM(TblConstr[[#This Row],[Plain]:[Water]])/TblMili[[#This Row],[Land]]/favorable_terrain_bonus/100,favorable_terrain_max)</f>
        <v>0.1</v>
      </c>
      <c r="DE31" s="267"/>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1" s="144"/>
      <c r="DH31" s="268">
        <f ca="1">(TblMili[[#This Row],[Wizards]]+2*TblMili[[#This Row],[Archmages]])/TblConstr[[#This Row],[Land]]</f>
        <v>0.1</v>
      </c>
      <c r="DI31" s="268">
        <f ca="1">TblMili[[#This Row],[Raw (2)]]*(1+race_wizard_strength+IF(TblMili[[#This Row],[Hour]]&gt;72,tech_magical_weaponry_wiz*TblTech[[#This Row],[3-5]],0))</f>
        <v>0.1</v>
      </c>
    </row>
    <row r="32" spans="1:113" x14ac:dyDescent="0.2">
      <c r="A32" s="139">
        <f>TblRezone[[#This Row],[Hour]]</f>
        <v>29</v>
      </c>
      <c r="B32" s="260">
        <f ca="1">SUM(TblMili[[#This Row],[Unit 1]:[Archmages]])+SUM(OFFSET(TblMili[[#This Row],[Train Unit 1]],-8,0):TblMili[[#This Row],[Train Unit 2]]) + SUM(OFFSET(TblMili[[#This Row],[Train Unit 3]],-11,0):TblMili[[#This Row],[Train AM]]) + TblMili[[#This Row],[Draftees]]</f>
        <v>747</v>
      </c>
      <c r="C32" s="159">
        <f ca="1">TblPop[[#This Row],[Military%]]</f>
        <v>0.31679389312977096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4"/>
      <c r="N32" s="96">
        <f ca="1">TblProd[[#This Row],[Networth]]</f>
        <v>6450</v>
      </c>
      <c r="O32" s="144"/>
      <c r="P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1">
        <f ca="1">TblMili[[#This Row],[Raw]]*(1+TblMili[[#This Row],[Mods_Off]])</f>
        <v>0</v>
      </c>
      <c r="S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2" s="261">
        <f ca="1">TblMili[[#This Row],[Non Draft]]+TblMili[[#This Row],[Draftees]]</f>
        <v>997</v>
      </c>
      <c r="U32" s="262">
        <f ca="1">race_defense + TblImps[[#This Row],[Walls]] + ROUND( MIN(gt_bonus*TblConstr[[#This Row],[Tot GT]]/TblConstr[[#This Row],[Land]],gt_bonus_cap), 4) + IF(TblMagic[[#This Row],[Active Howling]]&gt;0,howling_dp_bonus,IF(TblMagic[[#This Row],[Active Ares Call]]&gt;0,ares_call_bonus))</f>
        <v>0</v>
      </c>
      <c r="V32" s="263">
        <f ca="1">TblMili[[#This Row],[Non Draft]] * (1 + TblMili[[#This Row],[Mods_Def]])</f>
        <v>450</v>
      </c>
      <c r="W32" s="261">
        <f ca="1">TblMili[[#This Row],[Draft]] * (1 + TblMili[[#This Row],[Mods_Def]])</f>
        <v>997</v>
      </c>
      <c r="X32" s="261">
        <f ca="1">TblConstr[[#This Row],[Land]]</f>
        <v>250</v>
      </c>
      <c r="Y32" s="264"/>
      <c r="Z32" s="269">
        <f ca="1">IF(TblMili[[#This Row],[Set]]&lt;&gt;"",TblMili[[#This Row],[Set]],OFFSET(TblMili[[#This Row],[Draftrate]],-1,0))</f>
        <v>0.35</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6"/>
      <c r="AC32" s="182">
        <f ca="1">(TblConstr[[#This Row],[Tot Smi]]+TblConstr[[#This Row],[Dest Smi]])/(TblConstr[[#This Row],[Land]]-TblExplore[[#This Row],[Land Bonus]]*20)</f>
        <v>0</v>
      </c>
      <c r="AD32" s="139"/>
      <c r="AE32" s="260">
        <f>TblMili[[#This Row],[Hour]]</f>
        <v>29</v>
      </c>
      <c r="AF32" s="140">
        <f ca="1">TblExplore[[#This Row],[Time]]</f>
        <v>45733.166666666599</v>
      </c>
      <c r="AG32" s="181"/>
      <c r="AH32" s="181"/>
      <c r="AI32" s="181"/>
      <c r="AJ32" s="181"/>
      <c r="AK32" s="181"/>
      <c r="AL32" s="181"/>
      <c r="AM32" s="181"/>
      <c r="AN32" s="181"/>
      <c r="AO32" s="448">
        <f ca="1">ROUND(IF(AND(TblMagic[[#This Row],[Active DnD]]&lt;12,TblMagic[[#This Row],[Active DnD]]&gt;5),OFFSET(TblPop[[#This Row],[Draft Growth]],-1,0)*0.375,0),0)</f>
        <v>0</v>
      </c>
      <c r="AP32" s="144"/>
      <c r="AQ32" s="96">
        <f ca="1">TblProd[[#This Row],[Platinum]]</f>
        <v>273881</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45733.166666666599</v>
      </c>
      <c r="AW32" s="96">
        <f ca="1">TblMili[[#This Row],[Draftees]]</f>
        <v>547</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0.44</v>
      </c>
      <c r="BX32" s="159">
        <f ca="1">TblMili[[#This Row],[WG''s]]</f>
        <v>0</v>
      </c>
      <c r="BY32" s="265">
        <f ca="1">IF(mystic_cap="none",TblMili[[#This Row],[Homeland%]]/mystic_bonus,MIN(mystic_cap,TblMili[[#This Row],[Homeland%]]/mystic_bonus))</f>
        <v>2</v>
      </c>
      <c r="BZ32" s="265">
        <f ca="1">IF(druid_op_cap="none",TblMili[[#This Row],[Homeland%]]/druid_op_bonus,MIN(druid_op_cap,TblMili[[#This Row],[Homeland%]]/druid_op_bonus))</f>
        <v>2</v>
      </c>
      <c r="CA32" s="265">
        <f ca="1">IF(druid_dp_cap="none",TblMili[[#This Row],[Homeland%]]/druid_dp_bonus,MIN(druid_dp_cap,TblMili[[#This Row],[Homeland%]]/druid_dp_bonus))</f>
        <v>2</v>
      </c>
      <c r="CB32" s="265">
        <f ca="1">MIN(dryad_cap,TblMili[[#This Row],[Homeland%]]/dryad_bonus)</f>
        <v>2.1999999999999997</v>
      </c>
      <c r="CC32" s="265">
        <f ca="1">MIN(rocka_cap,TblMili[[#This Row],[Homeland%]]/rocka_bonus)</f>
        <v>2</v>
      </c>
      <c r="CD32" s="265">
        <f ca="1">MIN(adept_op_cap,TblMili[[#This Row],[WG]]/adept_op_bonus)</f>
        <v>0</v>
      </c>
      <c r="CE32" s="265">
        <f ca="1">MIN(adept_dp_cap,TblMili[[#This Row],[WG]]/adept_dp_bonus)</f>
        <v>0</v>
      </c>
      <c r="CF32" s="96">
        <f ca="1">MIN(TblMili[[#This Row],[Unit 3]],TblMili[[#This Row],[Unit 2]])*2</f>
        <v>0</v>
      </c>
      <c r="CG32" s="96">
        <f ca="1">MIN(TblMili[[#This Row],[Unit 1]],TblMili[[#This Row],[Unit 4]])*2</f>
        <v>0</v>
      </c>
      <c r="CH32" s="265">
        <f ca="1">MIN(frost_mage_cap,TblMili[[#This Row],[Homeland%]]/frost_mage_bonus)</f>
        <v>2.1999999999999997</v>
      </c>
      <c r="CI32" s="45">
        <f ca="1">MIN(ice_elem_cap,TblMili[[#This Row],[Raw (2)]]*ice_elem_bonus)</f>
        <v>0.1</v>
      </c>
      <c r="CJ32" s="265">
        <f t="shared" si="0"/>
        <v>0.83333333333333337</v>
      </c>
      <c r="CK32" s="265">
        <f ca="1">MIN(nox_nightshade_cap,TblConstr[[#This Row],[Homeland]]/TblConstr[[#This Row],[Land]]/nox_nightshade_swamp_bonus)</f>
        <v>4</v>
      </c>
      <c r="CL32" s="265">
        <f ca="1">MIN(TblConstr[[#This Row],[Tot Tow]]/TblConstr[[#This Row],[Land]]/abyss_enforce_bonus,abyss_enforcer_cap)</f>
        <v>0</v>
      </c>
      <c r="CM32" s="265">
        <f ca="1">IF(TblMagic[[#This Row],[Active Demonic Pact]]&gt;0,MIN(TblMili[[#This Row],[Unit 1]],TblMili[[#This Row],[Unit 4]])*demonic_pact_oppair,0)</f>
        <v>0</v>
      </c>
      <c r="CN32" s="266"/>
      <c r="CO32" s="266"/>
      <c r="CP32" s="266"/>
      <c r="CQ32" s="265">
        <f ca="1">MIN(6,TblMili[[#This Row],[Mystic]]+Races!$F$19)*1.8 +  IF(TblMili[[#This Row],[Mystic]]+Races!$F$19&gt;6,(TblMili[[#This Row],[Mystic]]+Races!$F$19-6)*0.2,0) - Races!$I$19</f>
        <v>1</v>
      </c>
      <c r="CR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-0.64000000000000057</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4.7099999999999991</v>
      </c>
      <c r="DA32" s="157">
        <f ca="1">1.8 * MIN(MAX(TblMili[[#This Row],[Ice Elemental]]+Races!$E$71,Races!$F$71),6)  +  0.45 * MIN(MIN(TblMili[[#This Row],[Ice Elemental]]+Races!$E$71,Races!$F$71),6)  +  0.2 * ( MAX(TblMili[[#This Row],[Ice Elemental]]+Races!$E$71-6,0) + MAX(Races!$F$71-6,0) )  -  Races!$I$71</f>
        <v>0.92999999999999972</v>
      </c>
      <c r="DB32" s="96">
        <f ca="1">TblMili[[#This Row],[Frost Mage bonus]]*TblMili[[#This Row],[Unit 3]]+TblMili[[#This Row],[Ice Elemental bonus]]*TblMili[[#This Row],[Unit 4]]</f>
        <v>0</v>
      </c>
      <c r="DC32" s="267"/>
      <c r="DD32" s="145">
        <f ca="1">MIN(SUM(TblConstr[[#This Row],[Plain]:[Water]])/TblMili[[#This Row],[Land]]/favorable_terrain_bonus/100,favorable_terrain_max)</f>
        <v>0.1</v>
      </c>
      <c r="DE32" s="267"/>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2" s="144"/>
      <c r="DH32" s="268">
        <f ca="1">(TblMili[[#This Row],[Wizards]]+2*TblMili[[#This Row],[Archmages]])/TblConstr[[#This Row],[Land]]</f>
        <v>0.1</v>
      </c>
      <c r="DI32" s="268">
        <f ca="1">TblMili[[#This Row],[Raw (2)]]*(1+race_wizard_strength+IF(TblMili[[#This Row],[Hour]]&gt;72,tech_magical_weaponry_wiz*TblTech[[#This Row],[3-5]],0))</f>
        <v>0.1</v>
      </c>
    </row>
    <row r="33" spans="1:113" x14ac:dyDescent="0.2">
      <c r="A33" s="139">
        <f>TblRezone[[#This Row],[Hour]]</f>
        <v>30</v>
      </c>
      <c r="B33" s="260">
        <f ca="1">SUM(TblMili[[#This Row],[Unit 1]:[Archmages]])+SUM(OFFSET(TblMili[[#This Row],[Train Unit 1]],-8,0):TblMili[[#This Row],[Train Unit 2]]) + SUM(OFFSET(TblMili[[#This Row],[Train Unit 3]],-11,0):TblMili[[#This Row],[Train AM]]) + TblMili[[#This Row],[Draftees]]</f>
        <v>763</v>
      </c>
      <c r="C33" s="159">
        <f ca="1">TblPop[[#This Row],[Military%]]</f>
        <v>0.32357930449533501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4"/>
      <c r="N33" s="96">
        <f ca="1">TblProd[[#This Row],[Networth]]</f>
        <v>6450</v>
      </c>
      <c r="O33" s="144"/>
      <c r="P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1">
        <f ca="1">TblMili[[#This Row],[Raw]]*(1+TblMili[[#This Row],[Mods_Off]])</f>
        <v>0</v>
      </c>
      <c r="S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3" s="261">
        <f ca="1">TblMili[[#This Row],[Non Draft]]+TblMili[[#This Row],[Draftees]]</f>
        <v>1013</v>
      </c>
      <c r="U33" s="262">
        <f ca="1">race_defense + TblImps[[#This Row],[Walls]] + ROUND( MIN(gt_bonus*TblConstr[[#This Row],[Tot GT]]/TblConstr[[#This Row],[Land]],gt_bonus_cap), 4) + IF(TblMagic[[#This Row],[Active Howling]]&gt;0,howling_dp_bonus,IF(TblMagic[[#This Row],[Active Ares Call]]&gt;0,ares_call_bonus))</f>
        <v>0</v>
      </c>
      <c r="V33" s="263">
        <f ca="1">TblMili[[#This Row],[Non Draft]] * (1 + TblMili[[#This Row],[Mods_Def]])</f>
        <v>450</v>
      </c>
      <c r="W33" s="261">
        <f ca="1">TblMili[[#This Row],[Draft]] * (1 + TblMili[[#This Row],[Mods_Def]])</f>
        <v>1013</v>
      </c>
      <c r="X33" s="261">
        <f ca="1">TblConstr[[#This Row],[Land]]</f>
        <v>250</v>
      </c>
      <c r="Y33" s="264"/>
      <c r="Z33" s="269">
        <f ca="1">IF(TblMili[[#This Row],[Set]]&lt;&gt;"",TblMili[[#This Row],[Set]],OFFSET(TblMili[[#This Row],[Draftrate]],-1,0))</f>
        <v>0.35</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6"/>
      <c r="AC33" s="182">
        <f ca="1">(TblConstr[[#This Row],[Tot Smi]]+TblConstr[[#This Row],[Dest Smi]])/(TblConstr[[#This Row],[Land]]-TblExplore[[#This Row],[Land Bonus]]*20)</f>
        <v>0</v>
      </c>
      <c r="AD33" s="139"/>
      <c r="AE33" s="260">
        <f>TblMili[[#This Row],[Hour]]</f>
        <v>30</v>
      </c>
      <c r="AF33" s="140">
        <f ca="1">TblExplore[[#This Row],[Time]]</f>
        <v>45733.208333333263</v>
      </c>
      <c r="AG33" s="181"/>
      <c r="AH33" s="181"/>
      <c r="AI33" s="181"/>
      <c r="AJ33" s="181"/>
      <c r="AK33" s="181"/>
      <c r="AL33" s="181"/>
      <c r="AM33" s="181"/>
      <c r="AN33" s="181"/>
      <c r="AO33" s="448">
        <f ca="1">ROUND(IF(AND(TblMagic[[#This Row],[Active DnD]]&lt;12,TblMagic[[#This Row],[Active DnD]]&gt;5),OFFSET(TblPop[[#This Row],[Draft Growth]],-1,0)*0.375,0),0)</f>
        <v>0</v>
      </c>
      <c r="AP33" s="144"/>
      <c r="AQ33" s="96">
        <f ca="1">TblProd[[#This Row],[Platinum]]</f>
        <v>279551</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45733.208333333263</v>
      </c>
      <c r="AW33" s="96">
        <f ca="1">TblMili[[#This Row],[Draftees]]</f>
        <v>563</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0.44</v>
      </c>
      <c r="BX33" s="159">
        <f ca="1">TblMili[[#This Row],[WG''s]]</f>
        <v>0</v>
      </c>
      <c r="BY33" s="265">
        <f ca="1">IF(mystic_cap="none",TblMili[[#This Row],[Homeland%]]/mystic_bonus,MIN(mystic_cap,TblMili[[#This Row],[Homeland%]]/mystic_bonus))</f>
        <v>2</v>
      </c>
      <c r="BZ33" s="265">
        <f ca="1">IF(druid_op_cap="none",TblMili[[#This Row],[Homeland%]]/druid_op_bonus,MIN(druid_op_cap,TblMili[[#This Row],[Homeland%]]/druid_op_bonus))</f>
        <v>2</v>
      </c>
      <c r="CA33" s="265">
        <f ca="1">IF(druid_dp_cap="none",TblMili[[#This Row],[Homeland%]]/druid_dp_bonus,MIN(druid_dp_cap,TblMili[[#This Row],[Homeland%]]/druid_dp_bonus))</f>
        <v>2</v>
      </c>
      <c r="CB33" s="265">
        <f ca="1">MIN(dryad_cap,TblMili[[#This Row],[Homeland%]]/dryad_bonus)</f>
        <v>2.1999999999999997</v>
      </c>
      <c r="CC33" s="265">
        <f ca="1">MIN(rocka_cap,TblMili[[#This Row],[Homeland%]]/rocka_bonus)</f>
        <v>2</v>
      </c>
      <c r="CD33" s="265">
        <f ca="1">MIN(adept_op_cap,TblMili[[#This Row],[WG]]/adept_op_bonus)</f>
        <v>0</v>
      </c>
      <c r="CE33" s="265">
        <f ca="1">MIN(adept_dp_cap,TblMili[[#This Row],[WG]]/adept_dp_bonus)</f>
        <v>0</v>
      </c>
      <c r="CF33" s="96">
        <f ca="1">MIN(TblMili[[#This Row],[Unit 3]],TblMili[[#This Row],[Unit 2]])*2</f>
        <v>0</v>
      </c>
      <c r="CG33" s="96">
        <f ca="1">MIN(TblMili[[#This Row],[Unit 1]],TblMili[[#This Row],[Unit 4]])*2</f>
        <v>0</v>
      </c>
      <c r="CH33" s="265">
        <f ca="1">MIN(frost_mage_cap,TblMili[[#This Row],[Homeland%]]/frost_mage_bonus)</f>
        <v>2.1999999999999997</v>
      </c>
      <c r="CI33" s="45">
        <f ca="1">MIN(ice_elem_cap,TblMili[[#This Row],[Raw (2)]]*ice_elem_bonus)</f>
        <v>0.1</v>
      </c>
      <c r="CJ33" s="265">
        <f t="shared" si="0"/>
        <v>0.83333333333333337</v>
      </c>
      <c r="CK33" s="265">
        <f ca="1">MIN(nox_nightshade_cap,TblConstr[[#This Row],[Homeland]]/TblConstr[[#This Row],[Land]]/nox_nightshade_swamp_bonus)</f>
        <v>4</v>
      </c>
      <c r="CL33" s="265">
        <f ca="1">MIN(TblConstr[[#This Row],[Tot Tow]]/TblConstr[[#This Row],[Land]]/abyss_enforce_bonus,abyss_enforcer_cap)</f>
        <v>0</v>
      </c>
      <c r="CM33" s="265">
        <f ca="1">IF(TblMagic[[#This Row],[Active Demonic Pact]]&gt;0,MIN(TblMili[[#This Row],[Unit 1]],TblMili[[#This Row],[Unit 4]])*demonic_pact_oppair,0)</f>
        <v>0</v>
      </c>
      <c r="CN33" s="266"/>
      <c r="CO33" s="266"/>
      <c r="CP33" s="266"/>
      <c r="CQ33" s="265">
        <f ca="1">MIN(6,TblMili[[#This Row],[Mystic]]+Races!$F$19)*1.8 +  IF(TblMili[[#This Row],[Mystic]]+Races!$F$19&gt;6,(TblMili[[#This Row],[Mystic]]+Races!$F$19-6)*0.2,0) - Races!$I$19</f>
        <v>1</v>
      </c>
      <c r="CR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-0.64000000000000057</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4.7099999999999991</v>
      </c>
      <c r="DA33" s="157">
        <f ca="1">1.8 * MIN(MAX(TblMili[[#This Row],[Ice Elemental]]+Races!$E$71,Races!$F$71),6)  +  0.45 * MIN(MIN(TblMili[[#This Row],[Ice Elemental]]+Races!$E$71,Races!$F$71),6)  +  0.2 * ( MAX(TblMili[[#This Row],[Ice Elemental]]+Races!$E$71-6,0) + MAX(Races!$F$71-6,0) )  -  Races!$I$71</f>
        <v>0.92999999999999972</v>
      </c>
      <c r="DB33" s="96">
        <f ca="1">TblMili[[#This Row],[Frost Mage bonus]]*TblMili[[#This Row],[Unit 3]]+TblMili[[#This Row],[Ice Elemental bonus]]*TblMili[[#This Row],[Unit 4]]</f>
        <v>0</v>
      </c>
      <c r="DC33" s="267"/>
      <c r="DD33" s="145">
        <f ca="1">MIN(SUM(TblConstr[[#This Row],[Plain]:[Water]])/TblMili[[#This Row],[Land]]/favorable_terrain_bonus/100,favorable_terrain_max)</f>
        <v>0.1</v>
      </c>
      <c r="DE33" s="267"/>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3" s="144"/>
      <c r="DH33" s="268">
        <f ca="1">(TblMili[[#This Row],[Wizards]]+2*TblMili[[#This Row],[Archmages]])/TblConstr[[#This Row],[Land]]</f>
        <v>0.1</v>
      </c>
      <c r="DI33" s="268">
        <f ca="1">TblMili[[#This Row],[Raw (2)]]*(1+race_wizard_strength+IF(TblMili[[#This Row],[Hour]]&gt;72,tech_magical_weaponry_wiz*TblTech[[#This Row],[3-5]],0))</f>
        <v>0.1</v>
      </c>
    </row>
    <row r="34" spans="1:113" x14ac:dyDescent="0.2">
      <c r="A34" s="139">
        <f>TblRezone[[#This Row],[Hour]]</f>
        <v>31</v>
      </c>
      <c r="B34" s="260">
        <f ca="1">SUM(TblMili[[#This Row],[Unit 1]:[Archmages]])+SUM(OFFSET(TblMili[[#This Row],[Train Unit 1]],-8,0):TblMili[[#This Row],[Train Unit 2]]) + SUM(OFFSET(TblMili[[#This Row],[Train Unit 3]],-11,0):TblMili[[#This Row],[Train AM]]) + TblMili[[#This Row],[Draftees]]</f>
        <v>779</v>
      </c>
      <c r="C34" s="159">
        <f ca="1">TblPop[[#This Row],[Military%]]</f>
        <v>0.33036471586089905</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4"/>
      <c r="N34" s="96">
        <f ca="1">TblProd[[#This Row],[Networth]]</f>
        <v>6450</v>
      </c>
      <c r="O34" s="144"/>
      <c r="P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1">
        <f ca="1">TblMili[[#This Row],[Raw]]*(1+TblMili[[#This Row],[Mods_Off]])</f>
        <v>0</v>
      </c>
      <c r="S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4" s="261">
        <f ca="1">TblMili[[#This Row],[Non Draft]]+TblMili[[#This Row],[Draftees]]</f>
        <v>1029</v>
      </c>
      <c r="U34" s="262">
        <f ca="1">race_defense + TblImps[[#This Row],[Walls]] + ROUND( MIN(gt_bonus*TblConstr[[#This Row],[Tot GT]]/TblConstr[[#This Row],[Land]],gt_bonus_cap), 4) + IF(TblMagic[[#This Row],[Active Howling]]&gt;0,howling_dp_bonus,IF(TblMagic[[#This Row],[Active Ares Call]]&gt;0,ares_call_bonus))</f>
        <v>0</v>
      </c>
      <c r="V34" s="263">
        <f ca="1">TblMili[[#This Row],[Non Draft]] * (1 + TblMili[[#This Row],[Mods_Def]])</f>
        <v>450</v>
      </c>
      <c r="W34" s="261">
        <f ca="1">TblMili[[#This Row],[Draft]] * (1 + TblMili[[#This Row],[Mods_Def]])</f>
        <v>1029</v>
      </c>
      <c r="X34" s="261">
        <f ca="1">TblConstr[[#This Row],[Land]]</f>
        <v>250</v>
      </c>
      <c r="Y34" s="264"/>
      <c r="Z34" s="269">
        <f ca="1">IF(TblMili[[#This Row],[Set]]&lt;&gt;"",TblMili[[#This Row],[Set]],OFFSET(TblMili[[#This Row],[Draftrate]],-1,0))</f>
        <v>0.35</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6"/>
      <c r="AC34" s="182">
        <f ca="1">(TblConstr[[#This Row],[Tot Smi]]+TblConstr[[#This Row],[Dest Smi]])/(TblConstr[[#This Row],[Land]]-TblExplore[[#This Row],[Land Bonus]]*20)</f>
        <v>0</v>
      </c>
      <c r="AD34" s="139"/>
      <c r="AE34" s="260">
        <f>TblMili[[#This Row],[Hour]]</f>
        <v>31</v>
      </c>
      <c r="AF34" s="140">
        <f ca="1">TblExplore[[#This Row],[Time]]</f>
        <v>45733.249999999927</v>
      </c>
      <c r="AG34" s="181"/>
      <c r="AH34" s="181"/>
      <c r="AI34" s="181"/>
      <c r="AJ34" s="181"/>
      <c r="AK34" s="181"/>
      <c r="AL34" s="181"/>
      <c r="AM34" s="181"/>
      <c r="AN34" s="181"/>
      <c r="AO34" s="448">
        <f ca="1">ROUND(IF(AND(TblMagic[[#This Row],[Active DnD]]&lt;12,TblMagic[[#This Row],[Active DnD]]&gt;5),OFFSET(TblPop[[#This Row],[Draft Growth]],-1,0)*0.375,0),0)</f>
        <v>0</v>
      </c>
      <c r="AP34" s="144"/>
      <c r="AQ34" s="96">
        <f ca="1">TblProd[[#This Row],[Platinum]]</f>
        <v>285207</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45733.249999999927</v>
      </c>
      <c r="AW34" s="96">
        <f ca="1">TblMili[[#This Row],[Draftees]]</f>
        <v>579</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0.44</v>
      </c>
      <c r="BX34" s="159">
        <f ca="1">TblMili[[#This Row],[WG''s]]</f>
        <v>0</v>
      </c>
      <c r="BY34" s="265">
        <f ca="1">IF(mystic_cap="none",TblMili[[#This Row],[Homeland%]]/mystic_bonus,MIN(mystic_cap,TblMili[[#This Row],[Homeland%]]/mystic_bonus))</f>
        <v>2</v>
      </c>
      <c r="BZ34" s="265">
        <f ca="1">IF(druid_op_cap="none",TblMili[[#This Row],[Homeland%]]/druid_op_bonus,MIN(druid_op_cap,TblMili[[#This Row],[Homeland%]]/druid_op_bonus))</f>
        <v>2</v>
      </c>
      <c r="CA34" s="265">
        <f ca="1">IF(druid_dp_cap="none",TblMili[[#This Row],[Homeland%]]/druid_dp_bonus,MIN(druid_dp_cap,TblMili[[#This Row],[Homeland%]]/druid_dp_bonus))</f>
        <v>2</v>
      </c>
      <c r="CB34" s="265">
        <f ca="1">MIN(dryad_cap,TblMili[[#This Row],[Homeland%]]/dryad_bonus)</f>
        <v>2.1999999999999997</v>
      </c>
      <c r="CC34" s="265">
        <f ca="1">MIN(rocka_cap,TblMili[[#This Row],[Homeland%]]/rocka_bonus)</f>
        <v>2</v>
      </c>
      <c r="CD34" s="265">
        <f ca="1">MIN(adept_op_cap,TblMili[[#This Row],[WG]]/adept_op_bonus)</f>
        <v>0</v>
      </c>
      <c r="CE34" s="265">
        <f ca="1">MIN(adept_dp_cap,TblMili[[#This Row],[WG]]/adept_dp_bonus)</f>
        <v>0</v>
      </c>
      <c r="CF34" s="96">
        <f ca="1">MIN(TblMili[[#This Row],[Unit 3]],TblMili[[#This Row],[Unit 2]])*2</f>
        <v>0</v>
      </c>
      <c r="CG34" s="96">
        <f ca="1">MIN(TblMili[[#This Row],[Unit 1]],TblMili[[#This Row],[Unit 4]])*2</f>
        <v>0</v>
      </c>
      <c r="CH34" s="265">
        <f ca="1">MIN(frost_mage_cap,TblMili[[#This Row],[Homeland%]]/frost_mage_bonus)</f>
        <v>2.1999999999999997</v>
      </c>
      <c r="CI34" s="45">
        <f ca="1">MIN(ice_elem_cap,TblMili[[#This Row],[Raw (2)]]*ice_elem_bonus)</f>
        <v>0.1</v>
      </c>
      <c r="CJ34" s="265">
        <f t="shared" si="0"/>
        <v>0.83333333333333337</v>
      </c>
      <c r="CK34" s="265">
        <f ca="1">MIN(nox_nightshade_cap,TblConstr[[#This Row],[Homeland]]/TblConstr[[#This Row],[Land]]/nox_nightshade_swamp_bonus)</f>
        <v>4</v>
      </c>
      <c r="CL34" s="265">
        <f ca="1">MIN(TblConstr[[#This Row],[Tot Tow]]/TblConstr[[#This Row],[Land]]/abyss_enforce_bonus,abyss_enforcer_cap)</f>
        <v>0</v>
      </c>
      <c r="CM34" s="265">
        <f ca="1">IF(TblMagic[[#This Row],[Active Demonic Pact]]&gt;0,MIN(TblMili[[#This Row],[Unit 1]],TblMili[[#This Row],[Unit 4]])*demonic_pact_oppair,0)</f>
        <v>0</v>
      </c>
      <c r="CN34" s="266"/>
      <c r="CO34" s="266"/>
      <c r="CP34" s="266"/>
      <c r="CQ34" s="265">
        <f ca="1">MIN(6,TblMili[[#This Row],[Mystic]]+Races!$F$19)*1.8 +  IF(TblMili[[#This Row],[Mystic]]+Races!$F$19&gt;6,(TblMili[[#This Row],[Mystic]]+Races!$F$19-6)*0.2,0) - Races!$I$19</f>
        <v>1</v>
      </c>
      <c r="CR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-0.64000000000000057</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4.7099999999999991</v>
      </c>
      <c r="DA34" s="157">
        <f ca="1">1.8 * MIN(MAX(TblMili[[#This Row],[Ice Elemental]]+Races!$E$71,Races!$F$71),6)  +  0.45 * MIN(MIN(TblMili[[#This Row],[Ice Elemental]]+Races!$E$71,Races!$F$71),6)  +  0.2 * ( MAX(TblMili[[#This Row],[Ice Elemental]]+Races!$E$71-6,0) + MAX(Races!$F$71-6,0) )  -  Races!$I$71</f>
        <v>0.92999999999999972</v>
      </c>
      <c r="DB34" s="96">
        <f ca="1">TblMili[[#This Row],[Frost Mage bonus]]*TblMili[[#This Row],[Unit 3]]+TblMili[[#This Row],[Ice Elemental bonus]]*TblMili[[#This Row],[Unit 4]]</f>
        <v>0</v>
      </c>
      <c r="DC34" s="267"/>
      <c r="DD34" s="145">
        <f ca="1">MIN(SUM(TblConstr[[#This Row],[Plain]:[Water]])/TblMili[[#This Row],[Land]]/favorable_terrain_bonus/100,favorable_terrain_max)</f>
        <v>0.1</v>
      </c>
      <c r="DE34" s="267"/>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4" s="144"/>
      <c r="DH34" s="268">
        <f ca="1">(TblMili[[#This Row],[Wizards]]+2*TblMili[[#This Row],[Archmages]])/TblConstr[[#This Row],[Land]]</f>
        <v>0.1</v>
      </c>
      <c r="DI34" s="268">
        <f ca="1">TblMili[[#This Row],[Raw (2)]]*(1+race_wizard_strength+IF(TblMili[[#This Row],[Hour]]&gt;72,tech_magical_weaponry_wiz*TblTech[[#This Row],[3-5]],0))</f>
        <v>0.1</v>
      </c>
    </row>
    <row r="35" spans="1:113" x14ac:dyDescent="0.2">
      <c r="A35" s="139">
        <f>TblRezone[[#This Row],[Hour]]</f>
        <v>32</v>
      </c>
      <c r="B35" s="260">
        <f ca="1">SUM(TblMili[[#This Row],[Unit 1]:[Archmages]])+SUM(OFFSET(TblMili[[#This Row],[Train Unit 1]],-8,0):TblMili[[#This Row],[Train Unit 2]]) + SUM(OFFSET(TblMili[[#This Row],[Train Unit 3]],-11,0):TblMili[[#This Row],[Train AM]]) + TblMili[[#This Row],[Draftees]]</f>
        <v>795</v>
      </c>
      <c r="C35" s="159">
        <f ca="1">TblPop[[#This Row],[Military%]]</f>
        <v>0.33715012722646309</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4"/>
      <c r="N35" s="96">
        <f ca="1">TblProd[[#This Row],[Networth]]</f>
        <v>6450</v>
      </c>
      <c r="O35" s="144"/>
      <c r="P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1">
        <f ca="1">TblMili[[#This Row],[Raw]]*(1+TblMili[[#This Row],[Mods_Off]])</f>
        <v>0</v>
      </c>
      <c r="S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5" s="261">
        <f ca="1">TblMili[[#This Row],[Non Draft]]+TblMili[[#This Row],[Draftees]]</f>
        <v>1045</v>
      </c>
      <c r="U35" s="262">
        <f ca="1">race_defense + TblImps[[#This Row],[Walls]] + ROUND( MIN(gt_bonus*TblConstr[[#This Row],[Tot GT]]/TblConstr[[#This Row],[Land]],gt_bonus_cap), 4) + IF(TblMagic[[#This Row],[Active Howling]]&gt;0,howling_dp_bonus,IF(TblMagic[[#This Row],[Active Ares Call]]&gt;0,ares_call_bonus))</f>
        <v>0</v>
      </c>
      <c r="V35" s="263">
        <f ca="1">TblMili[[#This Row],[Non Draft]] * (1 + TblMili[[#This Row],[Mods_Def]])</f>
        <v>450</v>
      </c>
      <c r="W35" s="261">
        <f ca="1">TblMili[[#This Row],[Draft]] * (1 + TblMili[[#This Row],[Mods_Def]])</f>
        <v>1045</v>
      </c>
      <c r="X35" s="261">
        <f ca="1">TblConstr[[#This Row],[Land]]</f>
        <v>250</v>
      </c>
      <c r="Y35" s="264"/>
      <c r="Z35" s="269">
        <f ca="1">IF(TblMili[[#This Row],[Set]]&lt;&gt;"",TblMili[[#This Row],[Set]],OFFSET(TblMili[[#This Row],[Draftrate]],-1,0))</f>
        <v>0.35</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6"/>
      <c r="AC35" s="182">
        <f ca="1">(TblConstr[[#This Row],[Tot Smi]]+TblConstr[[#This Row],[Dest Smi]])/(TblConstr[[#This Row],[Land]]-TblExplore[[#This Row],[Land Bonus]]*20)</f>
        <v>0</v>
      </c>
      <c r="AD35" s="139"/>
      <c r="AE35" s="260">
        <f>TblMili[[#This Row],[Hour]]</f>
        <v>32</v>
      </c>
      <c r="AF35" s="140">
        <f ca="1">TblExplore[[#This Row],[Time]]</f>
        <v>45733.291666666591</v>
      </c>
      <c r="AG35" s="181"/>
      <c r="AH35" s="181"/>
      <c r="AI35" s="181"/>
      <c r="AJ35" s="181"/>
      <c r="AK35" s="181"/>
      <c r="AL35" s="181"/>
      <c r="AM35" s="181"/>
      <c r="AN35" s="181"/>
      <c r="AO35" s="448">
        <f ca="1">ROUND(IF(AND(TblMagic[[#This Row],[Active DnD]]&lt;12,TblMagic[[#This Row],[Active DnD]]&gt;5),OFFSET(TblPop[[#This Row],[Draft Growth]],-1,0)*0.375,0),0)</f>
        <v>0</v>
      </c>
      <c r="AP35" s="144"/>
      <c r="AQ35" s="96">
        <f ca="1">TblProd[[#This Row],[Platinum]]</f>
        <v>290820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45733.291666666591</v>
      </c>
      <c r="AW35" s="96">
        <f ca="1">TblMili[[#This Row],[Draftees]]</f>
        <v>595</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0.44</v>
      </c>
      <c r="BX35" s="159">
        <f ca="1">TblMili[[#This Row],[WG''s]]</f>
        <v>0</v>
      </c>
      <c r="BY35" s="265">
        <f ca="1">IF(mystic_cap="none",TblMili[[#This Row],[Homeland%]]/mystic_bonus,MIN(mystic_cap,TblMili[[#This Row],[Homeland%]]/mystic_bonus))</f>
        <v>2</v>
      </c>
      <c r="BZ35" s="265">
        <f ca="1">IF(druid_op_cap="none",TblMili[[#This Row],[Homeland%]]/druid_op_bonus,MIN(druid_op_cap,TblMili[[#This Row],[Homeland%]]/druid_op_bonus))</f>
        <v>2</v>
      </c>
      <c r="CA35" s="265">
        <f ca="1">IF(druid_dp_cap="none",TblMili[[#This Row],[Homeland%]]/druid_dp_bonus,MIN(druid_dp_cap,TblMili[[#This Row],[Homeland%]]/druid_dp_bonus))</f>
        <v>2</v>
      </c>
      <c r="CB35" s="265">
        <f ca="1">MIN(dryad_cap,TblMili[[#This Row],[Homeland%]]/dryad_bonus)</f>
        <v>2.1999999999999997</v>
      </c>
      <c r="CC35" s="265">
        <f ca="1">MIN(rocka_cap,TblMili[[#This Row],[Homeland%]]/rocka_bonus)</f>
        <v>2</v>
      </c>
      <c r="CD35" s="265">
        <f ca="1">MIN(adept_op_cap,TblMili[[#This Row],[WG]]/adept_op_bonus)</f>
        <v>0</v>
      </c>
      <c r="CE35" s="265">
        <f ca="1">MIN(adept_dp_cap,TblMili[[#This Row],[WG]]/adept_dp_bonus)</f>
        <v>0</v>
      </c>
      <c r="CF35" s="96">
        <f ca="1">MIN(TblMili[[#This Row],[Unit 3]],TblMili[[#This Row],[Unit 2]])*2</f>
        <v>0</v>
      </c>
      <c r="CG35" s="96">
        <f ca="1">MIN(TblMili[[#This Row],[Unit 1]],TblMili[[#This Row],[Unit 4]])*2</f>
        <v>0</v>
      </c>
      <c r="CH35" s="265">
        <f ca="1">MIN(frost_mage_cap,TblMili[[#This Row],[Homeland%]]/frost_mage_bonus)</f>
        <v>2.1999999999999997</v>
      </c>
      <c r="CI35" s="45">
        <f ca="1">MIN(ice_elem_cap,TblMili[[#This Row],[Raw (2)]]*ice_elem_bonus)</f>
        <v>0.1</v>
      </c>
      <c r="CJ35" s="265">
        <f t="shared" si="0"/>
        <v>0.83333333333333337</v>
      </c>
      <c r="CK35" s="265">
        <f ca="1">MIN(nox_nightshade_cap,TblConstr[[#This Row],[Homeland]]/TblConstr[[#This Row],[Land]]/nox_nightshade_swamp_bonus)</f>
        <v>4</v>
      </c>
      <c r="CL35" s="265">
        <f ca="1">MIN(TblConstr[[#This Row],[Tot Tow]]/TblConstr[[#This Row],[Land]]/abyss_enforce_bonus,abyss_enforcer_cap)</f>
        <v>0</v>
      </c>
      <c r="CM35" s="265">
        <f ca="1">IF(TblMagic[[#This Row],[Active Demonic Pact]]&gt;0,MIN(TblMili[[#This Row],[Unit 1]],TblMili[[#This Row],[Unit 4]])*demonic_pact_oppair,0)</f>
        <v>0</v>
      </c>
      <c r="CN35" s="266"/>
      <c r="CO35" s="266"/>
      <c r="CP35" s="266"/>
      <c r="CQ35" s="265">
        <f ca="1">MIN(6,TblMili[[#This Row],[Mystic]]+Races!$F$19)*1.8 +  IF(TblMili[[#This Row],[Mystic]]+Races!$F$19&gt;6,(TblMili[[#This Row],[Mystic]]+Races!$F$19-6)*0.2,0) - Races!$I$19</f>
        <v>1</v>
      </c>
      <c r="CR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-0.64000000000000057</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4.7099999999999991</v>
      </c>
      <c r="DA35" s="157">
        <f ca="1">1.8 * MIN(MAX(TblMili[[#This Row],[Ice Elemental]]+Races!$E$71,Races!$F$71),6)  +  0.45 * MIN(MIN(TblMili[[#This Row],[Ice Elemental]]+Races!$E$71,Races!$F$71),6)  +  0.2 * ( MAX(TblMili[[#This Row],[Ice Elemental]]+Races!$E$71-6,0) + MAX(Races!$F$71-6,0) )  -  Races!$I$71</f>
        <v>0.92999999999999972</v>
      </c>
      <c r="DB35" s="96">
        <f ca="1">TblMili[[#This Row],[Frost Mage bonus]]*TblMili[[#This Row],[Unit 3]]+TblMili[[#This Row],[Ice Elemental bonus]]*TblMili[[#This Row],[Unit 4]]</f>
        <v>0</v>
      </c>
      <c r="DC35" s="267"/>
      <c r="DD35" s="145">
        <f ca="1">MIN(SUM(TblConstr[[#This Row],[Plain]:[Water]])/TblMili[[#This Row],[Land]]/favorable_terrain_bonus/100,favorable_terrain_max)</f>
        <v>0.1</v>
      </c>
      <c r="DE35" s="267"/>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5" s="144"/>
      <c r="DH35" s="268">
        <f ca="1">(TblMili[[#This Row],[Wizards]]+2*TblMili[[#This Row],[Archmages]])/TblConstr[[#This Row],[Land]]</f>
        <v>0.1</v>
      </c>
      <c r="DI35" s="268">
        <f ca="1">TblMili[[#This Row],[Raw (2)]]*(1+race_wizard_strength+IF(TblMili[[#This Row],[Hour]]&gt;72,tech_magical_weaponry_wiz*TblTech[[#This Row],[3-5]],0))</f>
        <v>0.1</v>
      </c>
    </row>
    <row r="36" spans="1:113" x14ac:dyDescent="0.2">
      <c r="A36" s="139">
        <f>TblRezone[[#This Row],[Hour]]</f>
        <v>33</v>
      </c>
      <c r="B36" s="260">
        <f ca="1">SUM(TblMili[[#This Row],[Unit 1]:[Archmages]])+SUM(OFFSET(TblMili[[#This Row],[Train Unit 1]],-8,0):TblMili[[#This Row],[Train Unit 2]]) + SUM(OFFSET(TblMili[[#This Row],[Train Unit 3]],-11,0):TblMili[[#This Row],[Train AM]]) + TblMili[[#This Row],[Draftees]]</f>
        <v>811</v>
      </c>
      <c r="C36" s="159">
        <f ca="1">TblPop[[#This Row],[Military%]]</f>
        <v>0.34393553859202713</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4"/>
      <c r="N36" s="96">
        <f ca="1">TblProd[[#This Row],[Networth]]</f>
        <v>6450</v>
      </c>
      <c r="O36" s="144"/>
      <c r="P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1">
        <f ca="1">TblMili[[#This Row],[Raw]]*(1+TblMili[[#This Row],[Mods_Off]])</f>
        <v>0</v>
      </c>
      <c r="S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6" s="261">
        <f ca="1">TblMili[[#This Row],[Non Draft]]+TblMili[[#This Row],[Draftees]]</f>
        <v>1061</v>
      </c>
      <c r="U36" s="262">
        <f ca="1">race_defense + TblImps[[#This Row],[Walls]] + ROUND( MIN(gt_bonus*TblConstr[[#This Row],[Tot GT]]/TblConstr[[#This Row],[Land]],gt_bonus_cap), 4) + IF(TblMagic[[#This Row],[Active Howling]]&gt;0,howling_dp_bonus,IF(TblMagic[[#This Row],[Active Ares Call]]&gt;0,ares_call_bonus))</f>
        <v>0</v>
      </c>
      <c r="V36" s="263">
        <f ca="1">TblMili[[#This Row],[Non Draft]] * (1 + TblMili[[#This Row],[Mods_Def]])</f>
        <v>450</v>
      </c>
      <c r="W36" s="261">
        <f ca="1">TblMili[[#This Row],[Draft]] * (1 + TblMili[[#This Row],[Mods_Def]])</f>
        <v>1061</v>
      </c>
      <c r="X36" s="261">
        <f ca="1">TblConstr[[#This Row],[Land]]</f>
        <v>250</v>
      </c>
      <c r="Y36" s="264"/>
      <c r="Z36" s="269">
        <f ca="1">IF(TblMili[[#This Row],[Set]]&lt;&gt;"",TblMili[[#This Row],[Set]],OFFSET(TblMili[[#This Row],[Draftrate]],-1,0))</f>
        <v>0.35</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6"/>
      <c r="AC36" s="182">
        <f ca="1">(TblConstr[[#This Row],[Tot Smi]]+TblConstr[[#This Row],[Dest Smi]])/(TblConstr[[#This Row],[Land]]-TblExplore[[#This Row],[Land Bonus]]*20)</f>
        <v>0</v>
      </c>
      <c r="AD36" s="139"/>
      <c r="AE36" s="260">
        <f>TblMili[[#This Row],[Hour]]</f>
        <v>33</v>
      </c>
      <c r="AF36" s="140">
        <f ca="1">TblExplore[[#This Row],[Time]]</f>
        <v>45733.333333333256</v>
      </c>
      <c r="AG36" s="181"/>
      <c r="AH36" s="181"/>
      <c r="AI36" s="181"/>
      <c r="AJ36" s="181"/>
      <c r="AK36" s="181"/>
      <c r="AL36" s="181"/>
      <c r="AM36" s="181"/>
      <c r="AN36" s="181"/>
      <c r="AO36" s="448">
        <f ca="1">ROUND(IF(AND(TblMagic[[#This Row],[Active DnD]]&lt;12,TblMagic[[#This Row],[Active DnD]]&gt;5),OFFSET(TblPop[[#This Row],[Draft Growth]],-1,0)*0.375,0),0)</f>
        <v>0</v>
      </c>
      <c r="AP36" s="144"/>
      <c r="AQ36" s="96">
        <f ca="1">TblProd[[#This Row],[Platinum]]</f>
        <v>296390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45733.333333333256</v>
      </c>
      <c r="AW36" s="96">
        <f ca="1">TblMili[[#This Row],[Draftees]]</f>
        <v>611</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0.44</v>
      </c>
      <c r="BX36" s="159">
        <f ca="1">TblMili[[#This Row],[WG''s]]</f>
        <v>0</v>
      </c>
      <c r="BY36" s="265">
        <f ca="1">IF(mystic_cap="none",TblMili[[#This Row],[Homeland%]]/mystic_bonus,MIN(mystic_cap,TblMili[[#This Row],[Homeland%]]/mystic_bonus))</f>
        <v>2</v>
      </c>
      <c r="BZ36" s="265">
        <f ca="1">IF(druid_op_cap="none",TblMili[[#This Row],[Homeland%]]/druid_op_bonus,MIN(druid_op_cap,TblMili[[#This Row],[Homeland%]]/druid_op_bonus))</f>
        <v>2</v>
      </c>
      <c r="CA36" s="265">
        <f ca="1">IF(druid_dp_cap="none",TblMili[[#This Row],[Homeland%]]/druid_dp_bonus,MIN(druid_dp_cap,TblMili[[#This Row],[Homeland%]]/druid_dp_bonus))</f>
        <v>2</v>
      </c>
      <c r="CB36" s="265">
        <f ca="1">MIN(dryad_cap,TblMili[[#This Row],[Homeland%]]/dryad_bonus)</f>
        <v>2.1999999999999997</v>
      </c>
      <c r="CC36" s="265">
        <f ca="1">MIN(rocka_cap,TblMili[[#This Row],[Homeland%]]/rocka_bonus)</f>
        <v>2</v>
      </c>
      <c r="CD36" s="265">
        <f ca="1">MIN(adept_op_cap,TblMili[[#This Row],[WG]]/adept_op_bonus)</f>
        <v>0</v>
      </c>
      <c r="CE36" s="265">
        <f ca="1">MIN(adept_dp_cap,TblMili[[#This Row],[WG]]/adept_dp_bonus)</f>
        <v>0</v>
      </c>
      <c r="CF36" s="96">
        <f ca="1">MIN(TblMili[[#This Row],[Unit 3]],TblMili[[#This Row],[Unit 2]])*2</f>
        <v>0</v>
      </c>
      <c r="CG36" s="96">
        <f ca="1">MIN(TblMili[[#This Row],[Unit 1]],TblMili[[#This Row],[Unit 4]])*2</f>
        <v>0</v>
      </c>
      <c r="CH36" s="265">
        <f ca="1">MIN(frost_mage_cap,TblMili[[#This Row],[Homeland%]]/frost_mage_bonus)</f>
        <v>2.1999999999999997</v>
      </c>
      <c r="CI36" s="45">
        <f ca="1">MIN(ice_elem_cap,TblMili[[#This Row],[Raw (2)]]*ice_elem_bonus)</f>
        <v>0.1</v>
      </c>
      <c r="CJ36" s="265">
        <f t="shared" ref="CJ36:CJ67" si="2">MIN(bone_breaker_cap,250/bone_breaker_bonus)</f>
        <v>0.83333333333333337</v>
      </c>
      <c r="CK36" s="265">
        <f ca="1">MIN(nox_nightshade_cap,TblConstr[[#This Row],[Homeland]]/TblConstr[[#This Row],[Land]]/nox_nightshade_swamp_bonus)</f>
        <v>4</v>
      </c>
      <c r="CL36" s="265">
        <f ca="1">MIN(TblConstr[[#This Row],[Tot Tow]]/TblConstr[[#This Row],[Land]]/abyss_enforce_bonus,abyss_enforcer_cap)</f>
        <v>0</v>
      </c>
      <c r="CM36" s="265">
        <f ca="1">IF(TblMagic[[#This Row],[Active Demonic Pact]]&gt;0,MIN(TblMili[[#This Row],[Unit 1]],TblMili[[#This Row],[Unit 4]])*demonic_pact_oppair,0)</f>
        <v>0</v>
      </c>
      <c r="CN36" s="266"/>
      <c r="CO36" s="266"/>
      <c r="CP36" s="266"/>
      <c r="CQ36" s="265">
        <f ca="1">MIN(6,TblMili[[#This Row],[Mystic]]+Races!$F$19)*1.8 +  IF(TblMili[[#This Row],[Mystic]]+Races!$F$19&gt;6,(TblMili[[#This Row],[Mystic]]+Races!$F$19-6)*0.2,0) - Races!$I$19</f>
        <v>1</v>
      </c>
      <c r="CR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-0.64000000000000057</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4.7099999999999991</v>
      </c>
      <c r="DA36" s="157">
        <f ca="1">1.8 * MIN(MAX(TblMili[[#This Row],[Ice Elemental]]+Races!$E$71,Races!$F$71),6)  +  0.45 * MIN(MIN(TblMili[[#This Row],[Ice Elemental]]+Races!$E$71,Races!$F$71),6)  +  0.2 * ( MAX(TblMili[[#This Row],[Ice Elemental]]+Races!$E$71-6,0) + MAX(Races!$F$71-6,0) )  -  Races!$I$71</f>
        <v>0.92999999999999972</v>
      </c>
      <c r="DB36" s="96">
        <f ca="1">TblMili[[#This Row],[Frost Mage bonus]]*TblMili[[#This Row],[Unit 3]]+TblMili[[#This Row],[Ice Elemental bonus]]*TblMili[[#This Row],[Unit 4]]</f>
        <v>0</v>
      </c>
      <c r="DC36" s="267"/>
      <c r="DD36" s="145">
        <f ca="1">MIN(SUM(TblConstr[[#This Row],[Plain]:[Water]])/TblMili[[#This Row],[Land]]/favorable_terrain_bonus/100,favorable_terrain_max)</f>
        <v>0.1</v>
      </c>
      <c r="DE36" s="267"/>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6" s="144"/>
      <c r="DH36" s="268">
        <f ca="1">(TblMili[[#This Row],[Wizards]]+2*TblMili[[#This Row],[Archmages]])/TblConstr[[#This Row],[Land]]</f>
        <v>0.1</v>
      </c>
      <c r="DI36" s="268">
        <f ca="1">TblMili[[#This Row],[Raw (2)]]*(1+race_wizard_strength+IF(TblMili[[#This Row],[Hour]]&gt;72,tech_magical_weaponry_wiz*TblTech[[#This Row],[3-5]],0))</f>
        <v>0.1</v>
      </c>
    </row>
    <row r="37" spans="1:113" x14ac:dyDescent="0.2">
      <c r="A37" s="139">
        <f>TblRezone[[#This Row],[Hour]]</f>
        <v>34</v>
      </c>
      <c r="B37" s="260">
        <f ca="1">SUM(TblMili[[#This Row],[Unit 1]:[Archmages]])+SUM(OFFSET(TblMili[[#This Row],[Train Unit 1]],-8,0):TblMili[[#This Row],[Train Unit 2]]) + SUM(OFFSET(TblMili[[#This Row],[Train Unit 3]],-11,0):TblMili[[#This Row],[Train AM]]) + TblMili[[#This Row],[Draftees]]</f>
        <v>826</v>
      </c>
      <c r="C37" s="159">
        <f ca="1">TblPop[[#This Row],[Military%]]</f>
        <v>0.35029686174724345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4"/>
      <c r="N37" s="96">
        <f ca="1">TblProd[[#This Row],[Networth]]</f>
        <v>6450</v>
      </c>
      <c r="O37" s="144"/>
      <c r="P3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1">
        <f ca="1">TblMili[[#This Row],[Raw]]*(1+TblMili[[#This Row],[Mods_Off]])</f>
        <v>0</v>
      </c>
      <c r="S3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7" s="261">
        <f ca="1">TblMili[[#This Row],[Non Draft]]+TblMili[[#This Row],[Draftees]]</f>
        <v>1076</v>
      </c>
      <c r="U37" s="262">
        <f ca="1">race_defense + TblImps[[#This Row],[Walls]] + ROUND( MIN(gt_bonus*TblConstr[[#This Row],[Tot GT]]/TblConstr[[#This Row],[Land]],gt_bonus_cap), 4) + IF(TblMagic[[#This Row],[Active Howling]]&gt;0,howling_dp_bonus,IF(TblMagic[[#This Row],[Active Ares Call]]&gt;0,ares_call_bonus))</f>
        <v>0</v>
      </c>
      <c r="V37" s="263">
        <f ca="1">TblMili[[#This Row],[Non Draft]] * (1 + TblMili[[#This Row],[Mods_Def]])</f>
        <v>450</v>
      </c>
      <c r="W37" s="261">
        <f ca="1">TblMili[[#This Row],[Draft]] * (1 + TblMili[[#This Row],[Mods_Def]])</f>
        <v>1076</v>
      </c>
      <c r="X37" s="261">
        <f ca="1">TblConstr[[#This Row],[Land]]</f>
        <v>250</v>
      </c>
      <c r="Y37" s="264"/>
      <c r="Z37" s="269">
        <f ca="1">IF(TblMili[[#This Row],[Set]]&lt;&gt;"",TblMili[[#This Row],[Set]],OFFSET(TblMili[[#This Row],[Draftrate]],-1,0))</f>
        <v>0.35</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6"/>
      <c r="AC37" s="182">
        <f ca="1">(TblConstr[[#This Row],[Tot Smi]]+TblConstr[[#This Row],[Dest Smi]])/(TblConstr[[#This Row],[Land]]-TblExplore[[#This Row],[Land Bonus]]*20)</f>
        <v>0</v>
      </c>
      <c r="AD37" s="139"/>
      <c r="AE37" s="260">
        <f>TblMili[[#This Row],[Hour]]</f>
        <v>34</v>
      </c>
      <c r="AF37" s="140">
        <f ca="1">TblExplore[[#This Row],[Time]]</f>
        <v>45733.37499999992</v>
      </c>
      <c r="AG37" s="181"/>
      <c r="AH37" s="181"/>
      <c r="AI37" s="181"/>
      <c r="AJ37" s="181"/>
      <c r="AK37" s="181"/>
      <c r="AL37" s="181"/>
      <c r="AM37" s="181"/>
      <c r="AN37" s="181"/>
      <c r="AO37" s="448">
        <f ca="1">ROUND(IF(AND(TblMagic[[#This Row],[Active DnD]]&lt;12,TblMagic[[#This Row],[Active DnD]]&gt;5),OFFSET(TblPop[[#This Row],[Draft Growth]],-1,0)*0.375,0),0)</f>
        <v>0</v>
      </c>
      <c r="AP37" s="144"/>
      <c r="AQ37" s="96">
        <f ca="1">TblProd[[#This Row],[Platinum]]</f>
        <v>301916</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45733.37499999992</v>
      </c>
      <c r="AW37" s="96">
        <f ca="1">TblMili[[#This Row],[Draftees]]</f>
        <v>626</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0.44</v>
      </c>
      <c r="BX37" s="159">
        <f ca="1">TblMili[[#This Row],[WG''s]]</f>
        <v>0</v>
      </c>
      <c r="BY37" s="265">
        <f ca="1">IF(mystic_cap="none",TblMili[[#This Row],[Homeland%]]/mystic_bonus,MIN(mystic_cap,TblMili[[#This Row],[Homeland%]]/mystic_bonus))</f>
        <v>2</v>
      </c>
      <c r="BZ37" s="265">
        <f ca="1">IF(druid_op_cap="none",TblMili[[#This Row],[Homeland%]]/druid_op_bonus,MIN(druid_op_cap,TblMili[[#This Row],[Homeland%]]/druid_op_bonus))</f>
        <v>2</v>
      </c>
      <c r="CA37" s="265">
        <f ca="1">IF(druid_dp_cap="none",TblMili[[#This Row],[Homeland%]]/druid_dp_bonus,MIN(druid_dp_cap,TblMili[[#This Row],[Homeland%]]/druid_dp_bonus))</f>
        <v>2</v>
      </c>
      <c r="CB37" s="265">
        <f ca="1">MIN(dryad_cap,TblMili[[#This Row],[Homeland%]]/dryad_bonus)</f>
        <v>2.1999999999999997</v>
      </c>
      <c r="CC37" s="265">
        <f ca="1">MIN(rocka_cap,TblMili[[#This Row],[Homeland%]]/rocka_bonus)</f>
        <v>2</v>
      </c>
      <c r="CD37" s="265">
        <f ca="1">MIN(adept_op_cap,TblMili[[#This Row],[WG]]/adept_op_bonus)</f>
        <v>0</v>
      </c>
      <c r="CE37" s="265">
        <f ca="1">MIN(adept_dp_cap,TblMili[[#This Row],[WG]]/adept_dp_bonus)</f>
        <v>0</v>
      </c>
      <c r="CF37" s="96">
        <f ca="1">MIN(TblMili[[#This Row],[Unit 3]],TblMili[[#This Row],[Unit 2]])*2</f>
        <v>0</v>
      </c>
      <c r="CG37" s="96">
        <f ca="1">MIN(TblMili[[#This Row],[Unit 1]],TblMili[[#This Row],[Unit 4]])*2</f>
        <v>0</v>
      </c>
      <c r="CH37" s="265">
        <f ca="1">MIN(frost_mage_cap,TblMili[[#This Row],[Homeland%]]/frost_mage_bonus)</f>
        <v>2.1999999999999997</v>
      </c>
      <c r="CI37" s="45">
        <f ca="1">MIN(ice_elem_cap,TblMili[[#This Row],[Raw (2)]]*ice_elem_bonus)</f>
        <v>0.1</v>
      </c>
      <c r="CJ37" s="265">
        <f t="shared" si="2"/>
        <v>0.83333333333333337</v>
      </c>
      <c r="CK37" s="265">
        <f ca="1">MIN(nox_nightshade_cap,TblConstr[[#This Row],[Homeland]]/TblConstr[[#This Row],[Land]]/nox_nightshade_swamp_bonus)</f>
        <v>4</v>
      </c>
      <c r="CL37" s="265">
        <f ca="1">MIN(TblConstr[[#This Row],[Tot Tow]]/TblConstr[[#This Row],[Land]]/abyss_enforce_bonus,abyss_enforcer_cap)</f>
        <v>0</v>
      </c>
      <c r="CM37" s="265">
        <f ca="1">IF(TblMagic[[#This Row],[Active Demonic Pact]]&gt;0,MIN(TblMili[[#This Row],[Unit 1]],TblMili[[#This Row],[Unit 4]])*demonic_pact_oppair,0)</f>
        <v>0</v>
      </c>
      <c r="CN37" s="266"/>
      <c r="CO37" s="266"/>
      <c r="CP37" s="266"/>
      <c r="CQ37" s="265">
        <f ca="1">MIN(6,TblMili[[#This Row],[Mystic]]+Races!$F$19)*1.8 +  IF(TblMili[[#This Row],[Mystic]]+Races!$F$19&gt;6,(TblMili[[#This Row],[Mystic]]+Races!$F$19-6)*0.2,0) - Races!$I$19</f>
        <v>1</v>
      </c>
      <c r="CR3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-0.64000000000000057</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4.7099999999999991</v>
      </c>
      <c r="DA37" s="157">
        <f ca="1">1.8 * MIN(MAX(TblMili[[#This Row],[Ice Elemental]]+Races!$E$71,Races!$F$71),6)  +  0.45 * MIN(MIN(TblMili[[#This Row],[Ice Elemental]]+Races!$E$71,Races!$F$71),6)  +  0.2 * ( MAX(TblMili[[#This Row],[Ice Elemental]]+Races!$E$71-6,0) + MAX(Races!$F$71-6,0) )  -  Races!$I$71</f>
        <v>0.92999999999999972</v>
      </c>
      <c r="DB37" s="96">
        <f ca="1">TblMili[[#This Row],[Frost Mage bonus]]*TblMili[[#This Row],[Unit 3]]+TblMili[[#This Row],[Ice Elemental bonus]]*TblMili[[#This Row],[Unit 4]]</f>
        <v>0</v>
      </c>
      <c r="DC37" s="267"/>
      <c r="DD37" s="145">
        <f ca="1">MIN(SUM(TblConstr[[#This Row],[Plain]:[Water]])/TblMili[[#This Row],[Land]]/favorable_terrain_bonus/100,favorable_terrain_max)</f>
        <v>0.1</v>
      </c>
      <c r="DE37" s="267"/>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7" s="144"/>
      <c r="DH37" s="268">
        <f ca="1">(TblMili[[#This Row],[Wizards]]+2*TblMili[[#This Row],[Archmages]])/TblConstr[[#This Row],[Land]]</f>
        <v>0.1</v>
      </c>
      <c r="DI37" s="268">
        <f ca="1">TblMili[[#This Row],[Raw (2)]]*(1+race_wizard_strength+IF(TblMili[[#This Row],[Hour]]&gt;72,tech_magical_weaponry_wiz*TblTech[[#This Row],[3-5]],0))</f>
        <v>0.1</v>
      </c>
    </row>
    <row r="38" spans="1:113" x14ac:dyDescent="0.2">
      <c r="A38" s="139">
        <f>TblRezone[[#This Row],[Hour]]</f>
        <v>35</v>
      </c>
      <c r="B38" s="260">
        <f ca="1">SUM(TblMili[[#This Row],[Unit 1]:[Archmages]])+SUM(OFFSET(TblMili[[#This Row],[Train Unit 1]],-8,0):TblMili[[#This Row],[Train Unit 2]]) + SUM(OFFSET(TblMili[[#This Row],[Train Unit 3]],-11,0):TblMili[[#This Row],[Train AM]]) + TblMili[[#This Row],[Draftees]]</f>
        <v>826</v>
      </c>
      <c r="C38" s="159">
        <f ca="1">TblPop[[#This Row],[Military%]]</f>
        <v>0.35029686174724345</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4"/>
      <c r="N38" s="96">
        <f ca="1">TblProd[[#This Row],[Networth]]</f>
        <v>6450</v>
      </c>
      <c r="O38" s="144"/>
      <c r="P3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1">
        <f ca="1">TblMili[[#This Row],[Raw]]*(1+TblMili[[#This Row],[Mods_Off]])</f>
        <v>0</v>
      </c>
      <c r="S3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8" s="261">
        <f ca="1">TblMili[[#This Row],[Non Draft]]+TblMili[[#This Row],[Draftees]]</f>
        <v>1076</v>
      </c>
      <c r="U38" s="262">
        <f ca="1">race_defense + TblImps[[#This Row],[Walls]] + ROUND( MIN(gt_bonus*TblConstr[[#This Row],[Tot GT]]/TblConstr[[#This Row],[Land]],gt_bonus_cap), 4) + IF(TblMagic[[#This Row],[Active Howling]]&gt;0,howling_dp_bonus,IF(TblMagic[[#This Row],[Active Ares Call]]&gt;0,ares_call_bonus))</f>
        <v>0</v>
      </c>
      <c r="V38" s="263">
        <f ca="1">TblMili[[#This Row],[Non Draft]] * (1 + TblMili[[#This Row],[Mods_Def]])</f>
        <v>450</v>
      </c>
      <c r="W38" s="261">
        <f ca="1">TblMili[[#This Row],[Draft]] * (1 + TblMili[[#This Row],[Mods_Def]])</f>
        <v>1076</v>
      </c>
      <c r="X38" s="261">
        <f ca="1">TblConstr[[#This Row],[Land]]</f>
        <v>250</v>
      </c>
      <c r="Y38" s="264"/>
      <c r="Z38" s="269">
        <f ca="1">IF(TblMili[[#This Row],[Set]]&lt;&gt;"",TblMili[[#This Row],[Set]],OFFSET(TblMili[[#This Row],[Draftrate]],-1,0))</f>
        <v>0.35</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6"/>
      <c r="AC38" s="182">
        <f ca="1">(TblConstr[[#This Row],[Tot Smi]]+TblConstr[[#This Row],[Dest Smi]])/(TblConstr[[#This Row],[Land]]-TblExplore[[#This Row],[Land Bonus]]*20)</f>
        <v>0</v>
      </c>
      <c r="AD38" s="139"/>
      <c r="AE38" s="260">
        <f>TblMili[[#This Row],[Hour]]</f>
        <v>35</v>
      </c>
      <c r="AF38" s="140">
        <f ca="1">TblExplore[[#This Row],[Time]]</f>
        <v>45733.416666666584</v>
      </c>
      <c r="AG38" s="181"/>
      <c r="AH38" s="181"/>
      <c r="AI38" s="181"/>
      <c r="AJ38" s="181"/>
      <c r="AK38" s="181"/>
      <c r="AL38" s="181"/>
      <c r="AM38" s="181"/>
      <c r="AN38" s="181"/>
      <c r="AO38" s="448">
        <f ca="1">ROUND(IF(AND(TblMagic[[#This Row],[Active DnD]]&lt;12,TblMagic[[#This Row],[Active DnD]]&gt;5),OFFSET(TblPop[[#This Row],[Draft Growth]],-1,0)*0.375,0),0)</f>
        <v>0</v>
      </c>
      <c r="AP38" s="144"/>
      <c r="AQ38" s="96">
        <f ca="1">TblProd[[#This Row],[Platinum]]</f>
        <v>307402</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45733.416666666584</v>
      </c>
      <c r="AW38" s="96">
        <f ca="1">TblMili[[#This Row],[Draftees]]</f>
        <v>626</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0.44</v>
      </c>
      <c r="BX38" s="159">
        <f ca="1">TblMili[[#This Row],[WG''s]]</f>
        <v>0</v>
      </c>
      <c r="BY38" s="265">
        <f ca="1">IF(mystic_cap="none",TblMili[[#This Row],[Homeland%]]/mystic_bonus,MIN(mystic_cap,TblMili[[#This Row],[Homeland%]]/mystic_bonus))</f>
        <v>2</v>
      </c>
      <c r="BZ38" s="265">
        <f ca="1">IF(druid_op_cap="none",TblMili[[#This Row],[Homeland%]]/druid_op_bonus,MIN(druid_op_cap,TblMili[[#This Row],[Homeland%]]/druid_op_bonus))</f>
        <v>2</v>
      </c>
      <c r="CA38" s="265">
        <f ca="1">IF(druid_dp_cap="none",TblMili[[#This Row],[Homeland%]]/druid_dp_bonus,MIN(druid_dp_cap,TblMili[[#This Row],[Homeland%]]/druid_dp_bonus))</f>
        <v>2</v>
      </c>
      <c r="CB38" s="265">
        <f ca="1">MIN(dryad_cap,TblMili[[#This Row],[Homeland%]]/dryad_bonus)</f>
        <v>2.1999999999999997</v>
      </c>
      <c r="CC38" s="265">
        <f ca="1">MIN(rocka_cap,TblMili[[#This Row],[Homeland%]]/rocka_bonus)</f>
        <v>2</v>
      </c>
      <c r="CD38" s="265">
        <f ca="1">MIN(adept_op_cap,TblMili[[#This Row],[WG]]/adept_op_bonus)</f>
        <v>0</v>
      </c>
      <c r="CE38" s="265">
        <f ca="1">MIN(adept_dp_cap,TblMili[[#This Row],[WG]]/adept_dp_bonus)</f>
        <v>0</v>
      </c>
      <c r="CF38" s="96">
        <f ca="1">MIN(TblMili[[#This Row],[Unit 3]],TblMili[[#This Row],[Unit 2]])*2</f>
        <v>0</v>
      </c>
      <c r="CG38" s="96">
        <f ca="1">MIN(TblMili[[#This Row],[Unit 1]],TblMili[[#This Row],[Unit 4]])*2</f>
        <v>0</v>
      </c>
      <c r="CH38" s="265">
        <f ca="1">MIN(frost_mage_cap,TblMili[[#This Row],[Homeland%]]/frost_mage_bonus)</f>
        <v>2.1999999999999997</v>
      </c>
      <c r="CI38" s="45">
        <f ca="1">MIN(ice_elem_cap,TblMili[[#This Row],[Raw (2)]]*ice_elem_bonus)</f>
        <v>0.1</v>
      </c>
      <c r="CJ38" s="265">
        <f t="shared" si="2"/>
        <v>0.83333333333333337</v>
      </c>
      <c r="CK38" s="265">
        <f ca="1">MIN(nox_nightshade_cap,TblConstr[[#This Row],[Homeland]]/TblConstr[[#This Row],[Land]]/nox_nightshade_swamp_bonus)</f>
        <v>4</v>
      </c>
      <c r="CL38" s="265">
        <f ca="1">MIN(TblConstr[[#This Row],[Tot Tow]]/TblConstr[[#This Row],[Land]]/abyss_enforce_bonus,abyss_enforcer_cap)</f>
        <v>0</v>
      </c>
      <c r="CM38" s="265">
        <f ca="1">IF(TblMagic[[#This Row],[Active Demonic Pact]]&gt;0,MIN(TblMili[[#This Row],[Unit 1]],TblMili[[#This Row],[Unit 4]])*demonic_pact_oppair,0)</f>
        <v>0</v>
      </c>
      <c r="CN38" s="266"/>
      <c r="CO38" s="266"/>
      <c r="CP38" s="266"/>
      <c r="CQ38" s="265">
        <f ca="1">MIN(6,TblMili[[#This Row],[Mystic]]+Races!$F$19)*1.8 +  IF(TblMili[[#This Row],[Mystic]]+Races!$F$19&gt;6,(TblMili[[#This Row],[Mystic]]+Races!$F$19-6)*0.2,0) - Races!$I$19</f>
        <v>1</v>
      </c>
      <c r="CR3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-0.64000000000000057</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4.7099999999999991</v>
      </c>
      <c r="DA38" s="157">
        <f ca="1">1.8 * MIN(MAX(TblMili[[#This Row],[Ice Elemental]]+Races!$E$71,Races!$F$71),6)  +  0.45 * MIN(MIN(TblMili[[#This Row],[Ice Elemental]]+Races!$E$71,Races!$F$71),6)  +  0.2 * ( MAX(TblMili[[#This Row],[Ice Elemental]]+Races!$E$71-6,0) + MAX(Races!$F$71-6,0) )  -  Races!$I$71</f>
        <v>0.92999999999999972</v>
      </c>
      <c r="DB38" s="96">
        <f ca="1">TblMili[[#This Row],[Frost Mage bonus]]*TblMili[[#This Row],[Unit 3]]+TblMili[[#This Row],[Ice Elemental bonus]]*TblMili[[#This Row],[Unit 4]]</f>
        <v>0</v>
      </c>
      <c r="DC38" s="267"/>
      <c r="DD38" s="145">
        <f ca="1">MIN(SUM(TblConstr[[#This Row],[Plain]:[Water]])/TblMili[[#This Row],[Land]]/favorable_terrain_bonus/100,favorable_terrain_max)</f>
        <v>0.1</v>
      </c>
      <c r="DE38" s="267"/>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8" s="144"/>
      <c r="DH38" s="268">
        <f ca="1">(TblMili[[#This Row],[Wizards]]+2*TblMili[[#This Row],[Archmages]])/TblConstr[[#This Row],[Land]]</f>
        <v>0.1</v>
      </c>
      <c r="DI38" s="268">
        <f ca="1">TblMili[[#This Row],[Raw (2)]]*(1+race_wizard_strength+IF(TblMili[[#This Row],[Hour]]&gt;72,tech_magical_weaponry_wiz*TblTech[[#This Row],[3-5]],0))</f>
        <v>0.1</v>
      </c>
    </row>
    <row r="39" spans="1:113" x14ac:dyDescent="0.2">
      <c r="A39" s="139">
        <f>TblRezone[[#This Row],[Hour]]</f>
        <v>36</v>
      </c>
      <c r="B39" s="260">
        <f ca="1">SUM(TblMili[[#This Row],[Unit 1]:[Archmages]])+SUM(OFFSET(TblMili[[#This Row],[Train Unit 1]],-8,0):TblMili[[#This Row],[Train Unit 2]]) + SUM(OFFSET(TblMili[[#This Row],[Train Unit 3]],-11,0):TblMili[[#This Row],[Train AM]]) + TblMili[[#This Row],[Draftees]]</f>
        <v>826</v>
      </c>
      <c r="C39" s="159">
        <f ca="1">TblPop[[#This Row],[Military%]]</f>
        <v>0.35029686174724345</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4"/>
      <c r="N39" s="96">
        <f ca="1">TblProd[[#This Row],[Networth]]</f>
        <v>6450</v>
      </c>
      <c r="O39" s="144"/>
      <c r="P3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1">
        <f ca="1">TblMili[[#This Row],[Raw]]*(1+TblMili[[#This Row],[Mods_Off]])</f>
        <v>0</v>
      </c>
      <c r="S3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9" s="261">
        <f ca="1">TblMili[[#This Row],[Non Draft]]+TblMili[[#This Row],[Draftees]]</f>
        <v>1076</v>
      </c>
      <c r="U39" s="262">
        <f ca="1">race_defense + TblImps[[#This Row],[Walls]] + ROUND( MIN(gt_bonus*TblConstr[[#This Row],[Tot GT]]/TblConstr[[#This Row],[Land]],gt_bonus_cap), 4) + IF(TblMagic[[#This Row],[Active Howling]]&gt;0,howling_dp_bonus,IF(TblMagic[[#This Row],[Active Ares Call]]&gt;0,ares_call_bonus))</f>
        <v>0</v>
      </c>
      <c r="V39" s="263">
        <f ca="1">TblMili[[#This Row],[Non Draft]] * (1 + TblMili[[#This Row],[Mods_Def]])</f>
        <v>450</v>
      </c>
      <c r="W39" s="261">
        <f ca="1">TblMili[[#This Row],[Draft]] * (1 + TblMili[[#This Row],[Mods_Def]])</f>
        <v>1076</v>
      </c>
      <c r="X39" s="261">
        <f ca="1">TblConstr[[#This Row],[Land]]</f>
        <v>250</v>
      </c>
      <c r="Y39" s="264"/>
      <c r="Z39" s="269">
        <f ca="1">IF(TblMili[[#This Row],[Set]]&lt;&gt;"",TblMili[[#This Row],[Set]],OFFSET(TblMili[[#This Row],[Draftrate]],-1,0))</f>
        <v>0.35</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6"/>
      <c r="AC39" s="182">
        <f ca="1">(TblConstr[[#This Row],[Tot Smi]]+TblConstr[[#This Row],[Dest Smi]])/(TblConstr[[#This Row],[Land]]-TblExplore[[#This Row],[Land Bonus]]*20)</f>
        <v>0</v>
      </c>
      <c r="AD39" s="139"/>
      <c r="AE39" s="260">
        <f>TblMili[[#This Row],[Hour]]</f>
        <v>36</v>
      </c>
      <c r="AF39" s="140">
        <f ca="1">TblExplore[[#This Row],[Time]]</f>
        <v>45733.458333333248</v>
      </c>
      <c r="AG39" s="181"/>
      <c r="AH39" s="181"/>
      <c r="AI39" s="181"/>
      <c r="AJ39" s="181"/>
      <c r="AK39" s="181"/>
      <c r="AL39" s="181"/>
      <c r="AM39" s="181"/>
      <c r="AN39" s="181"/>
      <c r="AO39" s="448">
        <f ca="1">ROUND(IF(AND(TblMagic[[#This Row],[Active DnD]]&lt;12,TblMagic[[#This Row],[Active DnD]]&gt;5),OFFSET(TblPop[[#This Row],[Draft Growth]],-1,0)*0.375,0),0)</f>
        <v>0</v>
      </c>
      <c r="AP39" s="144"/>
      <c r="AQ39" s="96">
        <f ca="1">TblProd[[#This Row],[Platinum]]</f>
        <v>312888</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45733.458333333248</v>
      </c>
      <c r="AW39" s="96">
        <f ca="1">TblMili[[#This Row],[Draftees]]</f>
        <v>626</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0.44</v>
      </c>
      <c r="BX39" s="159">
        <f ca="1">TblMili[[#This Row],[WG''s]]</f>
        <v>0</v>
      </c>
      <c r="BY39" s="265">
        <f ca="1">IF(mystic_cap="none",TblMili[[#This Row],[Homeland%]]/mystic_bonus,MIN(mystic_cap,TblMili[[#This Row],[Homeland%]]/mystic_bonus))</f>
        <v>2</v>
      </c>
      <c r="BZ39" s="265">
        <f ca="1">IF(druid_op_cap="none",TblMili[[#This Row],[Homeland%]]/druid_op_bonus,MIN(druid_op_cap,TblMili[[#This Row],[Homeland%]]/druid_op_bonus))</f>
        <v>2</v>
      </c>
      <c r="CA39" s="265">
        <f ca="1">IF(druid_dp_cap="none",TblMili[[#This Row],[Homeland%]]/druid_dp_bonus,MIN(druid_dp_cap,TblMili[[#This Row],[Homeland%]]/druid_dp_bonus))</f>
        <v>2</v>
      </c>
      <c r="CB39" s="265">
        <f ca="1">MIN(dryad_cap,TblMili[[#This Row],[Homeland%]]/dryad_bonus)</f>
        <v>2.1999999999999997</v>
      </c>
      <c r="CC39" s="265">
        <f ca="1">MIN(rocka_cap,TblMili[[#This Row],[Homeland%]]/rocka_bonus)</f>
        <v>2</v>
      </c>
      <c r="CD39" s="265">
        <f ca="1">MIN(adept_op_cap,TblMili[[#This Row],[WG]]/adept_op_bonus)</f>
        <v>0</v>
      </c>
      <c r="CE39" s="265">
        <f ca="1">MIN(adept_dp_cap,TblMili[[#This Row],[WG]]/adept_dp_bonus)</f>
        <v>0</v>
      </c>
      <c r="CF39" s="96">
        <f ca="1">MIN(TblMili[[#This Row],[Unit 3]],TblMili[[#This Row],[Unit 2]])*2</f>
        <v>0</v>
      </c>
      <c r="CG39" s="96">
        <f ca="1">MIN(TblMili[[#This Row],[Unit 1]],TblMili[[#This Row],[Unit 4]])*2</f>
        <v>0</v>
      </c>
      <c r="CH39" s="265">
        <f ca="1">MIN(frost_mage_cap,TblMili[[#This Row],[Homeland%]]/frost_mage_bonus)</f>
        <v>2.1999999999999997</v>
      </c>
      <c r="CI39" s="45">
        <f ca="1">MIN(ice_elem_cap,TblMili[[#This Row],[Raw (2)]]*ice_elem_bonus)</f>
        <v>0.1</v>
      </c>
      <c r="CJ39" s="265">
        <f t="shared" si="2"/>
        <v>0.83333333333333337</v>
      </c>
      <c r="CK39" s="265">
        <f ca="1">MIN(nox_nightshade_cap,TblConstr[[#This Row],[Homeland]]/TblConstr[[#This Row],[Land]]/nox_nightshade_swamp_bonus)</f>
        <v>4</v>
      </c>
      <c r="CL39" s="265">
        <f ca="1">MIN(TblConstr[[#This Row],[Tot Tow]]/TblConstr[[#This Row],[Land]]/abyss_enforce_bonus,abyss_enforcer_cap)</f>
        <v>0</v>
      </c>
      <c r="CM39" s="265">
        <f ca="1">IF(TblMagic[[#This Row],[Active Demonic Pact]]&gt;0,MIN(TblMili[[#This Row],[Unit 1]],TblMili[[#This Row],[Unit 4]])*demonic_pact_oppair,0)</f>
        <v>0</v>
      </c>
      <c r="CN39" s="266"/>
      <c r="CO39" s="266"/>
      <c r="CP39" s="266"/>
      <c r="CQ39" s="265">
        <f ca="1">MIN(6,TblMili[[#This Row],[Mystic]]+Races!$F$19)*1.8 +  IF(TblMili[[#This Row],[Mystic]]+Races!$F$19&gt;6,(TblMili[[#This Row],[Mystic]]+Races!$F$19-6)*0.2,0) - Races!$I$19</f>
        <v>1</v>
      </c>
      <c r="CR3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-0.64000000000000057</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4.7099999999999991</v>
      </c>
      <c r="DA39" s="157">
        <f ca="1">1.8 * MIN(MAX(TblMili[[#This Row],[Ice Elemental]]+Races!$E$71,Races!$F$71),6)  +  0.45 * MIN(MIN(TblMili[[#This Row],[Ice Elemental]]+Races!$E$71,Races!$F$71),6)  +  0.2 * ( MAX(TblMili[[#This Row],[Ice Elemental]]+Races!$E$71-6,0) + MAX(Races!$F$71-6,0) )  -  Races!$I$71</f>
        <v>0.92999999999999972</v>
      </c>
      <c r="DB39" s="96">
        <f ca="1">TblMili[[#This Row],[Frost Mage bonus]]*TblMili[[#This Row],[Unit 3]]+TblMili[[#This Row],[Ice Elemental bonus]]*TblMili[[#This Row],[Unit 4]]</f>
        <v>0</v>
      </c>
      <c r="DC39" s="267"/>
      <c r="DD39" s="145">
        <f ca="1">MIN(SUM(TblConstr[[#This Row],[Plain]:[Water]])/TblMili[[#This Row],[Land]]/favorable_terrain_bonus/100,favorable_terrain_max)</f>
        <v>0.1</v>
      </c>
      <c r="DE39" s="267"/>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9" s="144"/>
      <c r="DH39" s="268">
        <f ca="1">(TblMili[[#This Row],[Wizards]]+2*TblMili[[#This Row],[Archmages]])/TblConstr[[#This Row],[Land]]</f>
        <v>0.1</v>
      </c>
      <c r="DI39" s="268">
        <f ca="1">TblMili[[#This Row],[Raw (2)]]*(1+race_wizard_strength+IF(TblMili[[#This Row],[Hour]]&gt;72,tech_magical_weaponry_wiz*TblTech[[#This Row],[3-5]],0))</f>
        <v>0.1</v>
      </c>
    </row>
    <row r="40" spans="1:113" x14ac:dyDescent="0.2">
      <c r="A40" s="139">
        <f>TblRezone[[#This Row],[Hour]]</f>
        <v>37</v>
      </c>
      <c r="B40" s="260">
        <f ca="1">SUM(TblMili[[#This Row],[Unit 1]:[Archmages]])+SUM(OFFSET(TblMili[[#This Row],[Train Unit 1]],-8,0):TblMili[[#This Row],[Train Unit 2]]) + SUM(OFFSET(TblMili[[#This Row],[Train Unit 3]],-11,0):TblMili[[#This Row],[Train AM]]) + TblMili[[#This Row],[Draftees]]</f>
        <v>826</v>
      </c>
      <c r="C40" s="159">
        <f ca="1">TblPop[[#This Row],[Military%]]</f>
        <v>0.35029686174724345</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4"/>
      <c r="N40" s="96">
        <f ca="1">TblProd[[#This Row],[Networth]]</f>
        <v>6450</v>
      </c>
      <c r="O40" s="144"/>
      <c r="P4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1">
        <f ca="1">TblMili[[#This Row],[Raw]]*(1+TblMili[[#This Row],[Mods_Off]])</f>
        <v>0</v>
      </c>
      <c r="S4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0" s="261">
        <f ca="1">TblMili[[#This Row],[Non Draft]]+TblMili[[#This Row],[Draftees]]</f>
        <v>1076</v>
      </c>
      <c r="U40" s="262">
        <f ca="1">race_defense + TblImps[[#This Row],[Walls]] + ROUND( MIN(gt_bonus*TblConstr[[#This Row],[Tot GT]]/TblConstr[[#This Row],[Land]],gt_bonus_cap), 4) + IF(TblMagic[[#This Row],[Active Howling]]&gt;0,howling_dp_bonus,IF(TblMagic[[#This Row],[Active Ares Call]]&gt;0,ares_call_bonus))</f>
        <v>0</v>
      </c>
      <c r="V40" s="263">
        <f ca="1">TblMili[[#This Row],[Non Draft]] * (1 + TblMili[[#This Row],[Mods_Def]])</f>
        <v>450</v>
      </c>
      <c r="W40" s="261">
        <f ca="1">TblMili[[#This Row],[Draft]] * (1 + TblMili[[#This Row],[Mods_Def]])</f>
        <v>1076</v>
      </c>
      <c r="X40" s="261">
        <f ca="1">TblConstr[[#This Row],[Land]]</f>
        <v>250</v>
      </c>
      <c r="Y40" s="264"/>
      <c r="Z40" s="269">
        <f ca="1">IF(TblMili[[#This Row],[Set]]&lt;&gt;"",TblMili[[#This Row],[Set]],OFFSET(TblMili[[#This Row],[Draftrate]],-1,0))</f>
        <v>0.35</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6"/>
      <c r="AC40" s="182">
        <f ca="1">(TblConstr[[#This Row],[Tot Smi]]+TblConstr[[#This Row],[Dest Smi]])/(TblConstr[[#This Row],[Land]]-TblExplore[[#This Row],[Land Bonus]]*20)</f>
        <v>0</v>
      </c>
      <c r="AD40" s="139"/>
      <c r="AE40" s="260">
        <f>TblMili[[#This Row],[Hour]]</f>
        <v>37</v>
      </c>
      <c r="AF40" s="140">
        <f ca="1">TblExplore[[#This Row],[Time]]</f>
        <v>45733.499999999913</v>
      </c>
      <c r="AG40" s="181"/>
      <c r="AH40" s="181"/>
      <c r="AI40" s="181"/>
      <c r="AJ40" s="181"/>
      <c r="AK40" s="181"/>
      <c r="AL40" s="181"/>
      <c r="AM40" s="181"/>
      <c r="AN40" s="181"/>
      <c r="AO40" s="448">
        <f ca="1">ROUND(IF(AND(TblMagic[[#This Row],[Active DnD]]&lt;12,TblMagic[[#This Row],[Active DnD]]&gt;5),OFFSET(TblPop[[#This Row],[Draft Growth]],-1,0)*0.375,0),0)</f>
        <v>0</v>
      </c>
      <c r="AP40" s="144"/>
      <c r="AQ40" s="96">
        <f ca="1">TblProd[[#This Row],[Platinum]]</f>
        <v>318374</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45733.499999999913</v>
      </c>
      <c r="AW40" s="96">
        <f ca="1">TblMili[[#This Row],[Draftees]]</f>
        <v>626</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0.44</v>
      </c>
      <c r="BX40" s="159">
        <f ca="1">TblMili[[#This Row],[WG''s]]</f>
        <v>0</v>
      </c>
      <c r="BY40" s="265">
        <f ca="1">IF(mystic_cap="none",TblMili[[#This Row],[Homeland%]]/mystic_bonus,MIN(mystic_cap,TblMili[[#This Row],[Homeland%]]/mystic_bonus))</f>
        <v>2</v>
      </c>
      <c r="BZ40" s="265">
        <f ca="1">IF(druid_op_cap="none",TblMili[[#This Row],[Homeland%]]/druid_op_bonus,MIN(druid_op_cap,TblMili[[#This Row],[Homeland%]]/druid_op_bonus))</f>
        <v>2</v>
      </c>
      <c r="CA40" s="265">
        <f ca="1">IF(druid_dp_cap="none",TblMili[[#This Row],[Homeland%]]/druid_dp_bonus,MIN(druid_dp_cap,TblMili[[#This Row],[Homeland%]]/druid_dp_bonus))</f>
        <v>2</v>
      </c>
      <c r="CB40" s="265">
        <f ca="1">MIN(dryad_cap,TblMili[[#This Row],[Homeland%]]/dryad_bonus)</f>
        <v>2.1999999999999997</v>
      </c>
      <c r="CC40" s="265">
        <f ca="1">MIN(rocka_cap,TblMili[[#This Row],[Homeland%]]/rocka_bonus)</f>
        <v>2</v>
      </c>
      <c r="CD40" s="265">
        <f ca="1">MIN(adept_op_cap,TblMili[[#This Row],[WG]]/adept_op_bonus)</f>
        <v>0</v>
      </c>
      <c r="CE40" s="265">
        <f ca="1">MIN(adept_dp_cap,TblMili[[#This Row],[WG]]/adept_dp_bonus)</f>
        <v>0</v>
      </c>
      <c r="CF40" s="96">
        <f ca="1">MIN(TblMili[[#This Row],[Unit 3]],TblMili[[#This Row],[Unit 2]])*2</f>
        <v>0</v>
      </c>
      <c r="CG40" s="96">
        <f ca="1">MIN(TblMili[[#This Row],[Unit 1]],TblMili[[#This Row],[Unit 4]])*2</f>
        <v>0</v>
      </c>
      <c r="CH40" s="265">
        <f ca="1">MIN(frost_mage_cap,TblMili[[#This Row],[Homeland%]]/frost_mage_bonus)</f>
        <v>2.1999999999999997</v>
      </c>
      <c r="CI40" s="45">
        <f ca="1">MIN(ice_elem_cap,TblMili[[#This Row],[Raw (2)]]*ice_elem_bonus)</f>
        <v>0.1</v>
      </c>
      <c r="CJ40" s="265">
        <f t="shared" si="2"/>
        <v>0.83333333333333337</v>
      </c>
      <c r="CK40" s="265">
        <f ca="1">MIN(nox_nightshade_cap,TblConstr[[#This Row],[Homeland]]/TblConstr[[#This Row],[Land]]/nox_nightshade_swamp_bonus)</f>
        <v>4</v>
      </c>
      <c r="CL40" s="265">
        <f ca="1">MIN(TblConstr[[#This Row],[Tot Tow]]/TblConstr[[#This Row],[Land]]/abyss_enforce_bonus,abyss_enforcer_cap)</f>
        <v>0</v>
      </c>
      <c r="CM40" s="265">
        <f ca="1">IF(TblMagic[[#This Row],[Active Demonic Pact]]&gt;0,MIN(TblMili[[#This Row],[Unit 1]],TblMili[[#This Row],[Unit 4]])*demonic_pact_oppair,0)</f>
        <v>0</v>
      </c>
      <c r="CN40" s="266"/>
      <c r="CO40" s="266"/>
      <c r="CP40" s="266"/>
      <c r="CQ40" s="265">
        <f ca="1">MIN(6,TblMili[[#This Row],[Mystic]]+Races!$F$19)*1.8 +  IF(TblMili[[#This Row],[Mystic]]+Races!$F$19&gt;6,(TblMili[[#This Row],[Mystic]]+Races!$F$19-6)*0.2,0) - Races!$I$19</f>
        <v>1</v>
      </c>
      <c r="CR4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-0.64000000000000057</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4.7099999999999991</v>
      </c>
      <c r="DA40" s="157">
        <f ca="1">1.8 * MIN(MAX(TblMili[[#This Row],[Ice Elemental]]+Races!$E$71,Races!$F$71),6)  +  0.45 * MIN(MIN(TblMili[[#This Row],[Ice Elemental]]+Races!$E$71,Races!$F$71),6)  +  0.2 * ( MAX(TblMili[[#This Row],[Ice Elemental]]+Races!$E$71-6,0) + MAX(Races!$F$71-6,0) )  -  Races!$I$71</f>
        <v>0.92999999999999972</v>
      </c>
      <c r="DB40" s="96">
        <f ca="1">TblMili[[#This Row],[Frost Mage bonus]]*TblMili[[#This Row],[Unit 3]]+TblMili[[#This Row],[Ice Elemental bonus]]*TblMili[[#This Row],[Unit 4]]</f>
        <v>0</v>
      </c>
      <c r="DC40" s="267"/>
      <c r="DD40" s="145">
        <f ca="1">MIN(SUM(TblConstr[[#This Row],[Plain]:[Water]])/TblMili[[#This Row],[Land]]/favorable_terrain_bonus/100,favorable_terrain_max)</f>
        <v>0.1</v>
      </c>
      <c r="DE40" s="267"/>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0" s="144"/>
      <c r="DH40" s="268">
        <f ca="1">(TblMili[[#This Row],[Wizards]]+2*TblMili[[#This Row],[Archmages]])/TblConstr[[#This Row],[Land]]</f>
        <v>0.1</v>
      </c>
      <c r="DI40" s="268">
        <f ca="1">TblMili[[#This Row],[Raw (2)]]*(1+race_wizard_strength+IF(TblMili[[#This Row],[Hour]]&gt;72,tech_magical_weaponry_wiz*TblTech[[#This Row],[3-5]],0))</f>
        <v>0.1</v>
      </c>
    </row>
    <row r="41" spans="1:113" x14ac:dyDescent="0.2">
      <c r="A41" s="139">
        <f>TblRezone[[#This Row],[Hour]]</f>
        <v>38</v>
      </c>
      <c r="B41" s="260">
        <f ca="1">SUM(TblMili[[#This Row],[Unit 1]:[Archmages]])+SUM(OFFSET(TblMili[[#This Row],[Train Unit 1]],-8,0):TblMili[[#This Row],[Train Unit 2]]) + SUM(OFFSET(TblMili[[#This Row],[Train Unit 3]],-11,0):TblMili[[#This Row],[Train AM]]) + TblMili[[#This Row],[Draftees]]</f>
        <v>826</v>
      </c>
      <c r="C41" s="159">
        <f ca="1">TblPop[[#This Row],[Military%]]</f>
        <v>0.35029686174724345</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4"/>
      <c r="N41" s="96">
        <f ca="1">TblProd[[#This Row],[Networth]]</f>
        <v>6450</v>
      </c>
      <c r="O41" s="144"/>
      <c r="P4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1">
        <f ca="1">TblMili[[#This Row],[Raw]]*(1+TblMili[[#This Row],[Mods_Off]])</f>
        <v>0</v>
      </c>
      <c r="S4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1" s="261">
        <f ca="1">TblMili[[#This Row],[Non Draft]]+TblMili[[#This Row],[Draftees]]</f>
        <v>1076</v>
      </c>
      <c r="U41" s="262">
        <f ca="1">race_defense + TblImps[[#This Row],[Walls]] + ROUND( MIN(gt_bonus*TblConstr[[#This Row],[Tot GT]]/TblConstr[[#This Row],[Land]],gt_bonus_cap), 4) + IF(TblMagic[[#This Row],[Active Howling]]&gt;0,howling_dp_bonus,IF(TblMagic[[#This Row],[Active Ares Call]]&gt;0,ares_call_bonus))</f>
        <v>0</v>
      </c>
      <c r="V41" s="263">
        <f ca="1">TblMili[[#This Row],[Non Draft]] * (1 + TblMili[[#This Row],[Mods_Def]])</f>
        <v>450</v>
      </c>
      <c r="W41" s="261">
        <f ca="1">TblMili[[#This Row],[Draft]] * (1 + TblMili[[#This Row],[Mods_Def]])</f>
        <v>1076</v>
      </c>
      <c r="X41" s="261">
        <f ca="1">TblConstr[[#This Row],[Land]]</f>
        <v>250</v>
      </c>
      <c r="Y41" s="264"/>
      <c r="Z41" s="269">
        <f ca="1">IF(TblMili[[#This Row],[Set]]&lt;&gt;"",TblMili[[#This Row],[Set]],OFFSET(TblMili[[#This Row],[Draftrate]],-1,0))</f>
        <v>0.35</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6"/>
      <c r="AC41" s="182">
        <f ca="1">(TblConstr[[#This Row],[Tot Smi]]+TblConstr[[#This Row],[Dest Smi]])/(TblConstr[[#This Row],[Land]]-TblExplore[[#This Row],[Land Bonus]]*20)</f>
        <v>0</v>
      </c>
      <c r="AD41" s="139"/>
      <c r="AE41" s="260">
        <f>TblMili[[#This Row],[Hour]]</f>
        <v>38</v>
      </c>
      <c r="AF41" s="140">
        <f ca="1">TblExplore[[#This Row],[Time]]</f>
        <v>45733.541666666577</v>
      </c>
      <c r="AG41" s="181"/>
      <c r="AH41" s="181"/>
      <c r="AI41" s="181"/>
      <c r="AJ41" s="181"/>
      <c r="AK41" s="181"/>
      <c r="AL41" s="181"/>
      <c r="AM41" s="181"/>
      <c r="AN41" s="181"/>
      <c r="AO41" s="448">
        <f ca="1">ROUND(IF(AND(TblMagic[[#This Row],[Active DnD]]&lt;12,TblMagic[[#This Row],[Active DnD]]&gt;5),OFFSET(TblPop[[#This Row],[Draft Growth]],-1,0)*0.375,0),0)</f>
        <v>0</v>
      </c>
      <c r="AP41" s="144"/>
      <c r="AQ41" s="96">
        <f ca="1">TblProd[[#This Row],[Platinum]]</f>
        <v>323860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45733.541666666577</v>
      </c>
      <c r="AW41" s="96">
        <f ca="1">TblMili[[#This Row],[Draftees]]</f>
        <v>626</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0.44</v>
      </c>
      <c r="BX41" s="159">
        <f ca="1">TblMili[[#This Row],[WG''s]]</f>
        <v>0</v>
      </c>
      <c r="BY41" s="265">
        <f ca="1">IF(mystic_cap="none",TblMili[[#This Row],[Homeland%]]/mystic_bonus,MIN(mystic_cap,TblMili[[#This Row],[Homeland%]]/mystic_bonus))</f>
        <v>2</v>
      </c>
      <c r="BZ41" s="265">
        <f ca="1">IF(druid_op_cap="none",TblMili[[#This Row],[Homeland%]]/druid_op_bonus,MIN(druid_op_cap,TblMili[[#This Row],[Homeland%]]/druid_op_bonus))</f>
        <v>2</v>
      </c>
      <c r="CA41" s="265">
        <f ca="1">IF(druid_dp_cap="none",TblMili[[#This Row],[Homeland%]]/druid_dp_bonus,MIN(druid_dp_cap,TblMili[[#This Row],[Homeland%]]/druid_dp_bonus))</f>
        <v>2</v>
      </c>
      <c r="CB41" s="265">
        <f ca="1">MIN(dryad_cap,TblMili[[#This Row],[Homeland%]]/dryad_bonus)</f>
        <v>2.1999999999999997</v>
      </c>
      <c r="CC41" s="265">
        <f ca="1">MIN(rocka_cap,TblMili[[#This Row],[Homeland%]]/rocka_bonus)</f>
        <v>2</v>
      </c>
      <c r="CD41" s="265">
        <f ca="1">MIN(adept_op_cap,TblMili[[#This Row],[WG]]/adept_op_bonus)</f>
        <v>0</v>
      </c>
      <c r="CE41" s="265">
        <f ca="1">MIN(adept_dp_cap,TblMili[[#This Row],[WG]]/adept_dp_bonus)</f>
        <v>0</v>
      </c>
      <c r="CF41" s="96">
        <f ca="1">MIN(TblMili[[#This Row],[Unit 3]],TblMili[[#This Row],[Unit 2]])*2</f>
        <v>0</v>
      </c>
      <c r="CG41" s="96">
        <f ca="1">MIN(TblMili[[#This Row],[Unit 1]],TblMili[[#This Row],[Unit 4]])*2</f>
        <v>0</v>
      </c>
      <c r="CH41" s="265">
        <f ca="1">MIN(frost_mage_cap,TblMili[[#This Row],[Homeland%]]/frost_mage_bonus)</f>
        <v>2.1999999999999997</v>
      </c>
      <c r="CI41" s="45">
        <f ca="1">MIN(ice_elem_cap,TblMili[[#This Row],[Raw (2)]]*ice_elem_bonus)</f>
        <v>0.1</v>
      </c>
      <c r="CJ41" s="265">
        <f t="shared" si="2"/>
        <v>0.83333333333333337</v>
      </c>
      <c r="CK41" s="265">
        <f ca="1">MIN(nox_nightshade_cap,TblConstr[[#This Row],[Homeland]]/TblConstr[[#This Row],[Land]]/nox_nightshade_swamp_bonus)</f>
        <v>4</v>
      </c>
      <c r="CL41" s="265">
        <f ca="1">MIN(TblConstr[[#This Row],[Tot Tow]]/TblConstr[[#This Row],[Land]]/abyss_enforce_bonus,abyss_enforcer_cap)</f>
        <v>0</v>
      </c>
      <c r="CM41" s="265">
        <f ca="1">IF(TblMagic[[#This Row],[Active Demonic Pact]]&gt;0,MIN(TblMili[[#This Row],[Unit 1]],TblMili[[#This Row],[Unit 4]])*demonic_pact_oppair,0)</f>
        <v>0</v>
      </c>
      <c r="CN41" s="266"/>
      <c r="CO41" s="266"/>
      <c r="CP41" s="266"/>
      <c r="CQ41" s="265">
        <f ca="1">MIN(6,TblMili[[#This Row],[Mystic]]+Races!$F$19)*1.8 +  IF(TblMili[[#This Row],[Mystic]]+Races!$F$19&gt;6,(TblMili[[#This Row],[Mystic]]+Races!$F$19-6)*0.2,0) - Races!$I$19</f>
        <v>1</v>
      </c>
      <c r="CR4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-0.64000000000000057</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4.7099999999999991</v>
      </c>
      <c r="DA41" s="157">
        <f ca="1">1.8 * MIN(MAX(TblMili[[#This Row],[Ice Elemental]]+Races!$E$71,Races!$F$71),6)  +  0.45 * MIN(MIN(TblMili[[#This Row],[Ice Elemental]]+Races!$E$71,Races!$F$71),6)  +  0.2 * ( MAX(TblMili[[#This Row],[Ice Elemental]]+Races!$E$71-6,0) + MAX(Races!$F$71-6,0) )  -  Races!$I$71</f>
        <v>0.92999999999999972</v>
      </c>
      <c r="DB41" s="96">
        <f ca="1">TblMili[[#This Row],[Frost Mage bonus]]*TblMili[[#This Row],[Unit 3]]+TblMili[[#This Row],[Ice Elemental bonus]]*TblMili[[#This Row],[Unit 4]]</f>
        <v>0</v>
      </c>
      <c r="DC41" s="267"/>
      <c r="DD41" s="145">
        <f ca="1">MIN(SUM(TblConstr[[#This Row],[Plain]:[Water]])/TblMili[[#This Row],[Land]]/favorable_terrain_bonus/100,favorable_terrain_max)</f>
        <v>0.1</v>
      </c>
      <c r="DE41" s="267"/>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1" s="144"/>
      <c r="DH41" s="268">
        <f ca="1">(TblMili[[#This Row],[Wizards]]+2*TblMili[[#This Row],[Archmages]])/TblConstr[[#This Row],[Land]]</f>
        <v>0.1</v>
      </c>
      <c r="DI41" s="268">
        <f ca="1">TblMili[[#This Row],[Raw (2)]]*(1+race_wizard_strength+IF(TblMili[[#This Row],[Hour]]&gt;72,tech_magical_weaponry_wiz*TblTech[[#This Row],[3-5]],0))</f>
        <v>0.1</v>
      </c>
    </row>
    <row r="42" spans="1:113" x14ac:dyDescent="0.2">
      <c r="A42" s="139">
        <f>TblRezone[[#This Row],[Hour]]</f>
        <v>39</v>
      </c>
      <c r="B42" s="260">
        <f ca="1">SUM(TblMili[[#This Row],[Unit 1]:[Archmages]])+SUM(OFFSET(TblMili[[#This Row],[Train Unit 1]],-8,0):TblMili[[#This Row],[Train Unit 2]]) + SUM(OFFSET(TblMili[[#This Row],[Train Unit 3]],-11,0):TblMili[[#This Row],[Train AM]]) + TblMili[[#This Row],[Draftees]]</f>
        <v>826</v>
      </c>
      <c r="C42" s="159">
        <f ca="1">TblPop[[#This Row],[Military%]]</f>
        <v>0.35029686174724345</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4"/>
      <c r="N42" s="96">
        <f ca="1">TblProd[[#This Row],[Networth]]</f>
        <v>6450</v>
      </c>
      <c r="O42" s="144"/>
      <c r="P4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1">
        <f ca="1">TblMili[[#This Row],[Raw]]*(1+TblMili[[#This Row],[Mods_Off]])</f>
        <v>0</v>
      </c>
      <c r="S4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2" s="261">
        <f ca="1">TblMili[[#This Row],[Non Draft]]+TblMili[[#This Row],[Draftees]]</f>
        <v>1076</v>
      </c>
      <c r="U42" s="262">
        <f ca="1">race_defense + TblImps[[#This Row],[Walls]] + ROUND( MIN(gt_bonus*TblConstr[[#This Row],[Tot GT]]/TblConstr[[#This Row],[Land]],gt_bonus_cap), 4) + IF(TblMagic[[#This Row],[Active Howling]]&gt;0,howling_dp_bonus,IF(TblMagic[[#This Row],[Active Ares Call]]&gt;0,ares_call_bonus))</f>
        <v>0</v>
      </c>
      <c r="V42" s="263">
        <f ca="1">TblMili[[#This Row],[Non Draft]] * (1 + TblMili[[#This Row],[Mods_Def]])</f>
        <v>450</v>
      </c>
      <c r="W42" s="261">
        <f ca="1">TblMili[[#This Row],[Draft]] * (1 + TblMili[[#This Row],[Mods_Def]])</f>
        <v>1076</v>
      </c>
      <c r="X42" s="261">
        <f ca="1">TblConstr[[#This Row],[Land]]</f>
        <v>250</v>
      </c>
      <c r="Y42" s="264"/>
      <c r="Z42" s="269">
        <f ca="1">IF(TblMili[[#This Row],[Set]]&lt;&gt;"",TblMili[[#This Row],[Set]],OFFSET(TblMili[[#This Row],[Draftrate]],-1,0))</f>
        <v>0.35</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6"/>
      <c r="AC42" s="182">
        <f ca="1">(TblConstr[[#This Row],[Tot Smi]]+TblConstr[[#This Row],[Dest Smi]])/(TblConstr[[#This Row],[Land]]-TblExplore[[#This Row],[Land Bonus]]*20)</f>
        <v>0</v>
      </c>
      <c r="AD42" s="139"/>
      <c r="AE42" s="260">
        <f>TblMili[[#This Row],[Hour]]</f>
        <v>39</v>
      </c>
      <c r="AF42" s="140">
        <f ca="1">TblExplore[[#This Row],[Time]]</f>
        <v>45733.583333333241</v>
      </c>
      <c r="AG42" s="181"/>
      <c r="AH42" s="181"/>
      <c r="AI42" s="181"/>
      <c r="AJ42" s="181"/>
      <c r="AK42" s="181"/>
      <c r="AL42" s="181"/>
      <c r="AM42" s="181"/>
      <c r="AN42" s="181"/>
      <c r="AO42" s="448">
        <f ca="1">ROUND(IF(AND(TblMagic[[#This Row],[Active DnD]]&lt;12,TblMagic[[#This Row],[Active DnD]]&gt;5),OFFSET(TblPop[[#This Row],[Draft Growth]],-1,0)*0.375,0),0)</f>
        <v>0</v>
      </c>
      <c r="AP42" s="144"/>
      <c r="AQ42" s="96">
        <f ca="1">TblProd[[#This Row],[Platinum]]</f>
        <v>329346</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45733.583333333241</v>
      </c>
      <c r="AW42" s="96">
        <f ca="1">TblMili[[#This Row],[Draftees]]</f>
        <v>626</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0.44</v>
      </c>
      <c r="BX42" s="159">
        <f ca="1">TblMili[[#This Row],[WG''s]]</f>
        <v>0</v>
      </c>
      <c r="BY42" s="265">
        <f ca="1">IF(mystic_cap="none",TblMili[[#This Row],[Homeland%]]/mystic_bonus,MIN(mystic_cap,TblMili[[#This Row],[Homeland%]]/mystic_bonus))</f>
        <v>2</v>
      </c>
      <c r="BZ42" s="265">
        <f ca="1">IF(druid_op_cap="none",TblMili[[#This Row],[Homeland%]]/druid_op_bonus,MIN(druid_op_cap,TblMili[[#This Row],[Homeland%]]/druid_op_bonus))</f>
        <v>2</v>
      </c>
      <c r="CA42" s="265">
        <f ca="1">IF(druid_dp_cap="none",TblMili[[#This Row],[Homeland%]]/druid_dp_bonus,MIN(druid_dp_cap,TblMili[[#This Row],[Homeland%]]/druid_dp_bonus))</f>
        <v>2</v>
      </c>
      <c r="CB42" s="265">
        <f ca="1">MIN(dryad_cap,TblMili[[#This Row],[Homeland%]]/dryad_bonus)</f>
        <v>2.1999999999999997</v>
      </c>
      <c r="CC42" s="265">
        <f ca="1">MIN(rocka_cap,TblMili[[#This Row],[Homeland%]]/rocka_bonus)</f>
        <v>2</v>
      </c>
      <c r="CD42" s="265">
        <f ca="1">MIN(adept_op_cap,TblMili[[#This Row],[WG]]/adept_op_bonus)</f>
        <v>0</v>
      </c>
      <c r="CE42" s="265">
        <f ca="1">MIN(adept_dp_cap,TblMili[[#This Row],[WG]]/adept_dp_bonus)</f>
        <v>0</v>
      </c>
      <c r="CF42" s="96">
        <f ca="1">MIN(TblMili[[#This Row],[Unit 3]],TblMili[[#This Row],[Unit 2]])*2</f>
        <v>0</v>
      </c>
      <c r="CG42" s="96">
        <f ca="1">MIN(TblMili[[#This Row],[Unit 1]],TblMili[[#This Row],[Unit 4]])*2</f>
        <v>0</v>
      </c>
      <c r="CH42" s="265">
        <f ca="1">MIN(frost_mage_cap,TblMili[[#This Row],[Homeland%]]/frost_mage_bonus)</f>
        <v>2.1999999999999997</v>
      </c>
      <c r="CI42" s="45">
        <f ca="1">MIN(ice_elem_cap,TblMili[[#This Row],[Raw (2)]]*ice_elem_bonus)</f>
        <v>0.1</v>
      </c>
      <c r="CJ42" s="265">
        <f t="shared" si="2"/>
        <v>0.83333333333333337</v>
      </c>
      <c r="CK42" s="265">
        <f ca="1">MIN(nox_nightshade_cap,TblConstr[[#This Row],[Homeland]]/TblConstr[[#This Row],[Land]]/nox_nightshade_swamp_bonus)</f>
        <v>4</v>
      </c>
      <c r="CL42" s="265">
        <f ca="1">MIN(TblConstr[[#This Row],[Tot Tow]]/TblConstr[[#This Row],[Land]]/abyss_enforce_bonus,abyss_enforcer_cap)</f>
        <v>0</v>
      </c>
      <c r="CM42" s="265">
        <f ca="1">IF(TblMagic[[#This Row],[Active Demonic Pact]]&gt;0,MIN(TblMili[[#This Row],[Unit 1]],TblMili[[#This Row],[Unit 4]])*demonic_pact_oppair,0)</f>
        <v>0</v>
      </c>
      <c r="CN42" s="266"/>
      <c r="CO42" s="266"/>
      <c r="CP42" s="266"/>
      <c r="CQ42" s="265">
        <f ca="1">MIN(6,TblMili[[#This Row],[Mystic]]+Races!$F$19)*1.8 +  IF(TblMili[[#This Row],[Mystic]]+Races!$F$19&gt;6,(TblMili[[#This Row],[Mystic]]+Races!$F$19-6)*0.2,0) - Races!$I$19</f>
        <v>1</v>
      </c>
      <c r="CR4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-0.64000000000000057</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4.7099999999999991</v>
      </c>
      <c r="DA42" s="157">
        <f ca="1">1.8 * MIN(MAX(TblMili[[#This Row],[Ice Elemental]]+Races!$E$71,Races!$F$71),6)  +  0.45 * MIN(MIN(TblMili[[#This Row],[Ice Elemental]]+Races!$E$71,Races!$F$71),6)  +  0.2 * ( MAX(TblMili[[#This Row],[Ice Elemental]]+Races!$E$71-6,0) + MAX(Races!$F$71-6,0) )  -  Races!$I$71</f>
        <v>0.92999999999999972</v>
      </c>
      <c r="DB42" s="96">
        <f ca="1">TblMili[[#This Row],[Frost Mage bonus]]*TblMili[[#This Row],[Unit 3]]+TblMili[[#This Row],[Ice Elemental bonus]]*TblMili[[#This Row],[Unit 4]]</f>
        <v>0</v>
      </c>
      <c r="DC42" s="267"/>
      <c r="DD42" s="145">
        <f ca="1">MIN(SUM(TblConstr[[#This Row],[Plain]:[Water]])/TblMili[[#This Row],[Land]]/favorable_terrain_bonus/100,favorable_terrain_max)</f>
        <v>0.1</v>
      </c>
      <c r="DE42" s="267"/>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2" s="144"/>
      <c r="DH42" s="268">
        <f ca="1">(TblMili[[#This Row],[Wizards]]+2*TblMili[[#This Row],[Archmages]])/TblConstr[[#This Row],[Land]]</f>
        <v>0.1</v>
      </c>
      <c r="DI42" s="268">
        <f ca="1">TblMili[[#This Row],[Raw (2)]]*(1+race_wizard_strength+IF(TblMili[[#This Row],[Hour]]&gt;72,tech_magical_weaponry_wiz*TblTech[[#This Row],[3-5]],0))</f>
        <v>0.1</v>
      </c>
    </row>
    <row r="43" spans="1:113" x14ac:dyDescent="0.2">
      <c r="A43" s="139">
        <f>TblRezone[[#This Row],[Hour]]</f>
        <v>40</v>
      </c>
      <c r="B43" s="260">
        <f ca="1">SUM(TblMili[[#This Row],[Unit 1]:[Archmages]])+SUM(OFFSET(TblMili[[#This Row],[Train Unit 1]],-8,0):TblMili[[#This Row],[Train Unit 2]]) + SUM(OFFSET(TblMili[[#This Row],[Train Unit 3]],-11,0):TblMili[[#This Row],[Train AM]]) + TblMili[[#This Row],[Draftees]]</f>
        <v>826</v>
      </c>
      <c r="C43" s="159">
        <f ca="1">TblPop[[#This Row],[Military%]]</f>
        <v>0.35029686174724345</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4"/>
      <c r="N43" s="96">
        <f ca="1">TblProd[[#This Row],[Networth]]</f>
        <v>6450</v>
      </c>
      <c r="O43" s="144"/>
      <c r="P4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1">
        <f ca="1">TblMili[[#This Row],[Raw]]*(1+TblMili[[#This Row],[Mods_Off]])</f>
        <v>0</v>
      </c>
      <c r="S4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3" s="261">
        <f ca="1">TblMili[[#This Row],[Non Draft]]+TblMili[[#This Row],[Draftees]]</f>
        <v>1076</v>
      </c>
      <c r="U43" s="262">
        <f ca="1">race_defense + TblImps[[#This Row],[Walls]] + ROUND( MIN(gt_bonus*TblConstr[[#This Row],[Tot GT]]/TblConstr[[#This Row],[Land]],gt_bonus_cap), 4) + IF(TblMagic[[#This Row],[Active Howling]]&gt;0,howling_dp_bonus,IF(TblMagic[[#This Row],[Active Ares Call]]&gt;0,ares_call_bonus))</f>
        <v>0</v>
      </c>
      <c r="V43" s="263">
        <f ca="1">TblMili[[#This Row],[Non Draft]] * (1 + TblMili[[#This Row],[Mods_Def]])</f>
        <v>450</v>
      </c>
      <c r="W43" s="261">
        <f ca="1">TblMili[[#This Row],[Draft]] * (1 + TblMili[[#This Row],[Mods_Def]])</f>
        <v>1076</v>
      </c>
      <c r="X43" s="261">
        <f ca="1">TblConstr[[#This Row],[Land]]</f>
        <v>250</v>
      </c>
      <c r="Y43" s="264"/>
      <c r="Z43" s="269">
        <f ca="1">IF(TblMili[[#This Row],[Set]]&lt;&gt;"",TblMili[[#This Row],[Set]],OFFSET(TblMili[[#This Row],[Draftrate]],-1,0))</f>
        <v>0.35</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6"/>
      <c r="AC43" s="182">
        <f ca="1">(TblConstr[[#This Row],[Tot Smi]]+TblConstr[[#This Row],[Dest Smi]])/(TblConstr[[#This Row],[Land]]-TblExplore[[#This Row],[Land Bonus]]*20)</f>
        <v>0</v>
      </c>
      <c r="AD43" s="139"/>
      <c r="AE43" s="260">
        <f>TblMili[[#This Row],[Hour]]</f>
        <v>40</v>
      </c>
      <c r="AF43" s="140">
        <f ca="1">TblExplore[[#This Row],[Time]]</f>
        <v>45733.624999999905</v>
      </c>
      <c r="AG43" s="181"/>
      <c r="AH43" s="181"/>
      <c r="AI43" s="181"/>
      <c r="AJ43" s="181"/>
      <c r="AK43" s="181"/>
      <c r="AL43" s="181"/>
      <c r="AM43" s="181"/>
      <c r="AN43" s="181"/>
      <c r="AO43" s="448">
        <f ca="1">ROUND(IF(AND(TblMagic[[#This Row],[Active DnD]]&lt;12,TblMagic[[#This Row],[Active DnD]]&gt;5),OFFSET(TblPop[[#This Row],[Draft Growth]],-1,0)*0.375,0),0)</f>
        <v>0</v>
      </c>
      <c r="AP43" s="144"/>
      <c r="AQ43" s="96">
        <f ca="1">TblProd[[#This Row],[Platinum]]</f>
        <v>334832</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45733.624999999905</v>
      </c>
      <c r="AW43" s="96">
        <f ca="1">TblMili[[#This Row],[Draftees]]</f>
        <v>626</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0.44</v>
      </c>
      <c r="BX43" s="159">
        <f ca="1">TblMili[[#This Row],[WG''s]]</f>
        <v>0</v>
      </c>
      <c r="BY43" s="265">
        <f ca="1">IF(mystic_cap="none",TblMili[[#This Row],[Homeland%]]/mystic_bonus,MIN(mystic_cap,TblMili[[#This Row],[Homeland%]]/mystic_bonus))</f>
        <v>2</v>
      </c>
      <c r="BZ43" s="265">
        <f ca="1">IF(druid_op_cap="none",TblMili[[#This Row],[Homeland%]]/druid_op_bonus,MIN(druid_op_cap,TblMili[[#This Row],[Homeland%]]/druid_op_bonus))</f>
        <v>2</v>
      </c>
      <c r="CA43" s="265">
        <f ca="1">IF(druid_dp_cap="none",TblMili[[#This Row],[Homeland%]]/druid_dp_bonus,MIN(druid_dp_cap,TblMili[[#This Row],[Homeland%]]/druid_dp_bonus))</f>
        <v>2</v>
      </c>
      <c r="CB43" s="265">
        <f ca="1">MIN(dryad_cap,TblMili[[#This Row],[Homeland%]]/dryad_bonus)</f>
        <v>2.1999999999999997</v>
      </c>
      <c r="CC43" s="265">
        <f ca="1">MIN(rocka_cap,TblMili[[#This Row],[Homeland%]]/rocka_bonus)</f>
        <v>2</v>
      </c>
      <c r="CD43" s="265">
        <f ca="1">MIN(adept_op_cap,TblMili[[#This Row],[WG]]/adept_op_bonus)</f>
        <v>0</v>
      </c>
      <c r="CE43" s="265">
        <f ca="1">MIN(adept_dp_cap,TblMili[[#This Row],[WG]]/adept_dp_bonus)</f>
        <v>0</v>
      </c>
      <c r="CF43" s="96">
        <f ca="1">MIN(TblMili[[#This Row],[Unit 3]],TblMili[[#This Row],[Unit 2]])*2</f>
        <v>0</v>
      </c>
      <c r="CG43" s="96">
        <f ca="1">MIN(TblMili[[#This Row],[Unit 1]],TblMili[[#This Row],[Unit 4]])*2</f>
        <v>0</v>
      </c>
      <c r="CH43" s="265">
        <f ca="1">MIN(frost_mage_cap,TblMili[[#This Row],[Homeland%]]/frost_mage_bonus)</f>
        <v>2.1999999999999997</v>
      </c>
      <c r="CI43" s="45">
        <f ca="1">MIN(ice_elem_cap,TblMili[[#This Row],[Raw (2)]]*ice_elem_bonus)</f>
        <v>0.1</v>
      </c>
      <c r="CJ43" s="265">
        <f t="shared" si="2"/>
        <v>0.83333333333333337</v>
      </c>
      <c r="CK43" s="265">
        <f ca="1">MIN(nox_nightshade_cap,TblConstr[[#This Row],[Homeland]]/TblConstr[[#This Row],[Land]]/nox_nightshade_swamp_bonus)</f>
        <v>4</v>
      </c>
      <c r="CL43" s="265">
        <f ca="1">MIN(TblConstr[[#This Row],[Tot Tow]]/TblConstr[[#This Row],[Land]]/abyss_enforce_bonus,abyss_enforcer_cap)</f>
        <v>0</v>
      </c>
      <c r="CM43" s="265">
        <f ca="1">IF(TblMagic[[#This Row],[Active Demonic Pact]]&gt;0,MIN(TblMili[[#This Row],[Unit 1]],TblMili[[#This Row],[Unit 4]])*demonic_pact_oppair,0)</f>
        <v>0</v>
      </c>
      <c r="CN43" s="266"/>
      <c r="CO43" s="266"/>
      <c r="CP43" s="266"/>
      <c r="CQ43" s="265">
        <f ca="1">MIN(6,TblMili[[#This Row],[Mystic]]+Races!$F$19)*1.8 +  IF(TblMili[[#This Row],[Mystic]]+Races!$F$19&gt;6,(TblMili[[#This Row],[Mystic]]+Races!$F$19-6)*0.2,0) - Races!$I$19</f>
        <v>1</v>
      </c>
      <c r="CR4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-0.64000000000000057</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4.7099999999999991</v>
      </c>
      <c r="DA43" s="157">
        <f ca="1">1.8 * MIN(MAX(TblMili[[#This Row],[Ice Elemental]]+Races!$E$71,Races!$F$71),6)  +  0.45 * MIN(MIN(TblMili[[#This Row],[Ice Elemental]]+Races!$E$71,Races!$F$71),6)  +  0.2 * ( MAX(TblMili[[#This Row],[Ice Elemental]]+Races!$E$71-6,0) + MAX(Races!$F$71-6,0) )  -  Races!$I$71</f>
        <v>0.92999999999999972</v>
      </c>
      <c r="DB43" s="96">
        <f ca="1">TblMili[[#This Row],[Frost Mage bonus]]*TblMili[[#This Row],[Unit 3]]+TblMili[[#This Row],[Ice Elemental bonus]]*TblMili[[#This Row],[Unit 4]]</f>
        <v>0</v>
      </c>
      <c r="DC43" s="267"/>
      <c r="DD43" s="145">
        <f ca="1">MIN(SUM(TblConstr[[#This Row],[Plain]:[Water]])/TblMili[[#This Row],[Land]]/favorable_terrain_bonus/100,favorable_terrain_max)</f>
        <v>0.1</v>
      </c>
      <c r="DE43" s="267"/>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3" s="144"/>
      <c r="DH43" s="268">
        <f ca="1">(TblMili[[#This Row],[Wizards]]+2*TblMili[[#This Row],[Archmages]])/TblConstr[[#This Row],[Land]]</f>
        <v>0.1</v>
      </c>
      <c r="DI43" s="268">
        <f ca="1">TblMili[[#This Row],[Raw (2)]]*(1+race_wizard_strength+IF(TblMili[[#This Row],[Hour]]&gt;72,tech_magical_weaponry_wiz*TblTech[[#This Row],[3-5]],0))</f>
        <v>0.1</v>
      </c>
    </row>
    <row r="44" spans="1:113" x14ac:dyDescent="0.2">
      <c r="A44" s="139">
        <f>TblRezone[[#This Row],[Hour]]</f>
        <v>41</v>
      </c>
      <c r="B44" s="260">
        <f ca="1">SUM(TblMili[[#This Row],[Unit 1]:[Archmages]])+SUM(OFFSET(TblMili[[#This Row],[Train Unit 1]],-8,0):TblMili[[#This Row],[Train Unit 2]]) + SUM(OFFSET(TblMili[[#This Row],[Train Unit 3]],-11,0):TblMili[[#This Row],[Train AM]]) + TblMili[[#This Row],[Draftees]]</f>
        <v>826</v>
      </c>
      <c r="C44" s="159">
        <f ca="1">TblPop[[#This Row],[Military%]]</f>
        <v>0.35029686174724345</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4"/>
      <c r="N44" s="96">
        <f ca="1">TblProd[[#This Row],[Networth]]</f>
        <v>6450</v>
      </c>
      <c r="O44" s="144"/>
      <c r="P4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1">
        <f ca="1">TblMili[[#This Row],[Raw]]*(1+TblMili[[#This Row],[Mods_Off]])</f>
        <v>0</v>
      </c>
      <c r="S4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4" s="261">
        <f ca="1">TblMili[[#This Row],[Non Draft]]+TblMili[[#This Row],[Draftees]]</f>
        <v>1076</v>
      </c>
      <c r="U44" s="262">
        <f ca="1">race_defense + TblImps[[#This Row],[Walls]] + ROUND( MIN(gt_bonus*TblConstr[[#This Row],[Tot GT]]/TblConstr[[#This Row],[Land]],gt_bonus_cap), 4) + IF(TblMagic[[#This Row],[Active Howling]]&gt;0,howling_dp_bonus,IF(TblMagic[[#This Row],[Active Ares Call]]&gt;0,ares_call_bonus))</f>
        <v>0</v>
      </c>
      <c r="V44" s="263">
        <f ca="1">TblMili[[#This Row],[Non Draft]] * (1 + TblMili[[#This Row],[Mods_Def]])</f>
        <v>450</v>
      </c>
      <c r="W44" s="261">
        <f ca="1">TblMili[[#This Row],[Draft]] * (1 + TblMili[[#This Row],[Mods_Def]])</f>
        <v>1076</v>
      </c>
      <c r="X44" s="261">
        <f ca="1">TblConstr[[#This Row],[Land]]</f>
        <v>250</v>
      </c>
      <c r="Y44" s="264"/>
      <c r="Z44" s="269">
        <f ca="1">IF(TblMili[[#This Row],[Set]]&lt;&gt;"",TblMili[[#This Row],[Set]],OFFSET(TblMili[[#This Row],[Draftrate]],-1,0))</f>
        <v>0.35</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6"/>
      <c r="AC44" s="182">
        <f ca="1">(TblConstr[[#This Row],[Tot Smi]]+TblConstr[[#This Row],[Dest Smi]])/(TblConstr[[#This Row],[Land]]-TblExplore[[#This Row],[Land Bonus]]*20)</f>
        <v>0</v>
      </c>
      <c r="AD44" s="139"/>
      <c r="AE44" s="260">
        <f>TblMili[[#This Row],[Hour]]</f>
        <v>41</v>
      </c>
      <c r="AF44" s="140">
        <f ca="1">TblExplore[[#This Row],[Time]]</f>
        <v>45733.66666666657</v>
      </c>
      <c r="AG44" s="181"/>
      <c r="AH44" s="181"/>
      <c r="AI44" s="181"/>
      <c r="AJ44" s="181"/>
      <c r="AK44" s="181"/>
      <c r="AL44" s="181"/>
      <c r="AM44" s="181"/>
      <c r="AN44" s="181"/>
      <c r="AO44" s="448">
        <f ca="1">ROUND(IF(AND(TblMagic[[#This Row],[Active DnD]]&lt;12,TblMagic[[#This Row],[Active DnD]]&gt;5),OFFSET(TblPop[[#This Row],[Draft Growth]],-1,0)*0.375,0),0)</f>
        <v>0</v>
      </c>
      <c r="AP44" s="144"/>
      <c r="AQ44" s="96">
        <f ca="1">TblProd[[#This Row],[Platinum]]</f>
        <v>340318</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45733.66666666657</v>
      </c>
      <c r="AW44" s="96">
        <f ca="1">TblMili[[#This Row],[Draftees]]</f>
        <v>626</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0.44</v>
      </c>
      <c r="BX44" s="159">
        <f ca="1">TblMili[[#This Row],[WG''s]]</f>
        <v>0</v>
      </c>
      <c r="BY44" s="265">
        <f ca="1">IF(mystic_cap="none",TblMili[[#This Row],[Homeland%]]/mystic_bonus,MIN(mystic_cap,TblMili[[#This Row],[Homeland%]]/mystic_bonus))</f>
        <v>2</v>
      </c>
      <c r="BZ44" s="265">
        <f ca="1">IF(druid_op_cap="none",TblMili[[#This Row],[Homeland%]]/druid_op_bonus,MIN(druid_op_cap,TblMili[[#This Row],[Homeland%]]/druid_op_bonus))</f>
        <v>2</v>
      </c>
      <c r="CA44" s="265">
        <f ca="1">IF(druid_dp_cap="none",TblMili[[#This Row],[Homeland%]]/druid_dp_bonus,MIN(druid_dp_cap,TblMili[[#This Row],[Homeland%]]/druid_dp_bonus))</f>
        <v>2</v>
      </c>
      <c r="CB44" s="265">
        <f ca="1">MIN(dryad_cap,TblMili[[#This Row],[Homeland%]]/dryad_bonus)</f>
        <v>2.1999999999999997</v>
      </c>
      <c r="CC44" s="265">
        <f ca="1">MIN(rocka_cap,TblMili[[#This Row],[Homeland%]]/rocka_bonus)</f>
        <v>2</v>
      </c>
      <c r="CD44" s="265">
        <f ca="1">MIN(adept_op_cap,TblMili[[#This Row],[WG]]/adept_op_bonus)</f>
        <v>0</v>
      </c>
      <c r="CE44" s="265">
        <f ca="1">MIN(adept_dp_cap,TblMili[[#This Row],[WG]]/adept_dp_bonus)</f>
        <v>0</v>
      </c>
      <c r="CF44" s="96">
        <f ca="1">MIN(TblMili[[#This Row],[Unit 3]],TblMili[[#This Row],[Unit 2]])*2</f>
        <v>0</v>
      </c>
      <c r="CG44" s="96">
        <f ca="1">MIN(TblMili[[#This Row],[Unit 1]],TblMili[[#This Row],[Unit 4]])*2</f>
        <v>0</v>
      </c>
      <c r="CH44" s="265">
        <f ca="1">MIN(frost_mage_cap,TblMili[[#This Row],[Homeland%]]/frost_mage_bonus)</f>
        <v>2.1999999999999997</v>
      </c>
      <c r="CI44" s="45">
        <f ca="1">MIN(ice_elem_cap,TblMili[[#This Row],[Raw (2)]]*ice_elem_bonus)</f>
        <v>0.1</v>
      </c>
      <c r="CJ44" s="265">
        <f t="shared" si="2"/>
        <v>0.83333333333333337</v>
      </c>
      <c r="CK44" s="265">
        <f ca="1">MIN(nox_nightshade_cap,TblConstr[[#This Row],[Homeland]]/TblConstr[[#This Row],[Land]]/nox_nightshade_swamp_bonus)</f>
        <v>4</v>
      </c>
      <c r="CL44" s="265">
        <f ca="1">MIN(TblConstr[[#This Row],[Tot Tow]]/TblConstr[[#This Row],[Land]]/abyss_enforce_bonus,abyss_enforcer_cap)</f>
        <v>0</v>
      </c>
      <c r="CM44" s="265">
        <f ca="1">IF(TblMagic[[#This Row],[Active Demonic Pact]]&gt;0,MIN(TblMili[[#This Row],[Unit 1]],TblMili[[#This Row],[Unit 4]])*demonic_pact_oppair,0)</f>
        <v>0</v>
      </c>
      <c r="CN44" s="266"/>
      <c r="CO44" s="266"/>
      <c r="CP44" s="266"/>
      <c r="CQ44" s="265">
        <f ca="1">MIN(6,TblMili[[#This Row],[Mystic]]+Races!$F$19)*1.8 +  IF(TblMili[[#This Row],[Mystic]]+Races!$F$19&gt;6,(TblMili[[#This Row],[Mystic]]+Races!$F$19-6)*0.2,0) - Races!$I$19</f>
        <v>1</v>
      </c>
      <c r="CR4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-0.64000000000000057</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4.7099999999999991</v>
      </c>
      <c r="DA44" s="157">
        <f ca="1">1.8 * MIN(MAX(TblMili[[#This Row],[Ice Elemental]]+Races!$E$71,Races!$F$71),6)  +  0.45 * MIN(MIN(TblMili[[#This Row],[Ice Elemental]]+Races!$E$71,Races!$F$71),6)  +  0.2 * ( MAX(TblMili[[#This Row],[Ice Elemental]]+Races!$E$71-6,0) + MAX(Races!$F$71-6,0) )  -  Races!$I$71</f>
        <v>0.92999999999999972</v>
      </c>
      <c r="DB44" s="96">
        <f ca="1">TblMili[[#This Row],[Frost Mage bonus]]*TblMili[[#This Row],[Unit 3]]+TblMili[[#This Row],[Ice Elemental bonus]]*TblMili[[#This Row],[Unit 4]]</f>
        <v>0</v>
      </c>
      <c r="DC44" s="267"/>
      <c r="DD44" s="145">
        <f ca="1">MIN(SUM(TblConstr[[#This Row],[Plain]:[Water]])/TblMili[[#This Row],[Land]]/favorable_terrain_bonus/100,favorable_terrain_max)</f>
        <v>0.1</v>
      </c>
      <c r="DE44" s="267"/>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4" s="144"/>
      <c r="DH44" s="268">
        <f ca="1">(TblMili[[#This Row],[Wizards]]+2*TblMili[[#This Row],[Archmages]])/TblConstr[[#This Row],[Land]]</f>
        <v>0.1</v>
      </c>
      <c r="DI44" s="268">
        <f ca="1">TblMili[[#This Row],[Raw (2)]]*(1+race_wizard_strength+IF(TblMili[[#This Row],[Hour]]&gt;72,tech_magical_weaponry_wiz*TblTech[[#This Row],[3-5]],0))</f>
        <v>0.1</v>
      </c>
    </row>
    <row r="45" spans="1:113" x14ac:dyDescent="0.2">
      <c r="A45" s="139">
        <f>TblRezone[[#This Row],[Hour]]</f>
        <v>42</v>
      </c>
      <c r="B45" s="260">
        <f ca="1">SUM(TblMili[[#This Row],[Unit 1]:[Archmages]])+SUM(OFFSET(TblMili[[#This Row],[Train Unit 1]],-8,0):TblMili[[#This Row],[Train Unit 2]]) + SUM(OFFSET(TblMili[[#This Row],[Train Unit 3]],-11,0):TblMili[[#This Row],[Train AM]]) + TblMili[[#This Row],[Draftees]]</f>
        <v>826</v>
      </c>
      <c r="C45" s="159">
        <f ca="1">TblPop[[#This Row],[Military%]]</f>
        <v>0.35029686174724345</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4"/>
      <c r="N45" s="96">
        <f ca="1">TblProd[[#This Row],[Networth]]</f>
        <v>6450</v>
      </c>
      <c r="O45" s="144"/>
      <c r="P4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1">
        <f ca="1">TblMili[[#This Row],[Raw]]*(1+TblMili[[#This Row],[Mods_Off]])</f>
        <v>0</v>
      </c>
      <c r="S4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5" s="261">
        <f ca="1">TblMili[[#This Row],[Non Draft]]+TblMili[[#This Row],[Draftees]]</f>
        <v>1076</v>
      </c>
      <c r="U45" s="262">
        <f ca="1">race_defense + TblImps[[#This Row],[Walls]] + ROUND( MIN(gt_bonus*TblConstr[[#This Row],[Tot GT]]/TblConstr[[#This Row],[Land]],gt_bonus_cap), 4) + IF(TblMagic[[#This Row],[Active Howling]]&gt;0,howling_dp_bonus,IF(TblMagic[[#This Row],[Active Ares Call]]&gt;0,ares_call_bonus))</f>
        <v>0</v>
      </c>
      <c r="V45" s="263">
        <f ca="1">TblMili[[#This Row],[Non Draft]] * (1 + TblMili[[#This Row],[Mods_Def]])</f>
        <v>450</v>
      </c>
      <c r="W45" s="261">
        <f ca="1">TblMili[[#This Row],[Draft]] * (1 + TblMili[[#This Row],[Mods_Def]])</f>
        <v>1076</v>
      </c>
      <c r="X45" s="261">
        <f ca="1">TblConstr[[#This Row],[Land]]</f>
        <v>250</v>
      </c>
      <c r="Y45" s="264"/>
      <c r="Z45" s="269">
        <f ca="1">IF(TblMili[[#This Row],[Set]]&lt;&gt;"",TblMili[[#This Row],[Set]],OFFSET(TblMili[[#This Row],[Draftrate]],-1,0))</f>
        <v>0.35</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6"/>
      <c r="AC45" s="182">
        <f ca="1">(TblConstr[[#This Row],[Tot Smi]]+TblConstr[[#This Row],[Dest Smi]])/(TblConstr[[#This Row],[Land]]-TblExplore[[#This Row],[Land Bonus]]*20)</f>
        <v>0</v>
      </c>
      <c r="AD45" s="139"/>
      <c r="AE45" s="260">
        <f>TblMili[[#This Row],[Hour]]</f>
        <v>42</v>
      </c>
      <c r="AF45" s="140">
        <f ca="1">TblExplore[[#This Row],[Time]]</f>
        <v>45733.708333333234</v>
      </c>
      <c r="AG45" s="181"/>
      <c r="AH45" s="181"/>
      <c r="AI45" s="181"/>
      <c r="AJ45" s="181"/>
      <c r="AK45" s="181"/>
      <c r="AL45" s="181"/>
      <c r="AM45" s="181"/>
      <c r="AN45" s="181"/>
      <c r="AO45" s="448">
        <f ca="1">ROUND(IF(AND(TblMagic[[#This Row],[Active DnD]]&lt;12,TblMagic[[#This Row],[Active DnD]]&gt;5),OFFSET(TblPop[[#This Row],[Draft Growth]],-1,0)*0.375,0),0)</f>
        <v>0</v>
      </c>
      <c r="AP45" s="144"/>
      <c r="AQ45" s="96">
        <f ca="1">TblProd[[#This Row],[Platinum]]</f>
        <v>345804</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45733.708333333234</v>
      </c>
      <c r="AW45" s="96">
        <f ca="1">TblMili[[#This Row],[Draftees]]</f>
        <v>626</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0.44</v>
      </c>
      <c r="BX45" s="159">
        <f ca="1">TblMili[[#This Row],[WG''s]]</f>
        <v>0</v>
      </c>
      <c r="BY45" s="265">
        <f ca="1">IF(mystic_cap="none",TblMili[[#This Row],[Homeland%]]/mystic_bonus,MIN(mystic_cap,TblMili[[#This Row],[Homeland%]]/mystic_bonus))</f>
        <v>2</v>
      </c>
      <c r="BZ45" s="265">
        <f ca="1">IF(druid_op_cap="none",TblMili[[#This Row],[Homeland%]]/druid_op_bonus,MIN(druid_op_cap,TblMili[[#This Row],[Homeland%]]/druid_op_bonus))</f>
        <v>2</v>
      </c>
      <c r="CA45" s="265">
        <f ca="1">IF(druid_dp_cap="none",TblMili[[#This Row],[Homeland%]]/druid_dp_bonus,MIN(druid_dp_cap,TblMili[[#This Row],[Homeland%]]/druid_dp_bonus))</f>
        <v>2</v>
      </c>
      <c r="CB45" s="265">
        <f ca="1">MIN(dryad_cap,TblMili[[#This Row],[Homeland%]]/dryad_bonus)</f>
        <v>2.1999999999999997</v>
      </c>
      <c r="CC45" s="265">
        <f ca="1">MIN(rocka_cap,TblMili[[#This Row],[Homeland%]]/rocka_bonus)</f>
        <v>2</v>
      </c>
      <c r="CD45" s="265">
        <f ca="1">MIN(adept_op_cap,TblMili[[#This Row],[WG]]/adept_op_bonus)</f>
        <v>0</v>
      </c>
      <c r="CE45" s="265">
        <f ca="1">MIN(adept_dp_cap,TblMili[[#This Row],[WG]]/adept_dp_bonus)</f>
        <v>0</v>
      </c>
      <c r="CF45" s="96">
        <f ca="1">MIN(TblMili[[#This Row],[Unit 3]],TblMili[[#This Row],[Unit 2]])*2</f>
        <v>0</v>
      </c>
      <c r="CG45" s="96">
        <f ca="1">MIN(TblMili[[#This Row],[Unit 1]],TblMili[[#This Row],[Unit 4]])*2</f>
        <v>0</v>
      </c>
      <c r="CH45" s="265">
        <f ca="1">MIN(frost_mage_cap,TblMili[[#This Row],[Homeland%]]/frost_mage_bonus)</f>
        <v>2.1999999999999997</v>
      </c>
      <c r="CI45" s="45">
        <f ca="1">MIN(ice_elem_cap,TblMili[[#This Row],[Raw (2)]]*ice_elem_bonus)</f>
        <v>0.1</v>
      </c>
      <c r="CJ45" s="265">
        <f t="shared" si="2"/>
        <v>0.83333333333333337</v>
      </c>
      <c r="CK45" s="265">
        <f ca="1">MIN(nox_nightshade_cap,TblConstr[[#This Row],[Homeland]]/TblConstr[[#This Row],[Land]]/nox_nightshade_swamp_bonus)</f>
        <v>4</v>
      </c>
      <c r="CL45" s="265">
        <f ca="1">MIN(TblConstr[[#This Row],[Tot Tow]]/TblConstr[[#This Row],[Land]]/abyss_enforce_bonus,abyss_enforcer_cap)</f>
        <v>0</v>
      </c>
      <c r="CM45" s="265">
        <f ca="1">IF(TblMagic[[#This Row],[Active Demonic Pact]]&gt;0,MIN(TblMili[[#This Row],[Unit 1]],TblMili[[#This Row],[Unit 4]])*demonic_pact_oppair,0)</f>
        <v>0</v>
      </c>
      <c r="CN45" s="266"/>
      <c r="CO45" s="266"/>
      <c r="CP45" s="266"/>
      <c r="CQ45" s="265">
        <f ca="1">MIN(6,TblMili[[#This Row],[Mystic]]+Races!$F$19)*1.8 +  IF(TblMili[[#This Row],[Mystic]]+Races!$F$19&gt;6,(TblMili[[#This Row],[Mystic]]+Races!$F$19-6)*0.2,0) - Races!$I$19</f>
        <v>1</v>
      </c>
      <c r="CR4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-0.64000000000000057</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4.7099999999999991</v>
      </c>
      <c r="DA45" s="157">
        <f ca="1">1.8 * MIN(MAX(TblMili[[#This Row],[Ice Elemental]]+Races!$E$71,Races!$F$71),6)  +  0.45 * MIN(MIN(TblMili[[#This Row],[Ice Elemental]]+Races!$E$71,Races!$F$71),6)  +  0.2 * ( MAX(TblMili[[#This Row],[Ice Elemental]]+Races!$E$71-6,0) + MAX(Races!$F$71-6,0) )  -  Races!$I$71</f>
        <v>0.92999999999999972</v>
      </c>
      <c r="DB45" s="96">
        <f ca="1">TblMili[[#This Row],[Frost Mage bonus]]*TblMili[[#This Row],[Unit 3]]+TblMili[[#This Row],[Ice Elemental bonus]]*TblMili[[#This Row],[Unit 4]]</f>
        <v>0</v>
      </c>
      <c r="DC45" s="267"/>
      <c r="DD45" s="145">
        <f ca="1">MIN(SUM(TblConstr[[#This Row],[Plain]:[Water]])/TblMili[[#This Row],[Land]]/favorable_terrain_bonus/100,favorable_terrain_max)</f>
        <v>0.1</v>
      </c>
      <c r="DE45" s="267"/>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5" s="144"/>
      <c r="DH45" s="268">
        <f ca="1">(TblMili[[#This Row],[Wizards]]+2*TblMili[[#This Row],[Archmages]])/TblConstr[[#This Row],[Land]]</f>
        <v>0.1</v>
      </c>
      <c r="DI45" s="268">
        <f ca="1">TblMili[[#This Row],[Raw (2)]]*(1+race_wizard_strength+IF(TblMili[[#This Row],[Hour]]&gt;72,tech_magical_weaponry_wiz*TblTech[[#This Row],[3-5]],0))</f>
        <v>0.1</v>
      </c>
    </row>
    <row r="46" spans="1:113" x14ac:dyDescent="0.2">
      <c r="A46" s="139">
        <f>TblRezone[[#This Row],[Hour]]</f>
        <v>43</v>
      </c>
      <c r="B46" s="260">
        <f ca="1">SUM(TblMili[[#This Row],[Unit 1]:[Archmages]])+SUM(OFFSET(TblMili[[#This Row],[Train Unit 1]],-8,0):TblMili[[#This Row],[Train Unit 2]]) + SUM(OFFSET(TblMili[[#This Row],[Train Unit 3]],-11,0):TblMili[[#This Row],[Train AM]]) + TblMili[[#This Row],[Draftees]]</f>
        <v>826</v>
      </c>
      <c r="C46" s="159">
        <f ca="1">TblPop[[#This Row],[Military%]]</f>
        <v>0.35029686174724345</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4"/>
      <c r="N46" s="96">
        <f ca="1">TblProd[[#This Row],[Networth]]</f>
        <v>6450</v>
      </c>
      <c r="O46" s="144"/>
      <c r="P4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1">
        <f ca="1">TblMili[[#This Row],[Raw]]*(1+TblMili[[#This Row],[Mods_Off]])</f>
        <v>0</v>
      </c>
      <c r="S4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6" s="261">
        <f ca="1">TblMili[[#This Row],[Non Draft]]+TblMili[[#This Row],[Draftees]]</f>
        <v>1076</v>
      </c>
      <c r="U46" s="262">
        <f ca="1">race_defense + TblImps[[#This Row],[Walls]] + ROUND( MIN(gt_bonus*TblConstr[[#This Row],[Tot GT]]/TblConstr[[#This Row],[Land]],gt_bonus_cap), 4) + IF(TblMagic[[#This Row],[Active Howling]]&gt;0,howling_dp_bonus,IF(TblMagic[[#This Row],[Active Ares Call]]&gt;0,ares_call_bonus))</f>
        <v>0</v>
      </c>
      <c r="V46" s="263">
        <f ca="1">TblMili[[#This Row],[Non Draft]] * (1 + TblMili[[#This Row],[Mods_Def]])</f>
        <v>450</v>
      </c>
      <c r="W46" s="261">
        <f ca="1">TblMili[[#This Row],[Draft]] * (1 + TblMili[[#This Row],[Mods_Def]])</f>
        <v>1076</v>
      </c>
      <c r="X46" s="261">
        <f ca="1">TblConstr[[#This Row],[Land]]</f>
        <v>250</v>
      </c>
      <c r="Y46" s="264"/>
      <c r="Z46" s="269">
        <f ca="1">IF(TblMili[[#This Row],[Set]]&lt;&gt;"",TblMili[[#This Row],[Set]],OFFSET(TblMili[[#This Row],[Draftrate]],-1,0))</f>
        <v>0.35</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6"/>
      <c r="AC46" s="182">
        <f ca="1">(TblConstr[[#This Row],[Tot Smi]]+TblConstr[[#This Row],[Dest Smi]])/(TblConstr[[#This Row],[Land]]-TblExplore[[#This Row],[Land Bonus]]*20)</f>
        <v>0</v>
      </c>
      <c r="AD46" s="139"/>
      <c r="AE46" s="260">
        <f>TblMili[[#This Row],[Hour]]</f>
        <v>43</v>
      </c>
      <c r="AF46" s="140">
        <f ca="1">TblExplore[[#This Row],[Time]]</f>
        <v>45733.749999999898</v>
      </c>
      <c r="AG46" s="181"/>
      <c r="AH46" s="181"/>
      <c r="AI46" s="181"/>
      <c r="AJ46" s="181"/>
      <c r="AK46" s="181"/>
      <c r="AL46" s="181"/>
      <c r="AM46" s="181"/>
      <c r="AN46" s="181"/>
      <c r="AO46" s="448">
        <f ca="1">ROUND(IF(AND(TblMagic[[#This Row],[Active DnD]]&lt;12,TblMagic[[#This Row],[Active DnD]]&gt;5),OFFSET(TblPop[[#This Row],[Draft Growth]],-1,0)*0.375,0),0)</f>
        <v>0</v>
      </c>
      <c r="AP46" s="144"/>
      <c r="AQ46" s="96">
        <f ca="1">TblProd[[#This Row],[Platinum]]</f>
        <v>351290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45733.749999999898</v>
      </c>
      <c r="AW46" s="96">
        <f ca="1">TblMili[[#This Row],[Draftees]]</f>
        <v>626</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0.44</v>
      </c>
      <c r="BX46" s="159">
        <f ca="1">TblMili[[#This Row],[WG''s]]</f>
        <v>0</v>
      </c>
      <c r="BY46" s="265">
        <f ca="1">IF(mystic_cap="none",TblMili[[#This Row],[Homeland%]]/mystic_bonus,MIN(mystic_cap,TblMili[[#This Row],[Homeland%]]/mystic_bonus))</f>
        <v>2</v>
      </c>
      <c r="BZ46" s="265">
        <f ca="1">IF(druid_op_cap="none",TblMili[[#This Row],[Homeland%]]/druid_op_bonus,MIN(druid_op_cap,TblMili[[#This Row],[Homeland%]]/druid_op_bonus))</f>
        <v>2</v>
      </c>
      <c r="CA46" s="265">
        <f ca="1">IF(druid_dp_cap="none",TblMili[[#This Row],[Homeland%]]/druid_dp_bonus,MIN(druid_dp_cap,TblMili[[#This Row],[Homeland%]]/druid_dp_bonus))</f>
        <v>2</v>
      </c>
      <c r="CB46" s="265">
        <f ca="1">MIN(dryad_cap,TblMili[[#This Row],[Homeland%]]/dryad_bonus)</f>
        <v>2.1999999999999997</v>
      </c>
      <c r="CC46" s="265">
        <f ca="1">MIN(rocka_cap,TblMili[[#This Row],[Homeland%]]/rocka_bonus)</f>
        <v>2</v>
      </c>
      <c r="CD46" s="265">
        <f ca="1">MIN(adept_op_cap,TblMili[[#This Row],[WG]]/adept_op_bonus)</f>
        <v>0</v>
      </c>
      <c r="CE46" s="265">
        <f ca="1">MIN(adept_dp_cap,TblMili[[#This Row],[WG]]/adept_dp_bonus)</f>
        <v>0</v>
      </c>
      <c r="CF46" s="96">
        <f ca="1">MIN(TblMili[[#This Row],[Unit 3]],TblMili[[#This Row],[Unit 2]])*2</f>
        <v>0</v>
      </c>
      <c r="CG46" s="96">
        <f ca="1">MIN(TblMili[[#This Row],[Unit 1]],TblMili[[#This Row],[Unit 4]])*2</f>
        <v>0</v>
      </c>
      <c r="CH46" s="265">
        <f ca="1">MIN(frost_mage_cap,TblMili[[#This Row],[Homeland%]]/frost_mage_bonus)</f>
        <v>2.1999999999999997</v>
      </c>
      <c r="CI46" s="45">
        <f ca="1">MIN(ice_elem_cap,TblMili[[#This Row],[Raw (2)]]*ice_elem_bonus)</f>
        <v>0.1</v>
      </c>
      <c r="CJ46" s="265">
        <f t="shared" si="2"/>
        <v>0.83333333333333337</v>
      </c>
      <c r="CK46" s="265">
        <f ca="1">MIN(nox_nightshade_cap,TblConstr[[#This Row],[Homeland]]/TblConstr[[#This Row],[Land]]/nox_nightshade_swamp_bonus)</f>
        <v>4</v>
      </c>
      <c r="CL46" s="265">
        <f ca="1">MIN(TblConstr[[#This Row],[Tot Tow]]/TblConstr[[#This Row],[Land]]/abyss_enforce_bonus,abyss_enforcer_cap)</f>
        <v>0</v>
      </c>
      <c r="CM46" s="265">
        <f ca="1">IF(TblMagic[[#This Row],[Active Demonic Pact]]&gt;0,MIN(TblMili[[#This Row],[Unit 1]],TblMili[[#This Row],[Unit 4]])*demonic_pact_oppair,0)</f>
        <v>0</v>
      </c>
      <c r="CN46" s="266"/>
      <c r="CO46" s="266"/>
      <c r="CP46" s="266"/>
      <c r="CQ46" s="265">
        <f ca="1">MIN(6,TblMili[[#This Row],[Mystic]]+Races!$F$19)*1.8 +  IF(TblMili[[#This Row],[Mystic]]+Races!$F$19&gt;6,(TblMili[[#This Row],[Mystic]]+Races!$F$19-6)*0.2,0) - Races!$I$19</f>
        <v>1</v>
      </c>
      <c r="CR4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-0.64000000000000057</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4.7099999999999991</v>
      </c>
      <c r="DA46" s="157">
        <f ca="1">1.8 * MIN(MAX(TblMili[[#This Row],[Ice Elemental]]+Races!$E$71,Races!$F$71),6)  +  0.45 * MIN(MIN(TblMili[[#This Row],[Ice Elemental]]+Races!$E$71,Races!$F$71),6)  +  0.2 * ( MAX(TblMili[[#This Row],[Ice Elemental]]+Races!$E$71-6,0) + MAX(Races!$F$71-6,0) )  -  Races!$I$71</f>
        <v>0.92999999999999972</v>
      </c>
      <c r="DB46" s="96">
        <f ca="1">TblMili[[#This Row],[Frost Mage bonus]]*TblMili[[#This Row],[Unit 3]]+TblMili[[#This Row],[Ice Elemental bonus]]*TblMili[[#This Row],[Unit 4]]</f>
        <v>0</v>
      </c>
      <c r="DC46" s="267"/>
      <c r="DD46" s="145">
        <f ca="1">MIN(SUM(TblConstr[[#This Row],[Plain]:[Water]])/TblMili[[#This Row],[Land]]/favorable_terrain_bonus/100,favorable_terrain_max)</f>
        <v>0.1</v>
      </c>
      <c r="DE46" s="267"/>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6" s="144"/>
      <c r="DH46" s="268">
        <f ca="1">(TblMili[[#This Row],[Wizards]]+2*TblMili[[#This Row],[Archmages]])/TblConstr[[#This Row],[Land]]</f>
        <v>0.1</v>
      </c>
      <c r="DI46" s="268">
        <f ca="1">TblMili[[#This Row],[Raw (2)]]*(1+race_wizard_strength+IF(TblMili[[#This Row],[Hour]]&gt;72,tech_magical_weaponry_wiz*TblTech[[#This Row],[3-5]],0))</f>
        <v>0.1</v>
      </c>
    </row>
    <row r="47" spans="1:113" x14ac:dyDescent="0.2">
      <c r="A47" s="139">
        <f>TblRezone[[#This Row],[Hour]]</f>
        <v>44</v>
      </c>
      <c r="B47" s="260">
        <f ca="1">SUM(TblMili[[#This Row],[Unit 1]:[Archmages]])+SUM(OFFSET(TblMili[[#This Row],[Train Unit 1]],-8,0):TblMili[[#This Row],[Train Unit 2]]) + SUM(OFFSET(TblMili[[#This Row],[Train Unit 3]],-11,0):TblMili[[#This Row],[Train AM]]) + TblMili[[#This Row],[Draftees]]</f>
        <v>826</v>
      </c>
      <c r="C47" s="159">
        <f ca="1">TblPop[[#This Row],[Military%]]</f>
        <v>0.35029686174724345</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4"/>
      <c r="N47" s="96">
        <f ca="1">TblProd[[#This Row],[Networth]]</f>
        <v>6450</v>
      </c>
      <c r="O47" s="144"/>
      <c r="P4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1">
        <f ca="1">TblMili[[#This Row],[Raw]]*(1+TblMili[[#This Row],[Mods_Off]])</f>
        <v>0</v>
      </c>
      <c r="S4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7" s="261">
        <f ca="1">TblMili[[#This Row],[Non Draft]]+TblMili[[#This Row],[Draftees]]</f>
        <v>1076</v>
      </c>
      <c r="U47" s="262">
        <f ca="1">race_defense + TblImps[[#This Row],[Walls]] + ROUND( MIN(gt_bonus*TblConstr[[#This Row],[Tot GT]]/TblConstr[[#This Row],[Land]],gt_bonus_cap), 4) + IF(TblMagic[[#This Row],[Active Howling]]&gt;0,howling_dp_bonus,IF(TblMagic[[#This Row],[Active Ares Call]]&gt;0,ares_call_bonus))</f>
        <v>0</v>
      </c>
      <c r="V47" s="263">
        <f ca="1">TblMili[[#This Row],[Non Draft]] * (1 + TblMili[[#This Row],[Mods_Def]])</f>
        <v>450</v>
      </c>
      <c r="W47" s="261">
        <f ca="1">TblMili[[#This Row],[Draft]] * (1 + TblMili[[#This Row],[Mods_Def]])</f>
        <v>1076</v>
      </c>
      <c r="X47" s="261">
        <f ca="1">TblConstr[[#This Row],[Land]]</f>
        <v>250</v>
      </c>
      <c r="Y47" s="264"/>
      <c r="Z47" s="269">
        <f ca="1">IF(TblMili[[#This Row],[Set]]&lt;&gt;"",TblMili[[#This Row],[Set]],OFFSET(TblMili[[#This Row],[Draftrate]],-1,0))</f>
        <v>0.35</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6"/>
      <c r="AC47" s="182">
        <f ca="1">(TblConstr[[#This Row],[Tot Smi]]+TblConstr[[#This Row],[Dest Smi]])/(TblConstr[[#This Row],[Land]]-TblExplore[[#This Row],[Land Bonus]]*20)</f>
        <v>0</v>
      </c>
      <c r="AD47" s="139"/>
      <c r="AE47" s="260">
        <f>TblMili[[#This Row],[Hour]]</f>
        <v>44</v>
      </c>
      <c r="AF47" s="140">
        <f ca="1">TblExplore[[#This Row],[Time]]</f>
        <v>45733.791666666562</v>
      </c>
      <c r="AG47" s="181"/>
      <c r="AH47" s="181"/>
      <c r="AI47" s="181"/>
      <c r="AJ47" s="181"/>
      <c r="AK47" s="181"/>
      <c r="AL47" s="181"/>
      <c r="AM47" s="181"/>
      <c r="AN47" s="181"/>
      <c r="AO47" s="448">
        <f ca="1">ROUND(IF(AND(TblMagic[[#This Row],[Active DnD]]&lt;12,TblMagic[[#This Row],[Active DnD]]&gt;5),OFFSET(TblPop[[#This Row],[Draft Growth]],-1,0)*0.375,0),0)</f>
        <v>0</v>
      </c>
      <c r="AP47" s="144"/>
      <c r="AQ47" s="96">
        <f ca="1">TblProd[[#This Row],[Platinum]]</f>
        <v>356776</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45733.791666666562</v>
      </c>
      <c r="AW47" s="96">
        <f ca="1">TblMili[[#This Row],[Draftees]]</f>
        <v>626</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0.44</v>
      </c>
      <c r="BX47" s="159">
        <f ca="1">TblMili[[#This Row],[WG''s]]</f>
        <v>0</v>
      </c>
      <c r="BY47" s="265">
        <f ca="1">IF(mystic_cap="none",TblMili[[#This Row],[Homeland%]]/mystic_bonus,MIN(mystic_cap,TblMili[[#This Row],[Homeland%]]/mystic_bonus))</f>
        <v>2</v>
      </c>
      <c r="BZ47" s="265">
        <f ca="1">IF(druid_op_cap="none",TblMili[[#This Row],[Homeland%]]/druid_op_bonus,MIN(druid_op_cap,TblMili[[#This Row],[Homeland%]]/druid_op_bonus))</f>
        <v>2</v>
      </c>
      <c r="CA47" s="265">
        <f ca="1">IF(druid_dp_cap="none",TblMili[[#This Row],[Homeland%]]/druid_dp_bonus,MIN(druid_dp_cap,TblMili[[#This Row],[Homeland%]]/druid_dp_bonus))</f>
        <v>2</v>
      </c>
      <c r="CB47" s="265">
        <f ca="1">MIN(dryad_cap,TblMili[[#This Row],[Homeland%]]/dryad_bonus)</f>
        <v>2.1999999999999997</v>
      </c>
      <c r="CC47" s="265">
        <f ca="1">MIN(rocka_cap,TblMili[[#This Row],[Homeland%]]/rocka_bonus)</f>
        <v>2</v>
      </c>
      <c r="CD47" s="265">
        <f ca="1">MIN(adept_op_cap,TblMili[[#This Row],[WG]]/adept_op_bonus)</f>
        <v>0</v>
      </c>
      <c r="CE47" s="265">
        <f ca="1">MIN(adept_dp_cap,TblMili[[#This Row],[WG]]/adept_dp_bonus)</f>
        <v>0</v>
      </c>
      <c r="CF47" s="96">
        <f ca="1">MIN(TblMili[[#This Row],[Unit 3]],TblMili[[#This Row],[Unit 2]])*2</f>
        <v>0</v>
      </c>
      <c r="CG47" s="96">
        <f ca="1">MIN(TblMili[[#This Row],[Unit 1]],TblMili[[#This Row],[Unit 4]])*2</f>
        <v>0</v>
      </c>
      <c r="CH47" s="265">
        <f ca="1">MIN(frost_mage_cap,TblMili[[#This Row],[Homeland%]]/frost_mage_bonus)</f>
        <v>2.1999999999999997</v>
      </c>
      <c r="CI47" s="45">
        <f ca="1">MIN(ice_elem_cap,TblMili[[#This Row],[Raw (2)]]*ice_elem_bonus)</f>
        <v>0.1</v>
      </c>
      <c r="CJ47" s="265">
        <f t="shared" si="2"/>
        <v>0.83333333333333337</v>
      </c>
      <c r="CK47" s="265">
        <f ca="1">MIN(nox_nightshade_cap,TblConstr[[#This Row],[Homeland]]/TblConstr[[#This Row],[Land]]/nox_nightshade_swamp_bonus)</f>
        <v>4</v>
      </c>
      <c r="CL47" s="265">
        <f ca="1">MIN(TblConstr[[#This Row],[Tot Tow]]/TblConstr[[#This Row],[Land]]/abyss_enforce_bonus,abyss_enforcer_cap)</f>
        <v>0</v>
      </c>
      <c r="CM47" s="265">
        <f ca="1">IF(TblMagic[[#This Row],[Active Demonic Pact]]&gt;0,MIN(TblMili[[#This Row],[Unit 1]],TblMili[[#This Row],[Unit 4]])*demonic_pact_oppair,0)</f>
        <v>0</v>
      </c>
      <c r="CN47" s="266"/>
      <c r="CO47" s="266"/>
      <c r="CP47" s="266"/>
      <c r="CQ47" s="265">
        <f ca="1">MIN(6,TblMili[[#This Row],[Mystic]]+Races!$F$19)*1.8 +  IF(TblMili[[#This Row],[Mystic]]+Races!$F$19&gt;6,(TblMili[[#This Row],[Mystic]]+Races!$F$19-6)*0.2,0) - Races!$I$19</f>
        <v>1</v>
      </c>
      <c r="CR4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-0.64000000000000057</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4.7099999999999991</v>
      </c>
      <c r="DA47" s="157">
        <f ca="1">1.8 * MIN(MAX(TblMili[[#This Row],[Ice Elemental]]+Races!$E$71,Races!$F$71),6)  +  0.45 * MIN(MIN(TblMili[[#This Row],[Ice Elemental]]+Races!$E$71,Races!$F$71),6)  +  0.2 * ( MAX(TblMili[[#This Row],[Ice Elemental]]+Races!$E$71-6,0) + MAX(Races!$F$71-6,0) )  -  Races!$I$71</f>
        <v>0.92999999999999972</v>
      </c>
      <c r="DB47" s="96">
        <f ca="1">TblMili[[#This Row],[Frost Mage bonus]]*TblMili[[#This Row],[Unit 3]]+TblMili[[#This Row],[Ice Elemental bonus]]*TblMili[[#This Row],[Unit 4]]</f>
        <v>0</v>
      </c>
      <c r="DC47" s="267"/>
      <c r="DD47" s="145">
        <f ca="1">MIN(SUM(TblConstr[[#This Row],[Plain]:[Water]])/TblMili[[#This Row],[Land]]/favorable_terrain_bonus/100,favorable_terrain_max)</f>
        <v>0.1</v>
      </c>
      <c r="DE47" s="267"/>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7" s="144"/>
      <c r="DH47" s="268">
        <f ca="1">(TblMili[[#This Row],[Wizards]]+2*TblMili[[#This Row],[Archmages]])/TblConstr[[#This Row],[Land]]</f>
        <v>0.1</v>
      </c>
      <c r="DI47" s="268">
        <f ca="1">TblMili[[#This Row],[Raw (2)]]*(1+race_wizard_strength+IF(TblMili[[#This Row],[Hour]]&gt;72,tech_magical_weaponry_wiz*TblTech[[#This Row],[3-5]],0))</f>
        <v>0.1</v>
      </c>
    </row>
    <row r="48" spans="1:113" x14ac:dyDescent="0.2">
      <c r="A48" s="139">
        <f>TblRezone[[#This Row],[Hour]]</f>
        <v>45</v>
      </c>
      <c r="B48" s="260">
        <f ca="1">SUM(TblMili[[#This Row],[Unit 1]:[Archmages]])+SUM(OFFSET(TblMili[[#This Row],[Train Unit 1]],-8,0):TblMili[[#This Row],[Train Unit 2]]) + SUM(OFFSET(TblMili[[#This Row],[Train Unit 3]],-11,0):TblMili[[#This Row],[Train AM]]) + TblMili[[#This Row],[Draftees]]</f>
        <v>826</v>
      </c>
      <c r="C48" s="159">
        <f ca="1">TblPop[[#This Row],[Military%]]</f>
        <v>0.35029686174724345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4"/>
      <c r="N48" s="96">
        <f ca="1">TblProd[[#This Row],[Networth]]</f>
        <v>6450</v>
      </c>
      <c r="O48" s="144"/>
      <c r="P4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1">
        <f ca="1">TblMili[[#This Row],[Raw]]*(1+TblMili[[#This Row],[Mods_Off]])</f>
        <v>0</v>
      </c>
      <c r="S4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8" s="261">
        <f ca="1">TblMili[[#This Row],[Non Draft]]+TblMili[[#This Row],[Draftees]]</f>
        <v>1076</v>
      </c>
      <c r="U48" s="262">
        <f ca="1">race_defense + TblImps[[#This Row],[Walls]] + ROUND( MIN(gt_bonus*TblConstr[[#This Row],[Tot GT]]/TblConstr[[#This Row],[Land]],gt_bonus_cap), 4) + IF(TblMagic[[#This Row],[Active Howling]]&gt;0,howling_dp_bonus,IF(TblMagic[[#This Row],[Active Ares Call]]&gt;0,ares_call_bonus))</f>
        <v>0</v>
      </c>
      <c r="V48" s="263">
        <f ca="1">TblMili[[#This Row],[Non Draft]] * (1 + TblMili[[#This Row],[Mods_Def]])</f>
        <v>450</v>
      </c>
      <c r="W48" s="261">
        <f ca="1">TblMili[[#This Row],[Draft]] * (1 + TblMili[[#This Row],[Mods_Def]])</f>
        <v>1076</v>
      </c>
      <c r="X48" s="261">
        <f ca="1">TblConstr[[#This Row],[Land]]</f>
        <v>250</v>
      </c>
      <c r="Y48" s="264"/>
      <c r="Z48" s="269">
        <f ca="1">IF(TblMili[[#This Row],[Set]]&lt;&gt;"",TblMili[[#This Row],[Set]],OFFSET(TblMili[[#This Row],[Draftrate]],-1,0))</f>
        <v>0.35</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6"/>
      <c r="AC48" s="182">
        <f ca="1">(TblConstr[[#This Row],[Tot Smi]]+TblConstr[[#This Row],[Dest Smi]])/(TblConstr[[#This Row],[Land]]-TblExplore[[#This Row],[Land Bonus]]*20)</f>
        <v>0</v>
      </c>
      <c r="AD48" s="139"/>
      <c r="AE48" s="260">
        <f>TblMili[[#This Row],[Hour]]</f>
        <v>45</v>
      </c>
      <c r="AF48" s="140">
        <f ca="1">TblExplore[[#This Row],[Time]]</f>
        <v>45733.833333333227</v>
      </c>
      <c r="AG48" s="181"/>
      <c r="AH48" s="181"/>
      <c r="AI48" s="181"/>
      <c r="AJ48" s="181"/>
      <c r="AK48" s="181"/>
      <c r="AL48" s="181"/>
      <c r="AM48" s="181"/>
      <c r="AN48" s="181"/>
      <c r="AO48" s="448">
        <f ca="1">ROUND(IF(AND(TblMagic[[#This Row],[Active DnD]]&lt;12,TblMagic[[#This Row],[Active DnD]]&gt;5),OFFSET(TblPop[[#This Row],[Draft Growth]],-1,0)*0.375,0),0)</f>
        <v>0</v>
      </c>
      <c r="AP48" s="144"/>
      <c r="AQ48" s="96">
        <f ca="1">TblProd[[#This Row],[Platinum]]</f>
        <v>362262</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45733.833333333227</v>
      </c>
      <c r="AW48" s="96">
        <f ca="1">TblMili[[#This Row],[Draftees]]</f>
        <v>626</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0.44</v>
      </c>
      <c r="BX48" s="159">
        <f ca="1">TblMili[[#This Row],[WG''s]]</f>
        <v>0</v>
      </c>
      <c r="BY48" s="265">
        <f ca="1">IF(mystic_cap="none",TblMili[[#This Row],[Homeland%]]/mystic_bonus,MIN(mystic_cap,TblMili[[#This Row],[Homeland%]]/mystic_bonus))</f>
        <v>2</v>
      </c>
      <c r="BZ48" s="265">
        <f ca="1">IF(druid_op_cap="none",TblMili[[#This Row],[Homeland%]]/druid_op_bonus,MIN(druid_op_cap,TblMili[[#This Row],[Homeland%]]/druid_op_bonus))</f>
        <v>2</v>
      </c>
      <c r="CA48" s="265">
        <f ca="1">IF(druid_dp_cap="none",TblMili[[#This Row],[Homeland%]]/druid_dp_bonus,MIN(druid_dp_cap,TblMili[[#This Row],[Homeland%]]/druid_dp_bonus))</f>
        <v>2</v>
      </c>
      <c r="CB48" s="265">
        <f ca="1">MIN(dryad_cap,TblMili[[#This Row],[Homeland%]]/dryad_bonus)</f>
        <v>2.1999999999999997</v>
      </c>
      <c r="CC48" s="265">
        <f ca="1">MIN(rocka_cap,TblMili[[#This Row],[Homeland%]]/rocka_bonus)</f>
        <v>2</v>
      </c>
      <c r="CD48" s="265">
        <f ca="1">MIN(adept_op_cap,TblMili[[#This Row],[WG]]/adept_op_bonus)</f>
        <v>0</v>
      </c>
      <c r="CE48" s="265">
        <f ca="1">MIN(adept_dp_cap,TblMili[[#This Row],[WG]]/adept_dp_bonus)</f>
        <v>0</v>
      </c>
      <c r="CF48" s="96">
        <f ca="1">MIN(TblMili[[#This Row],[Unit 3]],TblMili[[#This Row],[Unit 2]])*2</f>
        <v>0</v>
      </c>
      <c r="CG48" s="96">
        <f ca="1">MIN(TblMili[[#This Row],[Unit 1]],TblMili[[#This Row],[Unit 4]])*2</f>
        <v>0</v>
      </c>
      <c r="CH48" s="265">
        <f ca="1">MIN(frost_mage_cap,TblMili[[#This Row],[Homeland%]]/frost_mage_bonus)</f>
        <v>2.1999999999999997</v>
      </c>
      <c r="CI48" s="45">
        <f ca="1">MIN(ice_elem_cap,TblMili[[#This Row],[Raw (2)]]*ice_elem_bonus)</f>
        <v>0.1</v>
      </c>
      <c r="CJ48" s="265">
        <f t="shared" si="2"/>
        <v>0.83333333333333337</v>
      </c>
      <c r="CK48" s="265">
        <f ca="1">MIN(nox_nightshade_cap,TblConstr[[#This Row],[Homeland]]/TblConstr[[#This Row],[Land]]/nox_nightshade_swamp_bonus)</f>
        <v>4</v>
      </c>
      <c r="CL48" s="265">
        <f ca="1">MIN(TblConstr[[#This Row],[Tot Tow]]/TblConstr[[#This Row],[Land]]/abyss_enforce_bonus,abyss_enforcer_cap)</f>
        <v>0</v>
      </c>
      <c r="CM48" s="265">
        <f ca="1">IF(TblMagic[[#This Row],[Active Demonic Pact]]&gt;0,MIN(TblMili[[#This Row],[Unit 1]],TblMili[[#This Row],[Unit 4]])*demonic_pact_oppair,0)</f>
        <v>0</v>
      </c>
      <c r="CN48" s="266"/>
      <c r="CO48" s="266"/>
      <c r="CP48" s="266"/>
      <c r="CQ48" s="265">
        <f ca="1">MIN(6,TblMili[[#This Row],[Mystic]]+Races!$F$19)*1.8 +  IF(TblMili[[#This Row],[Mystic]]+Races!$F$19&gt;6,(TblMili[[#This Row],[Mystic]]+Races!$F$19-6)*0.2,0) - Races!$I$19</f>
        <v>1</v>
      </c>
      <c r="CR4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-0.64000000000000057</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4.7099999999999991</v>
      </c>
      <c r="DA48" s="157">
        <f ca="1">1.8 * MIN(MAX(TblMili[[#This Row],[Ice Elemental]]+Races!$E$71,Races!$F$71),6)  +  0.45 * MIN(MIN(TblMili[[#This Row],[Ice Elemental]]+Races!$E$71,Races!$F$71),6)  +  0.2 * ( MAX(TblMili[[#This Row],[Ice Elemental]]+Races!$E$71-6,0) + MAX(Races!$F$71-6,0) )  -  Races!$I$71</f>
        <v>0.92999999999999972</v>
      </c>
      <c r="DB48" s="96">
        <f ca="1">TblMili[[#This Row],[Frost Mage bonus]]*TblMili[[#This Row],[Unit 3]]+TblMili[[#This Row],[Ice Elemental bonus]]*TblMili[[#This Row],[Unit 4]]</f>
        <v>0</v>
      </c>
      <c r="DC48" s="267"/>
      <c r="DD48" s="145">
        <f ca="1">MIN(SUM(TblConstr[[#This Row],[Plain]:[Water]])/TblMili[[#This Row],[Land]]/favorable_terrain_bonus/100,favorable_terrain_max)</f>
        <v>0.1</v>
      </c>
      <c r="DE48" s="267"/>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8" s="144"/>
      <c r="DH48" s="268">
        <f ca="1">(TblMili[[#This Row],[Wizards]]+2*TblMili[[#This Row],[Archmages]])/TblConstr[[#This Row],[Land]]</f>
        <v>0.1</v>
      </c>
      <c r="DI48" s="268">
        <f ca="1">TblMili[[#This Row],[Raw (2)]]*(1+race_wizard_strength+IF(TblMili[[#This Row],[Hour]]&gt;72,tech_magical_weaponry_wiz*TblTech[[#This Row],[3-5]],0))</f>
        <v>0.1</v>
      </c>
    </row>
    <row r="49" spans="1:113" x14ac:dyDescent="0.2">
      <c r="A49" s="139">
        <f>TblRezone[[#This Row],[Hour]]</f>
        <v>46</v>
      </c>
      <c r="B49" s="260">
        <f ca="1">SUM(TblMili[[#This Row],[Unit 1]:[Archmages]])+SUM(OFFSET(TblMili[[#This Row],[Train Unit 1]],-8,0):TblMili[[#This Row],[Train Unit 2]]) + SUM(OFFSET(TblMili[[#This Row],[Train Unit 3]],-11,0):TblMili[[#This Row],[Train AM]]) + TblMili[[#This Row],[Draftees]]</f>
        <v>826</v>
      </c>
      <c r="C49" s="159">
        <f ca="1">TblPop[[#This Row],[Military%]]</f>
        <v>0.35029686174724345</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4"/>
      <c r="N49" s="96">
        <f ca="1">TblProd[[#This Row],[Networth]]</f>
        <v>6450</v>
      </c>
      <c r="O49" s="144"/>
      <c r="P4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1">
        <f ca="1">TblMili[[#This Row],[Raw]]*(1+TblMili[[#This Row],[Mods_Off]])</f>
        <v>0</v>
      </c>
      <c r="S4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9" s="261">
        <f ca="1">TblMili[[#This Row],[Non Draft]]+TblMili[[#This Row],[Draftees]]</f>
        <v>1076</v>
      </c>
      <c r="U49" s="262">
        <f ca="1">race_defense + TblImps[[#This Row],[Walls]] + ROUND( MIN(gt_bonus*TblConstr[[#This Row],[Tot GT]]/TblConstr[[#This Row],[Land]],gt_bonus_cap), 4) + IF(TblMagic[[#This Row],[Active Howling]]&gt;0,howling_dp_bonus,IF(TblMagic[[#This Row],[Active Ares Call]]&gt;0,ares_call_bonus))</f>
        <v>0</v>
      </c>
      <c r="V49" s="263">
        <f ca="1">TblMili[[#This Row],[Non Draft]] * (1 + TblMili[[#This Row],[Mods_Def]])</f>
        <v>450</v>
      </c>
      <c r="W49" s="261">
        <f ca="1">TblMili[[#This Row],[Draft]] * (1 + TblMili[[#This Row],[Mods_Def]])</f>
        <v>1076</v>
      </c>
      <c r="X49" s="261">
        <f ca="1">TblConstr[[#This Row],[Land]]</f>
        <v>250</v>
      </c>
      <c r="Y49" s="264"/>
      <c r="Z49" s="269">
        <f ca="1">IF(TblMili[[#This Row],[Set]]&lt;&gt;"",TblMili[[#This Row],[Set]],OFFSET(TblMili[[#This Row],[Draftrate]],-1,0))</f>
        <v>0.35</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6"/>
      <c r="AC49" s="182">
        <f ca="1">(TblConstr[[#This Row],[Tot Smi]]+TblConstr[[#This Row],[Dest Smi]])/(TblConstr[[#This Row],[Land]]-TblExplore[[#This Row],[Land Bonus]]*20)</f>
        <v>0</v>
      </c>
      <c r="AD49" s="139"/>
      <c r="AE49" s="260">
        <f>TblMili[[#This Row],[Hour]]</f>
        <v>46</v>
      </c>
      <c r="AF49" s="140">
        <f ca="1">TblExplore[[#This Row],[Time]]</f>
        <v>45733.874999999891</v>
      </c>
      <c r="AG49" s="181"/>
      <c r="AH49" s="181"/>
      <c r="AI49" s="181"/>
      <c r="AJ49" s="181"/>
      <c r="AK49" s="181"/>
      <c r="AL49" s="181"/>
      <c r="AM49" s="181"/>
      <c r="AN49" s="181"/>
      <c r="AO49" s="448">
        <f ca="1">ROUND(IF(AND(TblMagic[[#This Row],[Active DnD]]&lt;12,TblMagic[[#This Row],[Active DnD]]&gt;5),OFFSET(TblPop[[#This Row],[Draft Growth]],-1,0)*0.375,0),0)</f>
        <v>0</v>
      </c>
      <c r="AP49" s="144"/>
      <c r="AQ49" s="96">
        <f ca="1">TblProd[[#This Row],[Platinum]]</f>
        <v>367748</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45733.874999999891</v>
      </c>
      <c r="AW49" s="96">
        <f ca="1">TblMili[[#This Row],[Draftees]]</f>
        <v>626</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0.44</v>
      </c>
      <c r="BX49" s="159">
        <f ca="1">TblMili[[#This Row],[WG''s]]</f>
        <v>0</v>
      </c>
      <c r="BY49" s="265">
        <f ca="1">IF(mystic_cap="none",TblMili[[#This Row],[Homeland%]]/mystic_bonus,MIN(mystic_cap,TblMili[[#This Row],[Homeland%]]/mystic_bonus))</f>
        <v>2</v>
      </c>
      <c r="BZ49" s="265">
        <f ca="1">IF(druid_op_cap="none",TblMili[[#This Row],[Homeland%]]/druid_op_bonus,MIN(druid_op_cap,TblMili[[#This Row],[Homeland%]]/druid_op_bonus))</f>
        <v>2</v>
      </c>
      <c r="CA49" s="265">
        <f ca="1">IF(druid_dp_cap="none",TblMili[[#This Row],[Homeland%]]/druid_dp_bonus,MIN(druid_dp_cap,TblMili[[#This Row],[Homeland%]]/druid_dp_bonus))</f>
        <v>2</v>
      </c>
      <c r="CB49" s="265">
        <f ca="1">MIN(dryad_cap,TblMili[[#This Row],[Homeland%]]/dryad_bonus)</f>
        <v>2.1999999999999997</v>
      </c>
      <c r="CC49" s="265">
        <f ca="1">MIN(rocka_cap,TblMili[[#This Row],[Homeland%]]/rocka_bonus)</f>
        <v>2</v>
      </c>
      <c r="CD49" s="265">
        <f ca="1">MIN(adept_op_cap,TblMili[[#This Row],[WG]]/adept_op_bonus)</f>
        <v>0</v>
      </c>
      <c r="CE49" s="265">
        <f ca="1">MIN(adept_dp_cap,TblMili[[#This Row],[WG]]/adept_dp_bonus)</f>
        <v>0</v>
      </c>
      <c r="CF49" s="96">
        <f ca="1">MIN(TblMili[[#This Row],[Unit 3]],TblMili[[#This Row],[Unit 2]])*2</f>
        <v>0</v>
      </c>
      <c r="CG49" s="96">
        <f ca="1">MIN(TblMili[[#This Row],[Unit 1]],TblMili[[#This Row],[Unit 4]])*2</f>
        <v>0</v>
      </c>
      <c r="CH49" s="265">
        <f ca="1">MIN(frost_mage_cap,TblMili[[#This Row],[Homeland%]]/frost_mage_bonus)</f>
        <v>2.1999999999999997</v>
      </c>
      <c r="CI49" s="45">
        <f ca="1">MIN(ice_elem_cap,TblMili[[#This Row],[Raw (2)]]*ice_elem_bonus)</f>
        <v>0.1</v>
      </c>
      <c r="CJ49" s="265">
        <f t="shared" si="2"/>
        <v>0.83333333333333337</v>
      </c>
      <c r="CK49" s="265">
        <f ca="1">MIN(nox_nightshade_cap,TblConstr[[#This Row],[Homeland]]/TblConstr[[#This Row],[Land]]/nox_nightshade_swamp_bonus)</f>
        <v>4</v>
      </c>
      <c r="CL49" s="265">
        <f ca="1">MIN(TblConstr[[#This Row],[Tot Tow]]/TblConstr[[#This Row],[Land]]/abyss_enforce_bonus,abyss_enforcer_cap)</f>
        <v>0</v>
      </c>
      <c r="CM49" s="265">
        <f ca="1">IF(TblMagic[[#This Row],[Active Demonic Pact]]&gt;0,MIN(TblMili[[#This Row],[Unit 1]],TblMili[[#This Row],[Unit 4]])*demonic_pact_oppair,0)</f>
        <v>0</v>
      </c>
      <c r="CN49" s="266"/>
      <c r="CO49" s="266"/>
      <c r="CP49" s="266"/>
      <c r="CQ49" s="265">
        <f ca="1">MIN(6,TblMili[[#This Row],[Mystic]]+Races!$F$19)*1.8 +  IF(TblMili[[#This Row],[Mystic]]+Races!$F$19&gt;6,(TblMili[[#This Row],[Mystic]]+Races!$F$19-6)*0.2,0) - Races!$I$19</f>
        <v>1</v>
      </c>
      <c r="CR4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-0.64000000000000057</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4.7099999999999991</v>
      </c>
      <c r="DA49" s="157">
        <f ca="1">1.8 * MIN(MAX(TblMili[[#This Row],[Ice Elemental]]+Races!$E$71,Races!$F$71),6)  +  0.45 * MIN(MIN(TblMili[[#This Row],[Ice Elemental]]+Races!$E$71,Races!$F$71),6)  +  0.2 * ( MAX(TblMili[[#This Row],[Ice Elemental]]+Races!$E$71-6,0) + MAX(Races!$F$71-6,0) )  -  Races!$I$71</f>
        <v>0.92999999999999972</v>
      </c>
      <c r="DB49" s="96">
        <f ca="1">TblMili[[#This Row],[Frost Mage bonus]]*TblMili[[#This Row],[Unit 3]]+TblMili[[#This Row],[Ice Elemental bonus]]*TblMili[[#This Row],[Unit 4]]</f>
        <v>0</v>
      </c>
      <c r="DC49" s="267"/>
      <c r="DD49" s="145">
        <f ca="1">MIN(SUM(TblConstr[[#This Row],[Plain]:[Water]])/TblMili[[#This Row],[Land]]/favorable_terrain_bonus/100,favorable_terrain_max)</f>
        <v>0.1</v>
      </c>
      <c r="DE49" s="267"/>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9" s="144"/>
      <c r="DH49" s="268">
        <f ca="1">(TblMili[[#This Row],[Wizards]]+2*TblMili[[#This Row],[Archmages]])/TblConstr[[#This Row],[Land]]</f>
        <v>0.1</v>
      </c>
      <c r="DI49" s="268">
        <f ca="1">TblMili[[#This Row],[Raw (2)]]*(1+race_wizard_strength+IF(TblMili[[#This Row],[Hour]]&gt;72,tech_magical_weaponry_wiz*TblTech[[#This Row],[3-5]],0))</f>
        <v>0.1</v>
      </c>
    </row>
    <row r="50" spans="1:113" x14ac:dyDescent="0.2">
      <c r="A50" s="139">
        <f>TblRezone[[#This Row],[Hour]]</f>
        <v>47</v>
      </c>
      <c r="B50" s="260">
        <f ca="1">SUM(TblMili[[#This Row],[Unit 1]:[Archmages]])+SUM(OFFSET(TblMili[[#This Row],[Train Unit 1]],-8,0):TblMili[[#This Row],[Train Unit 2]]) + SUM(OFFSET(TblMili[[#This Row],[Train Unit 3]],-11,0):TblMili[[#This Row],[Train AM]]) + TblMili[[#This Row],[Draftees]]</f>
        <v>826</v>
      </c>
      <c r="C50" s="159">
        <f ca="1">TblPop[[#This Row],[Military%]]</f>
        <v>0.35029686174724345</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4"/>
      <c r="N50" s="96">
        <f ca="1">TblProd[[#This Row],[Networth]]</f>
        <v>6450</v>
      </c>
      <c r="O50" s="144"/>
      <c r="P5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1">
        <f ca="1">TblMili[[#This Row],[Raw]]*(1+TblMili[[#This Row],[Mods_Off]])</f>
        <v>0</v>
      </c>
      <c r="S5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0" s="261">
        <f ca="1">TblMili[[#This Row],[Non Draft]]+TblMili[[#This Row],[Draftees]]</f>
        <v>1076</v>
      </c>
      <c r="U50" s="262">
        <f ca="1">race_defense + TblImps[[#This Row],[Walls]] + ROUND( MIN(gt_bonus*TblConstr[[#This Row],[Tot GT]]/TblConstr[[#This Row],[Land]],gt_bonus_cap), 4) + IF(TblMagic[[#This Row],[Active Howling]]&gt;0,howling_dp_bonus,IF(TblMagic[[#This Row],[Active Ares Call]]&gt;0,ares_call_bonus))</f>
        <v>0</v>
      </c>
      <c r="V50" s="263">
        <f ca="1">TblMili[[#This Row],[Non Draft]] * (1 + TblMili[[#This Row],[Mods_Def]])</f>
        <v>450</v>
      </c>
      <c r="W50" s="261">
        <f ca="1">TblMili[[#This Row],[Draft]] * (1 + TblMili[[#This Row],[Mods_Def]])</f>
        <v>1076</v>
      </c>
      <c r="X50" s="261">
        <f ca="1">TblConstr[[#This Row],[Land]]</f>
        <v>250</v>
      </c>
      <c r="Y50" s="264"/>
      <c r="Z50" s="269">
        <f ca="1">IF(TblMili[[#This Row],[Set]]&lt;&gt;"",TblMili[[#This Row],[Set]],OFFSET(TblMili[[#This Row],[Draftrate]],-1,0))</f>
        <v>0.35</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6"/>
      <c r="AC50" s="182">
        <f ca="1">(TblConstr[[#This Row],[Tot Smi]]+TblConstr[[#This Row],[Dest Smi]])/(TblConstr[[#This Row],[Land]]-TblExplore[[#This Row],[Land Bonus]]*20)</f>
        <v>0</v>
      </c>
      <c r="AD50" s="139"/>
      <c r="AE50" s="260">
        <f>TblMili[[#This Row],[Hour]]</f>
        <v>47</v>
      </c>
      <c r="AF50" s="140">
        <f ca="1">TblExplore[[#This Row],[Time]]</f>
        <v>45733.916666666555</v>
      </c>
      <c r="AG50" s="181"/>
      <c r="AH50" s="181"/>
      <c r="AI50" s="181"/>
      <c r="AJ50" s="181"/>
      <c r="AK50" s="181"/>
      <c r="AL50" s="181"/>
      <c r="AM50" s="181"/>
      <c r="AN50" s="181"/>
      <c r="AO50" s="448">
        <f ca="1">ROUND(IF(AND(TblMagic[[#This Row],[Active DnD]]&lt;12,TblMagic[[#This Row],[Active DnD]]&gt;5),OFFSET(TblPop[[#This Row],[Draft Growth]],-1,0)*0.375,0),0)</f>
        <v>0</v>
      </c>
      <c r="AP50" s="144"/>
      <c r="AQ50" s="96">
        <f ca="1">TblProd[[#This Row],[Platinum]]</f>
        <v>373234</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45733.916666666555</v>
      </c>
      <c r="AW50" s="96">
        <f ca="1">TblMili[[#This Row],[Draftees]]</f>
        <v>626</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0.44</v>
      </c>
      <c r="BX50" s="159">
        <f ca="1">TblMili[[#This Row],[WG''s]]</f>
        <v>0</v>
      </c>
      <c r="BY50" s="265">
        <f ca="1">IF(mystic_cap="none",TblMili[[#This Row],[Homeland%]]/mystic_bonus,MIN(mystic_cap,TblMili[[#This Row],[Homeland%]]/mystic_bonus))</f>
        <v>2</v>
      </c>
      <c r="BZ50" s="265">
        <f ca="1">IF(druid_op_cap="none",TblMili[[#This Row],[Homeland%]]/druid_op_bonus,MIN(druid_op_cap,TblMili[[#This Row],[Homeland%]]/druid_op_bonus))</f>
        <v>2</v>
      </c>
      <c r="CA50" s="265">
        <f ca="1">IF(druid_dp_cap="none",TblMili[[#This Row],[Homeland%]]/druid_dp_bonus,MIN(druid_dp_cap,TblMili[[#This Row],[Homeland%]]/druid_dp_bonus))</f>
        <v>2</v>
      </c>
      <c r="CB50" s="265">
        <f ca="1">MIN(dryad_cap,TblMili[[#This Row],[Homeland%]]/dryad_bonus)</f>
        <v>2.1999999999999997</v>
      </c>
      <c r="CC50" s="265">
        <f ca="1">MIN(rocka_cap,TblMili[[#This Row],[Homeland%]]/rocka_bonus)</f>
        <v>2</v>
      </c>
      <c r="CD50" s="265">
        <f ca="1">MIN(adept_op_cap,TblMili[[#This Row],[WG]]/adept_op_bonus)</f>
        <v>0</v>
      </c>
      <c r="CE50" s="265">
        <f ca="1">MIN(adept_dp_cap,TblMili[[#This Row],[WG]]/adept_dp_bonus)</f>
        <v>0</v>
      </c>
      <c r="CF50" s="96">
        <f ca="1">MIN(TblMili[[#This Row],[Unit 3]],TblMili[[#This Row],[Unit 2]])*2</f>
        <v>0</v>
      </c>
      <c r="CG50" s="96">
        <f ca="1">MIN(TblMili[[#This Row],[Unit 1]],TblMili[[#This Row],[Unit 4]])*2</f>
        <v>0</v>
      </c>
      <c r="CH50" s="265">
        <f ca="1">MIN(frost_mage_cap,TblMili[[#This Row],[Homeland%]]/frost_mage_bonus)</f>
        <v>2.1999999999999997</v>
      </c>
      <c r="CI50" s="45">
        <f ca="1">MIN(ice_elem_cap,TblMili[[#This Row],[Raw (2)]]*ice_elem_bonus)</f>
        <v>0.1</v>
      </c>
      <c r="CJ50" s="265">
        <f t="shared" si="2"/>
        <v>0.83333333333333337</v>
      </c>
      <c r="CK50" s="265">
        <f ca="1">MIN(nox_nightshade_cap,TblConstr[[#This Row],[Homeland]]/TblConstr[[#This Row],[Land]]/nox_nightshade_swamp_bonus)</f>
        <v>4</v>
      </c>
      <c r="CL50" s="265">
        <f ca="1">MIN(TblConstr[[#This Row],[Tot Tow]]/TblConstr[[#This Row],[Land]]/abyss_enforce_bonus,abyss_enforcer_cap)</f>
        <v>0</v>
      </c>
      <c r="CM50" s="265">
        <f ca="1">IF(TblMagic[[#This Row],[Active Demonic Pact]]&gt;0,MIN(TblMili[[#This Row],[Unit 1]],TblMili[[#This Row],[Unit 4]])*demonic_pact_oppair,0)</f>
        <v>0</v>
      </c>
      <c r="CN50" s="266"/>
      <c r="CO50" s="266"/>
      <c r="CP50" s="266"/>
      <c r="CQ50" s="265">
        <f ca="1">MIN(6,TblMili[[#This Row],[Mystic]]+Races!$F$19)*1.8 +  IF(TblMili[[#This Row],[Mystic]]+Races!$F$19&gt;6,(TblMili[[#This Row],[Mystic]]+Races!$F$19-6)*0.2,0) - Races!$I$19</f>
        <v>1</v>
      </c>
      <c r="CR5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-0.64000000000000057</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4.7099999999999991</v>
      </c>
      <c r="DA50" s="157">
        <f ca="1">1.8 * MIN(MAX(TblMili[[#This Row],[Ice Elemental]]+Races!$E$71,Races!$F$71),6)  +  0.45 * MIN(MIN(TblMili[[#This Row],[Ice Elemental]]+Races!$E$71,Races!$F$71),6)  +  0.2 * ( MAX(TblMili[[#This Row],[Ice Elemental]]+Races!$E$71-6,0) + MAX(Races!$F$71-6,0) )  -  Races!$I$71</f>
        <v>0.92999999999999972</v>
      </c>
      <c r="DB50" s="96">
        <f ca="1">TblMili[[#This Row],[Frost Mage bonus]]*TblMili[[#This Row],[Unit 3]]+TblMili[[#This Row],[Ice Elemental bonus]]*TblMili[[#This Row],[Unit 4]]</f>
        <v>0</v>
      </c>
      <c r="DC50" s="267"/>
      <c r="DD50" s="145">
        <f ca="1">MIN(SUM(TblConstr[[#This Row],[Plain]:[Water]])/TblMili[[#This Row],[Land]]/favorable_terrain_bonus/100,favorable_terrain_max)</f>
        <v>0.1</v>
      </c>
      <c r="DE50" s="267"/>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0" s="144"/>
      <c r="DH50" s="268">
        <f ca="1">(TblMili[[#This Row],[Wizards]]+2*TblMili[[#This Row],[Archmages]])/TblConstr[[#This Row],[Land]]</f>
        <v>0.1</v>
      </c>
      <c r="DI50" s="268">
        <f ca="1">TblMili[[#This Row],[Raw (2)]]*(1+race_wizard_strength+IF(TblMili[[#This Row],[Hour]]&gt;72,tech_magical_weaponry_wiz*TblTech[[#This Row],[3-5]],0))</f>
        <v>0.1</v>
      </c>
    </row>
    <row r="51" spans="1:113" x14ac:dyDescent="0.2">
      <c r="A51" s="139">
        <f>TblRezone[[#This Row],[Hour]]</f>
        <v>48</v>
      </c>
      <c r="B51" s="260">
        <f ca="1">SUM(TblMili[[#This Row],[Unit 1]:[Archmages]])+SUM(OFFSET(TblMili[[#This Row],[Train Unit 1]],-8,0):TblMili[[#This Row],[Train Unit 2]]) + SUM(OFFSET(TblMili[[#This Row],[Train Unit 3]],-11,0):TblMili[[#This Row],[Train AM]]) + TblMili[[#This Row],[Draftees]]</f>
        <v>826</v>
      </c>
      <c r="C51" s="159">
        <f ca="1">TblPop[[#This Row],[Military%]]</f>
        <v>0.35029686174724345</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4"/>
      <c r="N51" s="96">
        <f ca="1">TblProd[[#This Row],[Networth]]</f>
        <v>6450</v>
      </c>
      <c r="O51" s="144"/>
      <c r="P5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1">
        <f ca="1">TblMili[[#This Row],[Raw]]*(1+TblMili[[#This Row],[Mods_Off]])</f>
        <v>0</v>
      </c>
      <c r="S5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1" s="261">
        <f ca="1">TblMili[[#This Row],[Non Draft]]+TblMili[[#This Row],[Draftees]]</f>
        <v>1076</v>
      </c>
      <c r="U51" s="262">
        <f ca="1">race_defense + TblImps[[#This Row],[Walls]] + ROUND( MIN(gt_bonus*TblConstr[[#This Row],[Tot GT]]/TblConstr[[#This Row],[Land]],gt_bonus_cap), 4) + IF(TblMagic[[#This Row],[Active Howling]]&gt;0,howling_dp_bonus,IF(TblMagic[[#This Row],[Active Ares Call]]&gt;0,ares_call_bonus))</f>
        <v>0</v>
      </c>
      <c r="V51" s="263">
        <f ca="1">TblMili[[#This Row],[Non Draft]] * (1 + TblMili[[#This Row],[Mods_Def]])</f>
        <v>450</v>
      </c>
      <c r="W51" s="261">
        <f ca="1">TblMili[[#This Row],[Draft]] * (1 + TblMili[[#This Row],[Mods_Def]])</f>
        <v>1076</v>
      </c>
      <c r="X51" s="261">
        <f ca="1">TblConstr[[#This Row],[Land]]</f>
        <v>250</v>
      </c>
      <c r="Y51" s="264"/>
      <c r="Z51" s="269">
        <f ca="1">IF(TblMili[[#This Row],[Set]]&lt;&gt;"",TblMili[[#This Row],[Set]],OFFSET(TblMili[[#This Row],[Draftrate]],-1,0))</f>
        <v>0.35</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6"/>
      <c r="AC51" s="182">
        <f ca="1">(TblConstr[[#This Row],[Tot Smi]]+TblConstr[[#This Row],[Dest Smi]])/(TblConstr[[#This Row],[Land]]-TblExplore[[#This Row],[Land Bonus]]*20)</f>
        <v>0</v>
      </c>
      <c r="AD51" s="139"/>
      <c r="AE51" s="260">
        <f>TblMili[[#This Row],[Hour]]</f>
        <v>48</v>
      </c>
      <c r="AF51" s="140">
        <f ca="1">TblExplore[[#This Row],[Time]]</f>
        <v>45733.958333333219</v>
      </c>
      <c r="AG51" s="181"/>
      <c r="AH51" s="181"/>
      <c r="AI51" s="181"/>
      <c r="AJ51" s="181"/>
      <c r="AK51" s="181"/>
      <c r="AL51" s="181"/>
      <c r="AM51" s="181"/>
      <c r="AN51" s="181"/>
      <c r="AO51" s="448">
        <f ca="1">ROUND(IF(AND(TblMagic[[#This Row],[Active DnD]]&lt;12,TblMagic[[#This Row],[Active DnD]]&gt;5),OFFSET(TblPop[[#This Row],[Draft Growth]],-1,0)*0.375,0),0)</f>
        <v>0</v>
      </c>
      <c r="AP51" s="144"/>
      <c r="AQ51" s="96">
        <f ca="1">TblProd[[#This Row],[Platinum]]</f>
        <v>378720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45733.958333333219</v>
      </c>
      <c r="AW51" s="96">
        <f ca="1">TblMili[[#This Row],[Draftees]]</f>
        <v>626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0.44</v>
      </c>
      <c r="BX51" s="159">
        <f ca="1">TblMili[[#This Row],[WG''s]]</f>
        <v>0</v>
      </c>
      <c r="BY51" s="265">
        <f ca="1">IF(mystic_cap="none",TblMili[[#This Row],[Homeland%]]/mystic_bonus,MIN(mystic_cap,TblMili[[#This Row],[Homeland%]]/mystic_bonus))</f>
        <v>2</v>
      </c>
      <c r="BZ51" s="265">
        <f ca="1">IF(druid_op_cap="none",TblMili[[#This Row],[Homeland%]]/druid_op_bonus,MIN(druid_op_cap,TblMili[[#This Row],[Homeland%]]/druid_op_bonus))</f>
        <v>2</v>
      </c>
      <c r="CA51" s="265">
        <f ca="1">IF(druid_dp_cap="none",TblMili[[#This Row],[Homeland%]]/druid_dp_bonus,MIN(druid_dp_cap,TblMili[[#This Row],[Homeland%]]/druid_dp_bonus))</f>
        <v>2</v>
      </c>
      <c r="CB51" s="265">
        <f ca="1">MIN(dryad_cap,TblMili[[#This Row],[Homeland%]]/dryad_bonus)</f>
        <v>2.1999999999999997</v>
      </c>
      <c r="CC51" s="265">
        <f ca="1">MIN(rocka_cap,TblMili[[#This Row],[Homeland%]]/rocka_bonus)</f>
        <v>2</v>
      </c>
      <c r="CD51" s="265">
        <f ca="1">MIN(adept_op_cap,TblMili[[#This Row],[WG]]/adept_op_bonus)</f>
        <v>0</v>
      </c>
      <c r="CE51" s="265">
        <f ca="1">MIN(adept_dp_cap,TblMili[[#This Row],[WG]]/adept_dp_bonus)</f>
        <v>0</v>
      </c>
      <c r="CF51" s="96">
        <f ca="1">MIN(TblMili[[#This Row],[Unit 3]],TblMili[[#This Row],[Unit 2]])*2</f>
        <v>0</v>
      </c>
      <c r="CG51" s="96">
        <f ca="1">MIN(TblMili[[#This Row],[Unit 1]],TblMili[[#This Row],[Unit 4]])*2</f>
        <v>0</v>
      </c>
      <c r="CH51" s="265">
        <f ca="1">MIN(frost_mage_cap,TblMili[[#This Row],[Homeland%]]/frost_mage_bonus)</f>
        <v>2.1999999999999997</v>
      </c>
      <c r="CI51" s="45">
        <f ca="1">MIN(ice_elem_cap,TblMili[[#This Row],[Raw (2)]]*ice_elem_bonus)</f>
        <v>0.1</v>
      </c>
      <c r="CJ51" s="265">
        <f t="shared" si="2"/>
        <v>0.83333333333333337</v>
      </c>
      <c r="CK51" s="265">
        <f ca="1">MIN(nox_nightshade_cap,TblConstr[[#This Row],[Homeland]]/TblConstr[[#This Row],[Land]]/nox_nightshade_swamp_bonus)</f>
        <v>4</v>
      </c>
      <c r="CL51" s="265">
        <f ca="1">MIN(TblConstr[[#This Row],[Tot Tow]]/TblConstr[[#This Row],[Land]]/abyss_enforce_bonus,abyss_enforcer_cap)</f>
        <v>0</v>
      </c>
      <c r="CM51" s="265">
        <f ca="1">IF(TblMagic[[#This Row],[Active Demonic Pact]]&gt;0,MIN(TblMili[[#This Row],[Unit 1]],TblMili[[#This Row],[Unit 4]])*demonic_pact_oppair,0)</f>
        <v>0</v>
      </c>
      <c r="CN51" s="266"/>
      <c r="CO51" s="266"/>
      <c r="CP51" s="266"/>
      <c r="CQ51" s="265">
        <f ca="1">MIN(6,TblMili[[#This Row],[Mystic]]+Races!$F$19)*1.8 +  IF(TblMili[[#This Row],[Mystic]]+Races!$F$19&gt;6,(TblMili[[#This Row],[Mystic]]+Races!$F$19-6)*0.2,0) - Races!$I$19</f>
        <v>1</v>
      </c>
      <c r="CR5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-0.64000000000000057</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4.7099999999999991</v>
      </c>
      <c r="DA51" s="157">
        <f ca="1">1.8 * MIN(MAX(TblMili[[#This Row],[Ice Elemental]]+Races!$E$71,Races!$F$71),6)  +  0.45 * MIN(MIN(TblMili[[#This Row],[Ice Elemental]]+Races!$E$71,Races!$F$71),6)  +  0.2 * ( MAX(TblMili[[#This Row],[Ice Elemental]]+Races!$E$71-6,0) + MAX(Races!$F$71-6,0) )  -  Races!$I$71</f>
        <v>0.92999999999999972</v>
      </c>
      <c r="DB51" s="96">
        <f ca="1">TblMili[[#This Row],[Frost Mage bonus]]*TblMili[[#This Row],[Unit 3]]+TblMili[[#This Row],[Ice Elemental bonus]]*TblMili[[#This Row],[Unit 4]]</f>
        <v>0</v>
      </c>
      <c r="DC51" s="267"/>
      <c r="DD51" s="145">
        <f ca="1">MIN(SUM(TblConstr[[#This Row],[Plain]:[Water]])/TblMili[[#This Row],[Land]]/favorable_terrain_bonus/100,favorable_terrain_max)</f>
        <v>0.1</v>
      </c>
      <c r="DE51" s="267"/>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1" s="144"/>
      <c r="DH51" s="268">
        <f ca="1">(TblMili[[#This Row],[Wizards]]+2*TblMili[[#This Row],[Archmages]])/TblConstr[[#This Row],[Land]]</f>
        <v>0.1</v>
      </c>
      <c r="DI51" s="268">
        <f ca="1">TblMili[[#This Row],[Raw (2)]]*(1+race_wizard_strength+IF(TblMili[[#This Row],[Hour]]&gt;72,tech_magical_weaponry_wiz*TblTech[[#This Row],[3-5]],0))</f>
        <v>0.1</v>
      </c>
    </row>
    <row r="52" spans="1:113" x14ac:dyDescent="0.2">
      <c r="A52" s="139">
        <f>TblRezone[[#This Row],[Hour]]</f>
        <v>49</v>
      </c>
      <c r="B52" s="260">
        <f ca="1">SUM(TblMili[[#This Row],[Unit 1]:[Archmages]])+SUM(OFFSET(TblMili[[#This Row],[Train Unit 1]],-8,0):TblMili[[#This Row],[Train Unit 2]]) + SUM(OFFSET(TblMili[[#This Row],[Train Unit 3]],-11,0):TblMili[[#This Row],[Train AM]]) + TblMili[[#This Row],[Draftees]]</f>
        <v>826</v>
      </c>
      <c r="C52" s="159">
        <f ca="1">TblPop[[#This Row],[Military%]]</f>
        <v>0.35029686174724345</v>
      </c>
      <c r="D52" s="144"/>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4"/>
      <c r="N52" s="96">
        <f ca="1">TblProd[[#This Row],[Networth]]</f>
        <v>6450</v>
      </c>
      <c r="O52" s="144"/>
      <c r="P5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1">
        <f ca="1">TblMili[[#This Row],[Raw]]*(1+TblMili[[#This Row],[Mods_Off]])</f>
        <v>0</v>
      </c>
      <c r="S5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2" s="261">
        <f ca="1">TblMili[[#This Row],[Non Draft]]+TblMili[[#This Row],[Draftees]]</f>
        <v>1076</v>
      </c>
      <c r="U52" s="262">
        <f ca="1">race_defense + TblImps[[#This Row],[Walls]] + ROUND( MIN(gt_bonus*TblConstr[[#This Row],[Tot GT]]/TblConstr[[#This Row],[Land]],gt_bonus_cap), 4) + IF(TblMagic[[#This Row],[Active Howling]]&gt;0,howling_dp_bonus,IF(TblMagic[[#This Row],[Active Ares Call]]&gt;0,ares_call_bonus))</f>
        <v>0</v>
      </c>
      <c r="V52" s="263">
        <f ca="1">TblMili[[#This Row],[Non Draft]] * (1 + TblMili[[#This Row],[Mods_Def]])</f>
        <v>450</v>
      </c>
      <c r="W52" s="261">
        <f ca="1">TblMili[[#This Row],[Draft]] * (1 + TblMili[[#This Row],[Mods_Def]])</f>
        <v>1076</v>
      </c>
      <c r="X52" s="261">
        <f ca="1">TblConstr[[#This Row],[Land]]</f>
        <v>250</v>
      </c>
      <c r="Y52" s="264"/>
      <c r="Z52" s="269">
        <f ca="1">IF(TblMili[[#This Row],[Set]]&lt;&gt;"",TblMili[[#This Row],[Set]],OFFSET(TblMili[[#This Row],[Draftrate]],-1,0))</f>
        <v>0.35</v>
      </c>
      <c r="AA5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6"/>
      <c r="AC52" s="182">
        <f ca="1">(TblConstr[[#This Row],[Tot Smi]]+TblConstr[[#This Row],[Dest Smi]])/(TblConstr[[#This Row],[Land]]-TblExplore[[#This Row],[Land Bonus]]*20)</f>
        <v>0</v>
      </c>
      <c r="AD52" s="270"/>
      <c r="AE52" s="271">
        <f>TblMili[[#This Row],[Hour]]</f>
        <v>49</v>
      </c>
      <c r="AF52" s="140">
        <f ca="1">TblExplore[[#This Row],[Time]]</f>
        <v>45733.999999999884</v>
      </c>
      <c r="AG52" s="181"/>
      <c r="AH52" s="181"/>
      <c r="AI52" s="181"/>
      <c r="AJ52" s="181"/>
      <c r="AK52" s="181"/>
      <c r="AL52" s="181"/>
      <c r="AM52" s="181"/>
      <c r="AN52" s="181"/>
      <c r="AO52" s="448">
        <f ca="1">ROUND(IF(AND(TblMagic[[#This Row],[Active DnD]]&lt;12,TblMagic[[#This Row],[Active DnD]]&gt;5),OFFSET(TblPop[[#This Row],[Draft Growth]],-1,0)*0.375,0),0)</f>
        <v>0</v>
      </c>
      <c r="AP52" s="144"/>
      <c r="AQ52" s="96">
        <f ca="1">TblProd[[#This Row],[Platinum]]</f>
        <v>384206</v>
      </c>
      <c r="AR52" s="96">
        <f ca="1">INDEX(TblProd[[#Headers],[Lumber]]:TblProd[[#This Row],[Ore]],COUNTA(TblProd[[#Headers],[Lumber]]:TblProd[[#This Row],[Lumber]]),MATCH(Military!$AR$2,TblProd[[#Headers],[Lumber]:[Ore]],0))</f>
        <v>0</v>
      </c>
      <c r="AS5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6">
        <f ca="1">TblMili[[#This Row],[Train Unit 1]]*TblMili[[#This Row],[OP Ore]]+TblMili[[#This Row],[Train Unit 2]]*TblMili[[#This Row],[DP Ore]]+TblMili[[#This Row],[Train Unit 3]]*TblMili[[#This Row],[E1 Ore]]+TblMili[[#This Row],[Train Unit 4]]*TblMili[[#This Row],[E2 Ore]]</f>
        <v>0</v>
      </c>
      <c r="AU52" s="144">
        <f>TblMili[[#This Row],[Hour]]</f>
        <v>49</v>
      </c>
      <c r="AV52" s="154">
        <f ca="1">TblMili[[#This Row],[Time]]</f>
        <v>45733.999999999884</v>
      </c>
      <c r="AW52" s="96">
        <f ca="1">TblMili[[#This Row],[Draftees]]</f>
        <v>626</v>
      </c>
      <c r="AX52" s="181"/>
      <c r="AY52" s="181"/>
      <c r="AZ52" s="181"/>
      <c r="BA52" s="181"/>
      <c r="BB52" s="181"/>
      <c r="BC52" s="181"/>
      <c r="BD52" s="181"/>
      <c r="BE52" s="181"/>
      <c r="BF52" s="181"/>
      <c r="BG52" s="144"/>
      <c r="BH52" s="159">
        <f ca="1">TblConstr[[#This Row],[Tot WG]]/TblConstr[[#This Row],[Land]]</f>
        <v>0</v>
      </c>
      <c r="BI52" s="159">
        <f ca="1">TblConstr[[#This Row],[Tot Hav]]/TblConstr[[#This Row],[Land]]</f>
        <v>0</v>
      </c>
      <c r="BJ52" s="96">
        <f ca="1">ROUNDUP((1-MIN(TblMili[[#This Row],[Smithies]]*smithy_bonus,smithy_bonus_cap) + tech_3_5*TblTech[[#This Row],[3-5]] + tech_5_3*TblTech[[#This Row],[5-3]] + tech_5_5*TblTech[[#This Row],[5-5]])*spec_op_plat,0)</f>
        <v>275</v>
      </c>
      <c r="BK52" s="96">
        <f ca="1">ROUNDUP(IF(race="Gnome",1,(1-MIN(TblMili[[#This Row],[Smithies]]*smithy_bonus,smithy_bonus_cap) + tech_3_5*TblTech[[#This Row],[3-5]] + tech_5_3*TblTech[[#This Row],[5-3]] + tech_5_5*TblTech[[#This Row],[5-5]]))*spec_op_ore,0)</f>
        <v>25</v>
      </c>
      <c r="BL52" s="96">
        <f ca="1">ROUNDUP((1-MIN(TblMili[[#This Row],[Smithies]]*smithy_bonus,smithy_bonus_cap) + tech_3_5*TblTech[[#This Row],[3-5]] + tech_5_3*TblTech[[#This Row],[5-3]] + tech_5_5*TblTech[[#This Row],[5-5]])*spec_dp_plat,0)</f>
        <v>275</v>
      </c>
      <c r="BM52" s="96">
        <f ca="1">ROUNDUP(IF(race="Gnome",1,(1-MIN(TblMili[[#This Row],[Smithies]]*smithy_bonus,smithy_bonus_cap) + tech_3_5*TblTech[[#This Row],[3-5]] + tech_5_3*TblTech[[#This Row],[5-3]] + tech_5_5*TblTech[[#This Row],[5-5]]))*spec_dp_ore,0)</f>
        <v>15</v>
      </c>
      <c r="BN52" s="96">
        <f ca="1">ROUNDUP((1-MIN(TblMili[[#This Row],[Smithies]]*smithy_bonus,smithy_bonus_cap) + tech_3_5*TblTech[[#This Row],[3-5]] + tech_5_3*TblTech[[#This Row],[5-3]] + tech_5_5*TblTech[[#This Row],[5-5]])*elite1_plat,0)</f>
        <v>1040</v>
      </c>
      <c r="BO52" s="96">
        <f ca="1">ROUNDUP(IF(race="Gnome",1,(1-MIN(TblMili[[#This Row],[Smithies]]*smithy_bonus,smithy_bonus_cap) + tech_3_5*TblTech[[#This Row],[3-5]] + tech_5_3*TblTech[[#This Row],[5-3]] + tech_5_5*TblTech[[#This Row],[5-5]]))*elite1_ore,0)</f>
        <v>75</v>
      </c>
      <c r="BP52" s="96">
        <f ca="1">ROUNDUP((1-MIN(TblMili[[#This Row],[Smithies]]*smithy_bonus,smithy_bonus_cap) + tech_3_5*TblTech[[#This Row],[3-5]] + tech_5_3*TblTech[[#This Row],[5-3]] + tech_5_5*TblTech[[#This Row],[5-5]])*elite2_plat,0)</f>
        <v>1280</v>
      </c>
      <c r="BQ52" s="96">
        <f ca="1">ROUNDUP(IF(race="Gnome",1,(1-MIN(TblMili[[#This Row],[Smithies]]*smithy_bonus,smithy_bonus_cap) + tech_3_5*TblTech[[#This Row],[3-5]] + tech_5_3*TblTech[[#This Row],[5-3]] + tech_5_5*TblTech[[#This Row],[5-5]]))*elite2_ore,0)</f>
        <v>100</v>
      </c>
      <c r="BR52" s="96">
        <f ca="1">ROUNDUP((1-MIN(ROUND(fh_spy_cost_red*TblMili[[#This Row],[FH''s]],4),fh_spy_cost_cap)+ tech_1_9*TblTech[[#This Row],[1-9]] + tech_9_1*TblTech[[#This Row],[9-1]])*spy_plat,0)</f>
        <v>500</v>
      </c>
      <c r="BS52" s="96">
        <f ca="1">ROUNDUP((1-MIN(ROUND(fh_spy_cost_red*TblMili[[#This Row],[FH''s]],4),fh_spy_cost_cap)+ tech_1_9*TblTech[[#This Row],[1-9]] + tech_9_1*TblTech[[#This Row],[9-1]])*archspy_plat,0)</f>
        <v>1000</v>
      </c>
      <c r="BT52" s="96">
        <f ca="1">ROUNDUP((1-MIN(ROUND(wg_wiz_cost_bonus*TblMili[[#This Row],[WG''s]],4),wg_wiz_cost_cap) + tech_1_9_2*TblTech[[#This Row],[1-9]] + tech_9_1_2*TblTech[[#This Row],[9-1]])*wizard_plat,0)</f>
        <v>500</v>
      </c>
      <c r="BU52" s="96">
        <f ca="1">ROUNDUP((1-MIN(ROUND(wg_wiz_cost_bonus*TblMili[[#This Row],[WG''s]],4),wg_wiz_cost_cap) + tech_1_9_2*TblTech[[#This Row],[1-9]] + tech_9_1_2*TblTech[[#This Row],[9-1]])*archmage_plat,0)</f>
        <v>1000</v>
      </c>
      <c r="BV52" s="144"/>
      <c r="BW52" s="159">
        <f ca="1">TblConstr[[#This Row],[Homeland]]/TblConstr[[#This Row],[Land]]</f>
        <v>0.44</v>
      </c>
      <c r="BX52" s="159">
        <f ca="1">TblMili[[#This Row],[WG''s]]</f>
        <v>0</v>
      </c>
      <c r="BY52" s="265">
        <f ca="1">IF(mystic_cap="none",TblMili[[#This Row],[Homeland%]]/mystic_bonus,MIN(mystic_cap,TblMili[[#This Row],[Homeland%]]/mystic_bonus))</f>
        <v>2</v>
      </c>
      <c r="BZ52" s="265">
        <f ca="1">IF(druid_op_cap="none",TblMili[[#This Row],[Homeland%]]/druid_op_bonus,MIN(druid_op_cap,TblMili[[#This Row],[Homeland%]]/druid_op_bonus))</f>
        <v>2</v>
      </c>
      <c r="CA52" s="265">
        <f ca="1">IF(druid_dp_cap="none",TblMili[[#This Row],[Homeland%]]/druid_dp_bonus,MIN(druid_dp_cap,TblMili[[#This Row],[Homeland%]]/druid_dp_bonus))</f>
        <v>2</v>
      </c>
      <c r="CB52" s="265">
        <f ca="1">MIN(dryad_cap,TblMili[[#This Row],[Homeland%]]/dryad_bonus)</f>
        <v>2.1999999999999997</v>
      </c>
      <c r="CC52" s="265">
        <f ca="1">MIN(rocka_cap,TblMili[[#This Row],[Homeland%]]/rocka_bonus)</f>
        <v>2</v>
      </c>
      <c r="CD52" s="265">
        <f ca="1">MIN(adept_op_cap,TblMili[[#This Row],[WG]]/adept_op_bonus)</f>
        <v>0</v>
      </c>
      <c r="CE52" s="265">
        <f ca="1">MIN(adept_dp_cap,TblMili[[#This Row],[WG]]/adept_dp_bonus)</f>
        <v>0</v>
      </c>
      <c r="CF52" s="96">
        <f ca="1">MIN(TblMili[[#This Row],[Unit 3]],TblMili[[#This Row],[Unit 2]])*2</f>
        <v>0</v>
      </c>
      <c r="CG52" s="96">
        <f ca="1">MIN(TblMili[[#This Row],[Unit 1]],TblMili[[#This Row],[Unit 4]])*2</f>
        <v>0</v>
      </c>
      <c r="CH52" s="265">
        <f ca="1">MIN(frost_mage_cap,TblMili[[#This Row],[Homeland%]]/frost_mage_bonus)</f>
        <v>2.1999999999999997</v>
      </c>
      <c r="CI52" s="45">
        <f ca="1">MIN(ice_elem_cap,TblMili[[#This Row],[Raw (2)]]*ice_elem_bonus)</f>
        <v>0.1</v>
      </c>
      <c r="CJ52" s="265">
        <f t="shared" si="2"/>
        <v>0.83333333333333337</v>
      </c>
      <c r="CK52" s="265">
        <f ca="1">MIN(nox_nightshade_cap,TblConstr[[#This Row],[Homeland]]/TblConstr[[#This Row],[Land]]/nox_nightshade_swamp_bonus)</f>
        <v>4</v>
      </c>
      <c r="CL52" s="265">
        <f ca="1">MIN(TblConstr[[#This Row],[Tot Tow]]/TblConstr[[#This Row],[Land]]/abyss_enforce_bonus,abyss_enforcer_cap)</f>
        <v>0</v>
      </c>
      <c r="CM52" s="265">
        <f ca="1">IF(TblMagic[[#This Row],[Active Demonic Pact]]&gt;0,MIN(TblMili[[#This Row],[Unit 1]],TblMili[[#This Row],[Unit 4]])*demonic_pact_oppair,0)</f>
        <v>0</v>
      </c>
      <c r="CN52" s="266"/>
      <c r="CO52" s="266"/>
      <c r="CP52" s="266"/>
      <c r="CQ52" s="265">
        <f ca="1">MIN(6,TblMili[[#This Row],[Mystic]]+Races!$F$19)*1.8 +  IF(TblMili[[#This Row],[Mystic]]+Races!$F$19&gt;6,(TblMili[[#This Row],[Mystic]]+Races!$F$19-6)*0.2,0) - Races!$I$19</f>
        <v>1</v>
      </c>
      <c r="CR5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6">
        <f ca="1">TblMili[[#This Row],[Mystic bonus]]*TblMili[[#This Row],[Unit 3]]+TblMili[[#This Row],[Druid bonus]]*TblMili[[#This Row],[Unit 4]]</f>
        <v>0</v>
      </c>
      <c r="CT52" s="157">
        <f ca="1">MIN(6,TblMili[[#This Row],[Dryad]]+Races!$F$35)*1.8 +  IF(TblMili[[#This Row],[Dryad]]+Races!$F$35&gt;6,(TblMili[[#This Row],[Dryad]]+Races!$F$35-6)*0.2,0) - Races!$I$19</f>
        <v>-0.64000000000000057</v>
      </c>
      <c r="CU52" s="96">
        <f ca="1">sylvan*(TblMili[[#This Row],[Mystic bonus]]*TblMili[[#This Row],[Unit 3]])</f>
        <v>0</v>
      </c>
      <c r="CV52" s="157">
        <f ca="1">1.8 * MIN(MAX(Races!$E$27,TblMili[[#This Row],[Rockapult]]+Races!$F$27),6)  +  0.45 * MIN(MIN(Races!$E$27,TblMili[[#This Row],[Rockapult]]+Races!$F$27),6)  +  0.2 * ( MAX(Races!$E$27-6,0) + MAX(TblMili[[#This Row],[Rockapult]]+Races!$F$27-6,0) )  -  Races!$I$20</f>
        <v>3.7000000000000011</v>
      </c>
      <c r="CW52" s="96">
        <f ca="1">gnome*(TblMili[[#This Row],[Rockapult bonus]]*TblMili[[#This Row],[Unit 3]])</f>
        <v>0</v>
      </c>
      <c r="CX5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6">
        <f ca="1">dark_elf*(TblMili[[#This Row],[Adept bonus]]*TblMili[[#This Row],[Unit 3]])</f>
        <v>0</v>
      </c>
      <c r="CZ52" s="157">
        <f ca="1">1.8 * MIN(MAX(TblMili[[#This Row],[Frost Mage]]+Races!$F$71,Races!$E$71),6)  +  0.45 * MIN(MIN(TblMili[[#This Row],[Frost Mage]]+Races!$F$71,Races!$E$71),6)  +  0.2 * ( MAX(TblMili[[#This Row],[Frost Mage]]+Races!$F$71-6,0) + MAX(Races!$E$71-6,0) )  -  Races!$I$71</f>
        <v>4.7099999999999991</v>
      </c>
      <c r="DA52" s="157">
        <f ca="1">1.8 * MIN(MAX(TblMili[[#This Row],[Ice Elemental]]+Races!$E$71,Races!$F$71),6)  +  0.45 * MIN(MIN(TblMili[[#This Row],[Ice Elemental]]+Races!$E$71,Races!$F$71),6)  +  0.2 * ( MAX(TblMili[[#This Row],[Ice Elemental]]+Races!$E$71-6,0) + MAX(Races!$F$71-6,0) )  -  Races!$I$71</f>
        <v>0.92999999999999972</v>
      </c>
      <c r="DB52" s="96">
        <f ca="1">TblMili[[#This Row],[Frost Mage bonus]]*TblMili[[#This Row],[Unit 3]]+TblMili[[#This Row],[Ice Elemental bonus]]*TblMili[[#This Row],[Unit 4]]</f>
        <v>0</v>
      </c>
      <c r="DC52" s="267"/>
      <c r="DD52" s="145">
        <f ca="1">MIN(SUM(TblConstr[[#This Row],[Plain]:[Water]])/TblMili[[#This Row],[Land]]/favorable_terrain_bonus/100,favorable_terrain_max)</f>
        <v>0.1</v>
      </c>
      <c r="DE52" s="267"/>
      <c r="DF5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2" s="144"/>
      <c r="DH52" s="268">
        <f ca="1">(TblMili[[#This Row],[Wizards]]+2*TblMili[[#This Row],[Archmages]])/TblConstr[[#This Row],[Land]]</f>
        <v>0.1</v>
      </c>
      <c r="DI52" s="268">
        <f ca="1">TblMili[[#This Row],[Raw (2)]]*(1+race_wizard_strength+IF(TblMili[[#This Row],[Hour]]&gt;72,tech_magical_weaponry_wiz*TblTech[[#This Row],[3-5]],0))</f>
        <v>0.1</v>
      </c>
    </row>
    <row r="53" spans="1:113" x14ac:dyDescent="0.2">
      <c r="A53" s="139">
        <f>TblRezone[[#This Row],[Hour]]</f>
        <v>50</v>
      </c>
      <c r="B53" s="260">
        <f ca="1">SUM(TblMili[[#This Row],[Unit 1]:[Archmages]])+SUM(OFFSET(TblMili[[#This Row],[Train Unit 1]],-8,0):TblMili[[#This Row],[Train Unit 2]]) + SUM(OFFSET(TblMili[[#This Row],[Train Unit 3]],-11,0):TblMili[[#This Row],[Train AM]]) + TblMili[[#This Row],[Draftees]]</f>
        <v>826</v>
      </c>
      <c r="C53" s="159">
        <f ca="1">TblPop[[#This Row],[Military%]]</f>
        <v>0.35029686174724345</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4"/>
      <c r="N53" s="96">
        <f ca="1">TblProd[[#This Row],[Networth]]</f>
        <v>6450</v>
      </c>
      <c r="O53" s="144"/>
      <c r="P5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1">
        <f ca="1">TblMili[[#This Row],[Raw]]*(1+TblMili[[#This Row],[Mods_Off]])</f>
        <v>0</v>
      </c>
      <c r="S5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3" s="261">
        <f ca="1">TblMili[[#This Row],[Non Draft]]+TblMili[[#This Row],[Draftees]]</f>
        <v>1076</v>
      </c>
      <c r="U53" s="262">
        <f ca="1">race_defense + TblImps[[#This Row],[Walls]] + ROUND( MIN(gt_bonus*TblConstr[[#This Row],[Tot GT]]/TblConstr[[#This Row],[Land]],gt_bonus_cap), 4) + IF(TblMagic[[#This Row],[Active Howling]]&gt;0,howling_dp_bonus,IF(TblMagic[[#This Row],[Active Ares Call]]&gt;0,ares_call_bonus))</f>
        <v>0</v>
      </c>
      <c r="V53" s="263">
        <f ca="1">TblMili[[#This Row],[Non Draft]] * (1 + TblMili[[#This Row],[Mods_Def]])</f>
        <v>450</v>
      </c>
      <c r="W53" s="261">
        <f ca="1">TblMili[[#This Row],[Draft]] * (1 + TblMili[[#This Row],[Mods_Def]])</f>
        <v>1076</v>
      </c>
      <c r="X53" s="261">
        <f ca="1">TblConstr[[#This Row],[Land]]</f>
        <v>250</v>
      </c>
      <c r="Y53" s="264"/>
      <c r="Z53" s="269">
        <f ca="1">IF(TblMili[[#This Row],[Set]]&lt;&gt;"",TblMili[[#This Row],[Set]],OFFSET(TblMili[[#This Row],[Draftrate]],-1,0))</f>
        <v>0.35</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6"/>
      <c r="AC53" s="182">
        <f ca="1">(TblConstr[[#This Row],[Tot Smi]]+TblConstr[[#This Row],[Dest Smi]])/(TblConstr[[#This Row],[Land]]-TblExplore[[#This Row],[Land Bonus]]*20)</f>
        <v>0</v>
      </c>
      <c r="AD53" s="139"/>
      <c r="AE53" s="260">
        <f>TblMili[[#This Row],[Hour]]</f>
        <v>50</v>
      </c>
      <c r="AF53" s="140">
        <f ca="1">TblExplore[[#This Row],[Time]]</f>
        <v>45734.041666666548</v>
      </c>
      <c r="AG53" s="160"/>
      <c r="AH53" s="181"/>
      <c r="AI53" s="160"/>
      <c r="AJ53" s="181"/>
      <c r="AK53" s="181"/>
      <c r="AL53" s="181"/>
      <c r="AM53" s="181"/>
      <c r="AN53" s="181"/>
      <c r="AO53" s="448">
        <f ca="1">ROUND(IF(AND(TblMagic[[#This Row],[Active DnD]]&lt;12,TblMagic[[#This Row],[Active DnD]]&gt;5),OFFSET(TblPop[[#This Row],[Draft Growth]],-1,0)*0.375,0),0)</f>
        <v>0</v>
      </c>
      <c r="AP53" s="144"/>
      <c r="AQ53" s="96">
        <f ca="1">TblProd[[#This Row],[Platinum]]</f>
        <v>389692</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45734.041666666548</v>
      </c>
      <c r="AW53" s="96">
        <f ca="1">TblMili[[#This Row],[Draftees]]</f>
        <v>626</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0.44</v>
      </c>
      <c r="BX53" s="159">
        <f ca="1">TblMili[[#This Row],[WG''s]]</f>
        <v>0</v>
      </c>
      <c r="BY53" s="265">
        <f ca="1">IF(mystic_cap="none",TblMili[[#This Row],[Homeland%]]/mystic_bonus,MIN(mystic_cap,TblMili[[#This Row],[Homeland%]]/mystic_bonus))</f>
        <v>2</v>
      </c>
      <c r="BZ53" s="265">
        <f ca="1">IF(druid_op_cap="none",TblMili[[#This Row],[Homeland%]]/druid_op_bonus,MIN(druid_op_cap,TblMili[[#This Row],[Homeland%]]/druid_op_bonus))</f>
        <v>2</v>
      </c>
      <c r="CA53" s="265">
        <f ca="1">IF(druid_dp_cap="none",TblMili[[#This Row],[Homeland%]]/druid_dp_bonus,MIN(druid_dp_cap,TblMili[[#This Row],[Homeland%]]/druid_dp_bonus))</f>
        <v>2</v>
      </c>
      <c r="CB53" s="265">
        <f ca="1">MIN(dryad_cap,TblMili[[#This Row],[Homeland%]]/dryad_bonus)</f>
        <v>2.1999999999999997</v>
      </c>
      <c r="CC53" s="265">
        <f ca="1">MIN(rocka_cap,TblMili[[#This Row],[Homeland%]]/rocka_bonus)</f>
        <v>2</v>
      </c>
      <c r="CD53" s="265">
        <f ca="1">MIN(adept_op_cap,TblMili[[#This Row],[WG]]/adept_op_bonus)</f>
        <v>0</v>
      </c>
      <c r="CE53" s="265">
        <f ca="1">MIN(adept_dp_cap,TblMili[[#This Row],[WG]]/adept_dp_bonus)</f>
        <v>0</v>
      </c>
      <c r="CF53" s="96">
        <f ca="1">MIN(TblMili[[#This Row],[Unit 3]],TblMili[[#This Row],[Unit 2]])*2</f>
        <v>0</v>
      </c>
      <c r="CG53" s="96">
        <f ca="1">MIN(TblMili[[#This Row],[Unit 1]],TblMili[[#This Row],[Unit 4]])*2</f>
        <v>0</v>
      </c>
      <c r="CH53" s="265">
        <f ca="1">MIN(frost_mage_cap,TblMili[[#This Row],[Homeland%]]/frost_mage_bonus)</f>
        <v>2.1999999999999997</v>
      </c>
      <c r="CI53" s="45">
        <f ca="1">MIN(ice_elem_cap,TblMili[[#This Row],[Raw (2)]]*ice_elem_bonus)</f>
        <v>0.1</v>
      </c>
      <c r="CJ53" s="265">
        <f t="shared" si="2"/>
        <v>0.83333333333333337</v>
      </c>
      <c r="CK53" s="265">
        <f ca="1">MIN(nox_nightshade_cap,TblConstr[[#This Row],[Homeland]]/TblConstr[[#This Row],[Land]]/nox_nightshade_swamp_bonus)</f>
        <v>4</v>
      </c>
      <c r="CL53" s="265">
        <f ca="1">MIN(TblConstr[[#This Row],[Tot Tow]]/TblConstr[[#This Row],[Land]]/abyss_enforce_bonus,abyss_enforcer_cap)</f>
        <v>0</v>
      </c>
      <c r="CM53" s="265">
        <f ca="1">IF(TblMagic[[#This Row],[Active Demonic Pact]]&gt;0,MIN(TblMili[[#This Row],[Unit 1]],TblMili[[#This Row],[Unit 4]])*demonic_pact_oppair,0)</f>
        <v>0</v>
      </c>
      <c r="CN53" s="266"/>
      <c r="CO53" s="266"/>
      <c r="CP53" s="266"/>
      <c r="CQ53" s="265">
        <f ca="1">MIN(6,TblMili[[#This Row],[Mystic]]+Races!$F$19)*1.8 +  IF(TblMili[[#This Row],[Mystic]]+Races!$F$19&gt;6,(TblMili[[#This Row],[Mystic]]+Races!$F$19-6)*0.2,0) - Races!$I$19</f>
        <v>1</v>
      </c>
      <c r="CR5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-0.64000000000000057</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4.7099999999999991</v>
      </c>
      <c r="DA53" s="157">
        <f ca="1">1.8 * MIN(MAX(TblMili[[#This Row],[Ice Elemental]]+Races!$E$71,Races!$F$71),6)  +  0.45 * MIN(MIN(TblMili[[#This Row],[Ice Elemental]]+Races!$E$71,Races!$F$71),6)  +  0.2 * ( MAX(TblMili[[#This Row],[Ice Elemental]]+Races!$E$71-6,0) + MAX(Races!$F$71-6,0) )  -  Races!$I$71</f>
        <v>0.92999999999999972</v>
      </c>
      <c r="DB53" s="96">
        <f ca="1">TblMili[[#This Row],[Frost Mage bonus]]*TblMili[[#This Row],[Unit 3]]+TblMili[[#This Row],[Ice Elemental bonus]]*TblMili[[#This Row],[Unit 4]]</f>
        <v>0</v>
      </c>
      <c r="DC53" s="267"/>
      <c r="DD53" s="145">
        <f ca="1">MIN(SUM(TblConstr[[#This Row],[Plain]:[Water]])/TblMili[[#This Row],[Land]]/favorable_terrain_bonus/100,favorable_terrain_max)</f>
        <v>0.1</v>
      </c>
      <c r="DE53" s="267"/>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3" s="144"/>
      <c r="DH53" s="268">
        <f ca="1">(TblMili[[#This Row],[Wizards]]+2*TblMili[[#This Row],[Archmages]])/TblConstr[[#This Row],[Land]]</f>
        <v>0.1</v>
      </c>
      <c r="DI53" s="268">
        <f ca="1">TblMili[[#This Row],[Raw (2)]]*(1+race_wizard_strength+IF(TblMili[[#This Row],[Hour]]&gt;72,tech_magical_weaponry_wiz*TblTech[[#This Row],[3-5]],0))</f>
        <v>0.1</v>
      </c>
    </row>
    <row r="54" spans="1:113" x14ac:dyDescent="0.2">
      <c r="A54" s="139">
        <f>TblRezone[[#This Row],[Hour]]</f>
        <v>51</v>
      </c>
      <c r="B54" s="260">
        <f ca="1">SUM(TblMili[[#This Row],[Unit 1]:[Archmages]])+SUM(OFFSET(TblMili[[#This Row],[Train Unit 1]],-8,0):TblMili[[#This Row],[Train Unit 2]]) + SUM(OFFSET(TblMili[[#This Row],[Train Unit 3]],-11,0):TblMili[[#This Row],[Train AM]]) + TblMili[[#This Row],[Draftees]]</f>
        <v>826</v>
      </c>
      <c r="C54" s="159">
        <f ca="1">TblPop[[#This Row],[Military%]]</f>
        <v>0.35029686174724345</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4"/>
      <c r="N54" s="96">
        <f ca="1">TblProd[[#This Row],[Networth]]</f>
        <v>6450</v>
      </c>
      <c r="O54" s="144"/>
      <c r="P5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1">
        <f ca="1">TblMili[[#This Row],[Raw]]*(1+TblMili[[#This Row],[Mods_Off]])</f>
        <v>0</v>
      </c>
      <c r="S5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4" s="261">
        <f ca="1">TblMili[[#This Row],[Non Draft]]+TblMili[[#This Row],[Draftees]]</f>
        <v>1076</v>
      </c>
      <c r="U54" s="262">
        <f ca="1">race_defense + TblImps[[#This Row],[Walls]] + ROUND( MIN(gt_bonus*TblConstr[[#This Row],[Tot GT]]/TblConstr[[#This Row],[Land]],gt_bonus_cap), 4) + IF(TblMagic[[#This Row],[Active Howling]]&gt;0,howling_dp_bonus,IF(TblMagic[[#This Row],[Active Ares Call]]&gt;0,ares_call_bonus))</f>
        <v>0</v>
      </c>
      <c r="V54" s="263">
        <f ca="1">TblMili[[#This Row],[Non Draft]] * (1 + TblMili[[#This Row],[Mods_Def]])</f>
        <v>450</v>
      </c>
      <c r="W54" s="261">
        <f ca="1">TblMili[[#This Row],[Draft]] * (1 + TblMili[[#This Row],[Mods_Def]])</f>
        <v>1076</v>
      </c>
      <c r="X54" s="261">
        <f ca="1">TblConstr[[#This Row],[Land]]</f>
        <v>250</v>
      </c>
      <c r="Y54" s="264"/>
      <c r="Z54" s="269">
        <f ca="1">IF(TblMili[[#This Row],[Set]]&lt;&gt;"",TblMili[[#This Row],[Set]],OFFSET(TblMili[[#This Row],[Draftrate]],-1,0))</f>
        <v>0.35</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6"/>
      <c r="AC54" s="182">
        <f ca="1">(TblConstr[[#This Row],[Tot Smi]]+TblConstr[[#This Row],[Dest Smi]])/(TblConstr[[#This Row],[Land]]-TblExplore[[#This Row],[Land Bonus]]*20)</f>
        <v>0</v>
      </c>
      <c r="AD54" s="139"/>
      <c r="AE54" s="260">
        <f>TblMili[[#This Row],[Hour]]</f>
        <v>51</v>
      </c>
      <c r="AF54" s="140">
        <f ca="1">TblExplore[[#This Row],[Time]]</f>
        <v>45734.083333333212</v>
      </c>
      <c r="AG54" s="181"/>
      <c r="AH54" s="181"/>
      <c r="AI54" s="181"/>
      <c r="AJ54" s="181"/>
      <c r="AK54" s="181"/>
      <c r="AL54" s="181"/>
      <c r="AM54" s="181"/>
      <c r="AN54" s="181"/>
      <c r="AO54" s="448">
        <f ca="1">ROUND(IF(AND(TblMagic[[#This Row],[Active DnD]]&lt;12,TblMagic[[#This Row],[Active DnD]]&gt;5),OFFSET(TblPop[[#This Row],[Draft Growth]],-1,0)*0.375,0),0)</f>
        <v>0</v>
      </c>
      <c r="AP54" s="144"/>
      <c r="AQ54" s="96">
        <f ca="1">TblProd[[#This Row],[Platinum]]</f>
        <v>395178</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45734.083333333212</v>
      </c>
      <c r="AW54" s="96">
        <f ca="1">TblMili[[#This Row],[Draftees]]</f>
        <v>626</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0.44</v>
      </c>
      <c r="BX54" s="159">
        <f ca="1">TblMili[[#This Row],[WG''s]]</f>
        <v>0</v>
      </c>
      <c r="BY54" s="265">
        <f ca="1">IF(mystic_cap="none",TblMili[[#This Row],[Homeland%]]/mystic_bonus,MIN(mystic_cap,TblMili[[#This Row],[Homeland%]]/mystic_bonus))</f>
        <v>2</v>
      </c>
      <c r="BZ54" s="265">
        <f ca="1">IF(druid_op_cap="none",TblMili[[#This Row],[Homeland%]]/druid_op_bonus,MIN(druid_op_cap,TblMili[[#This Row],[Homeland%]]/druid_op_bonus))</f>
        <v>2</v>
      </c>
      <c r="CA54" s="265">
        <f ca="1">IF(druid_dp_cap="none",TblMili[[#This Row],[Homeland%]]/druid_dp_bonus,MIN(druid_dp_cap,TblMili[[#This Row],[Homeland%]]/druid_dp_bonus))</f>
        <v>2</v>
      </c>
      <c r="CB54" s="265">
        <f ca="1">MIN(dryad_cap,TblMili[[#This Row],[Homeland%]]/dryad_bonus)</f>
        <v>2.1999999999999997</v>
      </c>
      <c r="CC54" s="265">
        <f ca="1">MIN(rocka_cap,TblMili[[#This Row],[Homeland%]]/rocka_bonus)</f>
        <v>2</v>
      </c>
      <c r="CD54" s="265">
        <f ca="1">MIN(adept_op_cap,TblMili[[#This Row],[WG]]/adept_op_bonus)</f>
        <v>0</v>
      </c>
      <c r="CE54" s="265">
        <f ca="1">MIN(adept_dp_cap,TblMili[[#This Row],[WG]]/adept_dp_bonus)</f>
        <v>0</v>
      </c>
      <c r="CF54" s="96">
        <f ca="1">MIN(TblMili[[#This Row],[Unit 3]],TblMili[[#This Row],[Unit 2]])*2</f>
        <v>0</v>
      </c>
      <c r="CG54" s="96">
        <f ca="1">MIN(TblMili[[#This Row],[Unit 1]],TblMili[[#This Row],[Unit 4]])*2</f>
        <v>0</v>
      </c>
      <c r="CH54" s="265">
        <f ca="1">MIN(frost_mage_cap,TblMili[[#This Row],[Homeland%]]/frost_mage_bonus)</f>
        <v>2.1999999999999997</v>
      </c>
      <c r="CI54" s="45">
        <f ca="1">MIN(ice_elem_cap,TblMili[[#This Row],[Raw (2)]]*ice_elem_bonus)</f>
        <v>0.1</v>
      </c>
      <c r="CJ54" s="265">
        <f t="shared" si="2"/>
        <v>0.83333333333333337</v>
      </c>
      <c r="CK54" s="265">
        <f ca="1">MIN(nox_nightshade_cap,TblConstr[[#This Row],[Homeland]]/TblConstr[[#This Row],[Land]]/nox_nightshade_swamp_bonus)</f>
        <v>4</v>
      </c>
      <c r="CL54" s="265">
        <f ca="1">MIN(TblConstr[[#This Row],[Tot Tow]]/TblConstr[[#This Row],[Land]]/abyss_enforce_bonus,abyss_enforcer_cap)</f>
        <v>0</v>
      </c>
      <c r="CM54" s="265">
        <f ca="1">IF(TblMagic[[#This Row],[Active Demonic Pact]]&gt;0,MIN(TblMili[[#This Row],[Unit 1]],TblMili[[#This Row],[Unit 4]])*demonic_pact_oppair,0)</f>
        <v>0</v>
      </c>
      <c r="CN54" s="266"/>
      <c r="CO54" s="266"/>
      <c r="CP54" s="266"/>
      <c r="CQ54" s="265">
        <f ca="1">MIN(6,TblMili[[#This Row],[Mystic]]+Races!$F$19)*1.8 +  IF(TblMili[[#This Row],[Mystic]]+Races!$F$19&gt;6,(TblMili[[#This Row],[Mystic]]+Races!$F$19-6)*0.2,0) - Races!$I$19</f>
        <v>1</v>
      </c>
      <c r="CR5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-0.64000000000000057</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4.7099999999999991</v>
      </c>
      <c r="DA54" s="157">
        <f ca="1">1.8 * MIN(MAX(TblMili[[#This Row],[Ice Elemental]]+Races!$E$71,Races!$F$71),6)  +  0.45 * MIN(MIN(TblMili[[#This Row],[Ice Elemental]]+Races!$E$71,Races!$F$71),6)  +  0.2 * ( MAX(TblMili[[#This Row],[Ice Elemental]]+Races!$E$71-6,0) + MAX(Races!$F$71-6,0) )  -  Races!$I$71</f>
        <v>0.92999999999999972</v>
      </c>
      <c r="DB54" s="96">
        <f ca="1">TblMili[[#This Row],[Frost Mage bonus]]*TblMili[[#This Row],[Unit 3]]+TblMili[[#This Row],[Ice Elemental bonus]]*TblMili[[#This Row],[Unit 4]]</f>
        <v>0</v>
      </c>
      <c r="DC54" s="267"/>
      <c r="DD54" s="145">
        <f ca="1">MIN(SUM(TblConstr[[#This Row],[Plain]:[Water]])/TblMili[[#This Row],[Land]]/favorable_terrain_bonus/100,favorable_terrain_max)</f>
        <v>0.1</v>
      </c>
      <c r="DE54" s="267"/>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4" s="144"/>
      <c r="DH54" s="268">
        <f ca="1">(TblMili[[#This Row],[Wizards]]+2*TblMili[[#This Row],[Archmages]])/TblConstr[[#This Row],[Land]]</f>
        <v>0.1</v>
      </c>
      <c r="DI54" s="268">
        <f ca="1">TblMili[[#This Row],[Raw (2)]]*(1+race_wizard_strength+IF(TblMili[[#This Row],[Hour]]&gt;72,tech_magical_weaponry_wiz*TblTech[[#This Row],[3-5]],0))</f>
        <v>0.1</v>
      </c>
    </row>
    <row r="55" spans="1:113" x14ac:dyDescent="0.2">
      <c r="A55" s="139">
        <f>TblRezone[[#This Row],[Hour]]</f>
        <v>52</v>
      </c>
      <c r="B55" s="260">
        <f ca="1">SUM(TblMili[[#This Row],[Unit 1]:[Archmages]])+SUM(OFFSET(TblMili[[#This Row],[Train Unit 1]],-8,0):TblMili[[#This Row],[Train Unit 2]]) + SUM(OFFSET(TblMili[[#This Row],[Train Unit 3]],-11,0):TblMili[[#This Row],[Train AM]]) + TblMili[[#This Row],[Draftees]]</f>
        <v>826</v>
      </c>
      <c r="C55" s="159">
        <f ca="1">TblPop[[#This Row],[Military%]]</f>
        <v>0.35029686174724345</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4"/>
      <c r="N55" s="96">
        <f ca="1">TblProd[[#This Row],[Networth]]</f>
        <v>6450</v>
      </c>
      <c r="O55" s="144"/>
      <c r="P5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1">
        <f ca="1">TblMili[[#This Row],[Raw]]*(1+TblMili[[#This Row],[Mods_Off]])</f>
        <v>0</v>
      </c>
      <c r="S5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5" s="261">
        <f ca="1">TblMili[[#This Row],[Non Draft]]+TblMili[[#This Row],[Draftees]]</f>
        <v>1076</v>
      </c>
      <c r="U55" s="262">
        <f ca="1">race_defense + TblImps[[#This Row],[Walls]] + ROUND( MIN(gt_bonus*TblConstr[[#This Row],[Tot GT]]/TblConstr[[#This Row],[Land]],gt_bonus_cap), 4) + IF(TblMagic[[#This Row],[Active Howling]]&gt;0,howling_dp_bonus,IF(TblMagic[[#This Row],[Active Ares Call]]&gt;0,ares_call_bonus))</f>
        <v>0</v>
      </c>
      <c r="V55" s="263">
        <f ca="1">TblMili[[#This Row],[Non Draft]] * (1 + TblMili[[#This Row],[Mods_Def]])</f>
        <v>450</v>
      </c>
      <c r="W55" s="261">
        <f ca="1">TblMili[[#This Row],[Draft]] * (1 + TblMili[[#This Row],[Mods_Def]])</f>
        <v>1076</v>
      </c>
      <c r="X55" s="261">
        <f ca="1">TblConstr[[#This Row],[Land]]</f>
        <v>250</v>
      </c>
      <c r="Y55" s="264"/>
      <c r="Z55" s="269">
        <f ca="1">IF(TblMili[[#This Row],[Set]]&lt;&gt;"",TblMili[[#This Row],[Set]],OFFSET(TblMili[[#This Row],[Draftrate]],-1,0))</f>
        <v>0.35</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6"/>
      <c r="AC55" s="182">
        <f ca="1">(TblConstr[[#This Row],[Tot Smi]]+TblConstr[[#This Row],[Dest Smi]])/(TblConstr[[#This Row],[Land]]-TblExplore[[#This Row],[Land Bonus]]*20)</f>
        <v>0</v>
      </c>
      <c r="AD55" s="139"/>
      <c r="AE55" s="260">
        <f>TblMili[[#This Row],[Hour]]</f>
        <v>52</v>
      </c>
      <c r="AF55" s="140">
        <f ca="1">TblExplore[[#This Row],[Time]]</f>
        <v>45734.124999999876</v>
      </c>
      <c r="AG55" s="181"/>
      <c r="AH55" s="181"/>
      <c r="AI55" s="181"/>
      <c r="AJ55" s="181"/>
      <c r="AK55" s="181"/>
      <c r="AL55" s="181"/>
      <c r="AM55" s="181"/>
      <c r="AN55" s="181"/>
      <c r="AO55" s="448">
        <f ca="1">ROUND(IF(AND(TblMagic[[#This Row],[Active DnD]]&lt;12,TblMagic[[#This Row],[Active DnD]]&gt;5),OFFSET(TblPop[[#This Row],[Draft Growth]],-1,0)*0.375,0),0)</f>
        <v>0</v>
      </c>
      <c r="AP55" s="144"/>
      <c r="AQ55" s="96">
        <f ca="1">TblProd[[#This Row],[Platinum]]</f>
        <v>400664</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45734.124999999876</v>
      </c>
      <c r="AW55" s="96">
        <f ca="1">TblMili[[#This Row],[Draftees]]</f>
        <v>626</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0.44</v>
      </c>
      <c r="BX55" s="159">
        <f ca="1">TblMili[[#This Row],[WG''s]]</f>
        <v>0</v>
      </c>
      <c r="BY55" s="265">
        <f ca="1">IF(mystic_cap="none",TblMili[[#This Row],[Homeland%]]/mystic_bonus,MIN(mystic_cap,TblMili[[#This Row],[Homeland%]]/mystic_bonus))</f>
        <v>2</v>
      </c>
      <c r="BZ55" s="265">
        <f ca="1">IF(druid_op_cap="none",TblMili[[#This Row],[Homeland%]]/druid_op_bonus,MIN(druid_op_cap,TblMili[[#This Row],[Homeland%]]/druid_op_bonus))</f>
        <v>2</v>
      </c>
      <c r="CA55" s="265">
        <f ca="1">IF(druid_dp_cap="none",TblMili[[#This Row],[Homeland%]]/druid_dp_bonus,MIN(druid_dp_cap,TblMili[[#This Row],[Homeland%]]/druid_dp_bonus))</f>
        <v>2</v>
      </c>
      <c r="CB55" s="265">
        <f ca="1">MIN(dryad_cap,TblMili[[#This Row],[Homeland%]]/dryad_bonus)</f>
        <v>2.1999999999999997</v>
      </c>
      <c r="CC55" s="265">
        <f ca="1">MIN(rocka_cap,TblMili[[#This Row],[Homeland%]]/rocka_bonus)</f>
        <v>2</v>
      </c>
      <c r="CD55" s="265">
        <f ca="1">MIN(adept_op_cap,TblMili[[#This Row],[WG]]/adept_op_bonus)</f>
        <v>0</v>
      </c>
      <c r="CE55" s="265">
        <f ca="1">MIN(adept_dp_cap,TblMili[[#This Row],[WG]]/adept_dp_bonus)</f>
        <v>0</v>
      </c>
      <c r="CF55" s="96">
        <f ca="1">MIN(TblMili[[#This Row],[Unit 3]],TblMili[[#This Row],[Unit 2]])*2</f>
        <v>0</v>
      </c>
      <c r="CG55" s="96">
        <f ca="1">MIN(TblMili[[#This Row],[Unit 1]],TblMili[[#This Row],[Unit 4]])*2</f>
        <v>0</v>
      </c>
      <c r="CH55" s="265">
        <f ca="1">MIN(frost_mage_cap,TblMili[[#This Row],[Homeland%]]/frost_mage_bonus)</f>
        <v>2.1999999999999997</v>
      </c>
      <c r="CI55" s="45">
        <f ca="1">MIN(ice_elem_cap,TblMili[[#This Row],[Raw (2)]]*ice_elem_bonus)</f>
        <v>0.1</v>
      </c>
      <c r="CJ55" s="265">
        <f t="shared" si="2"/>
        <v>0.83333333333333337</v>
      </c>
      <c r="CK55" s="265">
        <f ca="1">MIN(nox_nightshade_cap,TblConstr[[#This Row],[Homeland]]/TblConstr[[#This Row],[Land]]/nox_nightshade_swamp_bonus)</f>
        <v>4</v>
      </c>
      <c r="CL55" s="265">
        <f ca="1">MIN(TblConstr[[#This Row],[Tot Tow]]/TblConstr[[#This Row],[Land]]/abyss_enforce_bonus,abyss_enforcer_cap)</f>
        <v>0</v>
      </c>
      <c r="CM55" s="265">
        <f ca="1">IF(TblMagic[[#This Row],[Active Demonic Pact]]&gt;0,MIN(TblMili[[#This Row],[Unit 1]],TblMili[[#This Row],[Unit 4]])*demonic_pact_oppair,0)</f>
        <v>0</v>
      </c>
      <c r="CN55" s="266"/>
      <c r="CO55" s="266"/>
      <c r="CP55" s="266"/>
      <c r="CQ55" s="265">
        <f ca="1">MIN(6,TblMili[[#This Row],[Mystic]]+Races!$F$19)*1.8 +  IF(TblMili[[#This Row],[Mystic]]+Races!$F$19&gt;6,(TblMili[[#This Row],[Mystic]]+Races!$F$19-6)*0.2,0) - Races!$I$19</f>
        <v>1</v>
      </c>
      <c r="CR5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-0.64000000000000057</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4.7099999999999991</v>
      </c>
      <c r="DA55" s="157">
        <f ca="1">1.8 * MIN(MAX(TblMili[[#This Row],[Ice Elemental]]+Races!$E$71,Races!$F$71),6)  +  0.45 * MIN(MIN(TblMili[[#This Row],[Ice Elemental]]+Races!$E$71,Races!$F$71),6)  +  0.2 * ( MAX(TblMili[[#This Row],[Ice Elemental]]+Races!$E$71-6,0) + MAX(Races!$F$71-6,0) )  -  Races!$I$71</f>
        <v>0.92999999999999972</v>
      </c>
      <c r="DB55" s="96">
        <f ca="1">TblMili[[#This Row],[Frost Mage bonus]]*TblMili[[#This Row],[Unit 3]]+TblMili[[#This Row],[Ice Elemental bonus]]*TblMili[[#This Row],[Unit 4]]</f>
        <v>0</v>
      </c>
      <c r="DC55" s="267"/>
      <c r="DD55" s="145">
        <f ca="1">MIN(SUM(TblConstr[[#This Row],[Plain]:[Water]])/TblMili[[#This Row],[Land]]/favorable_terrain_bonus/100,favorable_terrain_max)</f>
        <v>0.1</v>
      </c>
      <c r="DE55" s="267"/>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5" s="144"/>
      <c r="DH55" s="268">
        <f ca="1">(TblMili[[#This Row],[Wizards]]+2*TblMili[[#This Row],[Archmages]])/TblConstr[[#This Row],[Land]]</f>
        <v>0.1</v>
      </c>
      <c r="DI55" s="268">
        <f ca="1">TblMili[[#This Row],[Raw (2)]]*(1+race_wizard_strength+IF(TblMili[[#This Row],[Hour]]&gt;72,tech_magical_weaponry_wiz*TblTech[[#This Row],[3-5]],0))</f>
        <v>0.1</v>
      </c>
    </row>
    <row r="56" spans="1:113" x14ac:dyDescent="0.2">
      <c r="A56" s="139">
        <f>TblRezone[[#This Row],[Hour]]</f>
        <v>53</v>
      </c>
      <c r="B56" s="260">
        <f ca="1">SUM(TblMili[[#This Row],[Unit 1]:[Archmages]])+SUM(OFFSET(TblMili[[#This Row],[Train Unit 1]],-8,0):TblMili[[#This Row],[Train Unit 2]]) + SUM(OFFSET(TblMili[[#This Row],[Train Unit 3]],-11,0):TblMili[[#This Row],[Train AM]]) + TblMili[[#This Row],[Draftees]]</f>
        <v>826</v>
      </c>
      <c r="C56" s="159">
        <f ca="1">TblPop[[#This Row],[Military%]]</f>
        <v>0.35029686174724345</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4"/>
      <c r="N56" s="96">
        <f ca="1">TblProd[[#This Row],[Networth]]</f>
        <v>6450</v>
      </c>
      <c r="O56" s="144"/>
      <c r="P5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1">
        <f ca="1">TblMili[[#This Row],[Raw]]*(1+TblMili[[#This Row],[Mods_Off]])</f>
        <v>0</v>
      </c>
      <c r="S5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6" s="261">
        <f ca="1">TblMili[[#This Row],[Non Draft]]+TblMili[[#This Row],[Draftees]]</f>
        <v>1076</v>
      </c>
      <c r="U56" s="262">
        <f ca="1">race_defense + TblImps[[#This Row],[Walls]] + ROUND( MIN(gt_bonus*TblConstr[[#This Row],[Tot GT]]/TblConstr[[#This Row],[Land]],gt_bonus_cap), 4) + IF(TblMagic[[#This Row],[Active Howling]]&gt;0,howling_dp_bonus,IF(TblMagic[[#This Row],[Active Ares Call]]&gt;0,ares_call_bonus))</f>
        <v>0</v>
      </c>
      <c r="V56" s="263">
        <f ca="1">TblMili[[#This Row],[Non Draft]] * (1 + TblMili[[#This Row],[Mods_Def]])</f>
        <v>450</v>
      </c>
      <c r="W56" s="261">
        <f ca="1">TblMili[[#This Row],[Draft]] * (1 + TblMili[[#This Row],[Mods_Def]])</f>
        <v>1076</v>
      </c>
      <c r="X56" s="261">
        <f ca="1">TblConstr[[#This Row],[Land]]</f>
        <v>250</v>
      </c>
      <c r="Y56" s="264"/>
      <c r="Z56" s="269">
        <f ca="1">IF(TblMili[[#This Row],[Set]]&lt;&gt;"",TblMili[[#This Row],[Set]],OFFSET(TblMili[[#This Row],[Draftrate]],-1,0))</f>
        <v>0.35</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6"/>
      <c r="AC56" s="182">
        <f ca="1">(TblConstr[[#This Row],[Tot Smi]]+TblConstr[[#This Row],[Dest Smi]])/(TblConstr[[#This Row],[Land]]-TblExplore[[#This Row],[Land Bonus]]*20)</f>
        <v>0</v>
      </c>
      <c r="AD56" s="139"/>
      <c r="AE56" s="260">
        <f>TblMili[[#This Row],[Hour]]</f>
        <v>53</v>
      </c>
      <c r="AF56" s="140">
        <f ca="1">TblExplore[[#This Row],[Time]]</f>
        <v>45734.166666666541</v>
      </c>
      <c r="AG56" s="181"/>
      <c r="AH56" s="181"/>
      <c r="AI56" s="181"/>
      <c r="AJ56" s="181"/>
      <c r="AK56" s="181"/>
      <c r="AL56" s="181"/>
      <c r="AM56" s="181"/>
      <c r="AN56" s="181"/>
      <c r="AO56" s="448">
        <f ca="1">ROUND(IF(AND(TblMagic[[#This Row],[Active DnD]]&lt;12,TblMagic[[#This Row],[Active DnD]]&gt;5),OFFSET(TblPop[[#This Row],[Draft Growth]],-1,0)*0.375,0),0)</f>
        <v>0</v>
      </c>
      <c r="AP56" s="144"/>
      <c r="AQ56" s="96">
        <f ca="1">TblProd[[#This Row],[Platinum]]</f>
        <v>406150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45734.166666666541</v>
      </c>
      <c r="AW56" s="96">
        <f ca="1">TblMili[[#This Row],[Draftees]]</f>
        <v>626</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0.44</v>
      </c>
      <c r="BX56" s="159">
        <f ca="1">TblMili[[#This Row],[WG''s]]</f>
        <v>0</v>
      </c>
      <c r="BY56" s="265">
        <f ca="1">IF(mystic_cap="none",TblMili[[#This Row],[Homeland%]]/mystic_bonus,MIN(mystic_cap,TblMili[[#This Row],[Homeland%]]/mystic_bonus))</f>
        <v>2</v>
      </c>
      <c r="BZ56" s="265">
        <f ca="1">IF(druid_op_cap="none",TblMili[[#This Row],[Homeland%]]/druid_op_bonus,MIN(druid_op_cap,TblMili[[#This Row],[Homeland%]]/druid_op_bonus))</f>
        <v>2</v>
      </c>
      <c r="CA56" s="265">
        <f ca="1">IF(druid_dp_cap="none",TblMili[[#This Row],[Homeland%]]/druid_dp_bonus,MIN(druid_dp_cap,TblMili[[#This Row],[Homeland%]]/druid_dp_bonus))</f>
        <v>2</v>
      </c>
      <c r="CB56" s="265">
        <f ca="1">MIN(dryad_cap,TblMili[[#This Row],[Homeland%]]/dryad_bonus)</f>
        <v>2.1999999999999997</v>
      </c>
      <c r="CC56" s="265">
        <f ca="1">MIN(rocka_cap,TblMili[[#This Row],[Homeland%]]/rocka_bonus)</f>
        <v>2</v>
      </c>
      <c r="CD56" s="265">
        <f ca="1">MIN(adept_op_cap,TblMili[[#This Row],[WG]]/adept_op_bonus)</f>
        <v>0</v>
      </c>
      <c r="CE56" s="265">
        <f ca="1">MIN(adept_dp_cap,TblMili[[#This Row],[WG]]/adept_dp_bonus)</f>
        <v>0</v>
      </c>
      <c r="CF56" s="96">
        <f ca="1">MIN(TblMili[[#This Row],[Unit 3]],TblMili[[#This Row],[Unit 2]])*2</f>
        <v>0</v>
      </c>
      <c r="CG56" s="96">
        <f ca="1">MIN(TblMili[[#This Row],[Unit 1]],TblMili[[#This Row],[Unit 4]])*2</f>
        <v>0</v>
      </c>
      <c r="CH56" s="265">
        <f ca="1">MIN(frost_mage_cap,TblMili[[#This Row],[Homeland%]]/frost_mage_bonus)</f>
        <v>2.1999999999999997</v>
      </c>
      <c r="CI56" s="45">
        <f ca="1">MIN(ice_elem_cap,TblMili[[#This Row],[Raw (2)]]*ice_elem_bonus)</f>
        <v>0.1</v>
      </c>
      <c r="CJ56" s="265">
        <f t="shared" si="2"/>
        <v>0.83333333333333337</v>
      </c>
      <c r="CK56" s="265">
        <f ca="1">MIN(nox_nightshade_cap,TblConstr[[#This Row],[Homeland]]/TblConstr[[#This Row],[Land]]/nox_nightshade_swamp_bonus)</f>
        <v>4</v>
      </c>
      <c r="CL56" s="265">
        <f ca="1">MIN(TblConstr[[#This Row],[Tot Tow]]/TblConstr[[#This Row],[Land]]/abyss_enforce_bonus,abyss_enforcer_cap)</f>
        <v>0</v>
      </c>
      <c r="CM56" s="265">
        <f ca="1">IF(TblMagic[[#This Row],[Active Demonic Pact]]&gt;0,MIN(TblMili[[#This Row],[Unit 1]],TblMili[[#This Row],[Unit 4]])*demonic_pact_oppair,0)</f>
        <v>0</v>
      </c>
      <c r="CN56" s="266"/>
      <c r="CO56" s="266"/>
      <c r="CP56" s="266"/>
      <c r="CQ56" s="265">
        <f ca="1">MIN(6,TblMili[[#This Row],[Mystic]]+Races!$F$19)*1.8 +  IF(TblMili[[#This Row],[Mystic]]+Races!$F$19&gt;6,(TblMili[[#This Row],[Mystic]]+Races!$F$19-6)*0.2,0) - Races!$I$19</f>
        <v>1</v>
      </c>
      <c r="CR5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-0.64000000000000057</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4.7099999999999991</v>
      </c>
      <c r="DA56" s="157">
        <f ca="1">1.8 * MIN(MAX(TblMili[[#This Row],[Ice Elemental]]+Races!$E$71,Races!$F$71),6)  +  0.45 * MIN(MIN(TblMili[[#This Row],[Ice Elemental]]+Races!$E$71,Races!$F$71),6)  +  0.2 * ( MAX(TblMili[[#This Row],[Ice Elemental]]+Races!$E$71-6,0) + MAX(Races!$F$71-6,0) )  -  Races!$I$71</f>
        <v>0.92999999999999972</v>
      </c>
      <c r="DB56" s="96">
        <f ca="1">TblMili[[#This Row],[Frost Mage bonus]]*TblMili[[#This Row],[Unit 3]]+TblMili[[#This Row],[Ice Elemental bonus]]*TblMili[[#This Row],[Unit 4]]</f>
        <v>0</v>
      </c>
      <c r="DC56" s="267"/>
      <c r="DD56" s="145">
        <f ca="1">MIN(SUM(TblConstr[[#This Row],[Plain]:[Water]])/TblMili[[#This Row],[Land]]/favorable_terrain_bonus/100,favorable_terrain_max)</f>
        <v>0.1</v>
      </c>
      <c r="DE56" s="267"/>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6" s="144"/>
      <c r="DH56" s="268">
        <f ca="1">(TblMili[[#This Row],[Wizards]]+2*TblMili[[#This Row],[Archmages]])/TblConstr[[#This Row],[Land]]</f>
        <v>0.1</v>
      </c>
      <c r="DI56" s="268">
        <f ca="1">TblMili[[#This Row],[Raw (2)]]*(1+race_wizard_strength+IF(TblMili[[#This Row],[Hour]]&gt;72,tech_magical_weaponry_wiz*TblTech[[#This Row],[3-5]],0))</f>
        <v>0.1</v>
      </c>
    </row>
    <row r="57" spans="1:113" x14ac:dyDescent="0.2">
      <c r="A57" s="139">
        <f>TblRezone[[#This Row],[Hour]]</f>
        <v>54</v>
      </c>
      <c r="B57" s="260">
        <f ca="1">SUM(TblMili[[#This Row],[Unit 1]:[Archmages]])+SUM(OFFSET(TblMili[[#This Row],[Train Unit 1]],-8,0):TblMili[[#This Row],[Train Unit 2]]) + SUM(OFFSET(TblMili[[#This Row],[Train Unit 3]],-11,0):TblMili[[#This Row],[Train AM]]) + TblMili[[#This Row],[Draftees]]</f>
        <v>826</v>
      </c>
      <c r="C57" s="159">
        <f ca="1">TblPop[[#This Row],[Military%]]</f>
        <v>0.35029686174724345</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4"/>
      <c r="N57" s="96">
        <f ca="1">TblProd[[#This Row],[Networth]]</f>
        <v>6450</v>
      </c>
      <c r="O57" s="144"/>
      <c r="P5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1">
        <f ca="1">TblMili[[#This Row],[Raw]]*(1+TblMili[[#This Row],[Mods_Off]])</f>
        <v>0</v>
      </c>
      <c r="S5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7" s="261">
        <f ca="1">TblMili[[#This Row],[Non Draft]]+TblMili[[#This Row],[Draftees]]</f>
        <v>1076</v>
      </c>
      <c r="U57" s="262">
        <f ca="1">race_defense + TblImps[[#This Row],[Walls]] + ROUND( MIN(gt_bonus*TblConstr[[#This Row],[Tot GT]]/TblConstr[[#This Row],[Land]],gt_bonus_cap), 4) + IF(TblMagic[[#This Row],[Active Howling]]&gt;0,howling_dp_bonus,IF(TblMagic[[#This Row],[Active Ares Call]]&gt;0,ares_call_bonus))</f>
        <v>0</v>
      </c>
      <c r="V57" s="263">
        <f ca="1">TblMili[[#This Row],[Non Draft]] * (1 + TblMili[[#This Row],[Mods_Def]])</f>
        <v>450</v>
      </c>
      <c r="W57" s="261">
        <f ca="1">TblMili[[#This Row],[Draft]] * (1 + TblMili[[#This Row],[Mods_Def]])</f>
        <v>1076</v>
      </c>
      <c r="X57" s="261">
        <f ca="1">TblConstr[[#This Row],[Land]]</f>
        <v>250</v>
      </c>
      <c r="Y57" s="264"/>
      <c r="Z57" s="269">
        <f ca="1">IF(TblMili[[#This Row],[Set]]&lt;&gt;"",TblMili[[#This Row],[Set]],OFFSET(TblMili[[#This Row],[Draftrate]],-1,0))</f>
        <v>0.35</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6"/>
      <c r="AC57" s="182">
        <f ca="1">(TblConstr[[#This Row],[Tot Smi]]+TblConstr[[#This Row],[Dest Smi]])/(TblConstr[[#This Row],[Land]]-TblExplore[[#This Row],[Land Bonus]]*20)</f>
        <v>0</v>
      </c>
      <c r="AD57" s="139"/>
      <c r="AE57" s="260">
        <f>TblMili[[#This Row],[Hour]]</f>
        <v>54</v>
      </c>
      <c r="AF57" s="140">
        <f ca="1">TblExplore[[#This Row],[Time]]</f>
        <v>45734.208333333205</v>
      </c>
      <c r="AG57" s="181"/>
      <c r="AH57" s="181"/>
      <c r="AI57" s="181"/>
      <c r="AJ57" s="181"/>
      <c r="AK57" s="181"/>
      <c r="AL57" s="181"/>
      <c r="AM57" s="181"/>
      <c r="AN57" s="181"/>
      <c r="AO57" s="448">
        <f ca="1">ROUND(IF(AND(TblMagic[[#This Row],[Active DnD]]&lt;12,TblMagic[[#This Row],[Active DnD]]&gt;5),OFFSET(TblPop[[#This Row],[Draft Growth]],-1,0)*0.375,0),0)</f>
        <v>0</v>
      </c>
      <c r="AP57" s="144"/>
      <c r="AQ57" s="96">
        <f ca="1">TblProd[[#This Row],[Platinum]]</f>
        <v>411636</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45734.208333333205</v>
      </c>
      <c r="AW57" s="96">
        <f ca="1">TblMili[[#This Row],[Draftees]]</f>
        <v>626</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0.44</v>
      </c>
      <c r="BX57" s="159">
        <f ca="1">TblMili[[#This Row],[WG''s]]</f>
        <v>0</v>
      </c>
      <c r="BY57" s="265">
        <f ca="1">IF(mystic_cap="none",TblMili[[#This Row],[Homeland%]]/mystic_bonus,MIN(mystic_cap,TblMili[[#This Row],[Homeland%]]/mystic_bonus))</f>
        <v>2</v>
      </c>
      <c r="BZ57" s="265">
        <f ca="1">IF(druid_op_cap="none",TblMili[[#This Row],[Homeland%]]/druid_op_bonus,MIN(druid_op_cap,TblMili[[#This Row],[Homeland%]]/druid_op_bonus))</f>
        <v>2</v>
      </c>
      <c r="CA57" s="265">
        <f ca="1">IF(druid_dp_cap="none",TblMili[[#This Row],[Homeland%]]/druid_dp_bonus,MIN(druid_dp_cap,TblMili[[#This Row],[Homeland%]]/druid_dp_bonus))</f>
        <v>2</v>
      </c>
      <c r="CB57" s="265">
        <f ca="1">MIN(dryad_cap,TblMili[[#This Row],[Homeland%]]/dryad_bonus)</f>
        <v>2.1999999999999997</v>
      </c>
      <c r="CC57" s="265">
        <f ca="1">MIN(rocka_cap,TblMili[[#This Row],[Homeland%]]/rocka_bonus)</f>
        <v>2</v>
      </c>
      <c r="CD57" s="265">
        <f ca="1">MIN(adept_op_cap,TblMili[[#This Row],[WG]]/adept_op_bonus)</f>
        <v>0</v>
      </c>
      <c r="CE57" s="265">
        <f ca="1">MIN(adept_dp_cap,TblMili[[#This Row],[WG]]/adept_dp_bonus)</f>
        <v>0</v>
      </c>
      <c r="CF57" s="96">
        <f ca="1">MIN(TblMili[[#This Row],[Unit 3]],TblMili[[#This Row],[Unit 2]])*2</f>
        <v>0</v>
      </c>
      <c r="CG57" s="96">
        <f ca="1">MIN(TblMili[[#This Row],[Unit 1]],TblMili[[#This Row],[Unit 4]])*2</f>
        <v>0</v>
      </c>
      <c r="CH57" s="265">
        <f ca="1">MIN(frost_mage_cap,TblMili[[#This Row],[Homeland%]]/frost_mage_bonus)</f>
        <v>2.1999999999999997</v>
      </c>
      <c r="CI57" s="45">
        <f ca="1">MIN(ice_elem_cap,TblMili[[#This Row],[Raw (2)]]*ice_elem_bonus)</f>
        <v>0.1</v>
      </c>
      <c r="CJ57" s="265">
        <f t="shared" si="2"/>
        <v>0.83333333333333337</v>
      </c>
      <c r="CK57" s="265">
        <f ca="1">MIN(nox_nightshade_cap,TblConstr[[#This Row],[Homeland]]/TblConstr[[#This Row],[Land]]/nox_nightshade_swamp_bonus)</f>
        <v>4</v>
      </c>
      <c r="CL57" s="265">
        <f ca="1">MIN(TblConstr[[#This Row],[Tot Tow]]/TblConstr[[#This Row],[Land]]/abyss_enforce_bonus,abyss_enforcer_cap)</f>
        <v>0</v>
      </c>
      <c r="CM57" s="265">
        <f ca="1">IF(TblMagic[[#This Row],[Active Demonic Pact]]&gt;0,MIN(TblMili[[#This Row],[Unit 1]],TblMili[[#This Row],[Unit 4]])*demonic_pact_oppair,0)</f>
        <v>0</v>
      </c>
      <c r="CN57" s="266"/>
      <c r="CO57" s="266"/>
      <c r="CP57" s="266"/>
      <c r="CQ57" s="265">
        <f ca="1">MIN(6,TblMili[[#This Row],[Mystic]]+Races!$F$19)*1.8 +  IF(TblMili[[#This Row],[Mystic]]+Races!$F$19&gt;6,(TblMili[[#This Row],[Mystic]]+Races!$F$19-6)*0.2,0) - Races!$I$19</f>
        <v>1</v>
      </c>
      <c r="CR5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-0.64000000000000057</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4.7099999999999991</v>
      </c>
      <c r="DA57" s="157">
        <f ca="1">1.8 * MIN(MAX(TblMili[[#This Row],[Ice Elemental]]+Races!$E$71,Races!$F$71),6)  +  0.45 * MIN(MIN(TblMili[[#This Row],[Ice Elemental]]+Races!$E$71,Races!$F$71),6)  +  0.2 * ( MAX(TblMili[[#This Row],[Ice Elemental]]+Races!$E$71-6,0) + MAX(Races!$F$71-6,0) )  -  Races!$I$71</f>
        <v>0.92999999999999972</v>
      </c>
      <c r="DB57" s="96">
        <f ca="1">TblMili[[#This Row],[Frost Mage bonus]]*TblMili[[#This Row],[Unit 3]]+TblMili[[#This Row],[Ice Elemental bonus]]*TblMili[[#This Row],[Unit 4]]</f>
        <v>0</v>
      </c>
      <c r="DC57" s="267"/>
      <c r="DD57" s="145">
        <f ca="1">MIN(SUM(TblConstr[[#This Row],[Plain]:[Water]])/TblMili[[#This Row],[Land]]/favorable_terrain_bonus/100,favorable_terrain_max)</f>
        <v>0.1</v>
      </c>
      <c r="DE57" s="267"/>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7" s="144"/>
      <c r="DH57" s="268">
        <f ca="1">(TblMili[[#This Row],[Wizards]]+2*TblMili[[#This Row],[Archmages]])/TblConstr[[#This Row],[Land]]</f>
        <v>0.1</v>
      </c>
      <c r="DI57" s="268">
        <f ca="1">TblMili[[#This Row],[Raw (2)]]*(1+race_wizard_strength+IF(TblMili[[#This Row],[Hour]]&gt;72,tech_magical_weaponry_wiz*TblTech[[#This Row],[3-5]],0))</f>
        <v>0.1</v>
      </c>
    </row>
    <row r="58" spans="1:113" x14ac:dyDescent="0.2">
      <c r="A58" s="139">
        <f>TblRezone[[#This Row],[Hour]]</f>
        <v>55</v>
      </c>
      <c r="B58" s="260">
        <f ca="1">SUM(TblMili[[#This Row],[Unit 1]:[Archmages]])+SUM(OFFSET(TblMili[[#This Row],[Train Unit 1]],-8,0):TblMili[[#This Row],[Train Unit 2]]) + SUM(OFFSET(TblMili[[#This Row],[Train Unit 3]],-11,0):TblMili[[#This Row],[Train AM]]) + TblMili[[#This Row],[Draftees]]</f>
        <v>826</v>
      </c>
      <c r="C58" s="159">
        <f ca="1">TblPop[[#This Row],[Military%]]</f>
        <v>0.35029686174724345</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4"/>
      <c r="N58" s="96">
        <f ca="1">TblProd[[#This Row],[Networth]]</f>
        <v>6450</v>
      </c>
      <c r="O58" s="144"/>
      <c r="P5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1">
        <f ca="1">TblMili[[#This Row],[Raw]]*(1+TblMili[[#This Row],[Mods_Off]])</f>
        <v>0</v>
      </c>
      <c r="S5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8" s="261">
        <f ca="1">TblMili[[#This Row],[Non Draft]]+TblMili[[#This Row],[Draftees]]</f>
        <v>1076</v>
      </c>
      <c r="U58" s="262">
        <f ca="1">race_defense + TblImps[[#This Row],[Walls]] + ROUND( MIN(gt_bonus*TblConstr[[#This Row],[Tot GT]]/TblConstr[[#This Row],[Land]],gt_bonus_cap), 4) + IF(TblMagic[[#This Row],[Active Howling]]&gt;0,howling_dp_bonus,IF(TblMagic[[#This Row],[Active Ares Call]]&gt;0,ares_call_bonus))</f>
        <v>0</v>
      </c>
      <c r="V58" s="263">
        <f ca="1">TblMili[[#This Row],[Non Draft]] * (1 + TblMili[[#This Row],[Mods_Def]])</f>
        <v>450</v>
      </c>
      <c r="W58" s="261">
        <f ca="1">TblMili[[#This Row],[Draft]] * (1 + TblMili[[#This Row],[Mods_Def]])</f>
        <v>1076</v>
      </c>
      <c r="X58" s="261">
        <f ca="1">TblConstr[[#This Row],[Land]]</f>
        <v>250</v>
      </c>
      <c r="Y58" s="264"/>
      <c r="Z58" s="269">
        <f ca="1">IF(TblMili[[#This Row],[Set]]&lt;&gt;"",TblMili[[#This Row],[Set]],OFFSET(TblMili[[#This Row],[Draftrate]],-1,0))</f>
        <v>0.35</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6"/>
      <c r="AC58" s="182">
        <f ca="1">(TblConstr[[#This Row],[Tot Smi]]+TblConstr[[#This Row],[Dest Smi]])/(TblConstr[[#This Row],[Land]]-TblExplore[[#This Row],[Land Bonus]]*20)</f>
        <v>0</v>
      </c>
      <c r="AD58" s="139"/>
      <c r="AE58" s="260">
        <f>TblMili[[#This Row],[Hour]]</f>
        <v>55</v>
      </c>
      <c r="AF58" s="140">
        <f ca="1">TblExplore[[#This Row],[Time]]</f>
        <v>45734.249999999869</v>
      </c>
      <c r="AG58" s="181"/>
      <c r="AH58" s="181"/>
      <c r="AI58" s="181"/>
      <c r="AJ58" s="181"/>
      <c r="AK58" s="181"/>
      <c r="AL58" s="181"/>
      <c r="AM58" s="181"/>
      <c r="AN58" s="181"/>
      <c r="AO58" s="448">
        <f ca="1">ROUND(IF(AND(TblMagic[[#This Row],[Active DnD]]&lt;12,TblMagic[[#This Row],[Active DnD]]&gt;5),OFFSET(TblPop[[#This Row],[Draft Growth]],-1,0)*0.375,0),0)</f>
        <v>0</v>
      </c>
      <c r="AP58" s="144"/>
      <c r="AQ58" s="96">
        <f ca="1">TblProd[[#This Row],[Platinum]]</f>
        <v>417122</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45734.249999999869</v>
      </c>
      <c r="AW58" s="96">
        <f ca="1">TblMili[[#This Row],[Draftees]]</f>
        <v>626</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0.44</v>
      </c>
      <c r="BX58" s="159">
        <f ca="1">TblMili[[#This Row],[WG''s]]</f>
        <v>0</v>
      </c>
      <c r="BY58" s="265">
        <f ca="1">IF(mystic_cap="none",TblMili[[#This Row],[Homeland%]]/mystic_bonus,MIN(mystic_cap,TblMili[[#This Row],[Homeland%]]/mystic_bonus))</f>
        <v>2</v>
      </c>
      <c r="BZ58" s="265">
        <f ca="1">IF(druid_op_cap="none",TblMili[[#This Row],[Homeland%]]/druid_op_bonus,MIN(druid_op_cap,TblMili[[#This Row],[Homeland%]]/druid_op_bonus))</f>
        <v>2</v>
      </c>
      <c r="CA58" s="265">
        <f ca="1">IF(druid_dp_cap="none",TblMili[[#This Row],[Homeland%]]/druid_dp_bonus,MIN(druid_dp_cap,TblMili[[#This Row],[Homeland%]]/druid_dp_bonus))</f>
        <v>2</v>
      </c>
      <c r="CB58" s="265">
        <f ca="1">MIN(dryad_cap,TblMili[[#This Row],[Homeland%]]/dryad_bonus)</f>
        <v>2.1999999999999997</v>
      </c>
      <c r="CC58" s="265">
        <f ca="1">MIN(rocka_cap,TblMili[[#This Row],[Homeland%]]/rocka_bonus)</f>
        <v>2</v>
      </c>
      <c r="CD58" s="265">
        <f ca="1">MIN(adept_op_cap,TblMili[[#This Row],[WG]]/adept_op_bonus)</f>
        <v>0</v>
      </c>
      <c r="CE58" s="265">
        <f ca="1">MIN(adept_dp_cap,TblMili[[#This Row],[WG]]/adept_dp_bonus)</f>
        <v>0</v>
      </c>
      <c r="CF58" s="96">
        <f ca="1">MIN(TblMili[[#This Row],[Unit 3]],TblMili[[#This Row],[Unit 2]])*2</f>
        <v>0</v>
      </c>
      <c r="CG58" s="96">
        <f ca="1">MIN(TblMili[[#This Row],[Unit 1]],TblMili[[#This Row],[Unit 4]])*2</f>
        <v>0</v>
      </c>
      <c r="CH58" s="265">
        <f ca="1">MIN(frost_mage_cap,TblMili[[#This Row],[Homeland%]]/frost_mage_bonus)</f>
        <v>2.1999999999999997</v>
      </c>
      <c r="CI58" s="45">
        <f ca="1">MIN(ice_elem_cap,TblMili[[#This Row],[Raw (2)]]*ice_elem_bonus)</f>
        <v>0.1</v>
      </c>
      <c r="CJ58" s="265">
        <f t="shared" si="2"/>
        <v>0.83333333333333337</v>
      </c>
      <c r="CK58" s="265">
        <f ca="1">MIN(nox_nightshade_cap,TblConstr[[#This Row],[Homeland]]/TblConstr[[#This Row],[Land]]/nox_nightshade_swamp_bonus)</f>
        <v>4</v>
      </c>
      <c r="CL58" s="265">
        <f ca="1">MIN(TblConstr[[#This Row],[Tot Tow]]/TblConstr[[#This Row],[Land]]/abyss_enforce_bonus,abyss_enforcer_cap)</f>
        <v>0</v>
      </c>
      <c r="CM58" s="265">
        <f ca="1">IF(TblMagic[[#This Row],[Active Demonic Pact]]&gt;0,MIN(TblMili[[#This Row],[Unit 1]],TblMili[[#This Row],[Unit 4]])*demonic_pact_oppair,0)</f>
        <v>0</v>
      </c>
      <c r="CN58" s="266"/>
      <c r="CO58" s="266"/>
      <c r="CP58" s="266"/>
      <c r="CQ58" s="265">
        <f ca="1">MIN(6,TblMili[[#This Row],[Mystic]]+Races!$F$19)*1.8 +  IF(TblMili[[#This Row],[Mystic]]+Races!$F$19&gt;6,(TblMili[[#This Row],[Mystic]]+Races!$F$19-6)*0.2,0) - Races!$I$19</f>
        <v>1</v>
      </c>
      <c r="CR5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-0.64000000000000057</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4.7099999999999991</v>
      </c>
      <c r="DA58" s="157">
        <f ca="1">1.8 * MIN(MAX(TblMili[[#This Row],[Ice Elemental]]+Races!$E$71,Races!$F$71),6)  +  0.45 * MIN(MIN(TblMili[[#This Row],[Ice Elemental]]+Races!$E$71,Races!$F$71),6)  +  0.2 * ( MAX(TblMili[[#This Row],[Ice Elemental]]+Races!$E$71-6,0) + MAX(Races!$F$71-6,0) )  -  Races!$I$71</f>
        <v>0.92999999999999972</v>
      </c>
      <c r="DB58" s="96">
        <f ca="1">TblMili[[#This Row],[Frost Mage bonus]]*TblMili[[#This Row],[Unit 3]]+TblMili[[#This Row],[Ice Elemental bonus]]*TblMili[[#This Row],[Unit 4]]</f>
        <v>0</v>
      </c>
      <c r="DC58" s="267"/>
      <c r="DD58" s="145">
        <f ca="1">MIN(SUM(TblConstr[[#This Row],[Plain]:[Water]])/TblMili[[#This Row],[Land]]/favorable_terrain_bonus/100,favorable_terrain_max)</f>
        <v>0.1</v>
      </c>
      <c r="DE58" s="267"/>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8" s="144"/>
      <c r="DH58" s="268">
        <f ca="1">(TblMili[[#This Row],[Wizards]]+2*TblMili[[#This Row],[Archmages]])/TblConstr[[#This Row],[Land]]</f>
        <v>0.1</v>
      </c>
      <c r="DI58" s="268">
        <f ca="1">TblMili[[#This Row],[Raw (2)]]*(1+race_wizard_strength+IF(TblMili[[#This Row],[Hour]]&gt;72,tech_magical_weaponry_wiz*TblTech[[#This Row],[3-5]],0))</f>
        <v>0.1</v>
      </c>
    </row>
    <row r="59" spans="1:113" x14ac:dyDescent="0.2">
      <c r="A59" s="139">
        <f>TblRezone[[#This Row],[Hour]]</f>
        <v>56</v>
      </c>
      <c r="B59" s="260">
        <f ca="1">SUM(TblMili[[#This Row],[Unit 1]:[Archmages]])+SUM(OFFSET(TblMili[[#This Row],[Train Unit 1]],-8,0):TblMili[[#This Row],[Train Unit 2]]) + SUM(OFFSET(TblMili[[#This Row],[Train Unit 3]],-11,0):TblMili[[#This Row],[Train AM]]) + TblMili[[#This Row],[Draftees]]</f>
        <v>826</v>
      </c>
      <c r="C59" s="159">
        <f ca="1">TblPop[[#This Row],[Military%]]</f>
        <v>0.35029686174724345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4"/>
      <c r="N59" s="96">
        <f ca="1">TblProd[[#This Row],[Networth]]</f>
        <v>6450</v>
      </c>
      <c r="O59" s="144"/>
      <c r="P5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1">
        <f ca="1">TblMili[[#This Row],[Raw]]*(1+TblMili[[#This Row],[Mods_Off]])</f>
        <v>0</v>
      </c>
      <c r="S5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9" s="261">
        <f ca="1">TblMili[[#This Row],[Non Draft]]+TblMili[[#This Row],[Draftees]]</f>
        <v>1076</v>
      </c>
      <c r="U59" s="262">
        <f ca="1">race_defense + TblImps[[#This Row],[Walls]] + ROUND( MIN(gt_bonus*TblConstr[[#This Row],[Tot GT]]/TblConstr[[#This Row],[Land]],gt_bonus_cap), 4) + IF(TblMagic[[#This Row],[Active Howling]]&gt;0,howling_dp_bonus,IF(TblMagic[[#This Row],[Active Ares Call]]&gt;0,ares_call_bonus))</f>
        <v>0</v>
      </c>
      <c r="V59" s="263">
        <f ca="1">TblMili[[#This Row],[Non Draft]] * (1 + TblMili[[#This Row],[Mods_Def]])</f>
        <v>450</v>
      </c>
      <c r="W59" s="261">
        <f ca="1">TblMili[[#This Row],[Draft]] * (1 + TblMili[[#This Row],[Mods_Def]])</f>
        <v>1076</v>
      </c>
      <c r="X59" s="261">
        <f ca="1">TblConstr[[#This Row],[Land]]</f>
        <v>250</v>
      </c>
      <c r="Y59" s="264"/>
      <c r="Z59" s="269">
        <f ca="1">IF(TblMili[[#This Row],[Set]]&lt;&gt;"",TblMili[[#This Row],[Set]],OFFSET(TblMili[[#This Row],[Draftrate]],-1,0))</f>
        <v>0.35</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6"/>
      <c r="AC59" s="182">
        <f ca="1">(TblConstr[[#This Row],[Tot Smi]]+TblConstr[[#This Row],[Dest Smi]])/(TblConstr[[#This Row],[Land]]-TblExplore[[#This Row],[Land Bonus]]*20)</f>
        <v>0</v>
      </c>
      <c r="AD59" s="139"/>
      <c r="AE59" s="260">
        <f>TblMili[[#This Row],[Hour]]</f>
        <v>56</v>
      </c>
      <c r="AF59" s="140">
        <f ca="1">TblExplore[[#This Row],[Time]]</f>
        <v>45734.291666666533</v>
      </c>
      <c r="AG59" s="181"/>
      <c r="AH59" s="181"/>
      <c r="AI59" s="181"/>
      <c r="AJ59" s="181"/>
      <c r="AK59" s="181"/>
      <c r="AL59" s="181"/>
      <c r="AM59" s="181"/>
      <c r="AN59" s="181"/>
      <c r="AO59" s="448">
        <f ca="1">ROUND(IF(AND(TblMagic[[#This Row],[Active DnD]]&lt;12,TblMagic[[#This Row],[Active DnD]]&gt;5),OFFSET(TblPop[[#This Row],[Draft Growth]],-1,0)*0.375,0),0)</f>
        <v>0</v>
      </c>
      <c r="AP59" s="144"/>
      <c r="AQ59" s="96">
        <f ca="1">TblProd[[#This Row],[Platinum]]</f>
        <v>422608</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45734.291666666533</v>
      </c>
      <c r="AW59" s="96">
        <f ca="1">TblMili[[#This Row],[Draftees]]</f>
        <v>626</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0.44</v>
      </c>
      <c r="BX59" s="159">
        <f ca="1">TblMili[[#This Row],[WG''s]]</f>
        <v>0</v>
      </c>
      <c r="BY59" s="265">
        <f ca="1">IF(mystic_cap="none",TblMili[[#This Row],[Homeland%]]/mystic_bonus,MIN(mystic_cap,TblMili[[#This Row],[Homeland%]]/mystic_bonus))</f>
        <v>2</v>
      </c>
      <c r="BZ59" s="265">
        <f ca="1">IF(druid_op_cap="none",TblMili[[#This Row],[Homeland%]]/druid_op_bonus,MIN(druid_op_cap,TblMili[[#This Row],[Homeland%]]/druid_op_bonus))</f>
        <v>2</v>
      </c>
      <c r="CA59" s="265">
        <f ca="1">IF(druid_dp_cap="none",TblMili[[#This Row],[Homeland%]]/druid_dp_bonus,MIN(druid_dp_cap,TblMili[[#This Row],[Homeland%]]/druid_dp_bonus))</f>
        <v>2</v>
      </c>
      <c r="CB59" s="265">
        <f ca="1">MIN(dryad_cap,TblMili[[#This Row],[Homeland%]]/dryad_bonus)</f>
        <v>2.1999999999999997</v>
      </c>
      <c r="CC59" s="265">
        <f ca="1">MIN(rocka_cap,TblMili[[#This Row],[Homeland%]]/rocka_bonus)</f>
        <v>2</v>
      </c>
      <c r="CD59" s="265">
        <f ca="1">MIN(adept_op_cap,TblMili[[#This Row],[WG]]/adept_op_bonus)</f>
        <v>0</v>
      </c>
      <c r="CE59" s="265">
        <f ca="1">MIN(adept_dp_cap,TblMili[[#This Row],[WG]]/adept_dp_bonus)</f>
        <v>0</v>
      </c>
      <c r="CF59" s="96">
        <f ca="1">MIN(TblMili[[#This Row],[Unit 3]],TblMili[[#This Row],[Unit 2]])*2</f>
        <v>0</v>
      </c>
      <c r="CG59" s="96">
        <f ca="1">MIN(TblMili[[#This Row],[Unit 1]],TblMili[[#This Row],[Unit 4]])*2</f>
        <v>0</v>
      </c>
      <c r="CH59" s="265">
        <f ca="1">MIN(frost_mage_cap,TblMili[[#This Row],[Homeland%]]/frost_mage_bonus)</f>
        <v>2.1999999999999997</v>
      </c>
      <c r="CI59" s="45">
        <f ca="1">MIN(ice_elem_cap,TblMili[[#This Row],[Raw (2)]]*ice_elem_bonus)</f>
        <v>0.1</v>
      </c>
      <c r="CJ59" s="265">
        <f t="shared" si="2"/>
        <v>0.83333333333333337</v>
      </c>
      <c r="CK59" s="265">
        <f ca="1">MIN(nox_nightshade_cap,TblConstr[[#This Row],[Homeland]]/TblConstr[[#This Row],[Land]]/nox_nightshade_swamp_bonus)</f>
        <v>4</v>
      </c>
      <c r="CL59" s="265">
        <f ca="1">MIN(TblConstr[[#This Row],[Tot Tow]]/TblConstr[[#This Row],[Land]]/abyss_enforce_bonus,abyss_enforcer_cap)</f>
        <v>0</v>
      </c>
      <c r="CM59" s="265">
        <f ca="1">IF(TblMagic[[#This Row],[Active Demonic Pact]]&gt;0,MIN(TblMili[[#This Row],[Unit 1]],TblMili[[#This Row],[Unit 4]])*demonic_pact_oppair,0)</f>
        <v>0</v>
      </c>
      <c r="CN59" s="266"/>
      <c r="CO59" s="266"/>
      <c r="CP59" s="266"/>
      <c r="CQ59" s="265">
        <f ca="1">MIN(6,TblMili[[#This Row],[Mystic]]+Races!$F$19)*1.8 +  IF(TblMili[[#This Row],[Mystic]]+Races!$F$19&gt;6,(TblMili[[#This Row],[Mystic]]+Races!$F$19-6)*0.2,0) - Races!$I$19</f>
        <v>1</v>
      </c>
      <c r="CR5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-0.64000000000000057</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4.7099999999999991</v>
      </c>
      <c r="DA59" s="157">
        <f ca="1">1.8 * MIN(MAX(TblMili[[#This Row],[Ice Elemental]]+Races!$E$71,Races!$F$71),6)  +  0.45 * MIN(MIN(TblMili[[#This Row],[Ice Elemental]]+Races!$E$71,Races!$F$71),6)  +  0.2 * ( MAX(TblMili[[#This Row],[Ice Elemental]]+Races!$E$71-6,0) + MAX(Races!$F$71-6,0) )  -  Races!$I$71</f>
        <v>0.92999999999999972</v>
      </c>
      <c r="DB59" s="96">
        <f ca="1">TblMili[[#This Row],[Frost Mage bonus]]*TblMili[[#This Row],[Unit 3]]+TblMili[[#This Row],[Ice Elemental bonus]]*TblMili[[#This Row],[Unit 4]]</f>
        <v>0</v>
      </c>
      <c r="DC59" s="267"/>
      <c r="DD59" s="145">
        <f ca="1">MIN(SUM(TblConstr[[#This Row],[Plain]:[Water]])/TblMili[[#This Row],[Land]]/favorable_terrain_bonus/100,favorable_terrain_max)</f>
        <v>0.1</v>
      </c>
      <c r="DE59" s="267"/>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9" s="144"/>
      <c r="DH59" s="268">
        <f ca="1">(TblMili[[#This Row],[Wizards]]+2*TblMili[[#This Row],[Archmages]])/TblConstr[[#This Row],[Land]]</f>
        <v>0.1</v>
      </c>
      <c r="DI59" s="268">
        <f ca="1">TblMili[[#This Row],[Raw (2)]]*(1+race_wizard_strength+IF(TblMili[[#This Row],[Hour]]&gt;72,tech_magical_weaponry_wiz*TblTech[[#This Row],[3-5]],0))</f>
        <v>0.1</v>
      </c>
    </row>
    <row r="60" spans="1:113" x14ac:dyDescent="0.2">
      <c r="A60" s="139">
        <f>TblRezone[[#This Row],[Hour]]</f>
        <v>57</v>
      </c>
      <c r="B60" s="260">
        <f ca="1">SUM(TblMili[[#This Row],[Unit 1]:[Archmages]])+SUM(OFFSET(TblMili[[#This Row],[Train Unit 1]],-8,0):TblMili[[#This Row],[Train Unit 2]]) + SUM(OFFSET(TblMili[[#This Row],[Train Unit 3]],-11,0):TblMili[[#This Row],[Train AM]]) + TblMili[[#This Row],[Draftees]]</f>
        <v>826</v>
      </c>
      <c r="C60" s="159">
        <f ca="1">TblPop[[#This Row],[Military%]]</f>
        <v>0.35029686174724345</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4"/>
      <c r="N60" s="96">
        <f ca="1">TblProd[[#This Row],[Networth]]</f>
        <v>6450</v>
      </c>
      <c r="O60" s="144"/>
      <c r="P6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1">
        <f ca="1">TblMili[[#This Row],[Raw]]*(1+TblMili[[#This Row],[Mods_Off]])</f>
        <v>0</v>
      </c>
      <c r="S6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0" s="261">
        <f ca="1">TblMili[[#This Row],[Non Draft]]+TblMili[[#This Row],[Draftees]]</f>
        <v>1076</v>
      </c>
      <c r="U60" s="262">
        <f ca="1">race_defense + TblImps[[#This Row],[Walls]] + ROUND( MIN(gt_bonus*TblConstr[[#This Row],[Tot GT]]/TblConstr[[#This Row],[Land]],gt_bonus_cap), 4) + IF(TblMagic[[#This Row],[Active Howling]]&gt;0,howling_dp_bonus,IF(TblMagic[[#This Row],[Active Ares Call]]&gt;0,ares_call_bonus))</f>
        <v>0</v>
      </c>
      <c r="V60" s="263">
        <f ca="1">TblMili[[#This Row],[Non Draft]] * (1 + TblMili[[#This Row],[Mods_Def]])</f>
        <v>450</v>
      </c>
      <c r="W60" s="261">
        <f ca="1">TblMili[[#This Row],[Draft]] * (1 + TblMili[[#This Row],[Mods_Def]])</f>
        <v>1076</v>
      </c>
      <c r="X60" s="261">
        <f ca="1">TblConstr[[#This Row],[Land]]</f>
        <v>250</v>
      </c>
      <c r="Y60" s="264"/>
      <c r="Z60" s="269">
        <f ca="1">IF(TblMili[[#This Row],[Set]]&lt;&gt;"",TblMili[[#This Row],[Set]],OFFSET(TblMili[[#This Row],[Draftrate]],-1,0))</f>
        <v>0.35</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6"/>
      <c r="AC60" s="182">
        <f ca="1">(TblConstr[[#This Row],[Tot Smi]]+TblConstr[[#This Row],[Dest Smi]])/(TblConstr[[#This Row],[Land]]-TblExplore[[#This Row],[Land Bonus]]*20)</f>
        <v>0</v>
      </c>
      <c r="AD60" s="139"/>
      <c r="AE60" s="260">
        <f>TblMili[[#This Row],[Hour]]</f>
        <v>57</v>
      </c>
      <c r="AF60" s="140">
        <f ca="1">TblExplore[[#This Row],[Time]]</f>
        <v>45734.333333333198</v>
      </c>
      <c r="AG60" s="181"/>
      <c r="AH60" s="181"/>
      <c r="AI60" s="181"/>
      <c r="AJ60" s="181"/>
      <c r="AK60" s="181"/>
      <c r="AL60" s="181"/>
      <c r="AM60" s="181"/>
      <c r="AN60" s="181"/>
      <c r="AO60" s="448">
        <f ca="1">ROUND(IF(AND(TblMagic[[#This Row],[Active DnD]]&lt;12,TblMagic[[#This Row],[Active DnD]]&gt;5),OFFSET(TblPop[[#This Row],[Draft Growth]],-1,0)*0.375,0),0)</f>
        <v>0</v>
      </c>
      <c r="AP60" s="144"/>
      <c r="AQ60" s="96">
        <f ca="1">TblProd[[#This Row],[Platinum]]</f>
        <v>428094</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45734.333333333198</v>
      </c>
      <c r="AW60" s="96">
        <f ca="1">TblMili[[#This Row],[Draftees]]</f>
        <v>626</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0.44</v>
      </c>
      <c r="BX60" s="159">
        <f ca="1">TblMili[[#This Row],[WG''s]]</f>
        <v>0</v>
      </c>
      <c r="BY60" s="265">
        <f ca="1">IF(mystic_cap="none",TblMili[[#This Row],[Homeland%]]/mystic_bonus,MIN(mystic_cap,TblMili[[#This Row],[Homeland%]]/mystic_bonus))</f>
        <v>2</v>
      </c>
      <c r="BZ60" s="265">
        <f ca="1">IF(druid_op_cap="none",TblMili[[#This Row],[Homeland%]]/druid_op_bonus,MIN(druid_op_cap,TblMili[[#This Row],[Homeland%]]/druid_op_bonus))</f>
        <v>2</v>
      </c>
      <c r="CA60" s="265">
        <f ca="1">IF(druid_dp_cap="none",TblMili[[#This Row],[Homeland%]]/druid_dp_bonus,MIN(druid_dp_cap,TblMili[[#This Row],[Homeland%]]/druid_dp_bonus))</f>
        <v>2</v>
      </c>
      <c r="CB60" s="265">
        <f ca="1">MIN(dryad_cap,TblMili[[#This Row],[Homeland%]]/dryad_bonus)</f>
        <v>2.1999999999999997</v>
      </c>
      <c r="CC60" s="265">
        <f ca="1">MIN(rocka_cap,TblMili[[#This Row],[Homeland%]]/rocka_bonus)</f>
        <v>2</v>
      </c>
      <c r="CD60" s="265">
        <f ca="1">MIN(adept_op_cap,TblMili[[#This Row],[WG]]/adept_op_bonus)</f>
        <v>0</v>
      </c>
      <c r="CE60" s="265">
        <f ca="1">MIN(adept_dp_cap,TblMili[[#This Row],[WG]]/adept_dp_bonus)</f>
        <v>0</v>
      </c>
      <c r="CF60" s="96">
        <f ca="1">MIN(TblMili[[#This Row],[Unit 3]],TblMili[[#This Row],[Unit 2]])*2</f>
        <v>0</v>
      </c>
      <c r="CG60" s="96">
        <f ca="1">MIN(TblMili[[#This Row],[Unit 1]],TblMili[[#This Row],[Unit 4]])*2</f>
        <v>0</v>
      </c>
      <c r="CH60" s="265">
        <f ca="1">MIN(frost_mage_cap,TblMili[[#This Row],[Homeland%]]/frost_mage_bonus)</f>
        <v>2.1999999999999997</v>
      </c>
      <c r="CI60" s="45">
        <f ca="1">MIN(ice_elem_cap,TblMili[[#This Row],[Raw (2)]]*ice_elem_bonus)</f>
        <v>0.1</v>
      </c>
      <c r="CJ60" s="265">
        <f t="shared" si="2"/>
        <v>0.83333333333333337</v>
      </c>
      <c r="CK60" s="265">
        <f ca="1">MIN(nox_nightshade_cap,TblConstr[[#This Row],[Homeland]]/TblConstr[[#This Row],[Land]]/nox_nightshade_swamp_bonus)</f>
        <v>4</v>
      </c>
      <c r="CL60" s="265">
        <f ca="1">MIN(TblConstr[[#This Row],[Tot Tow]]/TblConstr[[#This Row],[Land]]/abyss_enforce_bonus,abyss_enforcer_cap)</f>
        <v>0</v>
      </c>
      <c r="CM60" s="265">
        <f ca="1">IF(TblMagic[[#This Row],[Active Demonic Pact]]&gt;0,MIN(TblMili[[#This Row],[Unit 1]],TblMili[[#This Row],[Unit 4]])*demonic_pact_oppair,0)</f>
        <v>0</v>
      </c>
      <c r="CN60" s="266"/>
      <c r="CO60" s="266"/>
      <c r="CP60" s="266"/>
      <c r="CQ60" s="265">
        <f ca="1">MIN(6,TblMili[[#This Row],[Mystic]]+Races!$F$19)*1.8 +  IF(TblMili[[#This Row],[Mystic]]+Races!$F$19&gt;6,(TblMili[[#This Row],[Mystic]]+Races!$F$19-6)*0.2,0) - Races!$I$19</f>
        <v>1</v>
      </c>
      <c r="CR6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-0.64000000000000057</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4.7099999999999991</v>
      </c>
      <c r="DA60" s="157">
        <f ca="1">1.8 * MIN(MAX(TblMili[[#This Row],[Ice Elemental]]+Races!$E$71,Races!$F$71),6)  +  0.45 * MIN(MIN(TblMili[[#This Row],[Ice Elemental]]+Races!$E$71,Races!$F$71),6)  +  0.2 * ( MAX(TblMili[[#This Row],[Ice Elemental]]+Races!$E$71-6,0) + MAX(Races!$F$71-6,0) )  -  Races!$I$71</f>
        <v>0.92999999999999972</v>
      </c>
      <c r="DB60" s="96">
        <f ca="1">TblMili[[#This Row],[Frost Mage bonus]]*TblMili[[#This Row],[Unit 3]]+TblMili[[#This Row],[Ice Elemental bonus]]*TblMili[[#This Row],[Unit 4]]</f>
        <v>0</v>
      </c>
      <c r="DC60" s="267"/>
      <c r="DD60" s="145">
        <f ca="1">MIN(SUM(TblConstr[[#This Row],[Plain]:[Water]])/TblMili[[#This Row],[Land]]/favorable_terrain_bonus/100,favorable_terrain_max)</f>
        <v>0.1</v>
      </c>
      <c r="DE60" s="267"/>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0" s="144"/>
      <c r="DH60" s="268">
        <f ca="1">(TblMili[[#This Row],[Wizards]]+2*TblMili[[#This Row],[Archmages]])/TblConstr[[#This Row],[Land]]</f>
        <v>0.1</v>
      </c>
      <c r="DI60" s="268">
        <f ca="1">TblMili[[#This Row],[Raw (2)]]*(1+race_wizard_strength+IF(TblMili[[#This Row],[Hour]]&gt;72,tech_magical_weaponry_wiz*TblTech[[#This Row],[3-5]],0))</f>
        <v>0.1</v>
      </c>
    </row>
    <row r="61" spans="1:113" x14ac:dyDescent="0.2">
      <c r="A61" s="139">
        <f>TblRezone[[#This Row],[Hour]]</f>
        <v>58</v>
      </c>
      <c r="B61" s="260">
        <f ca="1">SUM(TblMili[[#This Row],[Unit 1]:[Archmages]])+SUM(OFFSET(TblMili[[#This Row],[Train Unit 1]],-8,0):TblMili[[#This Row],[Train Unit 2]]) + SUM(OFFSET(TblMili[[#This Row],[Train Unit 3]],-11,0):TblMili[[#This Row],[Train AM]]) + TblMili[[#This Row],[Draftees]]</f>
        <v>826</v>
      </c>
      <c r="C61" s="159">
        <f ca="1">TblPop[[#This Row],[Military%]]</f>
        <v>0.35029686174724345</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4"/>
      <c r="N61" s="96">
        <f ca="1">TblProd[[#This Row],[Networth]]</f>
        <v>6450</v>
      </c>
      <c r="O61" s="144"/>
      <c r="P6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1">
        <f ca="1">TblMili[[#This Row],[Raw]]*(1+TblMili[[#This Row],[Mods_Off]])</f>
        <v>0</v>
      </c>
      <c r="S6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1" s="261">
        <f ca="1">TblMili[[#This Row],[Non Draft]]+TblMili[[#This Row],[Draftees]]</f>
        <v>1076</v>
      </c>
      <c r="U61" s="262">
        <f ca="1">race_defense + TblImps[[#This Row],[Walls]] + ROUND( MIN(gt_bonus*TblConstr[[#This Row],[Tot GT]]/TblConstr[[#This Row],[Land]],gt_bonus_cap), 4) + IF(TblMagic[[#This Row],[Active Howling]]&gt;0,howling_dp_bonus,IF(TblMagic[[#This Row],[Active Ares Call]]&gt;0,ares_call_bonus))</f>
        <v>0</v>
      </c>
      <c r="V61" s="263">
        <f ca="1">TblMili[[#This Row],[Non Draft]] * (1 + TblMili[[#This Row],[Mods_Def]])</f>
        <v>450</v>
      </c>
      <c r="W61" s="261">
        <f ca="1">TblMili[[#This Row],[Draft]] * (1 + TblMili[[#This Row],[Mods_Def]])</f>
        <v>1076</v>
      </c>
      <c r="X61" s="261">
        <f ca="1">TblConstr[[#This Row],[Land]]</f>
        <v>250</v>
      </c>
      <c r="Y61" s="264"/>
      <c r="Z61" s="269">
        <f ca="1">IF(TblMili[[#This Row],[Set]]&lt;&gt;"",TblMili[[#This Row],[Set]],OFFSET(TblMili[[#This Row],[Draftrate]],-1,0))</f>
        <v>0.35</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6"/>
      <c r="AC61" s="182">
        <f ca="1">(TblConstr[[#This Row],[Tot Smi]]+TblConstr[[#This Row],[Dest Smi]])/(TblConstr[[#This Row],[Land]]-TblExplore[[#This Row],[Land Bonus]]*20)</f>
        <v>0</v>
      </c>
      <c r="AD61" s="139"/>
      <c r="AE61" s="260">
        <f>TblMili[[#This Row],[Hour]]</f>
        <v>58</v>
      </c>
      <c r="AF61" s="140">
        <f ca="1">TblExplore[[#This Row],[Time]]</f>
        <v>45734.374999999862</v>
      </c>
      <c r="AG61" s="181"/>
      <c r="AH61" s="181"/>
      <c r="AI61" s="181"/>
      <c r="AJ61" s="181"/>
      <c r="AK61" s="181"/>
      <c r="AL61" s="181"/>
      <c r="AM61" s="181"/>
      <c r="AN61" s="181"/>
      <c r="AO61" s="448">
        <f ca="1">ROUND(IF(AND(TblMagic[[#This Row],[Active DnD]]&lt;12,TblMagic[[#This Row],[Active DnD]]&gt;5),OFFSET(TblPop[[#This Row],[Draft Growth]],-1,0)*0.375,0),0)</f>
        <v>0</v>
      </c>
      <c r="AP61" s="144"/>
      <c r="AQ61" s="96">
        <f ca="1">TblProd[[#This Row],[Platinum]]</f>
        <v>433580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45734.374999999862</v>
      </c>
      <c r="AW61" s="96">
        <f ca="1">TblMili[[#This Row],[Draftees]]</f>
        <v>626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0.44</v>
      </c>
      <c r="BX61" s="159">
        <f ca="1">TblMili[[#This Row],[WG''s]]</f>
        <v>0</v>
      </c>
      <c r="BY61" s="265">
        <f ca="1">IF(mystic_cap="none",TblMili[[#This Row],[Homeland%]]/mystic_bonus,MIN(mystic_cap,TblMili[[#This Row],[Homeland%]]/mystic_bonus))</f>
        <v>2</v>
      </c>
      <c r="BZ61" s="265">
        <f ca="1">IF(druid_op_cap="none",TblMili[[#This Row],[Homeland%]]/druid_op_bonus,MIN(druid_op_cap,TblMili[[#This Row],[Homeland%]]/druid_op_bonus))</f>
        <v>2</v>
      </c>
      <c r="CA61" s="265">
        <f ca="1">IF(druid_dp_cap="none",TblMili[[#This Row],[Homeland%]]/druid_dp_bonus,MIN(druid_dp_cap,TblMili[[#This Row],[Homeland%]]/druid_dp_bonus))</f>
        <v>2</v>
      </c>
      <c r="CB61" s="265">
        <f ca="1">MIN(dryad_cap,TblMili[[#This Row],[Homeland%]]/dryad_bonus)</f>
        <v>2.1999999999999997</v>
      </c>
      <c r="CC61" s="265">
        <f ca="1">MIN(rocka_cap,TblMili[[#This Row],[Homeland%]]/rocka_bonus)</f>
        <v>2</v>
      </c>
      <c r="CD61" s="265">
        <f ca="1">MIN(adept_op_cap,TblMili[[#This Row],[WG]]/adept_op_bonus)</f>
        <v>0</v>
      </c>
      <c r="CE61" s="265">
        <f ca="1">MIN(adept_dp_cap,TblMili[[#This Row],[WG]]/adept_dp_bonus)</f>
        <v>0</v>
      </c>
      <c r="CF61" s="96">
        <f ca="1">MIN(TblMili[[#This Row],[Unit 3]],TblMili[[#This Row],[Unit 2]])*2</f>
        <v>0</v>
      </c>
      <c r="CG61" s="96">
        <f ca="1">MIN(TblMili[[#This Row],[Unit 1]],TblMili[[#This Row],[Unit 4]])*2</f>
        <v>0</v>
      </c>
      <c r="CH61" s="265">
        <f ca="1">MIN(frost_mage_cap,TblMili[[#This Row],[Homeland%]]/frost_mage_bonus)</f>
        <v>2.1999999999999997</v>
      </c>
      <c r="CI61" s="45">
        <f ca="1">MIN(ice_elem_cap,TblMili[[#This Row],[Raw (2)]]*ice_elem_bonus)</f>
        <v>0.1</v>
      </c>
      <c r="CJ61" s="265">
        <f t="shared" si="2"/>
        <v>0.83333333333333337</v>
      </c>
      <c r="CK61" s="265">
        <f ca="1">MIN(nox_nightshade_cap,TblConstr[[#This Row],[Homeland]]/TblConstr[[#This Row],[Land]]/nox_nightshade_swamp_bonus)</f>
        <v>4</v>
      </c>
      <c r="CL61" s="265">
        <f ca="1">MIN(TblConstr[[#This Row],[Tot Tow]]/TblConstr[[#This Row],[Land]]/abyss_enforce_bonus,abyss_enforcer_cap)</f>
        <v>0</v>
      </c>
      <c r="CM61" s="265">
        <f ca="1">IF(TblMagic[[#This Row],[Active Demonic Pact]]&gt;0,MIN(TblMili[[#This Row],[Unit 1]],TblMili[[#This Row],[Unit 4]])*demonic_pact_oppair,0)</f>
        <v>0</v>
      </c>
      <c r="CN61" s="266"/>
      <c r="CO61" s="266"/>
      <c r="CP61" s="266"/>
      <c r="CQ61" s="265">
        <f ca="1">MIN(6,TblMili[[#This Row],[Mystic]]+Races!$F$19)*1.8 +  IF(TblMili[[#This Row],[Mystic]]+Races!$F$19&gt;6,(TblMili[[#This Row],[Mystic]]+Races!$F$19-6)*0.2,0) - Races!$I$19</f>
        <v>1</v>
      </c>
      <c r="CR6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-0.64000000000000057</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4.7099999999999991</v>
      </c>
      <c r="DA61" s="157">
        <f ca="1">1.8 * MIN(MAX(TblMili[[#This Row],[Ice Elemental]]+Races!$E$71,Races!$F$71),6)  +  0.45 * MIN(MIN(TblMili[[#This Row],[Ice Elemental]]+Races!$E$71,Races!$F$71),6)  +  0.2 * ( MAX(TblMili[[#This Row],[Ice Elemental]]+Races!$E$71-6,0) + MAX(Races!$F$71-6,0) )  -  Races!$I$71</f>
        <v>0.92999999999999972</v>
      </c>
      <c r="DB61" s="96">
        <f ca="1">TblMili[[#This Row],[Frost Mage bonus]]*TblMili[[#This Row],[Unit 3]]+TblMili[[#This Row],[Ice Elemental bonus]]*TblMili[[#This Row],[Unit 4]]</f>
        <v>0</v>
      </c>
      <c r="DC61" s="267"/>
      <c r="DD61" s="145">
        <f ca="1">MIN(SUM(TblConstr[[#This Row],[Plain]:[Water]])/TblMili[[#This Row],[Land]]/favorable_terrain_bonus/100,favorable_terrain_max)</f>
        <v>0.1</v>
      </c>
      <c r="DE61" s="267"/>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1" s="144"/>
      <c r="DH61" s="268">
        <f ca="1">(TblMili[[#This Row],[Wizards]]+2*TblMili[[#This Row],[Archmages]])/TblConstr[[#This Row],[Land]]</f>
        <v>0.1</v>
      </c>
      <c r="DI61" s="268">
        <f ca="1">TblMili[[#This Row],[Raw (2)]]*(1+race_wizard_strength+IF(TblMili[[#This Row],[Hour]]&gt;72,tech_magical_weaponry_wiz*TblTech[[#This Row],[3-5]],0))</f>
        <v>0.1</v>
      </c>
    </row>
    <row r="62" spans="1:113" x14ac:dyDescent="0.2">
      <c r="A62" s="139">
        <f>TblRezone[[#This Row],[Hour]]</f>
        <v>59</v>
      </c>
      <c r="B62" s="260">
        <f ca="1">SUM(TblMili[[#This Row],[Unit 1]:[Archmages]])+SUM(OFFSET(TblMili[[#This Row],[Train Unit 1]],-8,0):TblMili[[#This Row],[Train Unit 2]]) + SUM(OFFSET(TblMili[[#This Row],[Train Unit 3]],-11,0):TblMili[[#This Row],[Train AM]]) + TblMili[[#This Row],[Draftees]]</f>
        <v>826</v>
      </c>
      <c r="C62" s="159">
        <f ca="1">TblPop[[#This Row],[Military%]]</f>
        <v>0.35029686174724345</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4"/>
      <c r="N62" s="96">
        <f ca="1">TblProd[[#This Row],[Networth]]</f>
        <v>6450</v>
      </c>
      <c r="O62" s="144"/>
      <c r="P6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1">
        <f ca="1">TblMili[[#This Row],[Raw]]*(1+TblMili[[#This Row],[Mods_Off]])</f>
        <v>0</v>
      </c>
      <c r="S6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2" s="261">
        <f ca="1">TblMili[[#This Row],[Non Draft]]+TblMili[[#This Row],[Draftees]]</f>
        <v>1076</v>
      </c>
      <c r="U62" s="262">
        <f ca="1">race_defense + TblImps[[#This Row],[Walls]] + ROUND( MIN(gt_bonus*TblConstr[[#This Row],[Tot GT]]/TblConstr[[#This Row],[Land]],gt_bonus_cap), 4) + IF(TblMagic[[#This Row],[Active Howling]]&gt;0,howling_dp_bonus,IF(TblMagic[[#This Row],[Active Ares Call]]&gt;0,ares_call_bonus))</f>
        <v>0</v>
      </c>
      <c r="V62" s="263">
        <f ca="1">TblMili[[#This Row],[Non Draft]] * (1 + TblMili[[#This Row],[Mods_Def]])</f>
        <v>450</v>
      </c>
      <c r="W62" s="261">
        <f ca="1">TblMili[[#This Row],[Draft]] * (1 + TblMili[[#This Row],[Mods_Def]])</f>
        <v>1076</v>
      </c>
      <c r="X62" s="261">
        <f ca="1">TblConstr[[#This Row],[Land]]</f>
        <v>250</v>
      </c>
      <c r="Y62" s="264"/>
      <c r="Z62" s="269">
        <f ca="1">IF(TblMili[[#This Row],[Set]]&lt;&gt;"",TblMili[[#This Row],[Set]],OFFSET(TblMili[[#This Row],[Draftrate]],-1,0))</f>
        <v>0.35</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6"/>
      <c r="AC62" s="182">
        <f ca="1">(TblConstr[[#This Row],[Tot Smi]]+TblConstr[[#This Row],[Dest Smi]])/(TblConstr[[#This Row],[Land]]-TblExplore[[#This Row],[Land Bonus]]*20)</f>
        <v>0</v>
      </c>
      <c r="AD62" s="139"/>
      <c r="AE62" s="260">
        <f>TblMili[[#This Row],[Hour]]</f>
        <v>59</v>
      </c>
      <c r="AF62" s="140">
        <f ca="1">TblExplore[[#This Row],[Time]]</f>
        <v>45734.416666666526</v>
      </c>
      <c r="AG62" s="181"/>
      <c r="AH62" s="181"/>
      <c r="AI62" s="181"/>
      <c r="AJ62" s="181"/>
      <c r="AK62" s="181"/>
      <c r="AL62" s="181"/>
      <c r="AM62" s="181"/>
      <c r="AN62" s="181"/>
      <c r="AO62" s="448">
        <f ca="1">ROUND(IF(AND(TblMagic[[#This Row],[Active DnD]]&lt;12,TblMagic[[#This Row],[Active DnD]]&gt;5),OFFSET(TblPop[[#This Row],[Draft Growth]],-1,0)*0.375,0),0)</f>
        <v>0</v>
      </c>
      <c r="AP62" s="144"/>
      <c r="AQ62" s="96">
        <f ca="1">TblProd[[#This Row],[Platinum]]</f>
        <v>439066</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45734.416666666526</v>
      </c>
      <c r="AW62" s="96">
        <f ca="1">TblMili[[#This Row],[Draftees]]</f>
        <v>626</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0.44</v>
      </c>
      <c r="BX62" s="159">
        <f ca="1">TblMili[[#This Row],[WG''s]]</f>
        <v>0</v>
      </c>
      <c r="BY62" s="265">
        <f ca="1">IF(mystic_cap="none",TblMili[[#This Row],[Homeland%]]/mystic_bonus,MIN(mystic_cap,TblMili[[#This Row],[Homeland%]]/mystic_bonus))</f>
        <v>2</v>
      </c>
      <c r="BZ62" s="265">
        <f ca="1">IF(druid_op_cap="none",TblMili[[#This Row],[Homeland%]]/druid_op_bonus,MIN(druid_op_cap,TblMili[[#This Row],[Homeland%]]/druid_op_bonus))</f>
        <v>2</v>
      </c>
      <c r="CA62" s="265">
        <f ca="1">IF(druid_dp_cap="none",TblMili[[#This Row],[Homeland%]]/druid_dp_bonus,MIN(druid_dp_cap,TblMili[[#This Row],[Homeland%]]/druid_dp_bonus))</f>
        <v>2</v>
      </c>
      <c r="CB62" s="265">
        <f ca="1">MIN(dryad_cap,TblMili[[#This Row],[Homeland%]]/dryad_bonus)</f>
        <v>2.1999999999999997</v>
      </c>
      <c r="CC62" s="265">
        <f ca="1">MIN(rocka_cap,TblMili[[#This Row],[Homeland%]]/rocka_bonus)</f>
        <v>2</v>
      </c>
      <c r="CD62" s="265">
        <f ca="1">MIN(adept_op_cap,TblMili[[#This Row],[WG]]/adept_op_bonus)</f>
        <v>0</v>
      </c>
      <c r="CE62" s="265">
        <f ca="1">MIN(adept_dp_cap,TblMili[[#This Row],[WG]]/adept_dp_bonus)</f>
        <v>0</v>
      </c>
      <c r="CF62" s="96">
        <f ca="1">MIN(TblMili[[#This Row],[Unit 3]],TblMili[[#This Row],[Unit 2]])*2</f>
        <v>0</v>
      </c>
      <c r="CG62" s="96">
        <f ca="1">MIN(TblMili[[#This Row],[Unit 1]],TblMili[[#This Row],[Unit 4]])*2</f>
        <v>0</v>
      </c>
      <c r="CH62" s="265">
        <f ca="1">MIN(frost_mage_cap,TblMili[[#This Row],[Homeland%]]/frost_mage_bonus)</f>
        <v>2.1999999999999997</v>
      </c>
      <c r="CI62" s="45">
        <f ca="1">MIN(ice_elem_cap,TblMili[[#This Row],[Raw (2)]]*ice_elem_bonus)</f>
        <v>0.1</v>
      </c>
      <c r="CJ62" s="265">
        <f t="shared" si="2"/>
        <v>0.83333333333333337</v>
      </c>
      <c r="CK62" s="265">
        <f ca="1">MIN(nox_nightshade_cap,TblConstr[[#This Row],[Homeland]]/TblConstr[[#This Row],[Land]]/nox_nightshade_swamp_bonus)</f>
        <v>4</v>
      </c>
      <c r="CL62" s="265">
        <f ca="1">MIN(TblConstr[[#This Row],[Tot Tow]]/TblConstr[[#This Row],[Land]]/abyss_enforce_bonus,abyss_enforcer_cap)</f>
        <v>0</v>
      </c>
      <c r="CM62" s="265">
        <f ca="1">IF(TblMagic[[#This Row],[Active Demonic Pact]]&gt;0,MIN(TblMili[[#This Row],[Unit 1]],TblMili[[#This Row],[Unit 4]])*demonic_pact_oppair,0)</f>
        <v>0</v>
      </c>
      <c r="CN62" s="266"/>
      <c r="CO62" s="266"/>
      <c r="CP62" s="266"/>
      <c r="CQ62" s="265">
        <f ca="1">MIN(6,TblMili[[#This Row],[Mystic]]+Races!$F$19)*1.8 +  IF(TblMili[[#This Row],[Mystic]]+Races!$F$19&gt;6,(TblMili[[#This Row],[Mystic]]+Races!$F$19-6)*0.2,0) - Races!$I$19</f>
        <v>1</v>
      </c>
      <c r="CR6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-0.64000000000000057</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4.7099999999999991</v>
      </c>
      <c r="DA62" s="157">
        <f ca="1">1.8 * MIN(MAX(TblMili[[#This Row],[Ice Elemental]]+Races!$E$71,Races!$F$71),6)  +  0.45 * MIN(MIN(TblMili[[#This Row],[Ice Elemental]]+Races!$E$71,Races!$F$71),6)  +  0.2 * ( MAX(TblMili[[#This Row],[Ice Elemental]]+Races!$E$71-6,0) + MAX(Races!$F$71-6,0) )  -  Races!$I$71</f>
        <v>0.92999999999999972</v>
      </c>
      <c r="DB62" s="96">
        <f ca="1">TblMili[[#This Row],[Frost Mage bonus]]*TblMili[[#This Row],[Unit 3]]+TblMili[[#This Row],[Ice Elemental bonus]]*TblMili[[#This Row],[Unit 4]]</f>
        <v>0</v>
      </c>
      <c r="DC62" s="267"/>
      <c r="DD62" s="145">
        <f ca="1">MIN(SUM(TblConstr[[#This Row],[Plain]:[Water]])/TblMili[[#This Row],[Land]]/favorable_terrain_bonus/100,favorable_terrain_max)</f>
        <v>0.1</v>
      </c>
      <c r="DE62" s="267"/>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2" s="144"/>
      <c r="DH62" s="268">
        <f ca="1">(TblMili[[#This Row],[Wizards]]+2*TblMili[[#This Row],[Archmages]])/TblConstr[[#This Row],[Land]]</f>
        <v>0.1</v>
      </c>
      <c r="DI62" s="268">
        <f ca="1">TblMili[[#This Row],[Raw (2)]]*(1+race_wizard_strength+IF(TblMili[[#This Row],[Hour]]&gt;72,tech_magical_weaponry_wiz*TblTech[[#This Row],[3-5]],0))</f>
        <v>0.1</v>
      </c>
    </row>
    <row r="63" spans="1:113" x14ac:dyDescent="0.2">
      <c r="A63" s="139">
        <f>TblRezone[[#This Row],[Hour]]</f>
        <v>60</v>
      </c>
      <c r="B63" s="260">
        <f ca="1">SUM(TblMili[[#This Row],[Unit 1]:[Archmages]])+SUM(OFFSET(TblMili[[#This Row],[Train Unit 1]],-8,0):TblMili[[#This Row],[Train Unit 2]]) + SUM(OFFSET(TblMili[[#This Row],[Train Unit 3]],-11,0):TblMili[[#This Row],[Train AM]]) + TblMili[[#This Row],[Draftees]]</f>
        <v>826</v>
      </c>
      <c r="C63" s="159">
        <f ca="1">TblPop[[#This Row],[Military%]]</f>
        <v>0.35029686174724345</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4"/>
      <c r="N63" s="96">
        <f ca="1">TblProd[[#This Row],[Networth]]</f>
        <v>6450</v>
      </c>
      <c r="O63" s="144"/>
      <c r="P6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1">
        <f ca="1">TblMili[[#This Row],[Raw]]*(1+TblMili[[#This Row],[Mods_Off]])</f>
        <v>0</v>
      </c>
      <c r="S6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3" s="261">
        <f ca="1">TblMili[[#This Row],[Non Draft]]+TblMili[[#This Row],[Draftees]]</f>
        <v>1076</v>
      </c>
      <c r="U63" s="262">
        <f ca="1">race_defense + TblImps[[#This Row],[Walls]] + ROUND( MIN(gt_bonus*TblConstr[[#This Row],[Tot GT]]/TblConstr[[#This Row],[Land]],gt_bonus_cap), 4) + IF(TblMagic[[#This Row],[Active Howling]]&gt;0,howling_dp_bonus,IF(TblMagic[[#This Row],[Active Ares Call]]&gt;0,ares_call_bonus))</f>
        <v>0</v>
      </c>
      <c r="V63" s="263">
        <f ca="1">TblMili[[#This Row],[Non Draft]] * (1 + TblMili[[#This Row],[Mods_Def]])</f>
        <v>450</v>
      </c>
      <c r="W63" s="261">
        <f ca="1">TblMili[[#This Row],[Draft]] * (1 + TblMili[[#This Row],[Mods_Def]])</f>
        <v>1076</v>
      </c>
      <c r="X63" s="261">
        <f ca="1">TblConstr[[#This Row],[Land]]</f>
        <v>250</v>
      </c>
      <c r="Y63" s="264"/>
      <c r="Z63" s="269">
        <f ca="1">IF(TblMili[[#This Row],[Set]]&lt;&gt;"",TblMili[[#This Row],[Set]],OFFSET(TblMili[[#This Row],[Draftrate]],-1,0))</f>
        <v>0.35</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6"/>
      <c r="AC63" s="182">
        <f ca="1">(TblConstr[[#This Row],[Tot Smi]]+TblConstr[[#This Row],[Dest Smi]])/(TblConstr[[#This Row],[Land]]-TblExplore[[#This Row],[Land Bonus]]*20)</f>
        <v>0</v>
      </c>
      <c r="AD63" s="139"/>
      <c r="AE63" s="260">
        <f>TblMili[[#This Row],[Hour]]</f>
        <v>60</v>
      </c>
      <c r="AF63" s="140">
        <f ca="1">TblExplore[[#This Row],[Time]]</f>
        <v>45734.45833333319</v>
      </c>
      <c r="AG63" s="181"/>
      <c r="AH63" s="181"/>
      <c r="AI63" s="181"/>
      <c r="AJ63" s="181"/>
      <c r="AK63" s="181"/>
      <c r="AL63" s="181"/>
      <c r="AM63" s="181"/>
      <c r="AN63" s="181"/>
      <c r="AO63" s="448">
        <f ca="1">ROUND(IF(AND(TblMagic[[#This Row],[Active DnD]]&lt;12,TblMagic[[#This Row],[Active DnD]]&gt;5),OFFSET(TblPop[[#This Row],[Draft Growth]],-1,0)*0.375,0),0)</f>
        <v>0</v>
      </c>
      <c r="AP63" s="144"/>
      <c r="AQ63" s="96">
        <f ca="1">TblProd[[#This Row],[Platinum]]</f>
        <v>444552</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45734.45833333319</v>
      </c>
      <c r="AW63" s="96">
        <f ca="1">TblMili[[#This Row],[Draftees]]</f>
        <v>626</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0.44</v>
      </c>
      <c r="BX63" s="159">
        <f ca="1">TblMili[[#This Row],[WG''s]]</f>
        <v>0</v>
      </c>
      <c r="BY63" s="265">
        <f ca="1">IF(mystic_cap="none",TblMili[[#This Row],[Homeland%]]/mystic_bonus,MIN(mystic_cap,TblMili[[#This Row],[Homeland%]]/mystic_bonus))</f>
        <v>2</v>
      </c>
      <c r="BZ63" s="265">
        <f ca="1">IF(druid_op_cap="none",TblMili[[#This Row],[Homeland%]]/druid_op_bonus,MIN(druid_op_cap,TblMili[[#This Row],[Homeland%]]/druid_op_bonus))</f>
        <v>2</v>
      </c>
      <c r="CA63" s="265">
        <f ca="1">IF(druid_dp_cap="none",TblMili[[#This Row],[Homeland%]]/druid_dp_bonus,MIN(druid_dp_cap,TblMili[[#This Row],[Homeland%]]/druid_dp_bonus))</f>
        <v>2</v>
      </c>
      <c r="CB63" s="265">
        <f ca="1">MIN(dryad_cap,TblMili[[#This Row],[Homeland%]]/dryad_bonus)</f>
        <v>2.1999999999999997</v>
      </c>
      <c r="CC63" s="265">
        <f ca="1">MIN(rocka_cap,TblMili[[#This Row],[Homeland%]]/rocka_bonus)</f>
        <v>2</v>
      </c>
      <c r="CD63" s="265">
        <f ca="1">MIN(adept_op_cap,TblMili[[#This Row],[WG]]/adept_op_bonus)</f>
        <v>0</v>
      </c>
      <c r="CE63" s="265">
        <f ca="1">MIN(adept_dp_cap,TblMili[[#This Row],[WG]]/adept_dp_bonus)</f>
        <v>0</v>
      </c>
      <c r="CF63" s="96">
        <f ca="1">MIN(TblMili[[#This Row],[Unit 3]],TblMili[[#This Row],[Unit 2]])*2</f>
        <v>0</v>
      </c>
      <c r="CG63" s="96">
        <f ca="1">MIN(TblMili[[#This Row],[Unit 1]],TblMili[[#This Row],[Unit 4]])*2</f>
        <v>0</v>
      </c>
      <c r="CH63" s="265">
        <f ca="1">MIN(frost_mage_cap,TblMili[[#This Row],[Homeland%]]/frost_mage_bonus)</f>
        <v>2.1999999999999997</v>
      </c>
      <c r="CI63" s="45">
        <f ca="1">MIN(ice_elem_cap,TblMili[[#This Row],[Raw (2)]]*ice_elem_bonus)</f>
        <v>0.1</v>
      </c>
      <c r="CJ63" s="265">
        <f t="shared" si="2"/>
        <v>0.83333333333333337</v>
      </c>
      <c r="CK63" s="265">
        <f ca="1">MIN(nox_nightshade_cap,TblConstr[[#This Row],[Homeland]]/TblConstr[[#This Row],[Land]]/nox_nightshade_swamp_bonus)</f>
        <v>4</v>
      </c>
      <c r="CL63" s="265">
        <f ca="1">MIN(TblConstr[[#This Row],[Tot Tow]]/TblConstr[[#This Row],[Land]]/abyss_enforce_bonus,abyss_enforcer_cap)</f>
        <v>0</v>
      </c>
      <c r="CM63" s="265">
        <f ca="1">IF(TblMagic[[#This Row],[Active Demonic Pact]]&gt;0,MIN(TblMili[[#This Row],[Unit 1]],TblMili[[#This Row],[Unit 4]])*demonic_pact_oppair,0)</f>
        <v>0</v>
      </c>
      <c r="CN63" s="266"/>
      <c r="CO63" s="266"/>
      <c r="CP63" s="266"/>
      <c r="CQ63" s="265">
        <f ca="1">MIN(6,TblMili[[#This Row],[Mystic]]+Races!$F$19)*1.8 +  IF(TblMili[[#This Row],[Mystic]]+Races!$F$19&gt;6,(TblMili[[#This Row],[Mystic]]+Races!$F$19-6)*0.2,0) - Races!$I$19</f>
        <v>1</v>
      </c>
      <c r="CR6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-0.64000000000000057</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4.7099999999999991</v>
      </c>
      <c r="DA63" s="157">
        <f ca="1">1.8 * MIN(MAX(TblMili[[#This Row],[Ice Elemental]]+Races!$E$71,Races!$F$71),6)  +  0.45 * MIN(MIN(TblMili[[#This Row],[Ice Elemental]]+Races!$E$71,Races!$F$71),6)  +  0.2 * ( MAX(TblMili[[#This Row],[Ice Elemental]]+Races!$E$71-6,0) + MAX(Races!$F$71-6,0) )  -  Races!$I$71</f>
        <v>0.92999999999999972</v>
      </c>
      <c r="DB63" s="96">
        <f ca="1">TblMili[[#This Row],[Frost Mage bonus]]*TblMili[[#This Row],[Unit 3]]+TblMili[[#This Row],[Ice Elemental bonus]]*TblMili[[#This Row],[Unit 4]]</f>
        <v>0</v>
      </c>
      <c r="DC63" s="267"/>
      <c r="DD63" s="145">
        <f ca="1">MIN(SUM(TblConstr[[#This Row],[Plain]:[Water]])/TblMili[[#This Row],[Land]]/favorable_terrain_bonus/100,favorable_terrain_max)</f>
        <v>0.1</v>
      </c>
      <c r="DE63" s="267"/>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3" s="144"/>
      <c r="DH63" s="268">
        <f ca="1">(TblMili[[#This Row],[Wizards]]+2*TblMili[[#This Row],[Archmages]])/TblConstr[[#This Row],[Land]]</f>
        <v>0.1</v>
      </c>
      <c r="DI63" s="268">
        <f ca="1">TblMili[[#This Row],[Raw (2)]]*(1+race_wizard_strength+IF(TblMili[[#This Row],[Hour]]&gt;72,tech_magical_weaponry_wiz*TblTech[[#This Row],[3-5]],0))</f>
        <v>0.1</v>
      </c>
    </row>
    <row r="64" spans="1:113" x14ac:dyDescent="0.2">
      <c r="A64" s="139">
        <f>TblRezone[[#This Row],[Hour]]</f>
        <v>61</v>
      </c>
      <c r="B64" s="260">
        <f ca="1">SUM(TblMili[[#This Row],[Unit 1]:[Archmages]])+SUM(OFFSET(TblMili[[#This Row],[Train Unit 1]],-8,0):TblMili[[#This Row],[Train Unit 2]]) + SUM(OFFSET(TblMili[[#This Row],[Train Unit 3]],-11,0):TblMili[[#This Row],[Train AM]]) + TblMili[[#This Row],[Draftees]]</f>
        <v>826</v>
      </c>
      <c r="C64" s="159">
        <f ca="1">TblPop[[#This Row],[Military%]]</f>
        <v>0.35029686174724345</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4"/>
      <c r="N64" s="96">
        <f ca="1">TblProd[[#This Row],[Networth]]</f>
        <v>6450</v>
      </c>
      <c r="O64" s="144"/>
      <c r="P6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1">
        <f ca="1">TblMili[[#This Row],[Raw]]*(1+TblMili[[#This Row],[Mods_Off]])</f>
        <v>0</v>
      </c>
      <c r="S6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4" s="261">
        <f ca="1">TblMili[[#This Row],[Non Draft]]+TblMili[[#This Row],[Draftees]]</f>
        <v>1076</v>
      </c>
      <c r="U64" s="262">
        <f ca="1">race_defense + TblImps[[#This Row],[Walls]] + ROUND( MIN(gt_bonus*TblConstr[[#This Row],[Tot GT]]/TblConstr[[#This Row],[Land]],gt_bonus_cap), 4) + IF(TblMagic[[#This Row],[Active Howling]]&gt;0,howling_dp_bonus,IF(TblMagic[[#This Row],[Active Ares Call]]&gt;0,ares_call_bonus))</f>
        <v>0</v>
      </c>
      <c r="V64" s="263">
        <f ca="1">TblMili[[#This Row],[Non Draft]] * (1 + TblMili[[#This Row],[Mods_Def]])</f>
        <v>450</v>
      </c>
      <c r="W64" s="261">
        <f ca="1">TblMili[[#This Row],[Draft]] * (1 + TblMili[[#This Row],[Mods_Def]])</f>
        <v>1076</v>
      </c>
      <c r="X64" s="261">
        <f ca="1">TblConstr[[#This Row],[Land]]</f>
        <v>250</v>
      </c>
      <c r="Y64" s="264"/>
      <c r="Z64" s="269">
        <f ca="1">IF(TblMili[[#This Row],[Set]]&lt;&gt;"",TblMili[[#This Row],[Set]],OFFSET(TblMili[[#This Row],[Draftrate]],-1,0))</f>
        <v>0.35</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6"/>
      <c r="AC64" s="182">
        <f ca="1">(TblConstr[[#This Row],[Tot Smi]]+TblConstr[[#This Row],[Dest Smi]])/(TblConstr[[#This Row],[Land]]-TblExplore[[#This Row],[Land Bonus]]*20)</f>
        <v>0</v>
      </c>
      <c r="AD64" s="260"/>
      <c r="AE64" s="260">
        <f>TblMili[[#This Row],[Hour]]</f>
        <v>61</v>
      </c>
      <c r="AF64" s="140">
        <f ca="1">TblExplore[[#This Row],[Time]]</f>
        <v>45734.499999999854</v>
      </c>
      <c r="AG64" s="181"/>
      <c r="AH64" s="160"/>
      <c r="AI64" s="181"/>
      <c r="AJ64" s="160"/>
      <c r="AK64" s="160"/>
      <c r="AL64" s="160"/>
      <c r="AM64" s="160"/>
      <c r="AN64" s="181"/>
      <c r="AO64" s="448">
        <f ca="1">ROUND(IF(AND(TblMagic[[#This Row],[Active DnD]]&lt;12,TblMagic[[#This Row],[Active DnD]]&gt;5),OFFSET(TblPop[[#This Row],[Draft Growth]],-1,0)*0.375,0),0)</f>
        <v>0</v>
      </c>
      <c r="AP64" s="144"/>
      <c r="AQ64" s="96">
        <f ca="1">TblProd[[#This Row],[Platinum]]</f>
        <v>450038</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45734.499999999854</v>
      </c>
      <c r="AW64" s="96">
        <f ca="1">TblMili[[#This Row],[Draftees]]</f>
        <v>626</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0.44</v>
      </c>
      <c r="BX64" s="159">
        <f ca="1">TblMili[[#This Row],[WG''s]]</f>
        <v>0</v>
      </c>
      <c r="BY64" s="265">
        <f ca="1">IF(mystic_cap="none",TblMili[[#This Row],[Homeland%]]/mystic_bonus,MIN(mystic_cap,TblMili[[#This Row],[Homeland%]]/mystic_bonus))</f>
        <v>2</v>
      </c>
      <c r="BZ64" s="265">
        <f ca="1">IF(druid_op_cap="none",TblMili[[#This Row],[Homeland%]]/druid_op_bonus,MIN(druid_op_cap,TblMili[[#This Row],[Homeland%]]/druid_op_bonus))</f>
        <v>2</v>
      </c>
      <c r="CA64" s="265">
        <f ca="1">IF(druid_dp_cap="none",TblMili[[#This Row],[Homeland%]]/druid_dp_bonus,MIN(druid_dp_cap,TblMili[[#This Row],[Homeland%]]/druid_dp_bonus))</f>
        <v>2</v>
      </c>
      <c r="CB64" s="265">
        <f ca="1">MIN(dryad_cap,TblMili[[#This Row],[Homeland%]]/dryad_bonus)</f>
        <v>2.1999999999999997</v>
      </c>
      <c r="CC64" s="265">
        <f ca="1">MIN(rocka_cap,TblMili[[#This Row],[Homeland%]]/rocka_bonus)</f>
        <v>2</v>
      </c>
      <c r="CD64" s="265">
        <f ca="1">MIN(adept_op_cap,TblMili[[#This Row],[WG]]/adept_op_bonus)</f>
        <v>0</v>
      </c>
      <c r="CE64" s="265">
        <f ca="1">MIN(adept_dp_cap,TblMili[[#This Row],[WG]]/adept_dp_bonus)</f>
        <v>0</v>
      </c>
      <c r="CF64" s="96">
        <f ca="1">MIN(TblMili[[#This Row],[Unit 3]],TblMili[[#This Row],[Unit 2]])*2</f>
        <v>0</v>
      </c>
      <c r="CG64" s="96">
        <f ca="1">MIN(TblMili[[#This Row],[Unit 1]],TblMili[[#This Row],[Unit 4]])*2</f>
        <v>0</v>
      </c>
      <c r="CH64" s="265">
        <f ca="1">MIN(frost_mage_cap,TblMili[[#This Row],[Homeland%]]/frost_mage_bonus)</f>
        <v>2.1999999999999997</v>
      </c>
      <c r="CI64" s="45">
        <f ca="1">MIN(ice_elem_cap,TblMili[[#This Row],[Raw (2)]]*ice_elem_bonus)</f>
        <v>0.1</v>
      </c>
      <c r="CJ64" s="265">
        <f t="shared" si="2"/>
        <v>0.83333333333333337</v>
      </c>
      <c r="CK64" s="265">
        <f ca="1">MIN(nox_nightshade_cap,TblConstr[[#This Row],[Homeland]]/TblConstr[[#This Row],[Land]]/nox_nightshade_swamp_bonus)</f>
        <v>4</v>
      </c>
      <c r="CL64" s="265">
        <f ca="1">MIN(TblConstr[[#This Row],[Tot Tow]]/TblConstr[[#This Row],[Land]]/abyss_enforce_bonus,abyss_enforcer_cap)</f>
        <v>0</v>
      </c>
      <c r="CM64" s="265">
        <f ca="1">IF(TblMagic[[#This Row],[Active Demonic Pact]]&gt;0,MIN(TblMili[[#This Row],[Unit 1]],TblMili[[#This Row],[Unit 4]])*demonic_pact_oppair,0)</f>
        <v>0</v>
      </c>
      <c r="CN64" s="266"/>
      <c r="CO64" s="266"/>
      <c r="CP64" s="266"/>
      <c r="CQ64" s="265">
        <f ca="1">MIN(6,TblMili[[#This Row],[Mystic]]+Races!$F$19)*1.8 +  IF(TblMili[[#This Row],[Mystic]]+Races!$F$19&gt;6,(TblMili[[#This Row],[Mystic]]+Races!$F$19-6)*0.2,0) - Races!$I$19</f>
        <v>1</v>
      </c>
      <c r="CR6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-0.64000000000000057</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4.7099999999999991</v>
      </c>
      <c r="DA64" s="157">
        <f ca="1">1.8 * MIN(MAX(TblMili[[#This Row],[Ice Elemental]]+Races!$E$71,Races!$F$71),6)  +  0.45 * MIN(MIN(TblMili[[#This Row],[Ice Elemental]]+Races!$E$71,Races!$F$71),6)  +  0.2 * ( MAX(TblMili[[#This Row],[Ice Elemental]]+Races!$E$71-6,0) + MAX(Races!$F$71-6,0) )  -  Races!$I$71</f>
        <v>0.92999999999999972</v>
      </c>
      <c r="DB64" s="96">
        <f ca="1">TblMili[[#This Row],[Frost Mage bonus]]*TblMili[[#This Row],[Unit 3]]+TblMili[[#This Row],[Ice Elemental bonus]]*TblMili[[#This Row],[Unit 4]]</f>
        <v>0</v>
      </c>
      <c r="DC64" s="267"/>
      <c r="DD64" s="145">
        <f ca="1">MIN(SUM(TblConstr[[#This Row],[Plain]:[Water]])/TblMili[[#This Row],[Land]]/favorable_terrain_bonus/100,favorable_terrain_max)</f>
        <v>0.1</v>
      </c>
      <c r="DE64" s="267"/>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4" s="144"/>
      <c r="DH64" s="268">
        <f ca="1">(TblMili[[#This Row],[Wizards]]+2*TblMili[[#This Row],[Archmages]])/TblConstr[[#This Row],[Land]]</f>
        <v>0.1</v>
      </c>
      <c r="DI64" s="268">
        <f ca="1">TblMili[[#This Row],[Raw (2)]]*(1+race_wizard_strength+IF(TblMili[[#This Row],[Hour]]&gt;72,tech_magical_weaponry_wiz*TblTech[[#This Row],[3-5]],0))</f>
        <v>0.1</v>
      </c>
    </row>
    <row r="65" spans="1:113" x14ac:dyDescent="0.2">
      <c r="A65" s="139">
        <f>TblRezone[[#This Row],[Hour]]</f>
        <v>62</v>
      </c>
      <c r="B65" s="260">
        <f ca="1">SUM(TblMili[[#This Row],[Unit 1]:[Archmages]])+SUM(OFFSET(TblMili[[#This Row],[Train Unit 1]],-8,0):TblMili[[#This Row],[Train Unit 2]]) + SUM(OFFSET(TblMili[[#This Row],[Train Unit 3]],-11,0):TblMili[[#This Row],[Train AM]]) + TblMili[[#This Row],[Draftees]]</f>
        <v>826</v>
      </c>
      <c r="C65" s="159">
        <f ca="1">TblPop[[#This Row],[Military%]]</f>
        <v>0.35029686174724345</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4"/>
      <c r="N65" s="96">
        <f ca="1">TblProd[[#This Row],[Networth]]</f>
        <v>6450</v>
      </c>
      <c r="O65" s="144"/>
      <c r="P6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1">
        <f ca="1">TblMili[[#This Row],[Raw]]*(1+TblMili[[#This Row],[Mods_Off]])</f>
        <v>0</v>
      </c>
      <c r="S6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5" s="261">
        <f ca="1">TblMili[[#This Row],[Non Draft]]+TblMili[[#This Row],[Draftees]]</f>
        <v>1076</v>
      </c>
      <c r="U65" s="262">
        <f ca="1">race_defense + TblImps[[#This Row],[Walls]] + ROUND( MIN(gt_bonus*TblConstr[[#This Row],[Tot GT]]/TblConstr[[#This Row],[Land]],gt_bonus_cap), 4) + IF(TblMagic[[#This Row],[Active Howling]]&gt;0,howling_dp_bonus,IF(TblMagic[[#This Row],[Active Ares Call]]&gt;0,ares_call_bonus))</f>
        <v>0</v>
      </c>
      <c r="V65" s="263">
        <f ca="1">TblMili[[#This Row],[Non Draft]] * (1 + TblMili[[#This Row],[Mods_Def]])</f>
        <v>450</v>
      </c>
      <c r="W65" s="261">
        <f ca="1">TblMili[[#This Row],[Draft]] * (1 + TblMili[[#This Row],[Mods_Def]])</f>
        <v>1076</v>
      </c>
      <c r="X65" s="261">
        <f ca="1">TblConstr[[#This Row],[Land]]</f>
        <v>250</v>
      </c>
      <c r="Y65" s="264"/>
      <c r="Z65" s="269">
        <f ca="1">IF(TblMili[[#This Row],[Set]]&lt;&gt;"",TblMili[[#This Row],[Set]],OFFSET(TblMili[[#This Row],[Draftrate]],-1,0))</f>
        <v>0.35</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6"/>
      <c r="AC65" s="182">
        <f ca="1">(TblConstr[[#This Row],[Tot Smi]]+TblConstr[[#This Row],[Dest Smi]])/(TblConstr[[#This Row],[Land]]-TblExplore[[#This Row],[Land Bonus]]*20)</f>
        <v>0</v>
      </c>
      <c r="AD65" s="139"/>
      <c r="AE65" s="260">
        <f>TblMili[[#This Row],[Hour]]</f>
        <v>62</v>
      </c>
      <c r="AF65" s="140">
        <f ca="1">TblExplore[[#This Row],[Time]]</f>
        <v>45734.541666666519</v>
      </c>
      <c r="AG65" s="160"/>
      <c r="AH65" s="181"/>
      <c r="AI65" s="181"/>
      <c r="AJ65" s="181"/>
      <c r="AK65" s="181"/>
      <c r="AL65" s="181"/>
      <c r="AM65" s="181"/>
      <c r="AN65" s="181"/>
      <c r="AO65" s="448">
        <f ca="1">ROUND(IF(AND(TblMagic[[#This Row],[Active DnD]]&lt;12,TblMagic[[#This Row],[Active DnD]]&gt;5),OFFSET(TblPop[[#This Row],[Draft Growth]],-1,0)*0.375,0),0)</f>
        <v>0</v>
      </c>
      <c r="AP65" s="144"/>
      <c r="AQ65" s="96">
        <f ca="1">TblProd[[#This Row],[Platinum]]</f>
        <v>455524</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45734.541666666519</v>
      </c>
      <c r="AW65" s="96">
        <f ca="1">TblMili[[#This Row],[Draftees]]</f>
        <v>626</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0.44</v>
      </c>
      <c r="BX65" s="159">
        <f ca="1">TblMili[[#This Row],[WG''s]]</f>
        <v>0</v>
      </c>
      <c r="BY65" s="265">
        <f ca="1">IF(mystic_cap="none",TblMili[[#This Row],[Homeland%]]/mystic_bonus,MIN(mystic_cap,TblMili[[#This Row],[Homeland%]]/mystic_bonus))</f>
        <v>2</v>
      </c>
      <c r="BZ65" s="265">
        <f ca="1">IF(druid_op_cap="none",TblMili[[#This Row],[Homeland%]]/druid_op_bonus,MIN(druid_op_cap,TblMili[[#This Row],[Homeland%]]/druid_op_bonus))</f>
        <v>2</v>
      </c>
      <c r="CA65" s="265">
        <f ca="1">IF(druid_dp_cap="none",TblMili[[#This Row],[Homeland%]]/druid_dp_bonus,MIN(druid_dp_cap,TblMili[[#This Row],[Homeland%]]/druid_dp_bonus))</f>
        <v>2</v>
      </c>
      <c r="CB65" s="265">
        <f ca="1">MIN(dryad_cap,TblMili[[#This Row],[Homeland%]]/dryad_bonus)</f>
        <v>2.1999999999999997</v>
      </c>
      <c r="CC65" s="265">
        <f ca="1">MIN(rocka_cap,TblMili[[#This Row],[Homeland%]]/rocka_bonus)</f>
        <v>2</v>
      </c>
      <c r="CD65" s="265">
        <f ca="1">MIN(adept_op_cap,TblMili[[#This Row],[WG]]/adept_op_bonus)</f>
        <v>0</v>
      </c>
      <c r="CE65" s="265">
        <f ca="1">MIN(adept_dp_cap,TblMili[[#This Row],[WG]]/adept_dp_bonus)</f>
        <v>0</v>
      </c>
      <c r="CF65" s="96">
        <f ca="1">MIN(TblMili[[#This Row],[Unit 3]],TblMili[[#This Row],[Unit 2]])*2</f>
        <v>0</v>
      </c>
      <c r="CG65" s="96">
        <f ca="1">MIN(TblMili[[#This Row],[Unit 1]],TblMili[[#This Row],[Unit 4]])*2</f>
        <v>0</v>
      </c>
      <c r="CH65" s="265">
        <f ca="1">MIN(frost_mage_cap,TblMili[[#This Row],[Homeland%]]/frost_mage_bonus)</f>
        <v>2.1999999999999997</v>
      </c>
      <c r="CI65" s="45">
        <f ca="1">MIN(ice_elem_cap,TblMili[[#This Row],[Raw (2)]]*ice_elem_bonus)</f>
        <v>0.1</v>
      </c>
      <c r="CJ65" s="265">
        <f t="shared" si="2"/>
        <v>0.83333333333333337</v>
      </c>
      <c r="CK65" s="265">
        <f ca="1">MIN(nox_nightshade_cap,TblConstr[[#This Row],[Homeland]]/TblConstr[[#This Row],[Land]]/nox_nightshade_swamp_bonus)</f>
        <v>4</v>
      </c>
      <c r="CL65" s="265">
        <f ca="1">MIN(TblConstr[[#This Row],[Tot Tow]]/TblConstr[[#This Row],[Land]]/abyss_enforce_bonus,abyss_enforcer_cap)</f>
        <v>0</v>
      </c>
      <c r="CM65" s="265">
        <f ca="1">IF(TblMagic[[#This Row],[Active Demonic Pact]]&gt;0,MIN(TblMili[[#This Row],[Unit 1]],TblMili[[#This Row],[Unit 4]])*demonic_pact_oppair,0)</f>
        <v>0</v>
      </c>
      <c r="CN65" s="266"/>
      <c r="CO65" s="266"/>
      <c r="CP65" s="266"/>
      <c r="CQ65" s="265">
        <f ca="1">MIN(6,TblMili[[#This Row],[Mystic]]+Races!$F$19)*1.8 +  IF(TblMili[[#This Row],[Mystic]]+Races!$F$19&gt;6,(TblMili[[#This Row],[Mystic]]+Races!$F$19-6)*0.2,0) - Races!$I$19</f>
        <v>1</v>
      </c>
      <c r="CR6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-0.64000000000000057</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4.7099999999999991</v>
      </c>
      <c r="DA65" s="157">
        <f ca="1">1.8 * MIN(MAX(TblMili[[#This Row],[Ice Elemental]]+Races!$E$71,Races!$F$71),6)  +  0.45 * MIN(MIN(TblMili[[#This Row],[Ice Elemental]]+Races!$E$71,Races!$F$71),6)  +  0.2 * ( MAX(TblMili[[#This Row],[Ice Elemental]]+Races!$E$71-6,0) + MAX(Races!$F$71-6,0) )  -  Races!$I$71</f>
        <v>0.92999999999999972</v>
      </c>
      <c r="DB65" s="96">
        <f ca="1">TblMili[[#This Row],[Frost Mage bonus]]*TblMili[[#This Row],[Unit 3]]+TblMili[[#This Row],[Ice Elemental bonus]]*TblMili[[#This Row],[Unit 4]]</f>
        <v>0</v>
      </c>
      <c r="DC65" s="267"/>
      <c r="DD65" s="145">
        <f ca="1">MIN(SUM(TblConstr[[#This Row],[Plain]:[Water]])/TblMili[[#This Row],[Land]]/favorable_terrain_bonus/100,favorable_terrain_max)</f>
        <v>0.1</v>
      </c>
      <c r="DE65" s="267"/>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5" s="144"/>
      <c r="DH65" s="268">
        <f ca="1">(TblMili[[#This Row],[Wizards]]+2*TblMili[[#This Row],[Archmages]])/TblConstr[[#This Row],[Land]]</f>
        <v>0.1</v>
      </c>
      <c r="DI65" s="268">
        <f ca="1">TblMili[[#This Row],[Raw (2)]]*(1+race_wizard_strength+IF(TblMili[[#This Row],[Hour]]&gt;72,tech_magical_weaponry_wiz*TblTech[[#This Row],[3-5]],0))</f>
        <v>0.1</v>
      </c>
    </row>
    <row r="66" spans="1:113" x14ac:dyDescent="0.2">
      <c r="A66" s="139">
        <f>TblRezone[[#This Row],[Hour]]</f>
        <v>63</v>
      </c>
      <c r="B66" s="260">
        <f ca="1">SUM(TblMili[[#This Row],[Unit 1]:[Archmages]])+SUM(OFFSET(TblMili[[#This Row],[Train Unit 1]],-8,0):TblMili[[#This Row],[Train Unit 2]]) + SUM(OFFSET(TblMili[[#This Row],[Train Unit 3]],-11,0):TblMili[[#This Row],[Train AM]]) + TblMili[[#This Row],[Draftees]]</f>
        <v>826</v>
      </c>
      <c r="C66" s="159">
        <f ca="1">TblPop[[#This Row],[Military%]]</f>
        <v>0.35029686174724345</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4"/>
      <c r="N66" s="96">
        <f ca="1">TblProd[[#This Row],[Networth]]</f>
        <v>6450</v>
      </c>
      <c r="O66" s="144"/>
      <c r="P6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1">
        <f ca="1">TblMili[[#This Row],[Raw]]*(1+TblMili[[#This Row],[Mods_Off]])</f>
        <v>0</v>
      </c>
      <c r="S6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6" s="261">
        <f ca="1">TblMili[[#This Row],[Non Draft]]+TblMili[[#This Row],[Draftees]]</f>
        <v>1076</v>
      </c>
      <c r="U66" s="262">
        <f ca="1">race_defense + TblImps[[#This Row],[Walls]] + ROUND( MIN(gt_bonus*TblConstr[[#This Row],[Tot GT]]/TblConstr[[#This Row],[Land]],gt_bonus_cap), 4) + IF(TblMagic[[#This Row],[Active Howling]]&gt;0,howling_dp_bonus,IF(TblMagic[[#This Row],[Active Ares Call]]&gt;0,ares_call_bonus))</f>
        <v>0</v>
      </c>
      <c r="V66" s="263">
        <f ca="1">TblMili[[#This Row],[Non Draft]] * (1 + TblMili[[#This Row],[Mods_Def]])</f>
        <v>450</v>
      </c>
      <c r="W66" s="261">
        <f ca="1">TblMili[[#This Row],[Draft]] * (1 + TblMili[[#This Row],[Mods_Def]])</f>
        <v>1076</v>
      </c>
      <c r="X66" s="261">
        <f ca="1">TblConstr[[#This Row],[Land]]</f>
        <v>250</v>
      </c>
      <c r="Y66" s="264"/>
      <c r="Z66" s="269">
        <f ca="1">IF(TblMili[[#This Row],[Set]]&lt;&gt;"",TblMili[[#This Row],[Set]],OFFSET(TblMili[[#This Row],[Draftrate]],-1,0))</f>
        <v>0.35</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6"/>
      <c r="AC66" s="182">
        <f ca="1">(TblConstr[[#This Row],[Tot Smi]]+TblConstr[[#This Row],[Dest Smi]])/(TblConstr[[#This Row],[Land]]-TblExplore[[#This Row],[Land Bonus]]*20)</f>
        <v>0</v>
      </c>
      <c r="AD66" s="139"/>
      <c r="AE66" s="260">
        <f>TblMili[[#This Row],[Hour]]</f>
        <v>63</v>
      </c>
      <c r="AF66" s="140">
        <f ca="1">TblExplore[[#This Row],[Time]]</f>
        <v>45734.583333333183</v>
      </c>
      <c r="AG66" s="181"/>
      <c r="AH66" s="181"/>
      <c r="AI66" s="181"/>
      <c r="AJ66" s="181"/>
      <c r="AK66" s="181"/>
      <c r="AL66" s="181"/>
      <c r="AM66" s="181"/>
      <c r="AN66" s="181"/>
      <c r="AO66" s="448">
        <f ca="1">ROUND(IF(AND(TblMagic[[#This Row],[Active DnD]]&lt;12,TblMagic[[#This Row],[Active DnD]]&gt;5),OFFSET(TblPop[[#This Row],[Draft Growth]],-1,0)*0.375,0),0)</f>
        <v>0</v>
      </c>
      <c r="AP66" s="144"/>
      <c r="AQ66" s="96">
        <f ca="1">TblProd[[#This Row],[Platinum]]</f>
        <v>461010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45734.583333333183</v>
      </c>
      <c r="AW66" s="96">
        <f ca="1">TblMili[[#This Row],[Draftees]]</f>
        <v>626</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0.44</v>
      </c>
      <c r="BX66" s="159">
        <f ca="1">TblMili[[#This Row],[WG''s]]</f>
        <v>0</v>
      </c>
      <c r="BY66" s="265">
        <f ca="1">IF(mystic_cap="none",TblMili[[#This Row],[Homeland%]]/mystic_bonus,MIN(mystic_cap,TblMili[[#This Row],[Homeland%]]/mystic_bonus))</f>
        <v>2</v>
      </c>
      <c r="BZ66" s="265">
        <f ca="1">IF(druid_op_cap="none",TblMili[[#This Row],[Homeland%]]/druid_op_bonus,MIN(druid_op_cap,TblMili[[#This Row],[Homeland%]]/druid_op_bonus))</f>
        <v>2</v>
      </c>
      <c r="CA66" s="265">
        <f ca="1">IF(druid_dp_cap="none",TblMili[[#This Row],[Homeland%]]/druid_dp_bonus,MIN(druid_dp_cap,TblMili[[#This Row],[Homeland%]]/druid_dp_bonus))</f>
        <v>2</v>
      </c>
      <c r="CB66" s="265">
        <f ca="1">MIN(dryad_cap,TblMili[[#This Row],[Homeland%]]/dryad_bonus)</f>
        <v>2.1999999999999997</v>
      </c>
      <c r="CC66" s="265">
        <f ca="1">MIN(rocka_cap,TblMili[[#This Row],[Homeland%]]/rocka_bonus)</f>
        <v>2</v>
      </c>
      <c r="CD66" s="265">
        <f ca="1">MIN(adept_op_cap,TblMili[[#This Row],[WG]]/adept_op_bonus)</f>
        <v>0</v>
      </c>
      <c r="CE66" s="265">
        <f ca="1">MIN(adept_dp_cap,TblMili[[#This Row],[WG]]/adept_dp_bonus)</f>
        <v>0</v>
      </c>
      <c r="CF66" s="96">
        <f ca="1">MIN(TblMili[[#This Row],[Unit 3]],TblMili[[#This Row],[Unit 2]])*2</f>
        <v>0</v>
      </c>
      <c r="CG66" s="96">
        <f ca="1">MIN(TblMili[[#This Row],[Unit 1]],TblMili[[#This Row],[Unit 4]])*2</f>
        <v>0</v>
      </c>
      <c r="CH66" s="265">
        <f ca="1">MIN(frost_mage_cap,TblMili[[#This Row],[Homeland%]]/frost_mage_bonus)</f>
        <v>2.1999999999999997</v>
      </c>
      <c r="CI66" s="45">
        <f ca="1">MIN(ice_elem_cap,TblMili[[#This Row],[Raw (2)]]*ice_elem_bonus)</f>
        <v>0.1</v>
      </c>
      <c r="CJ66" s="265">
        <f t="shared" si="2"/>
        <v>0.83333333333333337</v>
      </c>
      <c r="CK66" s="265">
        <f ca="1">MIN(nox_nightshade_cap,TblConstr[[#This Row],[Homeland]]/TblConstr[[#This Row],[Land]]/nox_nightshade_swamp_bonus)</f>
        <v>4</v>
      </c>
      <c r="CL66" s="265">
        <f ca="1">MIN(TblConstr[[#This Row],[Tot Tow]]/TblConstr[[#This Row],[Land]]/abyss_enforce_bonus,abyss_enforcer_cap)</f>
        <v>0</v>
      </c>
      <c r="CM66" s="265">
        <f ca="1">IF(TblMagic[[#This Row],[Active Demonic Pact]]&gt;0,MIN(TblMili[[#This Row],[Unit 1]],TblMili[[#This Row],[Unit 4]])*demonic_pact_oppair,0)</f>
        <v>0</v>
      </c>
      <c r="CN66" s="266"/>
      <c r="CO66" s="266"/>
      <c r="CP66" s="266"/>
      <c r="CQ66" s="265">
        <f ca="1">MIN(6,TblMili[[#This Row],[Mystic]]+Races!$F$19)*1.8 +  IF(TblMili[[#This Row],[Mystic]]+Races!$F$19&gt;6,(TblMili[[#This Row],[Mystic]]+Races!$F$19-6)*0.2,0) - Races!$I$19</f>
        <v>1</v>
      </c>
      <c r="CR6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-0.64000000000000057</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4.7099999999999991</v>
      </c>
      <c r="DA66" s="157">
        <f ca="1">1.8 * MIN(MAX(TblMili[[#This Row],[Ice Elemental]]+Races!$E$71,Races!$F$71),6)  +  0.45 * MIN(MIN(TblMili[[#This Row],[Ice Elemental]]+Races!$E$71,Races!$F$71),6)  +  0.2 * ( MAX(TblMili[[#This Row],[Ice Elemental]]+Races!$E$71-6,0) + MAX(Races!$F$71-6,0) )  -  Races!$I$71</f>
        <v>0.92999999999999972</v>
      </c>
      <c r="DB66" s="96">
        <f ca="1">TblMili[[#This Row],[Frost Mage bonus]]*TblMili[[#This Row],[Unit 3]]+TblMili[[#This Row],[Ice Elemental bonus]]*TblMili[[#This Row],[Unit 4]]</f>
        <v>0</v>
      </c>
      <c r="DC66" s="267"/>
      <c r="DD66" s="145">
        <f ca="1">MIN(SUM(TblConstr[[#This Row],[Plain]:[Water]])/TblMili[[#This Row],[Land]]/favorable_terrain_bonus/100,favorable_terrain_max)</f>
        <v>0.1</v>
      </c>
      <c r="DE66" s="267"/>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6" s="144"/>
      <c r="DH66" s="268">
        <f ca="1">(TblMili[[#This Row],[Wizards]]+2*TblMili[[#This Row],[Archmages]])/TblConstr[[#This Row],[Land]]</f>
        <v>0.1</v>
      </c>
      <c r="DI66" s="268">
        <f ca="1">TblMili[[#This Row],[Raw (2)]]*(1+race_wizard_strength+IF(TblMili[[#This Row],[Hour]]&gt;72,tech_magical_weaponry_wiz*TblTech[[#This Row],[3-5]],0))</f>
        <v>0.1</v>
      </c>
    </row>
    <row r="67" spans="1:113" x14ac:dyDescent="0.2">
      <c r="A67" s="139">
        <f>TblRezone[[#This Row],[Hour]]</f>
        <v>64</v>
      </c>
      <c r="B67" s="260">
        <f ca="1">SUM(TblMili[[#This Row],[Unit 1]:[Archmages]])+SUM(OFFSET(TblMili[[#This Row],[Train Unit 1]],-8,0):TblMili[[#This Row],[Train Unit 2]]) + SUM(OFFSET(TblMili[[#This Row],[Train Unit 3]],-11,0):TblMili[[#This Row],[Train AM]]) + TblMili[[#This Row],[Draftees]]</f>
        <v>826</v>
      </c>
      <c r="C67" s="159">
        <f ca="1">TblPop[[#This Row],[Military%]]</f>
        <v>0.35029686174724345</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4"/>
      <c r="N67" s="96">
        <f ca="1">TblProd[[#This Row],[Networth]]</f>
        <v>6450</v>
      </c>
      <c r="O67" s="144"/>
      <c r="P6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1">
        <f ca="1">TblMili[[#This Row],[Raw]]*(1+TblMili[[#This Row],[Mods_Off]])</f>
        <v>0</v>
      </c>
      <c r="S6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7" s="261">
        <f ca="1">TblMili[[#This Row],[Non Draft]]+TblMili[[#This Row],[Draftees]]</f>
        <v>1076</v>
      </c>
      <c r="U67" s="262">
        <f ca="1">race_defense + TblImps[[#This Row],[Walls]] + ROUND( MIN(gt_bonus*TblConstr[[#This Row],[Tot GT]]/TblConstr[[#This Row],[Land]],gt_bonus_cap), 4) + IF(TblMagic[[#This Row],[Active Howling]]&gt;0,howling_dp_bonus,IF(TblMagic[[#This Row],[Active Ares Call]]&gt;0,ares_call_bonus))</f>
        <v>0</v>
      </c>
      <c r="V67" s="263">
        <f ca="1">TblMili[[#This Row],[Non Draft]] * (1 + TblMili[[#This Row],[Mods_Def]])</f>
        <v>450</v>
      </c>
      <c r="W67" s="261">
        <f ca="1">TblMili[[#This Row],[Draft]] * (1 + TblMili[[#This Row],[Mods_Def]])</f>
        <v>1076</v>
      </c>
      <c r="X67" s="261">
        <f ca="1">TblConstr[[#This Row],[Land]]</f>
        <v>250</v>
      </c>
      <c r="Y67" s="264"/>
      <c r="Z67" s="269">
        <f ca="1">IF(TblMili[[#This Row],[Set]]&lt;&gt;"",TblMili[[#This Row],[Set]],OFFSET(TblMili[[#This Row],[Draftrate]],-1,0))</f>
        <v>0.35</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6"/>
      <c r="AC67" s="182">
        <f ca="1">(TblConstr[[#This Row],[Tot Smi]]+TblConstr[[#This Row],[Dest Smi]])/(TblConstr[[#This Row],[Land]]-TblExplore[[#This Row],[Land Bonus]]*20)</f>
        <v>0</v>
      </c>
      <c r="AD67" s="139"/>
      <c r="AE67" s="260">
        <f>TblMili[[#This Row],[Hour]]</f>
        <v>64</v>
      </c>
      <c r="AF67" s="140">
        <f ca="1">TblExplore[[#This Row],[Time]]</f>
        <v>45734.624999999847</v>
      </c>
      <c r="AG67" s="160"/>
      <c r="AH67" s="160"/>
      <c r="AI67" s="181"/>
      <c r="AJ67" s="181"/>
      <c r="AK67" s="181"/>
      <c r="AL67" s="181"/>
      <c r="AM67" s="181"/>
      <c r="AN67" s="181"/>
      <c r="AO67" s="448">
        <f ca="1">ROUND(IF(AND(TblMagic[[#This Row],[Active DnD]]&lt;12,TblMagic[[#This Row],[Active DnD]]&gt;5),OFFSET(TblPop[[#This Row],[Draft Growth]],-1,0)*0.375,0),0)</f>
        <v>0</v>
      </c>
      <c r="AP67" s="144"/>
      <c r="AQ67" s="96">
        <f ca="1">TblProd[[#This Row],[Platinum]]</f>
        <v>466496</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45734.624999999847</v>
      </c>
      <c r="AW67" s="96">
        <f ca="1">TblMili[[#This Row],[Draftees]]</f>
        <v>626</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0.44</v>
      </c>
      <c r="BX67" s="159">
        <f ca="1">TblMili[[#This Row],[WG''s]]</f>
        <v>0</v>
      </c>
      <c r="BY67" s="265">
        <f ca="1">IF(mystic_cap="none",TblMili[[#This Row],[Homeland%]]/mystic_bonus,MIN(mystic_cap,TblMili[[#This Row],[Homeland%]]/mystic_bonus))</f>
        <v>2</v>
      </c>
      <c r="BZ67" s="265">
        <f ca="1">IF(druid_op_cap="none",TblMili[[#This Row],[Homeland%]]/druid_op_bonus,MIN(druid_op_cap,TblMili[[#This Row],[Homeland%]]/druid_op_bonus))</f>
        <v>2</v>
      </c>
      <c r="CA67" s="265">
        <f ca="1">IF(druid_dp_cap="none",TblMili[[#This Row],[Homeland%]]/druid_dp_bonus,MIN(druid_dp_cap,TblMili[[#This Row],[Homeland%]]/druid_dp_bonus))</f>
        <v>2</v>
      </c>
      <c r="CB67" s="265">
        <f ca="1">MIN(dryad_cap,TblMili[[#This Row],[Homeland%]]/dryad_bonus)</f>
        <v>2.1999999999999997</v>
      </c>
      <c r="CC67" s="265">
        <f ca="1">MIN(rocka_cap,TblMili[[#This Row],[Homeland%]]/rocka_bonus)</f>
        <v>2</v>
      </c>
      <c r="CD67" s="265">
        <f ca="1">MIN(adept_op_cap,TblMili[[#This Row],[WG]]/adept_op_bonus)</f>
        <v>0</v>
      </c>
      <c r="CE67" s="265">
        <f ca="1">MIN(adept_dp_cap,TblMili[[#This Row],[WG]]/adept_dp_bonus)</f>
        <v>0</v>
      </c>
      <c r="CF67" s="96">
        <f ca="1">MIN(TblMili[[#This Row],[Unit 3]],TblMili[[#This Row],[Unit 2]])*2</f>
        <v>0</v>
      </c>
      <c r="CG67" s="96">
        <f ca="1">MIN(TblMili[[#This Row],[Unit 1]],TblMili[[#This Row],[Unit 4]])*2</f>
        <v>0</v>
      </c>
      <c r="CH67" s="265">
        <f ca="1">MIN(frost_mage_cap,TblMili[[#This Row],[Homeland%]]/frost_mage_bonus)</f>
        <v>2.1999999999999997</v>
      </c>
      <c r="CI67" s="45">
        <f ca="1">MIN(ice_elem_cap,TblMili[[#This Row],[Raw (2)]]*ice_elem_bonus)</f>
        <v>0.1</v>
      </c>
      <c r="CJ67" s="265">
        <f t="shared" si="2"/>
        <v>0.83333333333333337</v>
      </c>
      <c r="CK67" s="265">
        <f ca="1">MIN(nox_nightshade_cap,TblConstr[[#This Row],[Homeland]]/TblConstr[[#This Row],[Land]]/nox_nightshade_swamp_bonus)</f>
        <v>4</v>
      </c>
      <c r="CL67" s="265">
        <f ca="1">MIN(TblConstr[[#This Row],[Tot Tow]]/TblConstr[[#This Row],[Land]]/abyss_enforce_bonus,abyss_enforcer_cap)</f>
        <v>0</v>
      </c>
      <c r="CM67" s="265">
        <f ca="1">IF(TblMagic[[#This Row],[Active Demonic Pact]]&gt;0,MIN(TblMili[[#This Row],[Unit 1]],TblMili[[#This Row],[Unit 4]])*demonic_pact_oppair,0)</f>
        <v>0</v>
      </c>
      <c r="CN67" s="266"/>
      <c r="CO67" s="266"/>
      <c r="CP67" s="266"/>
      <c r="CQ67" s="265">
        <f ca="1">MIN(6,TblMili[[#This Row],[Mystic]]+Races!$F$19)*1.8 +  IF(TblMili[[#This Row],[Mystic]]+Races!$F$19&gt;6,(TblMili[[#This Row],[Mystic]]+Races!$F$19-6)*0.2,0) - Races!$I$19</f>
        <v>1</v>
      </c>
      <c r="CR6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-0.64000000000000057</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4.7099999999999991</v>
      </c>
      <c r="DA67" s="157">
        <f ca="1">1.8 * MIN(MAX(TblMili[[#This Row],[Ice Elemental]]+Races!$E$71,Races!$F$71),6)  +  0.45 * MIN(MIN(TblMili[[#This Row],[Ice Elemental]]+Races!$E$71,Races!$F$71),6)  +  0.2 * ( MAX(TblMili[[#This Row],[Ice Elemental]]+Races!$E$71-6,0) + MAX(Races!$F$71-6,0) )  -  Races!$I$71</f>
        <v>0.92999999999999972</v>
      </c>
      <c r="DB67" s="96">
        <f ca="1">TblMili[[#This Row],[Frost Mage bonus]]*TblMili[[#This Row],[Unit 3]]+TblMili[[#This Row],[Ice Elemental bonus]]*TblMili[[#This Row],[Unit 4]]</f>
        <v>0</v>
      </c>
      <c r="DC67" s="267"/>
      <c r="DD67" s="145">
        <f ca="1">MIN(SUM(TblConstr[[#This Row],[Plain]:[Water]])/TblMili[[#This Row],[Land]]/favorable_terrain_bonus/100,favorable_terrain_max)</f>
        <v>0.1</v>
      </c>
      <c r="DE67" s="267"/>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7" s="144"/>
      <c r="DH67" s="268">
        <f ca="1">(TblMili[[#This Row],[Wizards]]+2*TblMili[[#This Row],[Archmages]])/TblConstr[[#This Row],[Land]]</f>
        <v>0.1</v>
      </c>
      <c r="DI67" s="268">
        <f ca="1">TblMili[[#This Row],[Raw (2)]]*(1+race_wizard_strength+IF(TblMili[[#This Row],[Hour]]&gt;72,tech_magical_weaponry_wiz*TblTech[[#This Row],[3-5]],0))</f>
        <v>0.1</v>
      </c>
    </row>
    <row r="68" spans="1:113" x14ac:dyDescent="0.2">
      <c r="A68" s="139">
        <f>TblRezone[[#This Row],[Hour]]</f>
        <v>65</v>
      </c>
      <c r="B68" s="260">
        <f ca="1">SUM(TblMili[[#This Row],[Unit 1]:[Archmages]])+SUM(OFFSET(TblMili[[#This Row],[Train Unit 1]],-8,0):TblMili[[#This Row],[Train Unit 2]]) + SUM(OFFSET(TblMili[[#This Row],[Train Unit 3]],-11,0):TblMili[[#This Row],[Train AM]]) + TblMili[[#This Row],[Draftees]]</f>
        <v>826</v>
      </c>
      <c r="C68" s="159">
        <f ca="1">TblPop[[#This Row],[Military%]]</f>
        <v>0.35029686174724345</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4"/>
      <c r="N68" s="96">
        <f ca="1">TblProd[[#This Row],[Networth]]</f>
        <v>6450</v>
      </c>
      <c r="O68" s="144"/>
      <c r="P6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1">
        <f ca="1">TblMili[[#This Row],[Raw]]*(1+TblMili[[#This Row],[Mods_Off]])</f>
        <v>0</v>
      </c>
      <c r="S6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8" s="261">
        <f ca="1">TblMili[[#This Row],[Non Draft]]+TblMili[[#This Row],[Draftees]]</f>
        <v>1076</v>
      </c>
      <c r="U68" s="262">
        <f ca="1">race_defense + TblImps[[#This Row],[Walls]] + ROUND( MIN(gt_bonus*TblConstr[[#This Row],[Tot GT]]/TblConstr[[#This Row],[Land]],gt_bonus_cap), 4) + IF(TblMagic[[#This Row],[Active Howling]]&gt;0,howling_dp_bonus,IF(TblMagic[[#This Row],[Active Ares Call]]&gt;0,ares_call_bonus))</f>
        <v>0</v>
      </c>
      <c r="V68" s="263">
        <f ca="1">TblMili[[#This Row],[Non Draft]] * (1 + TblMili[[#This Row],[Mods_Def]])</f>
        <v>450</v>
      </c>
      <c r="W68" s="261">
        <f ca="1">TblMili[[#This Row],[Draft]] * (1 + TblMili[[#This Row],[Mods_Def]])</f>
        <v>1076</v>
      </c>
      <c r="X68" s="261">
        <f ca="1">TblConstr[[#This Row],[Land]]</f>
        <v>250</v>
      </c>
      <c r="Y68" s="264"/>
      <c r="Z68" s="269">
        <f ca="1">IF(TblMili[[#This Row],[Set]]&lt;&gt;"",TblMili[[#This Row],[Set]],OFFSET(TblMili[[#This Row],[Draftrate]],-1,0))</f>
        <v>0.35</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6"/>
      <c r="AC68" s="182">
        <f ca="1">(TblConstr[[#This Row],[Tot Smi]]+TblConstr[[#This Row],[Dest Smi]])/(TblConstr[[#This Row],[Land]]-TblExplore[[#This Row],[Land Bonus]]*20)</f>
        <v>0</v>
      </c>
      <c r="AD68" s="139"/>
      <c r="AE68" s="260">
        <f>TblMili[[#This Row],[Hour]]</f>
        <v>65</v>
      </c>
      <c r="AF68" s="140">
        <f ca="1">TblExplore[[#This Row],[Time]]</f>
        <v>45734.666666666511</v>
      </c>
      <c r="AG68" s="160"/>
      <c r="AH68" s="160"/>
      <c r="AI68" s="181"/>
      <c r="AJ68" s="181"/>
      <c r="AK68" s="181"/>
      <c r="AL68" s="181"/>
      <c r="AM68" s="181"/>
      <c r="AN68" s="181"/>
      <c r="AO68" s="448">
        <f ca="1">ROUND(IF(AND(TblMagic[[#This Row],[Active DnD]]&lt;12,TblMagic[[#This Row],[Active DnD]]&gt;5),OFFSET(TblPop[[#This Row],[Draft Growth]],-1,0)*0.375,0),0)</f>
        <v>0</v>
      </c>
      <c r="AP68" s="144"/>
      <c r="AQ68" s="96">
        <f ca="1">TblProd[[#This Row],[Platinum]]</f>
        <v>471982</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45734.666666666511</v>
      </c>
      <c r="AW68" s="96">
        <f ca="1">TblMili[[#This Row],[Draftees]]</f>
        <v>626</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0.44</v>
      </c>
      <c r="BX68" s="159">
        <f ca="1">TblMili[[#This Row],[WG''s]]</f>
        <v>0</v>
      </c>
      <c r="BY68" s="265">
        <f ca="1">IF(mystic_cap="none",TblMili[[#This Row],[Homeland%]]/mystic_bonus,MIN(mystic_cap,TblMili[[#This Row],[Homeland%]]/mystic_bonus))</f>
        <v>2</v>
      </c>
      <c r="BZ68" s="265">
        <f ca="1">IF(druid_op_cap="none",TblMili[[#This Row],[Homeland%]]/druid_op_bonus,MIN(druid_op_cap,TblMili[[#This Row],[Homeland%]]/druid_op_bonus))</f>
        <v>2</v>
      </c>
      <c r="CA68" s="265">
        <f ca="1">IF(druid_dp_cap="none",TblMili[[#This Row],[Homeland%]]/druid_dp_bonus,MIN(druid_dp_cap,TblMili[[#This Row],[Homeland%]]/druid_dp_bonus))</f>
        <v>2</v>
      </c>
      <c r="CB68" s="265">
        <f ca="1">MIN(dryad_cap,TblMili[[#This Row],[Homeland%]]/dryad_bonus)</f>
        <v>2.1999999999999997</v>
      </c>
      <c r="CC68" s="265">
        <f ca="1">MIN(rocka_cap,TblMili[[#This Row],[Homeland%]]/rocka_bonus)</f>
        <v>2</v>
      </c>
      <c r="CD68" s="265">
        <f ca="1">MIN(adept_op_cap,TblMili[[#This Row],[WG]]/adept_op_bonus)</f>
        <v>0</v>
      </c>
      <c r="CE68" s="265">
        <f ca="1">MIN(adept_dp_cap,TblMili[[#This Row],[WG]]/adept_dp_bonus)</f>
        <v>0</v>
      </c>
      <c r="CF68" s="96">
        <f ca="1">MIN(TblMili[[#This Row],[Unit 3]],TblMili[[#This Row],[Unit 2]])*2</f>
        <v>0</v>
      </c>
      <c r="CG68" s="96">
        <f ca="1">MIN(TblMili[[#This Row],[Unit 1]],TblMili[[#This Row],[Unit 4]])*2</f>
        <v>0</v>
      </c>
      <c r="CH68" s="265">
        <f ca="1">MIN(frost_mage_cap,TblMili[[#This Row],[Homeland%]]/frost_mage_bonus)</f>
        <v>2.1999999999999997</v>
      </c>
      <c r="CI68" s="45">
        <f ca="1">MIN(ice_elem_cap,TblMili[[#This Row],[Raw (2)]]*ice_elem_bonus)</f>
        <v>0.1</v>
      </c>
      <c r="CJ68" s="265">
        <f t="shared" ref="CJ68:CJ99" si="3">MIN(bone_breaker_cap,250/bone_breaker_bonus)</f>
        <v>0.83333333333333337</v>
      </c>
      <c r="CK68" s="265">
        <f ca="1">MIN(nox_nightshade_cap,TblConstr[[#This Row],[Homeland]]/TblConstr[[#This Row],[Land]]/nox_nightshade_swamp_bonus)</f>
        <v>4</v>
      </c>
      <c r="CL68" s="265">
        <f ca="1">MIN(TblConstr[[#This Row],[Tot Tow]]/TblConstr[[#This Row],[Land]]/abyss_enforce_bonus,abyss_enforcer_cap)</f>
        <v>0</v>
      </c>
      <c r="CM68" s="265">
        <f ca="1">IF(TblMagic[[#This Row],[Active Demonic Pact]]&gt;0,MIN(TblMili[[#This Row],[Unit 1]],TblMili[[#This Row],[Unit 4]])*demonic_pact_oppair,0)</f>
        <v>0</v>
      </c>
      <c r="CN68" s="266"/>
      <c r="CO68" s="266"/>
      <c r="CP68" s="266"/>
      <c r="CQ68" s="265">
        <f ca="1">MIN(6,TblMili[[#This Row],[Mystic]]+Races!$F$19)*1.8 +  IF(TblMili[[#This Row],[Mystic]]+Races!$F$19&gt;6,(TblMili[[#This Row],[Mystic]]+Races!$F$19-6)*0.2,0) - Races!$I$19</f>
        <v>1</v>
      </c>
      <c r="CR6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-0.64000000000000057</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4.7099999999999991</v>
      </c>
      <c r="DA68" s="157">
        <f ca="1">1.8 * MIN(MAX(TblMili[[#This Row],[Ice Elemental]]+Races!$E$71,Races!$F$71),6)  +  0.45 * MIN(MIN(TblMili[[#This Row],[Ice Elemental]]+Races!$E$71,Races!$F$71),6)  +  0.2 * ( MAX(TblMili[[#This Row],[Ice Elemental]]+Races!$E$71-6,0) + MAX(Races!$F$71-6,0) )  -  Races!$I$71</f>
        <v>0.92999999999999972</v>
      </c>
      <c r="DB68" s="96">
        <f ca="1">TblMili[[#This Row],[Frost Mage bonus]]*TblMili[[#This Row],[Unit 3]]+TblMili[[#This Row],[Ice Elemental bonus]]*TblMili[[#This Row],[Unit 4]]</f>
        <v>0</v>
      </c>
      <c r="DC68" s="267"/>
      <c r="DD68" s="145">
        <f ca="1">MIN(SUM(TblConstr[[#This Row],[Plain]:[Water]])/TblMili[[#This Row],[Land]]/favorable_terrain_bonus/100,favorable_terrain_max)</f>
        <v>0.1</v>
      </c>
      <c r="DE68" s="267"/>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8" s="144"/>
      <c r="DH68" s="268">
        <f ca="1">(TblMili[[#This Row],[Wizards]]+2*TblMili[[#This Row],[Archmages]])/TblConstr[[#This Row],[Land]]</f>
        <v>0.1</v>
      </c>
      <c r="DI68" s="268">
        <f ca="1">TblMili[[#This Row],[Raw (2)]]*(1+race_wizard_strength+IF(TblMili[[#This Row],[Hour]]&gt;72,tech_magical_weaponry_wiz*TblTech[[#This Row],[3-5]],0))</f>
        <v>0.1</v>
      </c>
    </row>
    <row r="69" spans="1:113" x14ac:dyDescent="0.2">
      <c r="A69" s="139">
        <f>TblRezone[[#This Row],[Hour]]</f>
        <v>66</v>
      </c>
      <c r="B69" s="260">
        <f ca="1">SUM(TblMili[[#This Row],[Unit 1]:[Archmages]])+SUM(OFFSET(TblMili[[#This Row],[Train Unit 1]],-8,0):TblMili[[#This Row],[Train Unit 2]]) + SUM(OFFSET(TblMili[[#This Row],[Train Unit 3]],-11,0):TblMili[[#This Row],[Train AM]]) + TblMili[[#This Row],[Draftees]]</f>
        <v>826</v>
      </c>
      <c r="C69" s="159">
        <f ca="1">TblPop[[#This Row],[Military%]]</f>
        <v>0.35029686174724345</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4"/>
      <c r="N69" s="96">
        <f ca="1">TblProd[[#This Row],[Networth]]</f>
        <v>6450</v>
      </c>
      <c r="O69" s="144"/>
      <c r="P6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1">
        <f ca="1">TblMili[[#This Row],[Raw]]*(1+TblMili[[#This Row],[Mods_Off]])</f>
        <v>0</v>
      </c>
      <c r="S6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9" s="261">
        <f ca="1">TblMili[[#This Row],[Non Draft]]+TblMili[[#This Row],[Draftees]]</f>
        <v>1076</v>
      </c>
      <c r="U69" s="262">
        <f ca="1">race_defense + TblImps[[#This Row],[Walls]] + ROUND( MIN(gt_bonus*TblConstr[[#This Row],[Tot GT]]/TblConstr[[#This Row],[Land]],gt_bonus_cap), 4) + IF(TblMagic[[#This Row],[Active Howling]]&gt;0,howling_dp_bonus,IF(TblMagic[[#This Row],[Active Ares Call]]&gt;0,ares_call_bonus))</f>
        <v>0</v>
      </c>
      <c r="V69" s="263">
        <f ca="1">TblMili[[#This Row],[Non Draft]] * (1 + TblMili[[#This Row],[Mods_Def]])</f>
        <v>450</v>
      </c>
      <c r="W69" s="261">
        <f ca="1">TblMili[[#This Row],[Draft]] * (1 + TblMili[[#This Row],[Mods_Def]])</f>
        <v>1076</v>
      </c>
      <c r="X69" s="261">
        <f ca="1">TblConstr[[#This Row],[Land]]</f>
        <v>250</v>
      </c>
      <c r="Y69" s="264"/>
      <c r="Z69" s="269">
        <f ca="1">IF(TblMili[[#This Row],[Set]]&lt;&gt;"",TblMili[[#This Row],[Set]],OFFSET(TblMili[[#This Row],[Draftrate]],-1,0))</f>
        <v>0.35</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6"/>
      <c r="AC69" s="182">
        <f ca="1">(TblConstr[[#This Row],[Tot Smi]]+TblConstr[[#This Row],[Dest Smi]])/(TblConstr[[#This Row],[Land]]-TblExplore[[#This Row],[Land Bonus]]*20)</f>
        <v>0</v>
      </c>
      <c r="AD69" s="139"/>
      <c r="AE69" s="260">
        <f>TblMili[[#This Row],[Hour]]</f>
        <v>66</v>
      </c>
      <c r="AF69" s="140">
        <f ca="1">TblExplore[[#This Row],[Time]]</f>
        <v>45734.708333333176</v>
      </c>
      <c r="AG69" s="181"/>
      <c r="AH69" s="160"/>
      <c r="AI69" s="181"/>
      <c r="AJ69" s="181"/>
      <c r="AK69" s="181"/>
      <c r="AL69" s="181"/>
      <c r="AM69" s="181"/>
      <c r="AN69" s="181"/>
      <c r="AO69" s="448">
        <f ca="1">ROUND(IF(AND(TblMagic[[#This Row],[Active DnD]]&lt;12,TblMagic[[#This Row],[Active DnD]]&gt;5),OFFSET(TblPop[[#This Row],[Draft Growth]],-1,0)*0.375,0),0)</f>
        <v>0</v>
      </c>
      <c r="AP69" s="144"/>
      <c r="AQ69" s="96">
        <f ca="1">TblProd[[#This Row],[Platinum]]</f>
        <v>477468</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45734.708333333176</v>
      </c>
      <c r="AW69" s="96">
        <f ca="1">TblMili[[#This Row],[Draftees]]</f>
        <v>626</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0.44</v>
      </c>
      <c r="BX69" s="159">
        <f ca="1">TblMili[[#This Row],[WG''s]]</f>
        <v>0</v>
      </c>
      <c r="BY69" s="265">
        <f ca="1">IF(mystic_cap="none",TblMili[[#This Row],[Homeland%]]/mystic_bonus,MIN(mystic_cap,TblMili[[#This Row],[Homeland%]]/mystic_bonus))</f>
        <v>2</v>
      </c>
      <c r="BZ69" s="265">
        <f ca="1">IF(druid_op_cap="none",TblMili[[#This Row],[Homeland%]]/druid_op_bonus,MIN(druid_op_cap,TblMili[[#This Row],[Homeland%]]/druid_op_bonus))</f>
        <v>2</v>
      </c>
      <c r="CA69" s="265">
        <f ca="1">IF(druid_dp_cap="none",TblMili[[#This Row],[Homeland%]]/druid_dp_bonus,MIN(druid_dp_cap,TblMili[[#This Row],[Homeland%]]/druid_dp_bonus))</f>
        <v>2</v>
      </c>
      <c r="CB69" s="265">
        <f ca="1">MIN(dryad_cap,TblMili[[#This Row],[Homeland%]]/dryad_bonus)</f>
        <v>2.1999999999999997</v>
      </c>
      <c r="CC69" s="265">
        <f ca="1">MIN(rocka_cap,TblMili[[#This Row],[Homeland%]]/rocka_bonus)</f>
        <v>2</v>
      </c>
      <c r="CD69" s="265">
        <f ca="1">MIN(adept_op_cap,TblMili[[#This Row],[WG]]/adept_op_bonus)</f>
        <v>0</v>
      </c>
      <c r="CE69" s="265">
        <f ca="1">MIN(adept_dp_cap,TblMili[[#This Row],[WG]]/adept_dp_bonus)</f>
        <v>0</v>
      </c>
      <c r="CF69" s="96">
        <f ca="1">MIN(TblMili[[#This Row],[Unit 3]],TblMili[[#This Row],[Unit 2]])*2</f>
        <v>0</v>
      </c>
      <c r="CG69" s="96">
        <f ca="1">MIN(TblMili[[#This Row],[Unit 1]],TblMili[[#This Row],[Unit 4]])*2</f>
        <v>0</v>
      </c>
      <c r="CH69" s="265">
        <f ca="1">MIN(frost_mage_cap,TblMili[[#This Row],[Homeland%]]/frost_mage_bonus)</f>
        <v>2.1999999999999997</v>
      </c>
      <c r="CI69" s="45">
        <f ca="1">MIN(ice_elem_cap,TblMili[[#This Row],[Raw (2)]]*ice_elem_bonus)</f>
        <v>0.1</v>
      </c>
      <c r="CJ69" s="265">
        <f t="shared" si="3"/>
        <v>0.83333333333333337</v>
      </c>
      <c r="CK69" s="265">
        <f ca="1">MIN(nox_nightshade_cap,TblConstr[[#This Row],[Homeland]]/TblConstr[[#This Row],[Land]]/nox_nightshade_swamp_bonus)</f>
        <v>4</v>
      </c>
      <c r="CL69" s="265">
        <f ca="1">MIN(TblConstr[[#This Row],[Tot Tow]]/TblConstr[[#This Row],[Land]]/abyss_enforce_bonus,abyss_enforcer_cap)</f>
        <v>0</v>
      </c>
      <c r="CM69" s="265">
        <f ca="1">IF(TblMagic[[#This Row],[Active Demonic Pact]]&gt;0,MIN(TblMili[[#This Row],[Unit 1]],TblMili[[#This Row],[Unit 4]])*demonic_pact_oppair,0)</f>
        <v>0</v>
      </c>
      <c r="CN69" s="266"/>
      <c r="CO69" s="266"/>
      <c r="CP69" s="266"/>
      <c r="CQ69" s="265">
        <f ca="1">MIN(6,TblMili[[#This Row],[Mystic]]+Races!$F$19)*1.8 +  IF(TblMili[[#This Row],[Mystic]]+Races!$F$19&gt;6,(TblMili[[#This Row],[Mystic]]+Races!$F$19-6)*0.2,0) - Races!$I$19</f>
        <v>1</v>
      </c>
      <c r="CR6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-0.64000000000000057</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4.7099999999999991</v>
      </c>
      <c r="DA69" s="157">
        <f ca="1">1.8 * MIN(MAX(TblMili[[#This Row],[Ice Elemental]]+Races!$E$71,Races!$F$71),6)  +  0.45 * MIN(MIN(TblMili[[#This Row],[Ice Elemental]]+Races!$E$71,Races!$F$71),6)  +  0.2 * ( MAX(TblMili[[#This Row],[Ice Elemental]]+Races!$E$71-6,0) + MAX(Races!$F$71-6,0) )  -  Races!$I$71</f>
        <v>0.92999999999999972</v>
      </c>
      <c r="DB69" s="96">
        <f ca="1">TblMili[[#This Row],[Frost Mage bonus]]*TblMili[[#This Row],[Unit 3]]+TblMili[[#This Row],[Ice Elemental bonus]]*TblMili[[#This Row],[Unit 4]]</f>
        <v>0</v>
      </c>
      <c r="DC69" s="267"/>
      <c r="DD69" s="145">
        <f ca="1">MIN(SUM(TblConstr[[#This Row],[Plain]:[Water]])/TblMili[[#This Row],[Land]]/favorable_terrain_bonus/100,favorable_terrain_max)</f>
        <v>0.1</v>
      </c>
      <c r="DE69" s="267"/>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9" s="144"/>
      <c r="DH69" s="268">
        <f ca="1">(TblMili[[#This Row],[Wizards]]+2*TblMili[[#This Row],[Archmages]])/TblConstr[[#This Row],[Land]]</f>
        <v>0.1</v>
      </c>
      <c r="DI69" s="268">
        <f ca="1">TblMili[[#This Row],[Raw (2)]]*(1+race_wizard_strength+IF(TblMili[[#This Row],[Hour]]&gt;72,tech_magical_weaponry_wiz*TblTech[[#This Row],[3-5]],0))</f>
        <v>0.1</v>
      </c>
    </row>
    <row r="70" spans="1:113" x14ac:dyDescent="0.2">
      <c r="A70" s="139">
        <f>TblRezone[[#This Row],[Hour]]</f>
        <v>67</v>
      </c>
      <c r="B70" s="260">
        <f ca="1">SUM(TblMili[[#This Row],[Unit 1]:[Archmages]])+SUM(OFFSET(TblMili[[#This Row],[Train Unit 1]],-8,0):TblMili[[#This Row],[Train Unit 2]]) + SUM(OFFSET(TblMili[[#This Row],[Train Unit 3]],-11,0):TblMili[[#This Row],[Train AM]]) + TblMili[[#This Row],[Draftees]]</f>
        <v>826</v>
      </c>
      <c r="C70" s="159">
        <f ca="1">TblPop[[#This Row],[Military%]]</f>
        <v>0.35029686174724345</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4"/>
      <c r="N70" s="96">
        <f ca="1">TblProd[[#This Row],[Networth]]</f>
        <v>6450</v>
      </c>
      <c r="O70" s="144"/>
      <c r="P7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1">
        <f ca="1">TblMili[[#This Row],[Raw]]*(1+TblMili[[#This Row],[Mods_Off]])</f>
        <v>0</v>
      </c>
      <c r="S7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0" s="261">
        <f ca="1">TblMili[[#This Row],[Non Draft]]+TblMili[[#This Row],[Draftees]]</f>
        <v>1076</v>
      </c>
      <c r="U70" s="262">
        <f ca="1">race_defense + TblImps[[#This Row],[Walls]] + ROUND( MIN(gt_bonus*TblConstr[[#This Row],[Tot GT]]/TblConstr[[#This Row],[Land]],gt_bonus_cap), 4) + IF(TblMagic[[#This Row],[Active Howling]]&gt;0,howling_dp_bonus,IF(TblMagic[[#This Row],[Active Ares Call]]&gt;0,ares_call_bonus))</f>
        <v>0</v>
      </c>
      <c r="V70" s="263">
        <f ca="1">TblMili[[#This Row],[Non Draft]] * (1 + TblMili[[#This Row],[Mods_Def]])</f>
        <v>450</v>
      </c>
      <c r="W70" s="261">
        <f ca="1">TblMili[[#This Row],[Draft]] * (1 + TblMili[[#This Row],[Mods_Def]])</f>
        <v>1076</v>
      </c>
      <c r="X70" s="261">
        <f ca="1">TblConstr[[#This Row],[Land]]</f>
        <v>250</v>
      </c>
      <c r="Y70" s="264"/>
      <c r="Z70" s="269">
        <f ca="1">IF(TblMili[[#This Row],[Set]]&lt;&gt;"",TblMili[[#This Row],[Set]],OFFSET(TblMili[[#This Row],[Draftrate]],-1,0))</f>
        <v>0.35</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6"/>
      <c r="AC70" s="182">
        <f ca="1">(TblConstr[[#This Row],[Tot Smi]]+TblConstr[[#This Row],[Dest Smi]])/(TblConstr[[#This Row],[Land]]-TblExplore[[#This Row],[Land Bonus]]*20)</f>
        <v>0</v>
      </c>
      <c r="AD70" s="139"/>
      <c r="AE70" s="260">
        <f>TblMili[[#This Row],[Hour]]</f>
        <v>67</v>
      </c>
      <c r="AF70" s="140">
        <f ca="1">TblExplore[[#This Row],[Time]]</f>
        <v>45734.74999999984</v>
      </c>
      <c r="AG70" s="181"/>
      <c r="AH70" s="160"/>
      <c r="AI70" s="181"/>
      <c r="AJ70" s="181"/>
      <c r="AK70" s="181"/>
      <c r="AL70" s="181"/>
      <c r="AM70" s="181"/>
      <c r="AN70" s="181"/>
      <c r="AO70" s="448">
        <f ca="1">ROUND(IF(AND(TblMagic[[#This Row],[Active DnD]]&lt;12,TblMagic[[#This Row],[Active DnD]]&gt;5),OFFSET(TblPop[[#This Row],[Draft Growth]],-1,0)*0.375,0),0)</f>
        <v>0</v>
      </c>
      <c r="AP70" s="144"/>
      <c r="AQ70" s="96">
        <f ca="1">TblProd[[#This Row],[Platinum]]</f>
        <v>482954</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45734.74999999984</v>
      </c>
      <c r="AW70" s="96">
        <f ca="1">TblMili[[#This Row],[Draftees]]</f>
        <v>626</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0.44</v>
      </c>
      <c r="BX70" s="159">
        <f ca="1">TblMili[[#This Row],[WG''s]]</f>
        <v>0</v>
      </c>
      <c r="BY70" s="265">
        <f ca="1">IF(mystic_cap="none",TblMili[[#This Row],[Homeland%]]/mystic_bonus,MIN(mystic_cap,TblMili[[#This Row],[Homeland%]]/mystic_bonus))</f>
        <v>2</v>
      </c>
      <c r="BZ70" s="265">
        <f ca="1">IF(druid_op_cap="none",TblMili[[#This Row],[Homeland%]]/druid_op_bonus,MIN(druid_op_cap,TblMili[[#This Row],[Homeland%]]/druid_op_bonus))</f>
        <v>2</v>
      </c>
      <c r="CA70" s="265">
        <f ca="1">IF(druid_dp_cap="none",TblMili[[#This Row],[Homeland%]]/druid_dp_bonus,MIN(druid_dp_cap,TblMili[[#This Row],[Homeland%]]/druid_dp_bonus))</f>
        <v>2</v>
      </c>
      <c r="CB70" s="265">
        <f ca="1">MIN(dryad_cap,TblMili[[#This Row],[Homeland%]]/dryad_bonus)</f>
        <v>2.1999999999999997</v>
      </c>
      <c r="CC70" s="265">
        <f ca="1">MIN(rocka_cap,TblMili[[#This Row],[Homeland%]]/rocka_bonus)</f>
        <v>2</v>
      </c>
      <c r="CD70" s="265">
        <f ca="1">MIN(adept_op_cap,TblMili[[#This Row],[WG]]/adept_op_bonus)</f>
        <v>0</v>
      </c>
      <c r="CE70" s="265">
        <f ca="1">MIN(adept_dp_cap,TblMili[[#This Row],[WG]]/adept_dp_bonus)</f>
        <v>0</v>
      </c>
      <c r="CF70" s="96">
        <f ca="1">MIN(TblMili[[#This Row],[Unit 3]],TblMili[[#This Row],[Unit 2]])*2</f>
        <v>0</v>
      </c>
      <c r="CG70" s="96">
        <f ca="1">MIN(TblMili[[#This Row],[Unit 1]],TblMili[[#This Row],[Unit 4]])*2</f>
        <v>0</v>
      </c>
      <c r="CH70" s="265">
        <f ca="1">MIN(frost_mage_cap,TblMili[[#This Row],[Homeland%]]/frost_mage_bonus)</f>
        <v>2.1999999999999997</v>
      </c>
      <c r="CI70" s="45">
        <f ca="1">MIN(ice_elem_cap,TblMili[[#This Row],[Raw (2)]]*ice_elem_bonus)</f>
        <v>0.1</v>
      </c>
      <c r="CJ70" s="265">
        <f t="shared" si="3"/>
        <v>0.83333333333333337</v>
      </c>
      <c r="CK70" s="265">
        <f ca="1">MIN(nox_nightshade_cap,TblConstr[[#This Row],[Homeland]]/TblConstr[[#This Row],[Land]]/nox_nightshade_swamp_bonus)</f>
        <v>4</v>
      </c>
      <c r="CL70" s="265">
        <f ca="1">MIN(TblConstr[[#This Row],[Tot Tow]]/TblConstr[[#This Row],[Land]]/abyss_enforce_bonus,abyss_enforcer_cap)</f>
        <v>0</v>
      </c>
      <c r="CM70" s="265">
        <f ca="1">IF(TblMagic[[#This Row],[Active Demonic Pact]]&gt;0,MIN(TblMili[[#This Row],[Unit 1]],TblMili[[#This Row],[Unit 4]])*demonic_pact_oppair,0)</f>
        <v>0</v>
      </c>
      <c r="CN70" s="266"/>
      <c r="CO70" s="266"/>
      <c r="CP70" s="266"/>
      <c r="CQ70" s="265">
        <f ca="1">MIN(6,TblMili[[#This Row],[Mystic]]+Races!$F$19)*1.8 +  IF(TblMili[[#This Row],[Mystic]]+Races!$F$19&gt;6,(TblMili[[#This Row],[Mystic]]+Races!$F$19-6)*0.2,0) - Races!$I$19</f>
        <v>1</v>
      </c>
      <c r="CR7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-0.64000000000000057</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4.7099999999999991</v>
      </c>
      <c r="DA70" s="157">
        <f ca="1">1.8 * MIN(MAX(TblMili[[#This Row],[Ice Elemental]]+Races!$E$71,Races!$F$71),6)  +  0.45 * MIN(MIN(TblMili[[#This Row],[Ice Elemental]]+Races!$E$71,Races!$F$71),6)  +  0.2 * ( MAX(TblMili[[#This Row],[Ice Elemental]]+Races!$E$71-6,0) + MAX(Races!$F$71-6,0) )  -  Races!$I$71</f>
        <v>0.92999999999999972</v>
      </c>
      <c r="DB70" s="96">
        <f ca="1">TblMili[[#This Row],[Frost Mage bonus]]*TblMili[[#This Row],[Unit 3]]+TblMili[[#This Row],[Ice Elemental bonus]]*TblMili[[#This Row],[Unit 4]]</f>
        <v>0</v>
      </c>
      <c r="DC70" s="267"/>
      <c r="DD70" s="145">
        <f ca="1">MIN(SUM(TblConstr[[#This Row],[Plain]:[Water]])/TblMili[[#This Row],[Land]]/favorable_terrain_bonus/100,favorable_terrain_max)</f>
        <v>0.1</v>
      </c>
      <c r="DE70" s="267"/>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0" s="144"/>
      <c r="DH70" s="268">
        <f ca="1">(TblMili[[#This Row],[Wizards]]+2*TblMili[[#This Row],[Archmages]])/TblConstr[[#This Row],[Land]]</f>
        <v>0.1</v>
      </c>
      <c r="DI70" s="268">
        <f ca="1">TblMili[[#This Row],[Raw (2)]]*(1+race_wizard_strength+IF(TblMili[[#This Row],[Hour]]&gt;72,tech_magical_weaponry_wiz*TblTech[[#This Row],[3-5]],0))</f>
        <v>0.1</v>
      </c>
    </row>
    <row r="71" spans="1:113" x14ac:dyDescent="0.2">
      <c r="A71" s="139">
        <f>TblRezone[[#This Row],[Hour]]</f>
        <v>68</v>
      </c>
      <c r="B71" s="260">
        <f ca="1">SUM(TblMili[[#This Row],[Unit 1]:[Archmages]])+SUM(OFFSET(TblMili[[#This Row],[Train Unit 1]],-8,0):TblMili[[#This Row],[Train Unit 2]]) + SUM(OFFSET(TblMili[[#This Row],[Train Unit 3]],-11,0):TblMili[[#This Row],[Train AM]]) + TblMili[[#This Row],[Draftees]]</f>
        <v>826</v>
      </c>
      <c r="C71" s="159">
        <f ca="1">TblPop[[#This Row],[Military%]]</f>
        <v>0.35029686174724345</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4"/>
      <c r="N71" s="96">
        <f ca="1">TblProd[[#This Row],[Networth]]</f>
        <v>6450</v>
      </c>
      <c r="O71" s="144"/>
      <c r="P7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1">
        <f ca="1">TblMili[[#This Row],[Raw]]*(1+TblMili[[#This Row],[Mods_Off]])</f>
        <v>0</v>
      </c>
      <c r="S7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1" s="261">
        <f ca="1">TblMili[[#This Row],[Non Draft]]+TblMili[[#This Row],[Draftees]]</f>
        <v>1076</v>
      </c>
      <c r="U71" s="262">
        <f ca="1">race_defense + TblImps[[#This Row],[Walls]] + ROUND( MIN(gt_bonus*TblConstr[[#This Row],[Tot GT]]/TblConstr[[#This Row],[Land]],gt_bonus_cap), 4) + IF(TblMagic[[#This Row],[Active Howling]]&gt;0,howling_dp_bonus,IF(TblMagic[[#This Row],[Active Ares Call]]&gt;0,ares_call_bonus))</f>
        <v>0</v>
      </c>
      <c r="V71" s="263">
        <f ca="1">TblMili[[#This Row],[Non Draft]] * (1 + TblMili[[#This Row],[Mods_Def]])</f>
        <v>450</v>
      </c>
      <c r="W71" s="261">
        <f ca="1">TblMili[[#This Row],[Draft]] * (1 + TblMili[[#This Row],[Mods_Def]])</f>
        <v>1076</v>
      </c>
      <c r="X71" s="261">
        <f ca="1">TblConstr[[#This Row],[Land]]</f>
        <v>250</v>
      </c>
      <c r="Y71" s="264"/>
      <c r="Z71" s="269">
        <f ca="1">IF(TblMili[[#This Row],[Set]]&lt;&gt;"",TblMili[[#This Row],[Set]],OFFSET(TblMili[[#This Row],[Draftrate]],-1,0))</f>
        <v>0.35</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6"/>
      <c r="AC71" s="182">
        <f ca="1">(TblConstr[[#This Row],[Tot Smi]]+TblConstr[[#This Row],[Dest Smi]])/(TblConstr[[#This Row],[Land]]-TblExplore[[#This Row],[Land Bonus]]*20)</f>
        <v>0</v>
      </c>
      <c r="AD71" s="139"/>
      <c r="AE71" s="260">
        <f>TblMili[[#This Row],[Hour]]</f>
        <v>68</v>
      </c>
      <c r="AF71" s="140">
        <f ca="1">TblExplore[[#This Row],[Time]]</f>
        <v>45734.791666666504</v>
      </c>
      <c r="AG71" s="181"/>
      <c r="AH71" s="160"/>
      <c r="AI71" s="181"/>
      <c r="AJ71" s="181"/>
      <c r="AK71" s="181"/>
      <c r="AL71" s="181"/>
      <c r="AM71" s="181"/>
      <c r="AN71" s="181"/>
      <c r="AO71" s="448">
        <f ca="1">ROUND(IF(AND(TblMagic[[#This Row],[Active DnD]]&lt;12,TblMagic[[#This Row],[Active DnD]]&gt;5),OFFSET(TblPop[[#This Row],[Draft Growth]],-1,0)*0.375,0),0)</f>
        <v>0</v>
      </c>
      <c r="AP71" s="144"/>
      <c r="AQ71" s="96">
        <f ca="1">TblProd[[#This Row],[Platinum]]</f>
        <v>488440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45734.791666666504</v>
      </c>
      <c r="AW71" s="96">
        <f ca="1">TblMili[[#This Row],[Draftees]]</f>
        <v>626</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0.44</v>
      </c>
      <c r="BX71" s="159">
        <f ca="1">TblMili[[#This Row],[WG''s]]</f>
        <v>0</v>
      </c>
      <c r="BY71" s="265">
        <f ca="1">IF(mystic_cap="none",TblMili[[#This Row],[Homeland%]]/mystic_bonus,MIN(mystic_cap,TblMili[[#This Row],[Homeland%]]/mystic_bonus))</f>
        <v>2</v>
      </c>
      <c r="BZ71" s="265">
        <f ca="1">IF(druid_op_cap="none",TblMili[[#This Row],[Homeland%]]/druid_op_bonus,MIN(druid_op_cap,TblMili[[#This Row],[Homeland%]]/druid_op_bonus))</f>
        <v>2</v>
      </c>
      <c r="CA71" s="265">
        <f ca="1">IF(druid_dp_cap="none",TblMili[[#This Row],[Homeland%]]/druid_dp_bonus,MIN(druid_dp_cap,TblMili[[#This Row],[Homeland%]]/druid_dp_bonus))</f>
        <v>2</v>
      </c>
      <c r="CB71" s="265">
        <f ca="1">MIN(dryad_cap,TblMili[[#This Row],[Homeland%]]/dryad_bonus)</f>
        <v>2.1999999999999997</v>
      </c>
      <c r="CC71" s="265">
        <f ca="1">MIN(rocka_cap,TblMili[[#This Row],[Homeland%]]/rocka_bonus)</f>
        <v>2</v>
      </c>
      <c r="CD71" s="265">
        <f ca="1">MIN(adept_op_cap,TblMili[[#This Row],[WG]]/adept_op_bonus)</f>
        <v>0</v>
      </c>
      <c r="CE71" s="265">
        <f ca="1">MIN(adept_dp_cap,TblMili[[#This Row],[WG]]/adept_dp_bonus)</f>
        <v>0</v>
      </c>
      <c r="CF71" s="96">
        <f ca="1">MIN(TblMili[[#This Row],[Unit 3]],TblMili[[#This Row],[Unit 2]])*2</f>
        <v>0</v>
      </c>
      <c r="CG71" s="96">
        <f ca="1">MIN(TblMili[[#This Row],[Unit 1]],TblMili[[#This Row],[Unit 4]])*2</f>
        <v>0</v>
      </c>
      <c r="CH71" s="265">
        <f ca="1">MIN(frost_mage_cap,TblMili[[#This Row],[Homeland%]]/frost_mage_bonus)</f>
        <v>2.1999999999999997</v>
      </c>
      <c r="CI71" s="45">
        <f ca="1">MIN(ice_elem_cap,TblMili[[#This Row],[Raw (2)]]*ice_elem_bonus)</f>
        <v>0.1</v>
      </c>
      <c r="CJ71" s="265">
        <f t="shared" si="3"/>
        <v>0.83333333333333337</v>
      </c>
      <c r="CK71" s="265">
        <f ca="1">MIN(nox_nightshade_cap,TblConstr[[#This Row],[Homeland]]/TblConstr[[#This Row],[Land]]/nox_nightshade_swamp_bonus)</f>
        <v>4</v>
      </c>
      <c r="CL71" s="265">
        <f ca="1">MIN(TblConstr[[#This Row],[Tot Tow]]/TblConstr[[#This Row],[Land]]/abyss_enforce_bonus,abyss_enforcer_cap)</f>
        <v>0</v>
      </c>
      <c r="CM71" s="265">
        <f ca="1">IF(TblMagic[[#This Row],[Active Demonic Pact]]&gt;0,MIN(TblMili[[#This Row],[Unit 1]],TblMili[[#This Row],[Unit 4]])*demonic_pact_oppair,0)</f>
        <v>0</v>
      </c>
      <c r="CN71" s="266"/>
      <c r="CO71" s="266"/>
      <c r="CP71" s="266"/>
      <c r="CQ71" s="265">
        <f ca="1">MIN(6,TblMili[[#This Row],[Mystic]]+Races!$F$19)*1.8 +  IF(TblMili[[#This Row],[Mystic]]+Races!$F$19&gt;6,(TblMili[[#This Row],[Mystic]]+Races!$F$19-6)*0.2,0) - Races!$I$19</f>
        <v>1</v>
      </c>
      <c r="CR7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-0.64000000000000057</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4.7099999999999991</v>
      </c>
      <c r="DA71" s="157">
        <f ca="1">1.8 * MIN(MAX(TblMili[[#This Row],[Ice Elemental]]+Races!$E$71,Races!$F$71),6)  +  0.45 * MIN(MIN(TblMili[[#This Row],[Ice Elemental]]+Races!$E$71,Races!$F$71),6)  +  0.2 * ( MAX(TblMili[[#This Row],[Ice Elemental]]+Races!$E$71-6,0) + MAX(Races!$F$71-6,0) )  -  Races!$I$71</f>
        <v>0.92999999999999972</v>
      </c>
      <c r="DB71" s="96">
        <f ca="1">TblMili[[#This Row],[Frost Mage bonus]]*TblMili[[#This Row],[Unit 3]]+TblMili[[#This Row],[Ice Elemental bonus]]*TblMili[[#This Row],[Unit 4]]</f>
        <v>0</v>
      </c>
      <c r="DC71" s="267"/>
      <c r="DD71" s="145">
        <f ca="1">MIN(SUM(TblConstr[[#This Row],[Plain]:[Water]])/TblMili[[#This Row],[Land]]/favorable_terrain_bonus/100,favorable_terrain_max)</f>
        <v>0.1</v>
      </c>
      <c r="DE71" s="267"/>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1" s="144"/>
      <c r="DH71" s="268">
        <f ca="1">(TblMili[[#This Row],[Wizards]]+2*TblMili[[#This Row],[Archmages]])/TblConstr[[#This Row],[Land]]</f>
        <v>0.1</v>
      </c>
      <c r="DI71" s="268">
        <f ca="1">TblMili[[#This Row],[Raw (2)]]*(1+race_wizard_strength+IF(TblMili[[#This Row],[Hour]]&gt;72,tech_magical_weaponry_wiz*TblTech[[#This Row],[3-5]],0))</f>
        <v>0.1</v>
      </c>
    </row>
    <row r="72" spans="1:113" x14ac:dyDescent="0.2">
      <c r="A72" s="139">
        <f>TblRezone[[#This Row],[Hour]]</f>
        <v>69</v>
      </c>
      <c r="B72" s="260">
        <f ca="1">SUM(TblMili[[#This Row],[Unit 1]:[Archmages]])+SUM(OFFSET(TblMili[[#This Row],[Train Unit 1]],-8,0):TblMili[[#This Row],[Train Unit 2]]) + SUM(OFFSET(TblMili[[#This Row],[Train Unit 3]],-11,0):TblMili[[#This Row],[Train AM]]) + TblMili[[#This Row],[Draftees]]</f>
        <v>826</v>
      </c>
      <c r="C72" s="159">
        <f ca="1">TblPop[[#This Row],[Military%]]</f>
        <v>0.35029686174724345</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4"/>
      <c r="N72" s="96">
        <f ca="1">TblProd[[#This Row],[Networth]]</f>
        <v>6450</v>
      </c>
      <c r="O72" s="144"/>
      <c r="P7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1">
        <f ca="1">TblMili[[#This Row],[Raw]]*(1+TblMili[[#This Row],[Mods_Off]])</f>
        <v>0</v>
      </c>
      <c r="S7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2" s="261">
        <f ca="1">TblMili[[#This Row],[Non Draft]]+TblMili[[#This Row],[Draftees]]</f>
        <v>1076</v>
      </c>
      <c r="U72" s="262">
        <f ca="1">race_defense + TblImps[[#This Row],[Walls]] + ROUND( MIN(gt_bonus*TblConstr[[#This Row],[Tot GT]]/TblConstr[[#This Row],[Land]],gt_bonus_cap), 4) + IF(TblMagic[[#This Row],[Active Howling]]&gt;0,howling_dp_bonus,IF(TblMagic[[#This Row],[Active Ares Call]]&gt;0,ares_call_bonus))</f>
        <v>0</v>
      </c>
      <c r="V72" s="263">
        <f ca="1">TblMili[[#This Row],[Non Draft]] * (1 + TblMili[[#This Row],[Mods_Def]])</f>
        <v>450</v>
      </c>
      <c r="W72" s="261">
        <f ca="1">TblMili[[#This Row],[Draft]] * (1 + TblMili[[#This Row],[Mods_Def]])</f>
        <v>1076</v>
      </c>
      <c r="X72" s="261">
        <f ca="1">TblConstr[[#This Row],[Land]]</f>
        <v>250</v>
      </c>
      <c r="Y72" s="264"/>
      <c r="Z72" s="269">
        <f ca="1">IF(TblMili[[#This Row],[Set]]&lt;&gt;"",TblMili[[#This Row],[Set]],OFFSET(TblMili[[#This Row],[Draftrate]],-1,0))</f>
        <v>0.35</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6"/>
      <c r="AC72" s="182">
        <f ca="1">(TblConstr[[#This Row],[Tot Smi]]+TblConstr[[#This Row],[Dest Smi]])/(TblConstr[[#This Row],[Land]]-TblExplore[[#This Row],[Land Bonus]]*20)</f>
        <v>0</v>
      </c>
      <c r="AD72" s="139"/>
      <c r="AE72" s="260">
        <f>TblMili[[#This Row],[Hour]]</f>
        <v>69</v>
      </c>
      <c r="AF72" s="140">
        <f ca="1">TblExplore[[#This Row],[Time]]</f>
        <v>45734.833333333168</v>
      </c>
      <c r="AG72" s="181"/>
      <c r="AH72" s="160"/>
      <c r="AI72" s="181"/>
      <c r="AJ72" s="181"/>
      <c r="AK72" s="181"/>
      <c r="AL72" s="181"/>
      <c r="AM72" s="181"/>
      <c r="AN72" s="181"/>
      <c r="AO72" s="448">
        <f ca="1">ROUND(IF(AND(TblMagic[[#This Row],[Active DnD]]&lt;12,TblMagic[[#This Row],[Active DnD]]&gt;5),OFFSET(TblPop[[#This Row],[Draft Growth]],-1,0)*0.375,0),0)</f>
        <v>0</v>
      </c>
      <c r="AP72" s="144"/>
      <c r="AQ72" s="96">
        <f ca="1">TblProd[[#This Row],[Platinum]]</f>
        <v>493926</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45734.833333333168</v>
      </c>
      <c r="AW72" s="96">
        <f ca="1">TblMili[[#This Row],[Draftees]]</f>
        <v>626</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0.44</v>
      </c>
      <c r="BX72" s="159">
        <f ca="1">TblMili[[#This Row],[WG''s]]</f>
        <v>0</v>
      </c>
      <c r="BY72" s="265">
        <f ca="1">IF(mystic_cap="none",TblMili[[#This Row],[Homeland%]]/mystic_bonus,MIN(mystic_cap,TblMili[[#This Row],[Homeland%]]/mystic_bonus))</f>
        <v>2</v>
      </c>
      <c r="BZ72" s="265">
        <f ca="1">IF(druid_op_cap="none",TblMili[[#This Row],[Homeland%]]/druid_op_bonus,MIN(druid_op_cap,TblMili[[#This Row],[Homeland%]]/druid_op_bonus))</f>
        <v>2</v>
      </c>
      <c r="CA72" s="265">
        <f ca="1">IF(druid_dp_cap="none",TblMili[[#This Row],[Homeland%]]/druid_dp_bonus,MIN(druid_dp_cap,TblMili[[#This Row],[Homeland%]]/druid_dp_bonus))</f>
        <v>2</v>
      </c>
      <c r="CB72" s="265">
        <f ca="1">MIN(dryad_cap,TblMili[[#This Row],[Homeland%]]/dryad_bonus)</f>
        <v>2.1999999999999997</v>
      </c>
      <c r="CC72" s="265">
        <f ca="1">MIN(rocka_cap,TblMili[[#This Row],[Homeland%]]/rocka_bonus)</f>
        <v>2</v>
      </c>
      <c r="CD72" s="265">
        <f ca="1">MIN(adept_op_cap,TblMili[[#This Row],[WG]]/adept_op_bonus)</f>
        <v>0</v>
      </c>
      <c r="CE72" s="265">
        <f ca="1">MIN(adept_dp_cap,TblMili[[#This Row],[WG]]/adept_dp_bonus)</f>
        <v>0</v>
      </c>
      <c r="CF72" s="96">
        <f ca="1">MIN(TblMili[[#This Row],[Unit 3]],TblMili[[#This Row],[Unit 2]])*2</f>
        <v>0</v>
      </c>
      <c r="CG72" s="96">
        <f ca="1">MIN(TblMili[[#This Row],[Unit 1]],TblMili[[#This Row],[Unit 4]])*2</f>
        <v>0</v>
      </c>
      <c r="CH72" s="265">
        <f ca="1">MIN(frost_mage_cap,TblMili[[#This Row],[Homeland%]]/frost_mage_bonus)</f>
        <v>2.1999999999999997</v>
      </c>
      <c r="CI72" s="45">
        <f ca="1">MIN(ice_elem_cap,TblMili[[#This Row],[Raw (2)]]*ice_elem_bonus)</f>
        <v>0.1</v>
      </c>
      <c r="CJ72" s="265">
        <f t="shared" si="3"/>
        <v>0.83333333333333337</v>
      </c>
      <c r="CK72" s="265">
        <f ca="1">MIN(nox_nightshade_cap,TblConstr[[#This Row],[Homeland]]/TblConstr[[#This Row],[Land]]/nox_nightshade_swamp_bonus)</f>
        <v>4</v>
      </c>
      <c r="CL72" s="265">
        <f ca="1">MIN(TblConstr[[#This Row],[Tot Tow]]/TblConstr[[#This Row],[Land]]/abyss_enforce_bonus,abyss_enforcer_cap)</f>
        <v>0</v>
      </c>
      <c r="CM72" s="265">
        <f ca="1">IF(TblMagic[[#This Row],[Active Demonic Pact]]&gt;0,MIN(TblMili[[#This Row],[Unit 1]],TblMili[[#This Row],[Unit 4]])*demonic_pact_oppair,0)</f>
        <v>0</v>
      </c>
      <c r="CN72" s="266"/>
      <c r="CO72" s="266"/>
      <c r="CP72" s="266"/>
      <c r="CQ72" s="265">
        <f ca="1">MIN(6,TblMili[[#This Row],[Mystic]]+Races!$F$19)*1.8 +  IF(TblMili[[#This Row],[Mystic]]+Races!$F$19&gt;6,(TblMili[[#This Row],[Mystic]]+Races!$F$19-6)*0.2,0) - Races!$I$19</f>
        <v>1</v>
      </c>
      <c r="CR7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-0.64000000000000057</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4.7099999999999991</v>
      </c>
      <c r="DA72" s="157">
        <f ca="1">1.8 * MIN(MAX(TblMili[[#This Row],[Ice Elemental]]+Races!$E$71,Races!$F$71),6)  +  0.45 * MIN(MIN(TblMili[[#This Row],[Ice Elemental]]+Races!$E$71,Races!$F$71),6)  +  0.2 * ( MAX(TblMili[[#This Row],[Ice Elemental]]+Races!$E$71-6,0) + MAX(Races!$F$71-6,0) )  -  Races!$I$71</f>
        <v>0.92999999999999972</v>
      </c>
      <c r="DB72" s="96">
        <f ca="1">TblMili[[#This Row],[Frost Mage bonus]]*TblMili[[#This Row],[Unit 3]]+TblMili[[#This Row],[Ice Elemental bonus]]*TblMili[[#This Row],[Unit 4]]</f>
        <v>0</v>
      </c>
      <c r="DC72" s="267"/>
      <c r="DD72" s="145">
        <f ca="1">MIN(SUM(TblConstr[[#This Row],[Plain]:[Water]])/TblMili[[#This Row],[Land]]/favorable_terrain_bonus/100,favorable_terrain_max)</f>
        <v>0.1</v>
      </c>
      <c r="DE72" s="267"/>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2" s="144"/>
      <c r="DH72" s="268">
        <f ca="1">(TblMili[[#This Row],[Wizards]]+2*TblMili[[#This Row],[Archmages]])/TblConstr[[#This Row],[Land]]</f>
        <v>0.1</v>
      </c>
      <c r="DI72" s="268">
        <f ca="1">TblMili[[#This Row],[Raw (2)]]*(1+race_wizard_strength+IF(TblMili[[#This Row],[Hour]]&gt;72,tech_magical_weaponry_wiz*TblTech[[#This Row],[3-5]],0))</f>
        <v>0.1</v>
      </c>
    </row>
    <row r="73" spans="1:113" x14ac:dyDescent="0.2">
      <c r="A73" s="139">
        <f>TblRezone[[#This Row],[Hour]]</f>
        <v>70</v>
      </c>
      <c r="B73" s="260">
        <f ca="1">SUM(TblMili[[#This Row],[Unit 1]:[Archmages]])+SUM(OFFSET(TblMili[[#This Row],[Train Unit 1]],-8,0):TblMili[[#This Row],[Train Unit 2]]) + SUM(OFFSET(TblMili[[#This Row],[Train Unit 3]],-11,0):TblMili[[#This Row],[Train AM]]) + TblMili[[#This Row],[Draftees]]</f>
        <v>826</v>
      </c>
      <c r="C73" s="159">
        <f ca="1">TblPop[[#This Row],[Military%]]</f>
        <v>0.35029686174724345</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4"/>
      <c r="N73" s="96">
        <f ca="1">TblProd[[#This Row],[Networth]]</f>
        <v>6450</v>
      </c>
      <c r="O73" s="144"/>
      <c r="P7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1">
        <f ca="1">TblMili[[#This Row],[Raw]]*(1+TblMili[[#This Row],[Mods_Off]])</f>
        <v>0</v>
      </c>
      <c r="S7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3" s="261">
        <f ca="1">TblMili[[#This Row],[Non Draft]]+TblMili[[#This Row],[Draftees]]</f>
        <v>1076</v>
      </c>
      <c r="U73" s="262">
        <f ca="1">race_defense + TblImps[[#This Row],[Walls]] + ROUND( MIN(gt_bonus*TblConstr[[#This Row],[Tot GT]]/TblConstr[[#This Row],[Land]],gt_bonus_cap), 4) + IF(TblMagic[[#This Row],[Active Howling]]&gt;0,howling_dp_bonus,IF(TblMagic[[#This Row],[Active Ares Call]]&gt;0,ares_call_bonus))</f>
        <v>0</v>
      </c>
      <c r="V73" s="263">
        <f ca="1">TblMili[[#This Row],[Non Draft]] * (1 + TblMili[[#This Row],[Mods_Def]])</f>
        <v>450</v>
      </c>
      <c r="W73" s="261">
        <f ca="1">TblMili[[#This Row],[Draft]] * (1 + TblMili[[#This Row],[Mods_Def]])</f>
        <v>1076</v>
      </c>
      <c r="X73" s="261">
        <f ca="1">TblConstr[[#This Row],[Land]]</f>
        <v>250</v>
      </c>
      <c r="Y73" s="264"/>
      <c r="Z73" s="269">
        <f ca="1">IF(TblMili[[#This Row],[Set]]&lt;&gt;"",TblMili[[#This Row],[Set]],OFFSET(TblMili[[#This Row],[Draftrate]],-1,0))</f>
        <v>0.35</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6"/>
      <c r="AC73" s="182">
        <f ca="1">(TblConstr[[#This Row],[Tot Smi]]+TblConstr[[#This Row],[Dest Smi]])/(TblConstr[[#This Row],[Land]]-TblExplore[[#This Row],[Land Bonus]]*20)</f>
        <v>0</v>
      </c>
      <c r="AD73" s="139"/>
      <c r="AE73" s="260">
        <f>TblMili[[#This Row],[Hour]]</f>
        <v>70</v>
      </c>
      <c r="AF73" s="140">
        <f ca="1">TblExplore[[#This Row],[Time]]</f>
        <v>45734.874999999833</v>
      </c>
      <c r="AG73" s="181"/>
      <c r="AH73" s="160"/>
      <c r="AI73" s="181"/>
      <c r="AJ73" s="181"/>
      <c r="AK73" s="181"/>
      <c r="AL73" s="181"/>
      <c r="AM73" s="181"/>
      <c r="AN73" s="181"/>
      <c r="AO73" s="448">
        <f ca="1">ROUND(IF(AND(TblMagic[[#This Row],[Active DnD]]&lt;12,TblMagic[[#This Row],[Active DnD]]&gt;5),OFFSET(TblPop[[#This Row],[Draft Growth]],-1,0)*0.375,0),0)</f>
        <v>0</v>
      </c>
      <c r="AP73" s="144"/>
      <c r="AQ73" s="96">
        <f ca="1">TblProd[[#This Row],[Platinum]]</f>
        <v>499412</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45734.874999999833</v>
      </c>
      <c r="AW73" s="96">
        <f ca="1">TblMili[[#This Row],[Draftees]]</f>
        <v>626</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0.44</v>
      </c>
      <c r="BX73" s="159">
        <f ca="1">TblMili[[#This Row],[WG''s]]</f>
        <v>0</v>
      </c>
      <c r="BY73" s="265">
        <f ca="1">IF(mystic_cap="none",TblMili[[#This Row],[Homeland%]]/mystic_bonus,MIN(mystic_cap,TblMili[[#This Row],[Homeland%]]/mystic_bonus))</f>
        <v>2</v>
      </c>
      <c r="BZ73" s="265">
        <f ca="1">IF(druid_op_cap="none",TblMili[[#This Row],[Homeland%]]/druid_op_bonus,MIN(druid_op_cap,TblMili[[#This Row],[Homeland%]]/druid_op_bonus))</f>
        <v>2</v>
      </c>
      <c r="CA73" s="265">
        <f ca="1">IF(druid_dp_cap="none",TblMili[[#This Row],[Homeland%]]/druid_dp_bonus,MIN(druid_dp_cap,TblMili[[#This Row],[Homeland%]]/druid_dp_bonus))</f>
        <v>2</v>
      </c>
      <c r="CB73" s="265">
        <f ca="1">MIN(dryad_cap,TblMili[[#This Row],[Homeland%]]/dryad_bonus)</f>
        <v>2.1999999999999997</v>
      </c>
      <c r="CC73" s="265">
        <f ca="1">MIN(rocka_cap,TblMili[[#This Row],[Homeland%]]/rocka_bonus)</f>
        <v>2</v>
      </c>
      <c r="CD73" s="265">
        <f ca="1">MIN(adept_op_cap,TblMili[[#This Row],[WG]]/adept_op_bonus)</f>
        <v>0</v>
      </c>
      <c r="CE73" s="265">
        <f ca="1">MIN(adept_dp_cap,TblMili[[#This Row],[WG]]/adept_dp_bonus)</f>
        <v>0</v>
      </c>
      <c r="CF73" s="96">
        <f ca="1">MIN(TblMili[[#This Row],[Unit 3]],TblMili[[#This Row],[Unit 2]])*2</f>
        <v>0</v>
      </c>
      <c r="CG73" s="96">
        <f ca="1">MIN(TblMili[[#This Row],[Unit 1]],TblMili[[#This Row],[Unit 4]])*2</f>
        <v>0</v>
      </c>
      <c r="CH73" s="265">
        <f ca="1">MIN(frost_mage_cap,TblMili[[#This Row],[Homeland%]]/frost_mage_bonus)</f>
        <v>2.1999999999999997</v>
      </c>
      <c r="CI73" s="45">
        <f ca="1">MIN(ice_elem_cap,TblMili[[#This Row],[Raw (2)]]*ice_elem_bonus)</f>
        <v>0.1</v>
      </c>
      <c r="CJ73" s="265">
        <f t="shared" si="3"/>
        <v>0.83333333333333337</v>
      </c>
      <c r="CK73" s="265">
        <f ca="1">MIN(nox_nightshade_cap,TblConstr[[#This Row],[Homeland]]/TblConstr[[#This Row],[Land]]/nox_nightshade_swamp_bonus)</f>
        <v>4</v>
      </c>
      <c r="CL73" s="265">
        <f ca="1">MIN(TblConstr[[#This Row],[Tot Tow]]/TblConstr[[#This Row],[Land]]/abyss_enforce_bonus,abyss_enforcer_cap)</f>
        <v>0</v>
      </c>
      <c r="CM73" s="265">
        <f ca="1">IF(TblMagic[[#This Row],[Active Demonic Pact]]&gt;0,MIN(TblMili[[#This Row],[Unit 1]],TblMili[[#This Row],[Unit 4]])*demonic_pact_oppair,0)</f>
        <v>0</v>
      </c>
      <c r="CN73" s="266"/>
      <c r="CO73" s="266"/>
      <c r="CP73" s="266"/>
      <c r="CQ73" s="265">
        <f ca="1">MIN(6,TblMili[[#This Row],[Mystic]]+Races!$F$19)*1.8 +  IF(TblMili[[#This Row],[Mystic]]+Races!$F$19&gt;6,(TblMili[[#This Row],[Mystic]]+Races!$F$19-6)*0.2,0) - Races!$I$19</f>
        <v>1</v>
      </c>
      <c r="CR7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-0.64000000000000057</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4.7099999999999991</v>
      </c>
      <c r="DA73" s="157">
        <f ca="1">1.8 * MIN(MAX(TblMili[[#This Row],[Ice Elemental]]+Races!$E$71,Races!$F$71),6)  +  0.45 * MIN(MIN(TblMili[[#This Row],[Ice Elemental]]+Races!$E$71,Races!$F$71),6)  +  0.2 * ( MAX(TblMili[[#This Row],[Ice Elemental]]+Races!$E$71-6,0) + MAX(Races!$F$71-6,0) )  -  Races!$I$71</f>
        <v>0.92999999999999972</v>
      </c>
      <c r="DB73" s="96">
        <f ca="1">TblMili[[#This Row],[Frost Mage bonus]]*TblMili[[#This Row],[Unit 3]]+TblMili[[#This Row],[Ice Elemental bonus]]*TblMili[[#This Row],[Unit 4]]</f>
        <v>0</v>
      </c>
      <c r="DC73" s="267"/>
      <c r="DD73" s="145">
        <f ca="1">MIN(SUM(TblConstr[[#This Row],[Plain]:[Water]])/TblMili[[#This Row],[Land]]/favorable_terrain_bonus/100,favorable_terrain_max)</f>
        <v>0.1</v>
      </c>
      <c r="DE73" s="267"/>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3" s="144"/>
      <c r="DH73" s="268">
        <f ca="1">(TblMili[[#This Row],[Wizards]]+2*TblMili[[#This Row],[Archmages]])/TblConstr[[#This Row],[Land]]</f>
        <v>0.1</v>
      </c>
      <c r="DI73" s="268">
        <f ca="1">TblMili[[#This Row],[Raw (2)]]*(1+race_wizard_strength+IF(TblMili[[#This Row],[Hour]]&gt;72,tech_magical_weaponry_wiz*TblTech[[#This Row],[3-5]],0))</f>
        <v>0.1</v>
      </c>
    </row>
    <row r="74" spans="1:113" x14ac:dyDescent="0.2">
      <c r="A74" s="139">
        <f>TblRezone[[#This Row],[Hour]]</f>
        <v>71</v>
      </c>
      <c r="B74" s="260">
        <f ca="1">SUM(TblMili[[#This Row],[Unit 1]:[Archmages]])+SUM(OFFSET(TblMili[[#This Row],[Train Unit 1]],-8,0):TblMili[[#This Row],[Train Unit 2]]) + SUM(OFFSET(TblMili[[#This Row],[Train Unit 3]],-11,0):TblMili[[#This Row],[Train AM]]) + TblMili[[#This Row],[Draftees]]</f>
        <v>826</v>
      </c>
      <c r="C74" s="159">
        <f ca="1">TblPop[[#This Row],[Military%]]</f>
        <v>0.35029686174724345</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4"/>
      <c r="N74" s="96">
        <f ca="1">TblProd[[#This Row],[Networth]]</f>
        <v>6450</v>
      </c>
      <c r="O74" s="144"/>
      <c r="P7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1">
        <f ca="1">TblMili[[#This Row],[Raw]]*(1+TblMili[[#This Row],[Mods_Off]])</f>
        <v>0</v>
      </c>
      <c r="S7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4" s="261">
        <f ca="1">TblMili[[#This Row],[Non Draft]]+TblMili[[#This Row],[Draftees]]</f>
        <v>1076</v>
      </c>
      <c r="U74" s="262">
        <f ca="1">race_defense + TblImps[[#This Row],[Walls]] + ROUND( MIN(gt_bonus*TblConstr[[#This Row],[Tot GT]]/TblConstr[[#This Row],[Land]],gt_bonus_cap), 4) + IF(TblMagic[[#This Row],[Active Howling]]&gt;0,howling_dp_bonus,IF(TblMagic[[#This Row],[Active Ares Call]]&gt;0,ares_call_bonus))</f>
        <v>0</v>
      </c>
      <c r="V74" s="263">
        <f ca="1">TblMili[[#This Row],[Non Draft]] * (1 + TblMili[[#This Row],[Mods_Def]])</f>
        <v>450</v>
      </c>
      <c r="W74" s="261">
        <f ca="1">TblMili[[#This Row],[Draft]] * (1 + TblMili[[#This Row],[Mods_Def]])</f>
        <v>1076</v>
      </c>
      <c r="X74" s="261">
        <f ca="1">TblConstr[[#This Row],[Land]]</f>
        <v>250</v>
      </c>
      <c r="Y74" s="264"/>
      <c r="Z74" s="269">
        <f ca="1">IF(TblMili[[#This Row],[Set]]&lt;&gt;"",TblMili[[#This Row],[Set]],OFFSET(TblMili[[#This Row],[Draftrate]],-1,0))</f>
        <v>0.35</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6"/>
      <c r="AC74" s="182">
        <f ca="1">(TblConstr[[#This Row],[Tot Smi]]+TblConstr[[#This Row],[Dest Smi]])/(TblConstr[[#This Row],[Land]]-TblExplore[[#This Row],[Land Bonus]]*20)</f>
        <v>0</v>
      </c>
      <c r="AD74" s="139"/>
      <c r="AE74" s="260">
        <f>TblMili[[#This Row],[Hour]]</f>
        <v>71</v>
      </c>
      <c r="AF74" s="140">
        <f ca="1">TblExplore[[#This Row],[Time]]</f>
        <v>45734.916666666497</v>
      </c>
      <c r="AG74" s="181"/>
      <c r="AH74" s="160"/>
      <c r="AI74" s="181"/>
      <c r="AJ74" s="181"/>
      <c r="AK74" s="181"/>
      <c r="AL74" s="181"/>
      <c r="AM74" s="181"/>
      <c r="AN74" s="181"/>
      <c r="AO74" s="448">
        <f ca="1">ROUND(IF(AND(TblMagic[[#This Row],[Active DnD]]&lt;12,TblMagic[[#This Row],[Active DnD]]&gt;5),OFFSET(TblPop[[#This Row],[Draft Growth]],-1,0)*0.375,0),0)</f>
        <v>0</v>
      </c>
      <c r="AP74" s="144"/>
      <c r="AQ74" s="96">
        <f ca="1">TblProd[[#This Row],[Platinum]]</f>
        <v>504898</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45734.916666666497</v>
      </c>
      <c r="AW74" s="96">
        <f ca="1">TblMili[[#This Row],[Draftees]]</f>
        <v>626</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0.44</v>
      </c>
      <c r="BX74" s="159">
        <f ca="1">TblMili[[#This Row],[WG''s]]</f>
        <v>0</v>
      </c>
      <c r="BY74" s="265">
        <f ca="1">IF(mystic_cap="none",TblMili[[#This Row],[Homeland%]]/mystic_bonus,MIN(mystic_cap,TblMili[[#This Row],[Homeland%]]/mystic_bonus))</f>
        <v>2</v>
      </c>
      <c r="BZ74" s="265">
        <f ca="1">IF(druid_op_cap="none",TblMili[[#This Row],[Homeland%]]/druid_op_bonus,MIN(druid_op_cap,TblMili[[#This Row],[Homeland%]]/druid_op_bonus))</f>
        <v>2</v>
      </c>
      <c r="CA74" s="265">
        <f ca="1">IF(druid_dp_cap="none",TblMili[[#This Row],[Homeland%]]/druid_dp_bonus,MIN(druid_dp_cap,TblMili[[#This Row],[Homeland%]]/druid_dp_bonus))</f>
        <v>2</v>
      </c>
      <c r="CB74" s="265">
        <f ca="1">MIN(dryad_cap,TblMili[[#This Row],[Homeland%]]/dryad_bonus)</f>
        <v>2.1999999999999997</v>
      </c>
      <c r="CC74" s="265">
        <f ca="1">MIN(rocka_cap,TblMili[[#This Row],[Homeland%]]/rocka_bonus)</f>
        <v>2</v>
      </c>
      <c r="CD74" s="265">
        <f ca="1">MIN(adept_op_cap,TblMili[[#This Row],[WG]]/adept_op_bonus)</f>
        <v>0</v>
      </c>
      <c r="CE74" s="265">
        <f ca="1">MIN(adept_dp_cap,TblMili[[#This Row],[WG]]/adept_dp_bonus)</f>
        <v>0</v>
      </c>
      <c r="CF74" s="96">
        <f ca="1">MIN(TblMili[[#This Row],[Unit 3]],TblMili[[#This Row],[Unit 2]])*2</f>
        <v>0</v>
      </c>
      <c r="CG74" s="96">
        <f ca="1">MIN(TblMili[[#This Row],[Unit 1]],TblMili[[#This Row],[Unit 4]])*2</f>
        <v>0</v>
      </c>
      <c r="CH74" s="265">
        <f ca="1">MIN(frost_mage_cap,TblMili[[#This Row],[Homeland%]]/frost_mage_bonus)</f>
        <v>2.1999999999999997</v>
      </c>
      <c r="CI74" s="45">
        <f ca="1">MIN(ice_elem_cap,TblMili[[#This Row],[Raw (2)]]*ice_elem_bonus)</f>
        <v>0.1</v>
      </c>
      <c r="CJ74" s="265">
        <f t="shared" si="3"/>
        <v>0.83333333333333337</v>
      </c>
      <c r="CK74" s="265">
        <f ca="1">MIN(nox_nightshade_cap,TblConstr[[#This Row],[Homeland]]/TblConstr[[#This Row],[Land]]/nox_nightshade_swamp_bonus)</f>
        <v>4</v>
      </c>
      <c r="CL74" s="265">
        <f ca="1">MIN(TblConstr[[#This Row],[Tot Tow]]/TblConstr[[#This Row],[Land]]/abyss_enforce_bonus,abyss_enforcer_cap)</f>
        <v>0</v>
      </c>
      <c r="CM74" s="265">
        <f ca="1">IF(TblMagic[[#This Row],[Active Demonic Pact]]&gt;0,MIN(TblMili[[#This Row],[Unit 1]],TblMili[[#This Row],[Unit 4]])*demonic_pact_oppair,0)</f>
        <v>0</v>
      </c>
      <c r="CN74" s="266"/>
      <c r="CO74" s="266"/>
      <c r="CP74" s="266"/>
      <c r="CQ74" s="265">
        <f ca="1">MIN(6,TblMili[[#This Row],[Mystic]]+Races!$F$19)*1.8 +  IF(TblMili[[#This Row],[Mystic]]+Races!$F$19&gt;6,(TblMili[[#This Row],[Mystic]]+Races!$F$19-6)*0.2,0) - Races!$I$19</f>
        <v>1</v>
      </c>
      <c r="CR7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-0.64000000000000057</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4.7099999999999991</v>
      </c>
      <c r="DA74" s="157">
        <f ca="1">1.8 * MIN(MAX(TblMili[[#This Row],[Ice Elemental]]+Races!$E$71,Races!$F$71),6)  +  0.45 * MIN(MIN(TblMili[[#This Row],[Ice Elemental]]+Races!$E$71,Races!$F$71),6)  +  0.2 * ( MAX(TblMili[[#This Row],[Ice Elemental]]+Races!$E$71-6,0) + MAX(Races!$F$71-6,0) )  -  Races!$I$71</f>
        <v>0.92999999999999972</v>
      </c>
      <c r="DB74" s="96">
        <f ca="1">TblMili[[#This Row],[Frost Mage bonus]]*TblMili[[#This Row],[Unit 3]]+TblMili[[#This Row],[Ice Elemental bonus]]*TblMili[[#This Row],[Unit 4]]</f>
        <v>0</v>
      </c>
      <c r="DC74" s="267"/>
      <c r="DD74" s="145">
        <f ca="1">MIN(SUM(TblConstr[[#This Row],[Plain]:[Water]])/TblMili[[#This Row],[Land]]/favorable_terrain_bonus/100,favorable_terrain_max)</f>
        <v>0.1</v>
      </c>
      <c r="DE74" s="267"/>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4" s="144"/>
      <c r="DH74" s="268">
        <f ca="1">(TblMili[[#This Row],[Wizards]]+2*TblMili[[#This Row],[Archmages]])/TblConstr[[#This Row],[Land]]</f>
        <v>0.1</v>
      </c>
      <c r="DI74" s="268">
        <f ca="1">TblMili[[#This Row],[Raw (2)]]*(1+race_wizard_strength+IF(TblMili[[#This Row],[Hour]]&gt;72,tech_magical_weaponry_wiz*TblTech[[#This Row],[3-5]],0))</f>
        <v>0.1</v>
      </c>
    </row>
    <row r="75" spans="1:113" x14ac:dyDescent="0.2">
      <c r="A75" s="139">
        <f>TblRezone[[#This Row],[Hour]]</f>
        <v>72</v>
      </c>
      <c r="B75" s="260">
        <f ca="1">SUM(TblMili[[#This Row],[Unit 1]:[Archmages]])+SUM(OFFSET(TblMili[[#This Row],[Train Unit 1]],-8,0):TblMili[[#This Row],[Train Unit 2]]) + SUM(OFFSET(TblMili[[#This Row],[Train Unit 3]],-11,0):TblMili[[#This Row],[Train AM]]) + TblMili[[#This Row],[Draftees]]</f>
        <v>826</v>
      </c>
      <c r="C75" s="159">
        <f ca="1">TblPop[[#This Row],[Military%]]</f>
        <v>0.35029686174724345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4"/>
      <c r="N75" s="96">
        <f ca="1">TblProd[[#This Row],[Networth]]</f>
        <v>6450</v>
      </c>
      <c r="O75" s="144"/>
      <c r="P7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1">
        <f ca="1">TblMili[[#This Row],[Raw]]*(1+TblMili[[#This Row],[Mods_Off]])</f>
        <v>0</v>
      </c>
      <c r="S7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5" s="261">
        <f ca="1">TblMili[[#This Row],[Non Draft]]+TblMili[[#This Row],[Draftees]]</f>
        <v>1076</v>
      </c>
      <c r="U75" s="262">
        <f ca="1">race_defense + TblImps[[#This Row],[Walls]] + ROUND( MIN(gt_bonus*TblConstr[[#This Row],[Tot GT]]/TblConstr[[#This Row],[Land]],gt_bonus_cap), 4) + IF(TblMagic[[#This Row],[Active Howling]]&gt;0,howling_dp_bonus,IF(TblMagic[[#This Row],[Active Ares Call]]&gt;0,ares_call_bonus))</f>
        <v>0</v>
      </c>
      <c r="V75" s="263">
        <f ca="1">TblMili[[#This Row],[Non Draft]] * (1 + TblMili[[#This Row],[Mods_Def]])</f>
        <v>450</v>
      </c>
      <c r="W75" s="261">
        <f ca="1">TblMili[[#This Row],[Draft]] * (1 + TblMili[[#This Row],[Mods_Def]])</f>
        <v>1076</v>
      </c>
      <c r="X75" s="261">
        <f ca="1">TblConstr[[#This Row],[Land]]</f>
        <v>250</v>
      </c>
      <c r="Y75" s="264"/>
      <c r="Z75" s="269">
        <f ca="1">IF(TblMili[[#This Row],[Set]]&lt;&gt;"",TblMili[[#This Row],[Set]],OFFSET(TblMili[[#This Row],[Draftrate]],-1,0))</f>
        <v>0.35</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6"/>
      <c r="AC75" s="182">
        <f ca="1">(TblConstr[[#This Row],[Tot Smi]]+TblConstr[[#This Row],[Dest Smi]])/(TblConstr[[#This Row],[Land]]-TblExplore[[#This Row],[Land Bonus]]*20)</f>
        <v>0</v>
      </c>
      <c r="AD75" s="139"/>
      <c r="AE75" s="260">
        <f>TblMili[[#This Row],[Hour]]</f>
        <v>72</v>
      </c>
      <c r="AF75" s="140">
        <f ca="1">TblExplore[[#This Row],[Time]]</f>
        <v>45734.958333333161</v>
      </c>
      <c r="AG75" s="181"/>
      <c r="AH75" s="160"/>
      <c r="AI75" s="181"/>
      <c r="AJ75" s="181"/>
      <c r="AK75" s="181"/>
      <c r="AL75" s="181"/>
      <c r="AM75" s="181"/>
      <c r="AN75" s="181"/>
      <c r="AO75" s="448">
        <f ca="1">ROUND(IF(AND(TblMagic[[#This Row],[Active DnD]]&lt;12,TblMagic[[#This Row],[Active DnD]]&gt;5),OFFSET(TblPop[[#This Row],[Draft Growth]],-1,0)*0.375,0),0)</f>
        <v>0</v>
      </c>
      <c r="AP75" s="144"/>
      <c r="AQ75" s="96">
        <f ca="1">TblProd[[#This Row],[Platinum]]</f>
        <v>510384</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45734.958333333161</v>
      </c>
      <c r="AW75" s="96">
        <f ca="1">TblMili[[#This Row],[Draftees]]</f>
        <v>626</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0.44</v>
      </c>
      <c r="BX75" s="159">
        <f ca="1">TblMili[[#This Row],[WG''s]]</f>
        <v>0</v>
      </c>
      <c r="BY75" s="265">
        <f ca="1">IF(mystic_cap="none",TblMili[[#This Row],[Homeland%]]/mystic_bonus,MIN(mystic_cap,TblMili[[#This Row],[Homeland%]]/mystic_bonus))</f>
        <v>2</v>
      </c>
      <c r="BZ75" s="265">
        <f ca="1">IF(druid_op_cap="none",TblMili[[#This Row],[Homeland%]]/druid_op_bonus,MIN(druid_op_cap,TblMili[[#This Row],[Homeland%]]/druid_op_bonus))</f>
        <v>2</v>
      </c>
      <c r="CA75" s="265">
        <f ca="1">IF(druid_dp_cap="none",TblMili[[#This Row],[Homeland%]]/druid_dp_bonus,MIN(druid_dp_cap,TblMili[[#This Row],[Homeland%]]/druid_dp_bonus))</f>
        <v>2</v>
      </c>
      <c r="CB75" s="265">
        <f ca="1">MIN(dryad_cap,TblMili[[#This Row],[Homeland%]]/dryad_bonus)</f>
        <v>2.1999999999999997</v>
      </c>
      <c r="CC75" s="265">
        <f ca="1">MIN(rocka_cap,TblMili[[#This Row],[Homeland%]]/rocka_bonus)</f>
        <v>2</v>
      </c>
      <c r="CD75" s="265">
        <f ca="1">MIN(adept_op_cap,TblMili[[#This Row],[WG]]/adept_op_bonus)</f>
        <v>0</v>
      </c>
      <c r="CE75" s="265">
        <f ca="1">MIN(adept_dp_cap,TblMili[[#This Row],[WG]]/adept_dp_bonus)</f>
        <v>0</v>
      </c>
      <c r="CF75" s="96">
        <f ca="1">MIN(TblMili[[#This Row],[Unit 3]],TblMili[[#This Row],[Unit 2]])*2</f>
        <v>0</v>
      </c>
      <c r="CG75" s="96">
        <f ca="1">MIN(TblMili[[#This Row],[Unit 1]],TblMili[[#This Row],[Unit 4]])*2</f>
        <v>0</v>
      </c>
      <c r="CH75" s="265">
        <f ca="1">MIN(frost_mage_cap,TblMili[[#This Row],[Homeland%]]/frost_mage_bonus)</f>
        <v>2.1999999999999997</v>
      </c>
      <c r="CI75" s="45">
        <f ca="1">MIN(ice_elem_cap,TblMili[[#This Row],[Raw (2)]]*ice_elem_bonus)</f>
        <v>0.1</v>
      </c>
      <c r="CJ75" s="265">
        <f t="shared" si="3"/>
        <v>0.83333333333333337</v>
      </c>
      <c r="CK75" s="265">
        <f ca="1">MIN(nox_nightshade_cap,TblConstr[[#This Row],[Homeland]]/TblConstr[[#This Row],[Land]]/nox_nightshade_swamp_bonus)</f>
        <v>4</v>
      </c>
      <c r="CL75" s="265">
        <f ca="1">MIN(TblConstr[[#This Row],[Tot Tow]]/TblConstr[[#This Row],[Land]]/abyss_enforce_bonus,abyss_enforcer_cap)</f>
        <v>0</v>
      </c>
      <c r="CM75" s="265">
        <f ca="1">IF(TblMagic[[#This Row],[Active Demonic Pact]]&gt;0,MIN(TblMili[[#This Row],[Unit 1]],TblMili[[#This Row],[Unit 4]])*demonic_pact_oppair,0)</f>
        <v>0</v>
      </c>
      <c r="CN75" s="266"/>
      <c r="CO75" s="266"/>
      <c r="CP75" s="266"/>
      <c r="CQ75" s="265">
        <f ca="1">MIN(6,TblMili[[#This Row],[Mystic]]+Races!$F$19)*1.8 +  IF(TblMili[[#This Row],[Mystic]]+Races!$F$19&gt;6,(TblMili[[#This Row],[Mystic]]+Races!$F$19-6)*0.2,0) - Races!$I$19</f>
        <v>1</v>
      </c>
      <c r="CR7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-0.64000000000000057</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4.7099999999999991</v>
      </c>
      <c r="DA75" s="157">
        <f ca="1">1.8 * MIN(MAX(TblMili[[#This Row],[Ice Elemental]]+Races!$E$71,Races!$F$71),6)  +  0.45 * MIN(MIN(TblMili[[#This Row],[Ice Elemental]]+Races!$E$71,Races!$F$71),6)  +  0.2 * ( MAX(TblMili[[#This Row],[Ice Elemental]]+Races!$E$71-6,0) + MAX(Races!$F$71-6,0) )  -  Races!$I$71</f>
        <v>0.92999999999999972</v>
      </c>
      <c r="DB75" s="96">
        <f ca="1">TblMili[[#This Row],[Frost Mage bonus]]*TblMili[[#This Row],[Unit 3]]+TblMili[[#This Row],[Ice Elemental bonus]]*TblMili[[#This Row],[Unit 4]]</f>
        <v>0</v>
      </c>
      <c r="DC75" s="267"/>
      <c r="DD75" s="145">
        <f ca="1">MIN(SUM(TblConstr[[#This Row],[Plain]:[Water]])/TblMili[[#This Row],[Land]]/favorable_terrain_bonus/100,favorable_terrain_max)</f>
        <v>0.1</v>
      </c>
      <c r="DE75" s="267"/>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5" s="144"/>
      <c r="DH75" s="268">
        <f ca="1">(TblMili[[#This Row],[Wizards]]+2*TblMili[[#This Row],[Archmages]])/TblConstr[[#This Row],[Land]]</f>
        <v>0.1</v>
      </c>
      <c r="DI75" s="268">
        <f ca="1">TblMili[[#This Row],[Raw (2)]]*(1+race_wizard_strength+IF(TblMili[[#This Row],[Hour]]&gt;72,tech_magical_weaponry_wiz*TblTech[[#This Row],[3-5]],0))</f>
        <v>0.1</v>
      </c>
    </row>
    <row r="76" spans="1:113" x14ac:dyDescent="0.2">
      <c r="A76" s="146">
        <f>TblRezone[[#This Row],[Hour]]</f>
        <v>73</v>
      </c>
      <c r="B76" s="272">
        <f ca="1">SUM(TblMili[[#This Row],[Unit 1]:[Archmages]])+SUM(OFFSET(TblMili[[#This Row],[Train Unit 1]],-8,0):TblMili[[#This Row],[Train Unit 2]]) + SUM(OFFSET(TblMili[[#This Row],[Train Unit 3]],-11,0):TblMili[[#This Row],[Train AM]]) + TblMili[[#This Row],[Draftees]]</f>
        <v>826</v>
      </c>
      <c r="C76" s="251">
        <f ca="1">TblPop[[#This Row],[Military%]]</f>
        <v>0.35029686174724345</v>
      </c>
      <c r="D76" s="151"/>
      <c r="E76" s="210">
        <f ca="1">OFFSET(TblMili[[#This Row],[Unit 1]],-1,0) + OFFSET(TblMili[[#This Row],[Train Unit 1]],-9,0) - TblMili[[#This Row],[Release Unit 1]] + OFFSET(TblMili[[#This Row],[DnD_Zombies]],-12,0)</f>
        <v>0</v>
      </c>
      <c r="F76" s="210">
        <f ca="1">OFFSET(TblMili[[#This Row],[Unit 2]],-1,0) + OFFSET(TblMili[[#This Row],[Train Unit 2]],-9,0)-TblMili[[#This Row],[Release Unit 2]]</f>
        <v>150</v>
      </c>
      <c r="G76" s="209">
        <f ca="1">OFFSET(TblMili[[#This Row],[Unit 3]],-1,0) + OFFSET(TblMili[[#This Row],[Train Unit 3]],-12,0)-TblMili[[#This Row],[Release Unit 3]]</f>
        <v>0</v>
      </c>
      <c r="H76" s="210">
        <f ca="1">OFFSET(TblMili[[#This Row],[Unit 4]],-1,0) + OFFSET(TblMili[[#This Row],[Train Unit 4]],-12,0)-TblMili[[#This Row],[Release Unit 4]]</f>
        <v>0</v>
      </c>
      <c r="I76" s="210">
        <f ca="1">OFFSET(TblMili[[#This Row],[Spies]],-1,0) + OFFSET(TblMili[[#This Row],[Train Spies]],-12,0) - TblMili[[#This Row],[Release Spies]]-TblMili[[#This Row],[Train AS]]</f>
        <v>25</v>
      </c>
      <c r="J76" s="210">
        <f ca="1">OFFSET(TblMili[[#This Row],[Archspies]],-1,0) + OFFSET(TblMili[[#This Row],[Train AS]],-12,0) - TblMili[[#This Row],[Release AS]]</f>
        <v>0</v>
      </c>
      <c r="K76" s="210">
        <f ca="1">OFFSET(TblMili[[#This Row],[Wizards]],-1,0) + OFFSET(TblMili[[#This Row],[Train Wiz]],-12,0) - TblMili[[#This Row],[Release Wizards]]-TblMili[[#This Row],[Train AM]]</f>
        <v>25</v>
      </c>
      <c r="L76" s="210">
        <f ca="1">OFFSET(TblMili[[#This Row],[Archmages]],-1,0) + OFFSET(TblMili[[#This Row],[Train AM]],-12,0) - TblMili[[#This Row],[Release AM]]</f>
        <v>0</v>
      </c>
      <c r="M76" s="151"/>
      <c r="N76" s="209">
        <f ca="1">TblProd[[#This Row],[Networth]]</f>
        <v>6450</v>
      </c>
      <c r="O76" s="151"/>
      <c r="P76" s="27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251">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3">
        <f ca="1">TblMili[[#This Row],[Raw]]*(1+TblMili[[#This Row],[Mods_Off]])</f>
        <v>0</v>
      </c>
      <c r="S76" s="27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6" s="273">
        <f ca="1">TblMili[[#This Row],[Non Draft]]+TblMili[[#This Row],[Draftees]]</f>
        <v>1076</v>
      </c>
      <c r="U76" s="274">
        <f ca="1">race_defense + TblImps[[#This Row],[Walls]] + ROUND( MIN(gt_bonus*TblConstr[[#This Row],[Tot GT]]/TblConstr[[#This Row],[Land]],gt_bonus_cap), 4) + IF(TblMagic[[#This Row],[Active Howling]]&gt;0,howling_dp_bonus,IF(TblMagic[[#This Row],[Active Ares Call]]&gt;0,ares_call_bonus))</f>
        <v>0</v>
      </c>
      <c r="V76" s="275">
        <f ca="1">TblMili[[#This Row],[Non Draft]] * (1 + TblMili[[#This Row],[Mods_Def]])</f>
        <v>450</v>
      </c>
      <c r="W76" s="273">
        <f ca="1">TblMili[[#This Row],[Draft]] * (1 + TblMili[[#This Row],[Mods_Def]])</f>
        <v>1076</v>
      </c>
      <c r="X76" s="273">
        <f ca="1">TblConstr[[#This Row],[Land]]</f>
        <v>250</v>
      </c>
      <c r="Y76" s="276"/>
      <c r="Z76" s="277">
        <f ca="1">IF(TblMili[[#This Row],[Set]]&lt;&gt;"",TblMili[[#This Row],[Set]],OFFSET(TblMili[[#This Row],[Draftrate]],-1,0))</f>
        <v>0.35</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4"/>
      <c r="AC76" s="208">
        <f ca="1">(TblConstr[[#This Row],[Tot Smi]]+TblConstr[[#This Row],[Dest Smi]])/(TblConstr[[#This Row],[Land]]-TblExplore[[#This Row],[Land Bonus]]*20)</f>
        <v>0</v>
      </c>
      <c r="AD76" s="146"/>
      <c r="AE76" s="272">
        <f>TblMili[[#This Row],[Hour]]</f>
        <v>73</v>
      </c>
      <c r="AF76" s="147">
        <f ca="1">TblExplore[[#This Row],[Time]]</f>
        <v>45734.999999999825</v>
      </c>
      <c r="AG76" s="206"/>
      <c r="AH76" s="160"/>
      <c r="AI76" s="181"/>
      <c r="AJ76" s="206"/>
      <c r="AK76" s="206"/>
      <c r="AL76" s="206"/>
      <c r="AM76" s="206"/>
      <c r="AN76" s="206"/>
      <c r="AO76" s="449">
        <f ca="1">ROUND(IF(AND(TblMagic[[#This Row],[Active DnD]]&lt;12,TblMagic[[#This Row],[Active DnD]]&gt;5),OFFSET(TblPop[[#This Row],[Draft Growth]],-1,0)*0.375,0),0)</f>
        <v>0</v>
      </c>
      <c r="AP76" s="151"/>
      <c r="AQ76" s="209">
        <f ca="1">TblProd[[#This Row],[Platinum]]</f>
        <v>515870</v>
      </c>
      <c r="AR76" s="209">
        <f ca="1">INDEX(TblProd[[#Headers],[Lumber]]:TblProd[[#This Row],[Ore]],COUNTA(TblProd[[#Headers],[Lumber]]:TblProd[[#This Row],[Lumber]]),MATCH(Military!$AR$2,TblProd[[#Headers],[Lumber]:[Ore]],0))</f>
        <v>0</v>
      </c>
      <c r="AS76" s="209">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09">
        <f ca="1">TblMili[[#This Row],[Train Unit 1]]*TblMili[[#This Row],[OP Ore]]+TblMili[[#This Row],[Train Unit 2]]*TblMili[[#This Row],[DP Ore]]+TblMili[[#This Row],[Train Unit 3]]*TblMili[[#This Row],[E1 Ore]]+TblMili[[#This Row],[Train Unit 4]]*TblMili[[#This Row],[E2 Ore]]</f>
        <v>0</v>
      </c>
      <c r="AU76" s="151">
        <f>TblMili[[#This Row],[Hour]]</f>
        <v>73</v>
      </c>
      <c r="AV76" s="162">
        <f ca="1">TblMili[[#This Row],[Time]]</f>
        <v>45734.999999999825</v>
      </c>
      <c r="AW76" s="209">
        <f ca="1">TblMili[[#This Row],[Draftees]]</f>
        <v>626</v>
      </c>
      <c r="AX76" s="168"/>
      <c r="AY76" s="206"/>
      <c r="AZ76" s="206"/>
      <c r="BA76" s="206"/>
      <c r="BB76" s="206"/>
      <c r="BC76" s="206"/>
      <c r="BD76" s="206"/>
      <c r="BE76" s="206"/>
      <c r="BF76" s="206"/>
      <c r="BG76" s="151"/>
      <c r="BH76" s="251">
        <f ca="1">TblConstr[[#This Row],[Tot WG]]/TblConstr[[#This Row],[Land]]</f>
        <v>0</v>
      </c>
      <c r="BI76" s="251">
        <f ca="1">TblConstr[[#This Row],[Tot Hav]]/TblConstr[[#This Row],[Land]]</f>
        <v>0</v>
      </c>
      <c r="BJ76" s="209">
        <f ca="1">ROUNDUP((1-MIN(TblMili[[#This Row],[Smithies]]*smithy_bonus,smithy_bonus_cap) + tech_3_5*TblTech[[#This Row],[3-5]] + tech_5_3*TblTech[[#This Row],[5-3]] + tech_5_5*TblTech[[#This Row],[5-5]])*spec_op_plat,0)</f>
        <v>275</v>
      </c>
      <c r="BK76" s="209">
        <f ca="1">ROUNDUP(IF(race="Gnome",1,(1-MIN(TblMili[[#This Row],[Smithies]]*smithy_bonus,smithy_bonus_cap) + tech_3_5*TblTech[[#This Row],[3-5]] + tech_5_3*TblTech[[#This Row],[5-3]] + tech_5_5*TblTech[[#This Row],[5-5]]))*spec_op_ore,0)</f>
        <v>25</v>
      </c>
      <c r="BL76" s="209">
        <f ca="1">ROUNDUP((1-MIN(TblMili[[#This Row],[Smithies]]*smithy_bonus,smithy_bonus_cap) + tech_3_5*TblTech[[#This Row],[3-5]] + tech_5_3*TblTech[[#This Row],[5-3]] + tech_5_5*TblTech[[#This Row],[5-5]])*spec_dp_plat,0)</f>
        <v>275</v>
      </c>
      <c r="BM76" s="209">
        <f ca="1">ROUNDUP(IF(race="Gnome",1,(1-MIN(TblMili[[#This Row],[Smithies]]*smithy_bonus,smithy_bonus_cap) + tech_3_5*TblTech[[#This Row],[3-5]] + tech_5_3*TblTech[[#This Row],[5-3]] + tech_5_5*TblTech[[#This Row],[5-5]]))*spec_dp_ore,0)</f>
        <v>15</v>
      </c>
      <c r="BN76" s="209">
        <f ca="1">ROUNDUP((1-MIN(TblMili[[#This Row],[Smithies]]*smithy_bonus,smithy_bonus_cap) + tech_3_5*TblTech[[#This Row],[3-5]] + tech_5_3*TblTech[[#This Row],[5-3]] + tech_5_5*TblTech[[#This Row],[5-5]])*elite1_plat,0)</f>
        <v>1040</v>
      </c>
      <c r="BO76" s="209">
        <f ca="1">ROUNDUP(IF(race="Gnome",1,(1-MIN(TblMili[[#This Row],[Smithies]]*smithy_bonus,smithy_bonus_cap) + tech_3_5*TblTech[[#This Row],[3-5]] + tech_5_3*TblTech[[#This Row],[5-3]] + tech_5_5*TblTech[[#This Row],[5-5]]))*elite1_ore,0)</f>
        <v>75</v>
      </c>
      <c r="BP76" s="209">
        <f ca="1">ROUNDUP((1-MIN(TblMili[[#This Row],[Smithies]]*smithy_bonus,smithy_bonus_cap) + tech_3_5*TblTech[[#This Row],[3-5]] + tech_5_3*TblTech[[#This Row],[5-3]] + tech_5_5*TblTech[[#This Row],[5-5]])*elite2_plat,0)</f>
        <v>1280</v>
      </c>
      <c r="BQ76" s="209">
        <f ca="1">ROUNDUP(IF(race="Gnome",1,(1-MIN(TblMili[[#This Row],[Smithies]]*smithy_bonus,smithy_bonus_cap) + tech_3_5*TblTech[[#This Row],[3-5]] + tech_5_3*TblTech[[#This Row],[5-3]] + tech_5_5*TblTech[[#This Row],[5-5]]))*elite2_ore,0)</f>
        <v>100</v>
      </c>
      <c r="BR76" s="209">
        <f ca="1">ROUNDUP((1-MIN(ROUND(fh_spy_cost_red*TblMili[[#This Row],[FH''s]],4),fh_spy_cost_cap)+ tech_1_9*TblTech[[#This Row],[1-9]] + tech_9_1*TblTech[[#This Row],[9-1]])*spy_plat,0)</f>
        <v>500</v>
      </c>
      <c r="BS76" s="209">
        <f ca="1">ROUNDUP((1-MIN(ROUND(fh_spy_cost_red*TblMili[[#This Row],[FH''s]],4),fh_spy_cost_cap)+ tech_1_9*TblTech[[#This Row],[1-9]] + tech_9_1*TblTech[[#This Row],[9-1]])*archspy_plat,0)</f>
        <v>1000</v>
      </c>
      <c r="BT76" s="209">
        <f ca="1">ROUNDUP((1-MIN(ROUND(wg_wiz_cost_bonus*TblMili[[#This Row],[WG''s]],4),wg_wiz_cost_cap) + tech_1_9_2*TblTech[[#This Row],[1-9]] + tech_9_1_2*TblTech[[#This Row],[9-1]])*wizard_plat,0)</f>
        <v>500</v>
      </c>
      <c r="BU76" s="209">
        <f ca="1">ROUNDUP((1-MIN(ROUND(wg_wiz_cost_bonus*TblMili[[#This Row],[WG''s]],4),wg_wiz_cost_cap) + tech_1_9_2*TblTech[[#This Row],[1-9]] + tech_9_1_2*TblTech[[#This Row],[9-1]])*archmage_plat,0)</f>
        <v>1000</v>
      </c>
      <c r="BV76" s="151"/>
      <c r="BW76" s="251">
        <f ca="1">TblConstr[[#This Row],[Homeland]]/TblConstr[[#This Row],[Land]]</f>
        <v>0.44</v>
      </c>
      <c r="BX76" s="251">
        <f ca="1">TblMili[[#This Row],[WG''s]]</f>
        <v>0</v>
      </c>
      <c r="BY76" s="278">
        <f ca="1">IF(mystic_cap="none",TblMili[[#This Row],[Homeland%]]/mystic_bonus,MIN(mystic_cap,TblMili[[#This Row],[Homeland%]]/mystic_bonus))</f>
        <v>2</v>
      </c>
      <c r="BZ76" s="278">
        <f ca="1">IF(druid_op_cap="none",TblMili[[#This Row],[Homeland%]]/druid_op_bonus,MIN(druid_op_cap,TblMili[[#This Row],[Homeland%]]/druid_op_bonus))</f>
        <v>2</v>
      </c>
      <c r="CA76" s="278">
        <f ca="1">IF(druid_dp_cap="none",TblMili[[#This Row],[Homeland%]]/druid_dp_bonus,MIN(druid_dp_cap,TblMili[[#This Row],[Homeland%]]/druid_dp_bonus))</f>
        <v>2</v>
      </c>
      <c r="CB76" s="278">
        <f ca="1">MIN(dryad_cap,TblMili[[#This Row],[Homeland%]]/dryad_bonus)</f>
        <v>2.1999999999999997</v>
      </c>
      <c r="CC76" s="278">
        <f ca="1">MIN(rocka_cap,TblMili[[#This Row],[Homeland%]]/rocka_bonus)</f>
        <v>2</v>
      </c>
      <c r="CD76" s="278">
        <f ca="1">MIN(adept_op_cap,TblMili[[#This Row],[WG]]/adept_op_bonus)</f>
        <v>0</v>
      </c>
      <c r="CE76" s="278">
        <f ca="1">MIN(adept_dp_cap,TblMili[[#This Row],[WG]]/adept_dp_bonus)</f>
        <v>0</v>
      </c>
      <c r="CF76" s="209">
        <f ca="1">MIN(TblMili[[#This Row],[Unit 3]],TblMili[[#This Row],[Unit 2]])*2</f>
        <v>0</v>
      </c>
      <c r="CG76" s="209">
        <f ca="1">MIN(TblMili[[#This Row],[Unit 1]],TblMili[[#This Row],[Unit 4]])*2</f>
        <v>0</v>
      </c>
      <c r="CH76" s="278">
        <f ca="1">MIN(frost_mage_cap,TblMili[[#This Row],[Homeland%]]/frost_mage_bonus)</f>
        <v>2.1999999999999997</v>
      </c>
      <c r="CI76" s="210">
        <f ca="1">MIN(ice_elem_cap,TblMili[[#This Row],[Raw (2)]]*ice_elem_bonus)</f>
        <v>0.1</v>
      </c>
      <c r="CJ76" s="278">
        <f t="shared" si="3"/>
        <v>0.83333333333333337</v>
      </c>
      <c r="CK76" s="278">
        <f ca="1">MIN(nox_nightshade_cap,TblConstr[[#This Row],[Homeland]]/TblConstr[[#This Row],[Land]]/nox_nightshade_swamp_bonus)</f>
        <v>4</v>
      </c>
      <c r="CL76" s="278">
        <f ca="1">MIN(TblConstr[[#This Row],[Tot Tow]]/TblConstr[[#This Row],[Land]]/abyss_enforce_bonus,abyss_enforcer_cap)</f>
        <v>0</v>
      </c>
      <c r="CM76" s="278">
        <f ca="1">IF(TblMagic[[#This Row],[Active Demonic Pact]]&gt;0,MIN(TblMili[[#This Row],[Unit 1]],TblMili[[#This Row],[Unit 4]])*demonic_pact_oppair,0)</f>
        <v>0</v>
      </c>
      <c r="CN76" s="279"/>
      <c r="CO76" s="279"/>
      <c r="CP76" s="279"/>
      <c r="CQ76" s="278">
        <f ca="1">MIN(6,TblMili[[#This Row],[Mystic]]+Races!$F$19)*1.8 +  IF(TblMili[[#This Row],[Mystic]]+Races!$F$19&gt;6,(TblMili[[#This Row],[Mystic]]+Races!$F$19-6)*0.2,0) - Races!$I$19</f>
        <v>1</v>
      </c>
      <c r="CR76" s="278">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209">
        <f ca="1">TblMili[[#This Row],[Mystic bonus]]*TblMili[[#This Row],[Unit 3]]+TblMili[[#This Row],[Druid bonus]]*TblMili[[#This Row],[Unit 4]]</f>
        <v>0</v>
      </c>
      <c r="CT76" s="280">
        <f ca="1">MIN(6,TblMili[[#This Row],[Dryad]]+Races!$F$35)*1.8 +  IF(TblMili[[#This Row],[Dryad]]+Races!$F$35&gt;6,(TblMili[[#This Row],[Dryad]]+Races!$F$35-6)*0.2,0) - Races!$I$19</f>
        <v>-0.64000000000000057</v>
      </c>
      <c r="CU76" s="209">
        <f ca="1">sylvan*(TblMili[[#This Row],[Mystic bonus]]*TblMili[[#This Row],[Unit 3]])</f>
        <v>0</v>
      </c>
      <c r="CV76" s="280">
        <f ca="1">1.8 * MIN(MAX(Races!$E$27,TblMili[[#This Row],[Rockapult]]+Races!$F$27),6)  +  0.45 * MIN(MIN(Races!$E$27,TblMili[[#This Row],[Rockapult]]+Races!$F$27),6)  +  0.2 * ( MAX(Races!$E$27-6,0) + MAX(TblMili[[#This Row],[Rockapult]]+Races!$F$27-6,0) )  -  Races!$I$20</f>
        <v>3.7000000000000011</v>
      </c>
      <c r="CW76" s="209">
        <f ca="1">gnome*(TblMili[[#This Row],[Rockapult bonus]]*TblMili[[#This Row],[Unit 3]])</f>
        <v>0</v>
      </c>
      <c r="CX76" s="280">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209">
        <f ca="1">dark_elf*(TblMili[[#This Row],[Adept bonus]]*TblMili[[#This Row],[Unit 3]])</f>
        <v>0</v>
      </c>
      <c r="CZ76" s="280">
        <f ca="1">1.8 * MIN(MAX(TblMili[[#This Row],[Frost Mage]]+Races!$F$71,Races!$E$71),6)  +  0.45 * MIN(MIN(TblMili[[#This Row],[Frost Mage]]+Races!$F$71,Races!$E$71),6)  +  0.2 * ( MAX(TblMili[[#This Row],[Frost Mage]]+Races!$F$71-6,0) + MAX(Races!$E$71-6,0) )  -  Races!$I$71</f>
        <v>4.7099999999999991</v>
      </c>
      <c r="DA76" s="280">
        <f ca="1">1.8 * MIN(MAX(TblMili[[#This Row],[Ice Elemental]]+Races!$E$71,Races!$F$71),6)  +  0.45 * MIN(MIN(TblMili[[#This Row],[Ice Elemental]]+Races!$E$71,Races!$F$71),6)  +  0.2 * ( MAX(TblMili[[#This Row],[Ice Elemental]]+Races!$E$71-6,0) + MAX(Races!$F$71-6,0) )  -  Races!$I$71</f>
        <v>0.92999999999999972</v>
      </c>
      <c r="DB76" s="209">
        <f ca="1">TblMili[[#This Row],[Frost Mage bonus]]*TblMili[[#This Row],[Unit 3]]+TblMili[[#This Row],[Ice Elemental bonus]]*TblMili[[#This Row],[Unit 4]]</f>
        <v>0</v>
      </c>
      <c r="DC76" s="281"/>
      <c r="DD76" s="152">
        <f ca="1">MIN(SUM(TblConstr[[#This Row],[Plain]:[Water]])/TblMili[[#This Row],[Land]]/favorable_terrain_bonus/100,favorable_terrain_max)</f>
        <v>0.1</v>
      </c>
      <c r="DE76" s="281"/>
      <c r="DF76" s="209">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6" s="151"/>
      <c r="DH76" s="282">
        <f ca="1">(TblMili[[#This Row],[Wizards]]+2*TblMili[[#This Row],[Archmages]])/TblConstr[[#This Row],[Land]]</f>
        <v>0.1</v>
      </c>
      <c r="DI76" s="282">
        <f ca="1">TblMili[[#This Row],[Raw (2)]]*(1+race_wizard_strength+IF(TblMili[[#This Row],[Hour]]&gt;72,tech_magical_weaponry_wiz*TblTech[[#This Row],[3-5]],0))</f>
        <v>0.1</v>
      </c>
    </row>
    <row r="77" spans="1:113" x14ac:dyDescent="0.2">
      <c r="A77" s="139">
        <f>TblRezone[[#This Row],[Hour]]</f>
        <v>74</v>
      </c>
      <c r="B77" s="260">
        <f ca="1">SUM(TblMili[[#This Row],[Unit 1]:[Archmages]])+SUM(OFFSET(TblMili[[#This Row],[Train Unit 1]],-8,0):TblMili[[#This Row],[Train Unit 2]]) + SUM(OFFSET(TblMili[[#This Row],[Train Unit 3]],-11,0):TblMili[[#This Row],[Train AM]]) + TblMili[[#This Row],[Draftees]]</f>
        <v>826</v>
      </c>
      <c r="C77" s="159">
        <f ca="1">TblPop[[#This Row],[Military%]]</f>
        <v>0.35029686174724345</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4"/>
      <c r="N77" s="96">
        <f ca="1">TblProd[[#This Row],[Networth]]</f>
        <v>6450</v>
      </c>
      <c r="O77" s="144"/>
      <c r="P7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1">
        <f ca="1">TblMili[[#This Row],[Raw]]*(1+TblMili[[#This Row],[Mods_Off]])</f>
        <v>0</v>
      </c>
      <c r="S7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7" s="261">
        <f ca="1">TblMili[[#This Row],[Non Draft]]+TblMili[[#This Row],[Draftees]]</f>
        <v>1076</v>
      </c>
      <c r="U77" s="262">
        <f ca="1">race_defense + TblImps[[#This Row],[Walls]] + ROUND( MIN(gt_bonus*TblConstr[[#This Row],[Tot GT]]/TblConstr[[#This Row],[Land]],gt_bonus_cap), 4) + IF(TblMagic[[#This Row],[Active Howling]]&gt;0,howling_dp_bonus,IF(TblMagic[[#This Row],[Active Ares Call]]&gt;0,ares_call_bonus))</f>
        <v>0</v>
      </c>
      <c r="V77" s="263">
        <f ca="1">TblMili[[#This Row],[Non Draft]] * (1 + TblMili[[#This Row],[Mods_Def]])</f>
        <v>450</v>
      </c>
      <c r="W77" s="261">
        <f ca="1">TblMili[[#This Row],[Draft]] * (1 + TblMili[[#This Row],[Mods_Def]])</f>
        <v>1076</v>
      </c>
      <c r="X77" s="261">
        <f ca="1">TblConstr[[#This Row],[Land]]</f>
        <v>250</v>
      </c>
      <c r="Y77" s="264"/>
      <c r="Z77" s="269">
        <f ca="1">IF(TblMili[[#This Row],[Set]]&lt;&gt;"",TblMili[[#This Row],[Set]],OFFSET(TblMili[[#This Row],[Draftrate]],-1,0))</f>
        <v>0.35</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6"/>
      <c r="AC77" s="182">
        <f ca="1">(TblConstr[[#This Row],[Tot Smi]]+TblConstr[[#This Row],[Dest Smi]])/(TblConstr[[#This Row],[Land]]-TblExplore[[#This Row],[Land Bonus]]*20)</f>
        <v>0</v>
      </c>
      <c r="AD77" s="139"/>
      <c r="AE77" s="260">
        <f>TblMili[[#This Row],[Hour]]</f>
        <v>74</v>
      </c>
      <c r="AF77" s="140">
        <f ca="1">TblExplore[[#This Row],[Time]]</f>
        <v>45735.04166666649</v>
      </c>
      <c r="AG77" s="181"/>
      <c r="AH77" s="160"/>
      <c r="AI77" s="181"/>
      <c r="AJ77" s="181"/>
      <c r="AK77" s="181"/>
      <c r="AL77" s="181"/>
      <c r="AM77" s="181"/>
      <c r="AN77" s="181"/>
      <c r="AO77" s="448">
        <f ca="1">ROUND(IF(AND(TblMagic[[#This Row],[Active DnD]]&lt;12,TblMagic[[#This Row],[Active DnD]]&gt;5),OFFSET(TblPop[[#This Row],[Draft Growth]],-1,0)*0.375,0),0)</f>
        <v>0</v>
      </c>
      <c r="AP77" s="144"/>
      <c r="AQ77" s="96">
        <f ca="1">TblProd[[#This Row],[Platinum]]</f>
        <v>521356</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45735.04166666649</v>
      </c>
      <c r="AW77" s="96">
        <f ca="1">TblMili[[#This Row],[Draftees]]</f>
        <v>626</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0.44</v>
      </c>
      <c r="BX77" s="159">
        <f ca="1">TblMili[[#This Row],[WG''s]]</f>
        <v>0</v>
      </c>
      <c r="BY77" s="265">
        <f ca="1">IF(mystic_cap="none",TblMili[[#This Row],[Homeland%]]/mystic_bonus,MIN(mystic_cap,TblMili[[#This Row],[Homeland%]]/mystic_bonus))</f>
        <v>2</v>
      </c>
      <c r="BZ77" s="265">
        <f ca="1">IF(druid_op_cap="none",TblMili[[#This Row],[Homeland%]]/druid_op_bonus,MIN(druid_op_cap,TblMili[[#This Row],[Homeland%]]/druid_op_bonus))</f>
        <v>2</v>
      </c>
      <c r="CA77" s="265">
        <f ca="1">IF(druid_dp_cap="none",TblMili[[#This Row],[Homeland%]]/druid_dp_bonus,MIN(druid_dp_cap,TblMili[[#This Row],[Homeland%]]/druid_dp_bonus))</f>
        <v>2</v>
      </c>
      <c r="CB77" s="265">
        <f ca="1">MIN(dryad_cap,TblMili[[#This Row],[Homeland%]]/dryad_bonus)</f>
        <v>2.1999999999999997</v>
      </c>
      <c r="CC77" s="265">
        <f ca="1">MIN(rocka_cap,TblMili[[#This Row],[Homeland%]]/rocka_bonus)</f>
        <v>2</v>
      </c>
      <c r="CD77" s="265">
        <f ca="1">MIN(adept_op_cap,TblMili[[#This Row],[WG]]/adept_op_bonus)</f>
        <v>0</v>
      </c>
      <c r="CE77" s="265">
        <f ca="1">MIN(adept_dp_cap,TblMili[[#This Row],[WG]]/adept_dp_bonus)</f>
        <v>0</v>
      </c>
      <c r="CF77" s="96">
        <f ca="1">MIN(TblMili[[#This Row],[Unit 3]],TblMili[[#This Row],[Unit 2]])*2</f>
        <v>0</v>
      </c>
      <c r="CG77" s="96">
        <f ca="1">MIN(TblMili[[#This Row],[Unit 1]],TblMili[[#This Row],[Unit 4]])*2</f>
        <v>0</v>
      </c>
      <c r="CH77" s="265">
        <f ca="1">MIN(frost_mage_cap,TblMili[[#This Row],[Homeland%]]/frost_mage_bonus)</f>
        <v>2.1999999999999997</v>
      </c>
      <c r="CI77" s="45">
        <f ca="1">MIN(ice_elem_cap,TblMili[[#This Row],[Raw (2)]]*ice_elem_bonus)</f>
        <v>0.1</v>
      </c>
      <c r="CJ77" s="265">
        <f t="shared" si="3"/>
        <v>0.83333333333333337</v>
      </c>
      <c r="CK77" s="265">
        <f ca="1">MIN(nox_nightshade_cap,TblConstr[[#This Row],[Homeland]]/TblConstr[[#This Row],[Land]]/nox_nightshade_swamp_bonus)</f>
        <v>4</v>
      </c>
      <c r="CL77" s="265">
        <f ca="1">MIN(TblConstr[[#This Row],[Tot Tow]]/TblConstr[[#This Row],[Land]]/abyss_enforce_bonus,abyss_enforcer_cap)</f>
        <v>0</v>
      </c>
      <c r="CM77" s="265">
        <f ca="1">IF(TblMagic[[#This Row],[Active Demonic Pact]]&gt;0,MIN(TblMili[[#This Row],[Unit 1]],TblMili[[#This Row],[Unit 4]])*demonic_pact_oppair,0)</f>
        <v>0</v>
      </c>
      <c r="CN77" s="266"/>
      <c r="CO77" s="266"/>
      <c r="CP77" s="266"/>
      <c r="CQ77" s="265">
        <f ca="1">MIN(6,TblMili[[#This Row],[Mystic]]+Races!$F$19)*1.8 +  IF(TblMili[[#This Row],[Mystic]]+Races!$F$19&gt;6,(TblMili[[#This Row],[Mystic]]+Races!$F$19-6)*0.2,0) - Races!$I$19</f>
        <v>1</v>
      </c>
      <c r="CR7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-0.64000000000000057</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4.7099999999999991</v>
      </c>
      <c r="DA77" s="157">
        <f ca="1">1.8 * MIN(MAX(TblMili[[#This Row],[Ice Elemental]]+Races!$E$71,Races!$F$71),6)  +  0.45 * MIN(MIN(TblMili[[#This Row],[Ice Elemental]]+Races!$E$71,Races!$F$71),6)  +  0.2 * ( MAX(TblMili[[#This Row],[Ice Elemental]]+Races!$E$71-6,0) + MAX(Races!$F$71-6,0) )  -  Races!$I$71</f>
        <v>0.92999999999999972</v>
      </c>
      <c r="DB77" s="96">
        <f ca="1">TblMili[[#This Row],[Frost Mage bonus]]*TblMili[[#This Row],[Unit 3]]+TblMili[[#This Row],[Ice Elemental bonus]]*TblMili[[#This Row],[Unit 4]]</f>
        <v>0</v>
      </c>
      <c r="DC77" s="267"/>
      <c r="DD77" s="145">
        <f ca="1">MIN(SUM(TblConstr[[#This Row],[Plain]:[Water]])/TblMili[[#This Row],[Land]]/favorable_terrain_bonus/100,favorable_terrain_max)</f>
        <v>0.1</v>
      </c>
      <c r="DE77" s="267"/>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7" s="144"/>
      <c r="DH77" s="268">
        <f ca="1">(TblMili[[#This Row],[Wizards]]+2*TblMili[[#This Row],[Archmages]])/TblConstr[[#This Row],[Land]]</f>
        <v>0.1</v>
      </c>
      <c r="DI77" s="268">
        <f ca="1">TblMili[[#This Row],[Raw (2)]]*(1+race_wizard_strength+IF(TblMili[[#This Row],[Hour]]&gt;72,tech_magical_weaponry_wiz*TblTech[[#This Row],[3-5]],0))</f>
        <v>0.1</v>
      </c>
    </row>
    <row r="78" spans="1:113" x14ac:dyDescent="0.2">
      <c r="A78" s="139">
        <f>TblRezone[[#This Row],[Hour]]</f>
        <v>75</v>
      </c>
      <c r="B78" s="260">
        <f ca="1">SUM(TblMili[[#This Row],[Unit 1]:[Archmages]])+SUM(OFFSET(TblMili[[#This Row],[Train Unit 1]],-8,0):TblMili[[#This Row],[Train Unit 2]]) + SUM(OFFSET(TblMili[[#This Row],[Train Unit 3]],-11,0):TblMili[[#This Row],[Train AM]]) + TblMili[[#This Row],[Draftees]]</f>
        <v>826</v>
      </c>
      <c r="C78" s="159">
        <f ca="1">TblPop[[#This Row],[Military%]]</f>
        <v>0.35029686174724345</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4"/>
      <c r="N78" s="96">
        <f ca="1">TblProd[[#This Row],[Networth]]</f>
        <v>6450</v>
      </c>
      <c r="O78" s="144"/>
      <c r="P7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1">
        <f ca="1">TblMili[[#This Row],[Raw]]*(1+TblMili[[#This Row],[Mods_Off]])</f>
        <v>0</v>
      </c>
      <c r="S7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8" s="261">
        <f ca="1">TblMili[[#This Row],[Non Draft]]+TblMili[[#This Row],[Draftees]]</f>
        <v>1076</v>
      </c>
      <c r="U78" s="262">
        <f ca="1">race_defense + TblImps[[#This Row],[Walls]] + ROUND( MIN(gt_bonus*TblConstr[[#This Row],[Tot GT]]/TblConstr[[#This Row],[Land]],gt_bonus_cap), 4) + IF(TblMagic[[#This Row],[Active Howling]]&gt;0,howling_dp_bonus,IF(TblMagic[[#This Row],[Active Ares Call]]&gt;0,ares_call_bonus))</f>
        <v>0</v>
      </c>
      <c r="V78" s="263">
        <f ca="1">TblMili[[#This Row],[Non Draft]] * (1 + TblMili[[#This Row],[Mods_Def]])</f>
        <v>450</v>
      </c>
      <c r="W78" s="261">
        <f ca="1">TblMili[[#This Row],[Draft]] * (1 + TblMili[[#This Row],[Mods_Def]])</f>
        <v>1076</v>
      </c>
      <c r="X78" s="261">
        <f ca="1">TblConstr[[#This Row],[Land]]</f>
        <v>250</v>
      </c>
      <c r="Y78" s="264"/>
      <c r="Z78" s="269">
        <f ca="1">IF(TblMili[[#This Row],[Set]]&lt;&gt;"",TblMili[[#This Row],[Set]],OFFSET(TblMili[[#This Row],[Draftrate]],-1,0))</f>
        <v>0.35</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6"/>
      <c r="AC78" s="182">
        <f ca="1">(TblConstr[[#This Row],[Tot Smi]]+TblConstr[[#This Row],[Dest Smi]])/(TblConstr[[#This Row],[Land]]-TblExplore[[#This Row],[Land Bonus]]*20)</f>
        <v>0</v>
      </c>
      <c r="AD78" s="139"/>
      <c r="AE78" s="260">
        <f>TblMili[[#This Row],[Hour]]</f>
        <v>75</v>
      </c>
      <c r="AF78" s="140">
        <f ca="1">TblExplore[[#This Row],[Time]]</f>
        <v>45735.083333333154</v>
      </c>
      <c r="AG78" s="181"/>
      <c r="AH78" s="160"/>
      <c r="AI78" s="181"/>
      <c r="AJ78" s="181"/>
      <c r="AK78" s="181"/>
      <c r="AL78" s="181"/>
      <c r="AM78" s="181"/>
      <c r="AN78" s="181"/>
      <c r="AO78" s="448">
        <f ca="1">ROUND(IF(AND(TblMagic[[#This Row],[Active DnD]]&lt;12,TblMagic[[#This Row],[Active DnD]]&gt;5),OFFSET(TblPop[[#This Row],[Draft Growth]],-1,0)*0.375,0),0)</f>
        <v>0</v>
      </c>
      <c r="AP78" s="144"/>
      <c r="AQ78" s="96">
        <f ca="1">TblProd[[#This Row],[Platinum]]</f>
        <v>526842</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45735.083333333154</v>
      </c>
      <c r="AW78" s="96">
        <f ca="1">TblMili[[#This Row],[Draftees]]</f>
        <v>626</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0.44</v>
      </c>
      <c r="BX78" s="159">
        <f ca="1">TblMili[[#This Row],[WG''s]]</f>
        <v>0</v>
      </c>
      <c r="BY78" s="265">
        <f ca="1">IF(mystic_cap="none",TblMili[[#This Row],[Homeland%]]/mystic_bonus,MIN(mystic_cap,TblMili[[#This Row],[Homeland%]]/mystic_bonus))</f>
        <v>2</v>
      </c>
      <c r="BZ78" s="265">
        <f ca="1">IF(druid_op_cap="none",TblMili[[#This Row],[Homeland%]]/druid_op_bonus,MIN(druid_op_cap,TblMili[[#This Row],[Homeland%]]/druid_op_bonus))</f>
        <v>2</v>
      </c>
      <c r="CA78" s="265">
        <f ca="1">IF(druid_dp_cap="none",TblMili[[#This Row],[Homeland%]]/druid_dp_bonus,MIN(druid_dp_cap,TblMili[[#This Row],[Homeland%]]/druid_dp_bonus))</f>
        <v>2</v>
      </c>
      <c r="CB78" s="265">
        <f ca="1">MIN(dryad_cap,TblMili[[#This Row],[Homeland%]]/dryad_bonus)</f>
        <v>2.1999999999999997</v>
      </c>
      <c r="CC78" s="265">
        <f ca="1">MIN(rocka_cap,TblMili[[#This Row],[Homeland%]]/rocka_bonus)</f>
        <v>2</v>
      </c>
      <c r="CD78" s="265">
        <f ca="1">MIN(adept_op_cap,TblMili[[#This Row],[WG]]/adept_op_bonus)</f>
        <v>0</v>
      </c>
      <c r="CE78" s="265">
        <f ca="1">MIN(adept_dp_cap,TblMili[[#This Row],[WG]]/adept_dp_bonus)</f>
        <v>0</v>
      </c>
      <c r="CF78" s="96">
        <f ca="1">MIN(TblMili[[#This Row],[Unit 3]],TblMili[[#This Row],[Unit 2]])*2</f>
        <v>0</v>
      </c>
      <c r="CG78" s="96">
        <f ca="1">MIN(TblMili[[#This Row],[Unit 1]],TblMili[[#This Row],[Unit 4]])*2</f>
        <v>0</v>
      </c>
      <c r="CH78" s="265">
        <f ca="1">MIN(frost_mage_cap,TblMili[[#This Row],[Homeland%]]/frost_mage_bonus)</f>
        <v>2.1999999999999997</v>
      </c>
      <c r="CI78" s="45">
        <f ca="1">MIN(ice_elem_cap,TblMili[[#This Row],[Raw (2)]]*ice_elem_bonus)</f>
        <v>0.1</v>
      </c>
      <c r="CJ78" s="265">
        <f t="shared" si="3"/>
        <v>0.83333333333333337</v>
      </c>
      <c r="CK78" s="265">
        <f ca="1">MIN(nox_nightshade_cap,TblConstr[[#This Row],[Homeland]]/TblConstr[[#This Row],[Land]]/nox_nightshade_swamp_bonus)</f>
        <v>4</v>
      </c>
      <c r="CL78" s="265">
        <f ca="1">MIN(TblConstr[[#This Row],[Tot Tow]]/TblConstr[[#This Row],[Land]]/abyss_enforce_bonus,abyss_enforcer_cap)</f>
        <v>0</v>
      </c>
      <c r="CM78" s="265">
        <f ca="1">IF(TblMagic[[#This Row],[Active Demonic Pact]]&gt;0,MIN(TblMili[[#This Row],[Unit 1]],TblMili[[#This Row],[Unit 4]])*demonic_pact_oppair,0)</f>
        <v>0</v>
      </c>
      <c r="CN78" s="266"/>
      <c r="CO78" s="266"/>
      <c r="CP78" s="266"/>
      <c r="CQ78" s="265">
        <f ca="1">MIN(6,TblMili[[#This Row],[Mystic]]+Races!$F$19)*1.8 +  IF(TblMili[[#This Row],[Mystic]]+Races!$F$19&gt;6,(TblMili[[#This Row],[Mystic]]+Races!$F$19-6)*0.2,0) - Races!$I$19</f>
        <v>1</v>
      </c>
      <c r="CR7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-0.64000000000000057</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4.7099999999999991</v>
      </c>
      <c r="DA78" s="157">
        <f ca="1">1.8 * MIN(MAX(TblMili[[#This Row],[Ice Elemental]]+Races!$E$71,Races!$F$71),6)  +  0.45 * MIN(MIN(TblMili[[#This Row],[Ice Elemental]]+Races!$E$71,Races!$F$71),6)  +  0.2 * ( MAX(TblMili[[#This Row],[Ice Elemental]]+Races!$E$71-6,0) + MAX(Races!$F$71-6,0) )  -  Races!$I$71</f>
        <v>0.92999999999999972</v>
      </c>
      <c r="DB78" s="96">
        <f ca="1">TblMili[[#This Row],[Frost Mage bonus]]*TblMili[[#This Row],[Unit 3]]+TblMili[[#This Row],[Ice Elemental bonus]]*TblMili[[#This Row],[Unit 4]]</f>
        <v>0</v>
      </c>
      <c r="DC78" s="267"/>
      <c r="DD78" s="145">
        <f ca="1">MIN(SUM(TblConstr[[#This Row],[Plain]:[Water]])/TblMili[[#This Row],[Land]]/favorable_terrain_bonus/100,favorable_terrain_max)</f>
        <v>0.1</v>
      </c>
      <c r="DE78" s="267"/>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8" s="144"/>
      <c r="DH78" s="268">
        <f ca="1">(TblMili[[#This Row],[Wizards]]+2*TblMili[[#This Row],[Archmages]])/TblConstr[[#This Row],[Land]]</f>
        <v>0.1</v>
      </c>
      <c r="DI78" s="268">
        <f ca="1">TblMili[[#This Row],[Raw (2)]]*(1+race_wizard_strength+IF(TblMili[[#This Row],[Hour]]&gt;72,tech_magical_weaponry_wiz*TblTech[[#This Row],[3-5]],0))</f>
        <v>0.1</v>
      </c>
    </row>
    <row r="79" spans="1:113" x14ac:dyDescent="0.2">
      <c r="A79" s="139">
        <f>TblRezone[[#This Row],[Hour]]</f>
        <v>76</v>
      </c>
      <c r="B79" s="260">
        <f ca="1">SUM(TblMili[[#This Row],[Unit 1]:[Archmages]])+SUM(OFFSET(TblMili[[#This Row],[Train Unit 1]],-8,0):TblMili[[#This Row],[Train Unit 2]]) + SUM(OFFSET(TblMili[[#This Row],[Train Unit 3]],-11,0):TblMili[[#This Row],[Train AM]]) + TblMili[[#This Row],[Draftees]]</f>
        <v>826</v>
      </c>
      <c r="C79" s="159">
        <f ca="1">TblPop[[#This Row],[Military%]]</f>
        <v>0.35029686174724345</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4"/>
      <c r="N79" s="96">
        <f ca="1">TblProd[[#This Row],[Networth]]</f>
        <v>6450</v>
      </c>
      <c r="O79" s="144"/>
      <c r="P7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1">
        <f ca="1">TblMili[[#This Row],[Raw]]*(1+TblMili[[#This Row],[Mods_Off]])</f>
        <v>0</v>
      </c>
      <c r="S7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9" s="261">
        <f ca="1">TblMili[[#This Row],[Non Draft]]+TblMili[[#This Row],[Draftees]]</f>
        <v>1076</v>
      </c>
      <c r="U79" s="262">
        <f ca="1">race_defense + TblImps[[#This Row],[Walls]] + ROUND( MIN(gt_bonus*TblConstr[[#This Row],[Tot GT]]/TblConstr[[#This Row],[Land]],gt_bonus_cap), 4) + IF(TblMagic[[#This Row],[Active Howling]]&gt;0,howling_dp_bonus,IF(TblMagic[[#This Row],[Active Ares Call]]&gt;0,ares_call_bonus))</f>
        <v>0</v>
      </c>
      <c r="V79" s="263">
        <f ca="1">TblMili[[#This Row],[Non Draft]] * (1 + TblMili[[#This Row],[Mods_Def]])</f>
        <v>450</v>
      </c>
      <c r="W79" s="261">
        <f ca="1">TblMili[[#This Row],[Draft]] * (1 + TblMili[[#This Row],[Mods_Def]])</f>
        <v>1076</v>
      </c>
      <c r="X79" s="261">
        <f ca="1">TblConstr[[#This Row],[Land]]</f>
        <v>250</v>
      </c>
      <c r="Y79" s="264"/>
      <c r="Z79" s="269">
        <f ca="1">IF(TblMili[[#This Row],[Set]]&lt;&gt;"",TblMili[[#This Row],[Set]],OFFSET(TblMili[[#This Row],[Draftrate]],-1,0))</f>
        <v>0.35</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6"/>
      <c r="AC79" s="182">
        <f ca="1">(TblConstr[[#This Row],[Tot Smi]]+TblConstr[[#This Row],[Dest Smi]])/(TblConstr[[#This Row],[Land]]-TblExplore[[#This Row],[Land Bonus]]*20)</f>
        <v>0</v>
      </c>
      <c r="AD79" s="139"/>
      <c r="AE79" s="260">
        <f>TblMili[[#This Row],[Hour]]</f>
        <v>76</v>
      </c>
      <c r="AF79" s="140">
        <f ca="1">TblExplore[[#This Row],[Time]]</f>
        <v>45735.124999999818</v>
      </c>
      <c r="AG79" s="181"/>
      <c r="AH79" s="181"/>
      <c r="AI79" s="181"/>
      <c r="AJ79" s="181"/>
      <c r="AK79" s="181"/>
      <c r="AL79" s="181"/>
      <c r="AM79" s="181"/>
      <c r="AN79" s="181"/>
      <c r="AO79" s="448">
        <f ca="1">ROUND(IF(AND(TblMagic[[#This Row],[Active DnD]]&lt;12,TblMagic[[#This Row],[Active DnD]]&gt;5),OFFSET(TblPop[[#This Row],[Draft Growth]],-1,0)*0.375,0),0)</f>
        <v>0</v>
      </c>
      <c r="AP79" s="144"/>
      <c r="AQ79" s="96">
        <f ca="1">TblProd[[#This Row],[Platinum]]</f>
        <v>532328</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45735.124999999818</v>
      </c>
      <c r="AW79" s="96">
        <f ca="1">TblMili[[#This Row],[Draftees]]</f>
        <v>626</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0.44</v>
      </c>
      <c r="BX79" s="159">
        <f ca="1">TblMili[[#This Row],[WG''s]]</f>
        <v>0</v>
      </c>
      <c r="BY79" s="265">
        <f ca="1">IF(mystic_cap="none",TblMili[[#This Row],[Homeland%]]/mystic_bonus,MIN(mystic_cap,TblMili[[#This Row],[Homeland%]]/mystic_bonus))</f>
        <v>2</v>
      </c>
      <c r="BZ79" s="265">
        <f ca="1">IF(druid_op_cap="none",TblMili[[#This Row],[Homeland%]]/druid_op_bonus,MIN(druid_op_cap,TblMili[[#This Row],[Homeland%]]/druid_op_bonus))</f>
        <v>2</v>
      </c>
      <c r="CA79" s="265">
        <f ca="1">IF(druid_dp_cap="none",TblMili[[#This Row],[Homeland%]]/druid_dp_bonus,MIN(druid_dp_cap,TblMili[[#This Row],[Homeland%]]/druid_dp_bonus))</f>
        <v>2</v>
      </c>
      <c r="CB79" s="265">
        <f ca="1">MIN(dryad_cap,TblMili[[#This Row],[Homeland%]]/dryad_bonus)</f>
        <v>2.1999999999999997</v>
      </c>
      <c r="CC79" s="265">
        <f ca="1">MIN(rocka_cap,TblMili[[#This Row],[Homeland%]]/rocka_bonus)</f>
        <v>2</v>
      </c>
      <c r="CD79" s="265">
        <f ca="1">MIN(adept_op_cap,TblMili[[#This Row],[WG]]/adept_op_bonus)</f>
        <v>0</v>
      </c>
      <c r="CE79" s="265">
        <f ca="1">MIN(adept_dp_cap,TblMili[[#This Row],[WG]]/adept_dp_bonus)</f>
        <v>0</v>
      </c>
      <c r="CF79" s="96">
        <f ca="1">MIN(TblMili[[#This Row],[Unit 3]],TblMili[[#This Row],[Unit 2]])*2</f>
        <v>0</v>
      </c>
      <c r="CG79" s="96">
        <f ca="1">MIN(TblMili[[#This Row],[Unit 1]],TblMili[[#This Row],[Unit 4]])*2</f>
        <v>0</v>
      </c>
      <c r="CH79" s="265">
        <f ca="1">MIN(frost_mage_cap,TblMili[[#This Row],[Homeland%]]/frost_mage_bonus)</f>
        <v>2.1999999999999997</v>
      </c>
      <c r="CI79" s="45">
        <f ca="1">MIN(ice_elem_cap,TblMili[[#This Row],[Raw (2)]]*ice_elem_bonus)</f>
        <v>0.1</v>
      </c>
      <c r="CJ79" s="265">
        <f t="shared" si="3"/>
        <v>0.83333333333333337</v>
      </c>
      <c r="CK79" s="265">
        <f ca="1">MIN(nox_nightshade_cap,TblConstr[[#This Row],[Homeland]]/TblConstr[[#This Row],[Land]]/nox_nightshade_swamp_bonus)</f>
        <v>4</v>
      </c>
      <c r="CL79" s="265">
        <f ca="1">MIN(TblConstr[[#This Row],[Tot Tow]]/TblConstr[[#This Row],[Land]]/abyss_enforce_bonus,abyss_enforcer_cap)</f>
        <v>0</v>
      </c>
      <c r="CM79" s="265">
        <f ca="1">IF(TblMagic[[#This Row],[Active Demonic Pact]]&gt;0,MIN(TblMili[[#This Row],[Unit 1]],TblMili[[#This Row],[Unit 4]])*demonic_pact_oppair,0)</f>
        <v>0</v>
      </c>
      <c r="CN79" s="266"/>
      <c r="CO79" s="266"/>
      <c r="CP79" s="266"/>
      <c r="CQ79" s="265">
        <f ca="1">MIN(6,TblMili[[#This Row],[Mystic]]+Races!$F$19)*1.8 +  IF(TblMili[[#This Row],[Mystic]]+Races!$F$19&gt;6,(TblMili[[#This Row],[Mystic]]+Races!$F$19-6)*0.2,0) - Races!$I$19</f>
        <v>1</v>
      </c>
      <c r="CR7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-0.64000000000000057</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4.7099999999999991</v>
      </c>
      <c r="DA79" s="157">
        <f ca="1">1.8 * MIN(MAX(TblMili[[#This Row],[Ice Elemental]]+Races!$E$71,Races!$F$71),6)  +  0.45 * MIN(MIN(TblMili[[#This Row],[Ice Elemental]]+Races!$E$71,Races!$F$71),6)  +  0.2 * ( MAX(TblMili[[#This Row],[Ice Elemental]]+Races!$E$71-6,0) + MAX(Races!$F$71-6,0) )  -  Races!$I$71</f>
        <v>0.92999999999999972</v>
      </c>
      <c r="DB79" s="96">
        <f ca="1">TblMili[[#This Row],[Frost Mage bonus]]*TblMili[[#This Row],[Unit 3]]+TblMili[[#This Row],[Ice Elemental bonus]]*TblMili[[#This Row],[Unit 4]]</f>
        <v>0</v>
      </c>
      <c r="DC79" s="267"/>
      <c r="DD79" s="145">
        <f ca="1">MIN(SUM(TblConstr[[#This Row],[Plain]:[Water]])/TblMili[[#This Row],[Land]]/favorable_terrain_bonus/100,favorable_terrain_max)</f>
        <v>0.1</v>
      </c>
      <c r="DE79" s="267"/>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9" s="144"/>
      <c r="DH79" s="268">
        <f ca="1">(TblMili[[#This Row],[Wizards]]+2*TblMili[[#This Row],[Archmages]])/TblConstr[[#This Row],[Land]]</f>
        <v>0.1</v>
      </c>
      <c r="DI79" s="268">
        <f ca="1">TblMili[[#This Row],[Raw (2)]]*(1+race_wizard_strength+IF(TblMili[[#This Row],[Hour]]&gt;72,tech_magical_weaponry_wiz*TblTech[[#This Row],[3-5]],0))</f>
        <v>0.1</v>
      </c>
    </row>
    <row r="80" spans="1:113" x14ac:dyDescent="0.2">
      <c r="A80" s="139">
        <f>TblRezone[[#This Row],[Hour]]</f>
        <v>77</v>
      </c>
      <c r="B80" s="260">
        <f ca="1">SUM(TblMili[[#This Row],[Unit 1]:[Archmages]])+SUM(OFFSET(TblMili[[#This Row],[Train Unit 1]],-8,0):TblMili[[#This Row],[Train Unit 2]]) + SUM(OFFSET(TblMili[[#This Row],[Train Unit 3]],-11,0):TblMili[[#This Row],[Train AM]]) + TblMili[[#This Row],[Draftees]]</f>
        <v>826</v>
      </c>
      <c r="C80" s="159">
        <f ca="1">TblPop[[#This Row],[Military%]]</f>
        <v>0.35029686174724345</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4"/>
      <c r="N80" s="96">
        <f ca="1">TblProd[[#This Row],[Networth]]</f>
        <v>6450</v>
      </c>
      <c r="O80" s="144"/>
      <c r="P8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1">
        <f ca="1">TblMili[[#This Row],[Raw]]*(1+TblMili[[#This Row],[Mods_Off]])</f>
        <v>0</v>
      </c>
      <c r="S8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0" s="261">
        <f ca="1">TblMili[[#This Row],[Non Draft]]+TblMili[[#This Row],[Draftees]]</f>
        <v>1076</v>
      </c>
      <c r="U80" s="262">
        <f ca="1">race_defense + TblImps[[#This Row],[Walls]] + ROUND( MIN(gt_bonus*TblConstr[[#This Row],[Tot GT]]/TblConstr[[#This Row],[Land]],gt_bonus_cap), 4) + IF(TblMagic[[#This Row],[Active Howling]]&gt;0,howling_dp_bonus,IF(TblMagic[[#This Row],[Active Ares Call]]&gt;0,ares_call_bonus))</f>
        <v>0</v>
      </c>
      <c r="V80" s="263">
        <f ca="1">TblMili[[#This Row],[Non Draft]] * (1 + TblMili[[#This Row],[Mods_Def]])</f>
        <v>450</v>
      </c>
      <c r="W80" s="261">
        <f ca="1">TblMili[[#This Row],[Draft]] * (1 + TblMili[[#This Row],[Mods_Def]])</f>
        <v>1076</v>
      </c>
      <c r="X80" s="261">
        <f ca="1">TblConstr[[#This Row],[Land]]</f>
        <v>250</v>
      </c>
      <c r="Y80" s="264"/>
      <c r="Z80" s="269">
        <f ca="1">IF(TblMili[[#This Row],[Set]]&lt;&gt;"",TblMili[[#This Row],[Set]],OFFSET(TblMili[[#This Row],[Draftrate]],-1,0))</f>
        <v>0.35</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6"/>
      <c r="AC80" s="182">
        <f ca="1">(TblConstr[[#This Row],[Tot Smi]]+TblConstr[[#This Row],[Dest Smi]])/(TblConstr[[#This Row],[Land]]-TblExplore[[#This Row],[Land Bonus]]*20)</f>
        <v>0</v>
      </c>
      <c r="AD80" s="139"/>
      <c r="AE80" s="260">
        <f>TblMili[[#This Row],[Hour]]</f>
        <v>77</v>
      </c>
      <c r="AF80" s="140">
        <f ca="1">TblExplore[[#This Row],[Time]]</f>
        <v>45735.166666666482</v>
      </c>
      <c r="AG80" s="181"/>
      <c r="AH80" s="181"/>
      <c r="AI80" s="181"/>
      <c r="AJ80" s="181"/>
      <c r="AK80" s="181"/>
      <c r="AL80" s="181"/>
      <c r="AM80" s="181"/>
      <c r="AN80" s="181"/>
      <c r="AO80" s="448">
        <f ca="1">ROUND(IF(AND(TblMagic[[#This Row],[Active DnD]]&lt;12,TblMagic[[#This Row],[Active DnD]]&gt;5),OFFSET(TblPop[[#This Row],[Draft Growth]],-1,0)*0.375,0),0)</f>
        <v>0</v>
      </c>
      <c r="AP80" s="144"/>
      <c r="AQ80" s="96">
        <f ca="1">TblProd[[#This Row],[Platinum]]</f>
        <v>537814</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45735.166666666482</v>
      </c>
      <c r="AW80" s="96">
        <f ca="1">TblMili[[#This Row],[Draftees]]</f>
        <v>626</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0.44</v>
      </c>
      <c r="BX80" s="159">
        <f ca="1">TblMili[[#This Row],[WG''s]]</f>
        <v>0</v>
      </c>
      <c r="BY80" s="265">
        <f ca="1">IF(mystic_cap="none",TblMili[[#This Row],[Homeland%]]/mystic_bonus,MIN(mystic_cap,TblMili[[#This Row],[Homeland%]]/mystic_bonus))</f>
        <v>2</v>
      </c>
      <c r="BZ80" s="265">
        <f ca="1">IF(druid_op_cap="none",TblMili[[#This Row],[Homeland%]]/druid_op_bonus,MIN(druid_op_cap,TblMili[[#This Row],[Homeland%]]/druid_op_bonus))</f>
        <v>2</v>
      </c>
      <c r="CA80" s="265">
        <f ca="1">IF(druid_dp_cap="none",TblMili[[#This Row],[Homeland%]]/druid_dp_bonus,MIN(druid_dp_cap,TblMili[[#This Row],[Homeland%]]/druid_dp_bonus))</f>
        <v>2</v>
      </c>
      <c r="CB80" s="265">
        <f ca="1">MIN(dryad_cap,TblMili[[#This Row],[Homeland%]]/dryad_bonus)</f>
        <v>2.1999999999999997</v>
      </c>
      <c r="CC80" s="265">
        <f ca="1">MIN(rocka_cap,TblMili[[#This Row],[Homeland%]]/rocka_bonus)</f>
        <v>2</v>
      </c>
      <c r="CD80" s="265">
        <f ca="1">MIN(adept_op_cap,TblMili[[#This Row],[WG]]/adept_op_bonus)</f>
        <v>0</v>
      </c>
      <c r="CE80" s="265">
        <f ca="1">MIN(adept_dp_cap,TblMili[[#This Row],[WG]]/adept_dp_bonus)</f>
        <v>0</v>
      </c>
      <c r="CF80" s="96">
        <f ca="1">MIN(TblMili[[#This Row],[Unit 3]],TblMili[[#This Row],[Unit 2]])*2</f>
        <v>0</v>
      </c>
      <c r="CG80" s="96">
        <f ca="1">MIN(TblMili[[#This Row],[Unit 1]],TblMili[[#This Row],[Unit 4]])*2</f>
        <v>0</v>
      </c>
      <c r="CH80" s="265">
        <f ca="1">MIN(frost_mage_cap,TblMili[[#This Row],[Homeland%]]/frost_mage_bonus)</f>
        <v>2.1999999999999997</v>
      </c>
      <c r="CI80" s="45">
        <f ca="1">MIN(ice_elem_cap,TblMili[[#This Row],[Raw (2)]]*ice_elem_bonus)</f>
        <v>0.1</v>
      </c>
      <c r="CJ80" s="265">
        <f t="shared" si="3"/>
        <v>0.83333333333333337</v>
      </c>
      <c r="CK80" s="265">
        <f ca="1">MIN(nox_nightshade_cap,TblConstr[[#This Row],[Homeland]]/TblConstr[[#This Row],[Land]]/nox_nightshade_swamp_bonus)</f>
        <v>4</v>
      </c>
      <c r="CL80" s="265">
        <f ca="1">MIN(TblConstr[[#This Row],[Tot Tow]]/TblConstr[[#This Row],[Land]]/abyss_enforce_bonus,abyss_enforcer_cap)</f>
        <v>0</v>
      </c>
      <c r="CM80" s="265">
        <f ca="1">IF(TblMagic[[#This Row],[Active Demonic Pact]]&gt;0,MIN(TblMili[[#This Row],[Unit 1]],TblMili[[#This Row],[Unit 4]])*demonic_pact_oppair,0)</f>
        <v>0</v>
      </c>
      <c r="CN80" s="266"/>
      <c r="CO80" s="266"/>
      <c r="CP80" s="266"/>
      <c r="CQ80" s="265">
        <f ca="1">MIN(6,TblMili[[#This Row],[Mystic]]+Races!$F$19)*1.8 +  IF(TblMili[[#This Row],[Mystic]]+Races!$F$19&gt;6,(TblMili[[#This Row],[Mystic]]+Races!$F$19-6)*0.2,0) - Races!$I$19</f>
        <v>1</v>
      </c>
      <c r="CR8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-0.64000000000000057</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4.7099999999999991</v>
      </c>
      <c r="DA80" s="157">
        <f ca="1">1.8 * MIN(MAX(TblMili[[#This Row],[Ice Elemental]]+Races!$E$71,Races!$F$71),6)  +  0.45 * MIN(MIN(TblMili[[#This Row],[Ice Elemental]]+Races!$E$71,Races!$F$71),6)  +  0.2 * ( MAX(TblMili[[#This Row],[Ice Elemental]]+Races!$E$71-6,0) + MAX(Races!$F$71-6,0) )  -  Races!$I$71</f>
        <v>0.92999999999999972</v>
      </c>
      <c r="DB80" s="96">
        <f ca="1">TblMili[[#This Row],[Frost Mage bonus]]*TblMili[[#This Row],[Unit 3]]+TblMili[[#This Row],[Ice Elemental bonus]]*TblMili[[#This Row],[Unit 4]]</f>
        <v>0</v>
      </c>
      <c r="DC80" s="267"/>
      <c r="DD80" s="145">
        <f ca="1">MIN(SUM(TblConstr[[#This Row],[Plain]:[Water]])/TblMili[[#This Row],[Land]]/favorable_terrain_bonus/100,favorable_terrain_max)</f>
        <v>0.1</v>
      </c>
      <c r="DE80" s="267"/>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0" s="144"/>
      <c r="DH80" s="268">
        <f ca="1">(TblMili[[#This Row],[Wizards]]+2*TblMili[[#This Row],[Archmages]])/TblConstr[[#This Row],[Land]]</f>
        <v>0.1</v>
      </c>
      <c r="DI80" s="268">
        <f ca="1">TblMili[[#This Row],[Raw (2)]]*(1+race_wizard_strength+IF(TblMili[[#This Row],[Hour]]&gt;72,tech_magical_weaponry_wiz*TblTech[[#This Row],[3-5]],0))</f>
        <v>0.1</v>
      </c>
    </row>
    <row r="81" spans="1:113" x14ac:dyDescent="0.2">
      <c r="A81" s="139">
        <f>TblRezone[[#This Row],[Hour]]</f>
        <v>78</v>
      </c>
      <c r="B81" s="260">
        <f ca="1">SUM(TblMili[[#This Row],[Unit 1]:[Archmages]])+SUM(OFFSET(TblMili[[#This Row],[Train Unit 1]],-8,0):TblMili[[#This Row],[Train Unit 2]]) + SUM(OFFSET(TblMili[[#This Row],[Train Unit 3]],-11,0):TblMili[[#This Row],[Train AM]]) + TblMili[[#This Row],[Draftees]]</f>
        <v>826</v>
      </c>
      <c r="C81" s="159">
        <f ca="1">TblPop[[#This Row],[Military%]]</f>
        <v>0.35029686174724345</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4"/>
      <c r="N81" s="96">
        <f ca="1">TblProd[[#This Row],[Networth]]</f>
        <v>6450</v>
      </c>
      <c r="O81" s="144"/>
      <c r="P8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1">
        <f ca="1">TblMili[[#This Row],[Raw]]*(1+TblMili[[#This Row],[Mods_Off]])</f>
        <v>0</v>
      </c>
      <c r="S8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1" s="261">
        <f ca="1">TblMili[[#This Row],[Non Draft]]+TblMili[[#This Row],[Draftees]]</f>
        <v>1076</v>
      </c>
      <c r="U81" s="262">
        <f ca="1">race_defense + TblImps[[#This Row],[Walls]] + ROUND( MIN(gt_bonus*TblConstr[[#This Row],[Tot GT]]/TblConstr[[#This Row],[Land]],gt_bonus_cap), 4) + IF(TblMagic[[#This Row],[Active Howling]]&gt;0,howling_dp_bonus,IF(TblMagic[[#This Row],[Active Ares Call]]&gt;0,ares_call_bonus))</f>
        <v>0</v>
      </c>
      <c r="V81" s="263">
        <f ca="1">TblMili[[#This Row],[Non Draft]] * (1 + TblMili[[#This Row],[Mods_Def]])</f>
        <v>450</v>
      </c>
      <c r="W81" s="261">
        <f ca="1">TblMili[[#This Row],[Draft]] * (1 + TblMili[[#This Row],[Mods_Def]])</f>
        <v>1076</v>
      </c>
      <c r="X81" s="261">
        <f ca="1">TblConstr[[#This Row],[Land]]</f>
        <v>250</v>
      </c>
      <c r="Y81" s="264"/>
      <c r="Z81" s="269">
        <f ca="1">IF(TblMili[[#This Row],[Set]]&lt;&gt;"",TblMili[[#This Row],[Set]],OFFSET(TblMili[[#This Row],[Draftrate]],-1,0))</f>
        <v>0.35</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6"/>
      <c r="AC81" s="182">
        <f ca="1">(TblConstr[[#This Row],[Tot Smi]]+TblConstr[[#This Row],[Dest Smi]])/(TblConstr[[#This Row],[Land]]-TblExplore[[#This Row],[Land Bonus]]*20)</f>
        <v>0</v>
      </c>
      <c r="AD81" s="139"/>
      <c r="AE81" s="260">
        <f>TblMili[[#This Row],[Hour]]</f>
        <v>78</v>
      </c>
      <c r="AF81" s="140">
        <f ca="1">TblExplore[[#This Row],[Time]]</f>
        <v>45735.208333333147</v>
      </c>
      <c r="AG81" s="181"/>
      <c r="AH81" s="181"/>
      <c r="AI81" s="181"/>
      <c r="AJ81" s="181"/>
      <c r="AK81" s="181"/>
      <c r="AL81" s="181"/>
      <c r="AM81" s="181"/>
      <c r="AN81" s="181"/>
      <c r="AO81" s="448">
        <f ca="1">ROUND(IF(AND(TblMagic[[#This Row],[Active DnD]]&lt;12,TblMagic[[#This Row],[Active DnD]]&gt;5),OFFSET(TblPop[[#This Row],[Draft Growth]],-1,0)*0.375,0),0)</f>
        <v>0</v>
      </c>
      <c r="AP81" s="144"/>
      <c r="AQ81" s="96">
        <f ca="1">TblProd[[#This Row],[Platinum]]</f>
        <v>543300</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45735.208333333147</v>
      </c>
      <c r="AW81" s="96">
        <f ca="1">TblMili[[#This Row],[Draftees]]</f>
        <v>626</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0.44</v>
      </c>
      <c r="BX81" s="159">
        <f ca="1">TblMili[[#This Row],[WG''s]]</f>
        <v>0</v>
      </c>
      <c r="BY81" s="265">
        <f ca="1">IF(mystic_cap="none",TblMili[[#This Row],[Homeland%]]/mystic_bonus,MIN(mystic_cap,TblMili[[#This Row],[Homeland%]]/mystic_bonus))</f>
        <v>2</v>
      </c>
      <c r="BZ81" s="265">
        <f ca="1">IF(druid_op_cap="none",TblMili[[#This Row],[Homeland%]]/druid_op_bonus,MIN(druid_op_cap,TblMili[[#This Row],[Homeland%]]/druid_op_bonus))</f>
        <v>2</v>
      </c>
      <c r="CA81" s="265">
        <f ca="1">IF(druid_dp_cap="none",TblMili[[#This Row],[Homeland%]]/druid_dp_bonus,MIN(druid_dp_cap,TblMili[[#This Row],[Homeland%]]/druid_dp_bonus))</f>
        <v>2</v>
      </c>
      <c r="CB81" s="265">
        <f ca="1">MIN(dryad_cap,TblMili[[#This Row],[Homeland%]]/dryad_bonus)</f>
        <v>2.1999999999999997</v>
      </c>
      <c r="CC81" s="265">
        <f ca="1">MIN(rocka_cap,TblMili[[#This Row],[Homeland%]]/rocka_bonus)</f>
        <v>2</v>
      </c>
      <c r="CD81" s="265">
        <f ca="1">MIN(adept_op_cap,TblMili[[#This Row],[WG]]/adept_op_bonus)</f>
        <v>0</v>
      </c>
      <c r="CE81" s="265">
        <f ca="1">MIN(adept_dp_cap,TblMili[[#This Row],[WG]]/adept_dp_bonus)</f>
        <v>0</v>
      </c>
      <c r="CF81" s="96">
        <f ca="1">MIN(TblMili[[#This Row],[Unit 3]],TblMili[[#This Row],[Unit 2]])*2</f>
        <v>0</v>
      </c>
      <c r="CG81" s="96">
        <f ca="1">MIN(TblMili[[#This Row],[Unit 1]],TblMili[[#This Row],[Unit 4]])*2</f>
        <v>0</v>
      </c>
      <c r="CH81" s="265">
        <f ca="1">MIN(frost_mage_cap,TblMili[[#This Row],[Homeland%]]/frost_mage_bonus)</f>
        <v>2.1999999999999997</v>
      </c>
      <c r="CI81" s="45">
        <f ca="1">MIN(ice_elem_cap,TblMili[[#This Row],[Raw (2)]]*ice_elem_bonus)</f>
        <v>0.1</v>
      </c>
      <c r="CJ81" s="265">
        <f t="shared" si="3"/>
        <v>0.83333333333333337</v>
      </c>
      <c r="CK81" s="265">
        <f ca="1">MIN(nox_nightshade_cap,TblConstr[[#This Row],[Homeland]]/TblConstr[[#This Row],[Land]]/nox_nightshade_swamp_bonus)</f>
        <v>4</v>
      </c>
      <c r="CL81" s="265">
        <f ca="1">MIN(TblConstr[[#This Row],[Tot Tow]]/TblConstr[[#This Row],[Land]]/abyss_enforce_bonus,abyss_enforcer_cap)</f>
        <v>0</v>
      </c>
      <c r="CM81" s="265">
        <f ca="1">IF(TblMagic[[#This Row],[Active Demonic Pact]]&gt;0,MIN(TblMili[[#This Row],[Unit 1]],TblMili[[#This Row],[Unit 4]])*demonic_pact_oppair,0)</f>
        <v>0</v>
      </c>
      <c r="CN81" s="266"/>
      <c r="CO81" s="266"/>
      <c r="CP81" s="266"/>
      <c r="CQ81" s="265">
        <f ca="1">MIN(6,TblMili[[#This Row],[Mystic]]+Races!$F$19)*1.8 +  IF(TblMili[[#This Row],[Mystic]]+Races!$F$19&gt;6,(TblMili[[#This Row],[Mystic]]+Races!$F$19-6)*0.2,0) - Races!$I$19</f>
        <v>1</v>
      </c>
      <c r="CR8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-0.64000000000000057</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4.7099999999999991</v>
      </c>
      <c r="DA81" s="157">
        <f ca="1">1.8 * MIN(MAX(TblMili[[#This Row],[Ice Elemental]]+Races!$E$71,Races!$F$71),6)  +  0.45 * MIN(MIN(TblMili[[#This Row],[Ice Elemental]]+Races!$E$71,Races!$F$71),6)  +  0.2 * ( MAX(TblMili[[#This Row],[Ice Elemental]]+Races!$E$71-6,0) + MAX(Races!$F$71-6,0) )  -  Races!$I$71</f>
        <v>0.92999999999999972</v>
      </c>
      <c r="DB81" s="96">
        <f ca="1">TblMili[[#This Row],[Frost Mage bonus]]*TblMili[[#This Row],[Unit 3]]+TblMili[[#This Row],[Ice Elemental bonus]]*TblMili[[#This Row],[Unit 4]]</f>
        <v>0</v>
      </c>
      <c r="DC81" s="267"/>
      <c r="DD81" s="145">
        <f ca="1">MIN(SUM(TblConstr[[#This Row],[Plain]:[Water]])/TblMili[[#This Row],[Land]]/favorable_terrain_bonus/100,favorable_terrain_max)</f>
        <v>0.1</v>
      </c>
      <c r="DE81" s="267"/>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1" s="144"/>
      <c r="DH81" s="268">
        <f ca="1">(TblMili[[#This Row],[Wizards]]+2*TblMili[[#This Row],[Archmages]])/TblConstr[[#This Row],[Land]]</f>
        <v>0.1</v>
      </c>
      <c r="DI81" s="268">
        <f ca="1">TblMili[[#This Row],[Raw (2)]]*(1+race_wizard_strength+IF(TblMili[[#This Row],[Hour]]&gt;72,tech_magical_weaponry_wiz*TblTech[[#This Row],[3-5]],0))</f>
        <v>0.1</v>
      </c>
    </row>
    <row r="82" spans="1:113" x14ac:dyDescent="0.2">
      <c r="A82" s="139">
        <f>TblRezone[[#This Row],[Hour]]</f>
        <v>79</v>
      </c>
      <c r="B82" s="260">
        <f ca="1">SUM(TblMili[[#This Row],[Unit 1]:[Archmages]])+SUM(OFFSET(TblMili[[#This Row],[Train Unit 1]],-8,0):TblMili[[#This Row],[Train Unit 2]]) + SUM(OFFSET(TblMili[[#This Row],[Train Unit 3]],-11,0):TblMili[[#This Row],[Train AM]]) + TblMili[[#This Row],[Draftees]]</f>
        <v>826</v>
      </c>
      <c r="C82" s="159">
        <f ca="1">TblPop[[#This Row],[Military%]]</f>
        <v>0.35029686174724345</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4"/>
      <c r="N82" s="96">
        <f ca="1">TblProd[[#This Row],[Networth]]</f>
        <v>6450</v>
      </c>
      <c r="O82" s="144"/>
      <c r="P8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1">
        <f ca="1">TblMili[[#This Row],[Raw]]*(1+TblMili[[#This Row],[Mods_Off]])</f>
        <v>0</v>
      </c>
      <c r="S8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2" s="261">
        <f ca="1">TblMili[[#This Row],[Non Draft]]+TblMili[[#This Row],[Draftees]]</f>
        <v>1076</v>
      </c>
      <c r="U82" s="262">
        <f ca="1">race_defense + TblImps[[#This Row],[Walls]] + ROUND( MIN(gt_bonus*TblConstr[[#This Row],[Tot GT]]/TblConstr[[#This Row],[Land]],gt_bonus_cap), 4) + IF(TblMagic[[#This Row],[Active Howling]]&gt;0,howling_dp_bonus,IF(TblMagic[[#This Row],[Active Ares Call]]&gt;0,ares_call_bonus))</f>
        <v>0</v>
      </c>
      <c r="V82" s="263">
        <f ca="1">TblMili[[#This Row],[Non Draft]] * (1 + TblMili[[#This Row],[Mods_Def]])</f>
        <v>450</v>
      </c>
      <c r="W82" s="261">
        <f ca="1">TblMili[[#This Row],[Draft]] * (1 + TblMili[[#This Row],[Mods_Def]])</f>
        <v>1076</v>
      </c>
      <c r="X82" s="261">
        <f ca="1">TblConstr[[#This Row],[Land]]</f>
        <v>250</v>
      </c>
      <c r="Y82" s="264"/>
      <c r="Z82" s="269">
        <f ca="1">IF(TblMili[[#This Row],[Set]]&lt;&gt;"",TblMili[[#This Row],[Set]],OFFSET(TblMili[[#This Row],[Draftrate]],-1,0))</f>
        <v>0.35</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6"/>
      <c r="AC82" s="182">
        <f ca="1">(TblConstr[[#This Row],[Tot Smi]]+TblConstr[[#This Row],[Dest Smi]])/(TblConstr[[#This Row],[Land]]-TblExplore[[#This Row],[Land Bonus]]*20)</f>
        <v>0</v>
      </c>
      <c r="AD82" s="139"/>
      <c r="AE82" s="260">
        <f>TblMili[[#This Row],[Hour]]</f>
        <v>79</v>
      </c>
      <c r="AF82" s="140">
        <f ca="1">TblExplore[[#This Row],[Time]]</f>
        <v>45735.249999999811</v>
      </c>
      <c r="AG82" s="181"/>
      <c r="AH82" s="181"/>
      <c r="AI82" s="181"/>
      <c r="AJ82" s="181"/>
      <c r="AK82" s="181"/>
      <c r="AL82" s="181"/>
      <c r="AM82" s="181"/>
      <c r="AN82" s="181"/>
      <c r="AO82" s="448">
        <f ca="1">ROUND(IF(AND(TblMagic[[#This Row],[Active DnD]]&lt;12,TblMagic[[#This Row],[Active DnD]]&gt;5),OFFSET(TblPop[[#This Row],[Draft Growth]],-1,0)*0.375,0),0)</f>
        <v>0</v>
      </c>
      <c r="AP82" s="144"/>
      <c r="AQ82" s="96">
        <f ca="1">TblProd[[#This Row],[Platinum]]</f>
        <v>548786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45735.249999999811</v>
      </c>
      <c r="AW82" s="96">
        <f ca="1">TblMili[[#This Row],[Draftees]]</f>
        <v>626</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0.44</v>
      </c>
      <c r="BX82" s="159">
        <f ca="1">TblMili[[#This Row],[WG''s]]</f>
        <v>0</v>
      </c>
      <c r="BY82" s="265">
        <f ca="1">IF(mystic_cap="none",TblMili[[#This Row],[Homeland%]]/mystic_bonus,MIN(mystic_cap,TblMili[[#This Row],[Homeland%]]/mystic_bonus))</f>
        <v>2</v>
      </c>
      <c r="BZ82" s="265">
        <f ca="1">IF(druid_op_cap="none",TblMili[[#This Row],[Homeland%]]/druid_op_bonus,MIN(druid_op_cap,TblMili[[#This Row],[Homeland%]]/druid_op_bonus))</f>
        <v>2</v>
      </c>
      <c r="CA82" s="265">
        <f ca="1">IF(druid_dp_cap="none",TblMili[[#This Row],[Homeland%]]/druid_dp_bonus,MIN(druid_dp_cap,TblMili[[#This Row],[Homeland%]]/druid_dp_bonus))</f>
        <v>2</v>
      </c>
      <c r="CB82" s="265">
        <f ca="1">MIN(dryad_cap,TblMili[[#This Row],[Homeland%]]/dryad_bonus)</f>
        <v>2.1999999999999997</v>
      </c>
      <c r="CC82" s="265">
        <f ca="1">MIN(rocka_cap,TblMili[[#This Row],[Homeland%]]/rocka_bonus)</f>
        <v>2</v>
      </c>
      <c r="CD82" s="265">
        <f ca="1">MIN(adept_op_cap,TblMili[[#This Row],[WG]]/adept_op_bonus)</f>
        <v>0</v>
      </c>
      <c r="CE82" s="265">
        <f ca="1">MIN(adept_dp_cap,TblMili[[#This Row],[WG]]/adept_dp_bonus)</f>
        <v>0</v>
      </c>
      <c r="CF82" s="96">
        <f ca="1">MIN(TblMili[[#This Row],[Unit 3]],TblMili[[#This Row],[Unit 2]])*2</f>
        <v>0</v>
      </c>
      <c r="CG82" s="96">
        <f ca="1">MIN(TblMili[[#This Row],[Unit 1]],TblMili[[#This Row],[Unit 4]])*2</f>
        <v>0</v>
      </c>
      <c r="CH82" s="265">
        <f ca="1">MIN(frost_mage_cap,TblMili[[#This Row],[Homeland%]]/frost_mage_bonus)</f>
        <v>2.1999999999999997</v>
      </c>
      <c r="CI82" s="45">
        <f ca="1">MIN(ice_elem_cap,TblMili[[#This Row],[Raw (2)]]*ice_elem_bonus)</f>
        <v>0.1</v>
      </c>
      <c r="CJ82" s="265">
        <f t="shared" si="3"/>
        <v>0.83333333333333337</v>
      </c>
      <c r="CK82" s="265">
        <f ca="1">MIN(nox_nightshade_cap,TblConstr[[#This Row],[Homeland]]/TblConstr[[#This Row],[Land]]/nox_nightshade_swamp_bonus)</f>
        <v>4</v>
      </c>
      <c r="CL82" s="265">
        <f ca="1">MIN(TblConstr[[#This Row],[Tot Tow]]/TblConstr[[#This Row],[Land]]/abyss_enforce_bonus,abyss_enforcer_cap)</f>
        <v>0</v>
      </c>
      <c r="CM82" s="265">
        <f ca="1">IF(TblMagic[[#This Row],[Active Demonic Pact]]&gt;0,MIN(TblMili[[#This Row],[Unit 1]],TblMili[[#This Row],[Unit 4]])*demonic_pact_oppair,0)</f>
        <v>0</v>
      </c>
      <c r="CN82" s="266"/>
      <c r="CO82" s="266"/>
      <c r="CP82" s="266"/>
      <c r="CQ82" s="265">
        <f ca="1">MIN(6,TblMili[[#This Row],[Mystic]]+Races!$F$19)*1.8 +  IF(TblMili[[#This Row],[Mystic]]+Races!$F$19&gt;6,(TblMili[[#This Row],[Mystic]]+Races!$F$19-6)*0.2,0) - Races!$I$19</f>
        <v>1</v>
      </c>
      <c r="CR8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-0.64000000000000057</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4.7099999999999991</v>
      </c>
      <c r="DA82" s="157">
        <f ca="1">1.8 * MIN(MAX(TblMili[[#This Row],[Ice Elemental]]+Races!$E$71,Races!$F$71),6)  +  0.45 * MIN(MIN(TblMili[[#This Row],[Ice Elemental]]+Races!$E$71,Races!$F$71),6)  +  0.2 * ( MAX(TblMili[[#This Row],[Ice Elemental]]+Races!$E$71-6,0) + MAX(Races!$F$71-6,0) )  -  Races!$I$71</f>
        <v>0.92999999999999972</v>
      </c>
      <c r="DB82" s="96">
        <f ca="1">TblMili[[#This Row],[Frost Mage bonus]]*TblMili[[#This Row],[Unit 3]]+TblMili[[#This Row],[Ice Elemental bonus]]*TblMili[[#This Row],[Unit 4]]</f>
        <v>0</v>
      </c>
      <c r="DC82" s="267"/>
      <c r="DD82" s="145">
        <f ca="1">MIN(SUM(TblConstr[[#This Row],[Plain]:[Water]])/TblMili[[#This Row],[Land]]/favorable_terrain_bonus/100,favorable_terrain_max)</f>
        <v>0.1</v>
      </c>
      <c r="DE82" s="267"/>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2" s="144"/>
      <c r="DH82" s="268">
        <f ca="1">(TblMili[[#This Row],[Wizards]]+2*TblMili[[#This Row],[Archmages]])/TblConstr[[#This Row],[Land]]</f>
        <v>0.1</v>
      </c>
      <c r="DI82" s="268">
        <f ca="1">TblMili[[#This Row],[Raw (2)]]*(1+race_wizard_strength+IF(TblMili[[#This Row],[Hour]]&gt;72,tech_magical_weaponry_wiz*TblTech[[#This Row],[3-5]],0))</f>
        <v>0.1</v>
      </c>
    </row>
    <row r="83" spans="1:113" x14ac:dyDescent="0.2">
      <c r="A83" s="139">
        <f>TblRezone[[#This Row],[Hour]]</f>
        <v>80</v>
      </c>
      <c r="B83" s="260">
        <f ca="1">SUM(TblMili[[#This Row],[Unit 1]:[Archmages]])+SUM(OFFSET(TblMili[[#This Row],[Train Unit 1]],-8,0):TblMili[[#This Row],[Train Unit 2]]) + SUM(OFFSET(TblMili[[#This Row],[Train Unit 3]],-11,0):TblMili[[#This Row],[Train AM]]) + TblMili[[#This Row],[Draftees]]</f>
        <v>826</v>
      </c>
      <c r="C83" s="159">
        <f ca="1">TblPop[[#This Row],[Military%]]</f>
        <v>0.35029686174724345</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4"/>
      <c r="N83" s="96">
        <f ca="1">TblProd[[#This Row],[Networth]]</f>
        <v>6450</v>
      </c>
      <c r="O83" s="144"/>
      <c r="P8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1">
        <f ca="1">TblMili[[#This Row],[Raw]]*(1+TblMili[[#This Row],[Mods_Off]])</f>
        <v>0</v>
      </c>
      <c r="S8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3" s="261">
        <f ca="1">TblMili[[#This Row],[Non Draft]]+TblMili[[#This Row],[Draftees]]</f>
        <v>1076</v>
      </c>
      <c r="U83" s="262">
        <f ca="1">race_defense + TblImps[[#This Row],[Walls]] + ROUND( MIN(gt_bonus*TblConstr[[#This Row],[Tot GT]]/TblConstr[[#This Row],[Land]],gt_bonus_cap), 4) + IF(TblMagic[[#This Row],[Active Howling]]&gt;0,howling_dp_bonus,IF(TblMagic[[#This Row],[Active Ares Call]]&gt;0,ares_call_bonus))</f>
        <v>0</v>
      </c>
      <c r="V83" s="263">
        <f ca="1">TblMili[[#This Row],[Non Draft]] * (1 + TblMili[[#This Row],[Mods_Def]])</f>
        <v>450</v>
      </c>
      <c r="W83" s="261">
        <f ca="1">TblMili[[#This Row],[Draft]] * (1 + TblMili[[#This Row],[Mods_Def]])</f>
        <v>1076</v>
      </c>
      <c r="X83" s="261">
        <f ca="1">TblConstr[[#This Row],[Land]]</f>
        <v>250</v>
      </c>
      <c r="Y83" s="264"/>
      <c r="Z83" s="269">
        <f ca="1">IF(TblMili[[#This Row],[Set]]&lt;&gt;"",TblMili[[#This Row],[Set]],OFFSET(TblMili[[#This Row],[Draftrate]],-1,0))</f>
        <v>0.35</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6"/>
      <c r="AC83" s="182">
        <f ca="1">(TblConstr[[#This Row],[Tot Smi]]+TblConstr[[#This Row],[Dest Smi]])/(TblConstr[[#This Row],[Land]]-TblExplore[[#This Row],[Land Bonus]]*20)</f>
        <v>0</v>
      </c>
      <c r="AD83" s="139"/>
      <c r="AE83" s="260">
        <f>TblMili[[#This Row],[Hour]]</f>
        <v>80</v>
      </c>
      <c r="AF83" s="140">
        <f ca="1">TblExplore[[#This Row],[Time]]</f>
        <v>45735.291666666475</v>
      </c>
      <c r="AG83" s="181"/>
      <c r="AH83" s="181"/>
      <c r="AI83" s="181"/>
      <c r="AJ83" s="181"/>
      <c r="AK83" s="181"/>
      <c r="AL83" s="181"/>
      <c r="AM83" s="181"/>
      <c r="AN83" s="181"/>
      <c r="AO83" s="448">
        <f ca="1">ROUND(IF(AND(TblMagic[[#This Row],[Active DnD]]&lt;12,TblMagic[[#This Row],[Active DnD]]&gt;5),OFFSET(TblPop[[#This Row],[Draft Growth]],-1,0)*0.375,0),0)</f>
        <v>0</v>
      </c>
      <c r="AP83" s="144"/>
      <c r="AQ83" s="96">
        <f ca="1">TblProd[[#This Row],[Platinum]]</f>
        <v>554272</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45735.291666666475</v>
      </c>
      <c r="AW83" s="96">
        <f ca="1">TblMili[[#This Row],[Draftees]]</f>
        <v>626</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0.44</v>
      </c>
      <c r="BX83" s="159">
        <f ca="1">TblMili[[#This Row],[WG''s]]</f>
        <v>0</v>
      </c>
      <c r="BY83" s="265">
        <f ca="1">IF(mystic_cap="none",TblMili[[#This Row],[Homeland%]]/mystic_bonus,MIN(mystic_cap,TblMili[[#This Row],[Homeland%]]/mystic_bonus))</f>
        <v>2</v>
      </c>
      <c r="BZ83" s="265">
        <f ca="1">IF(druid_op_cap="none",TblMili[[#This Row],[Homeland%]]/druid_op_bonus,MIN(druid_op_cap,TblMili[[#This Row],[Homeland%]]/druid_op_bonus))</f>
        <v>2</v>
      </c>
      <c r="CA83" s="265">
        <f ca="1">IF(druid_dp_cap="none",TblMili[[#This Row],[Homeland%]]/druid_dp_bonus,MIN(druid_dp_cap,TblMili[[#This Row],[Homeland%]]/druid_dp_bonus))</f>
        <v>2</v>
      </c>
      <c r="CB83" s="265">
        <f ca="1">MIN(dryad_cap,TblMili[[#This Row],[Homeland%]]/dryad_bonus)</f>
        <v>2.1999999999999997</v>
      </c>
      <c r="CC83" s="265">
        <f ca="1">MIN(rocka_cap,TblMili[[#This Row],[Homeland%]]/rocka_bonus)</f>
        <v>2</v>
      </c>
      <c r="CD83" s="265">
        <f ca="1">MIN(adept_op_cap,TblMili[[#This Row],[WG]]/adept_op_bonus)</f>
        <v>0</v>
      </c>
      <c r="CE83" s="265">
        <f ca="1">MIN(adept_dp_cap,TblMili[[#This Row],[WG]]/adept_dp_bonus)</f>
        <v>0</v>
      </c>
      <c r="CF83" s="96">
        <f ca="1">MIN(TblMili[[#This Row],[Unit 3]],TblMili[[#This Row],[Unit 2]])*2</f>
        <v>0</v>
      </c>
      <c r="CG83" s="96">
        <f ca="1">MIN(TblMili[[#This Row],[Unit 1]],TblMili[[#This Row],[Unit 4]])*2</f>
        <v>0</v>
      </c>
      <c r="CH83" s="265">
        <f ca="1">MIN(frost_mage_cap,TblMili[[#This Row],[Homeland%]]/frost_mage_bonus)</f>
        <v>2.1999999999999997</v>
      </c>
      <c r="CI83" s="45">
        <f ca="1">MIN(ice_elem_cap,TblMili[[#This Row],[Raw (2)]]*ice_elem_bonus)</f>
        <v>0.1</v>
      </c>
      <c r="CJ83" s="265">
        <f t="shared" si="3"/>
        <v>0.83333333333333337</v>
      </c>
      <c r="CK83" s="265">
        <f ca="1">MIN(nox_nightshade_cap,TblConstr[[#This Row],[Homeland]]/TblConstr[[#This Row],[Land]]/nox_nightshade_swamp_bonus)</f>
        <v>4</v>
      </c>
      <c r="CL83" s="265">
        <f ca="1">MIN(TblConstr[[#This Row],[Tot Tow]]/TblConstr[[#This Row],[Land]]/abyss_enforce_bonus,abyss_enforcer_cap)</f>
        <v>0</v>
      </c>
      <c r="CM83" s="265">
        <f ca="1">IF(TblMagic[[#This Row],[Active Demonic Pact]]&gt;0,MIN(TblMili[[#This Row],[Unit 1]],TblMili[[#This Row],[Unit 4]])*demonic_pact_oppair,0)</f>
        <v>0</v>
      </c>
      <c r="CN83" s="266"/>
      <c r="CO83" s="266"/>
      <c r="CP83" s="266"/>
      <c r="CQ83" s="265">
        <f ca="1">MIN(6,TblMili[[#This Row],[Mystic]]+Races!$F$19)*1.8 +  IF(TblMili[[#This Row],[Mystic]]+Races!$F$19&gt;6,(TblMili[[#This Row],[Mystic]]+Races!$F$19-6)*0.2,0) - Races!$I$19</f>
        <v>1</v>
      </c>
      <c r="CR8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-0.64000000000000057</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4.7099999999999991</v>
      </c>
      <c r="DA83" s="157">
        <f ca="1">1.8 * MIN(MAX(TblMili[[#This Row],[Ice Elemental]]+Races!$E$71,Races!$F$71),6)  +  0.45 * MIN(MIN(TblMili[[#This Row],[Ice Elemental]]+Races!$E$71,Races!$F$71),6)  +  0.2 * ( MAX(TblMili[[#This Row],[Ice Elemental]]+Races!$E$71-6,0) + MAX(Races!$F$71-6,0) )  -  Races!$I$71</f>
        <v>0.92999999999999972</v>
      </c>
      <c r="DB83" s="96">
        <f ca="1">TblMili[[#This Row],[Frost Mage bonus]]*TblMili[[#This Row],[Unit 3]]+TblMili[[#This Row],[Ice Elemental bonus]]*TblMili[[#This Row],[Unit 4]]</f>
        <v>0</v>
      </c>
      <c r="DC83" s="267"/>
      <c r="DD83" s="145">
        <f ca="1">MIN(SUM(TblConstr[[#This Row],[Plain]:[Water]])/TblMili[[#This Row],[Land]]/favorable_terrain_bonus/100,favorable_terrain_max)</f>
        <v>0.1</v>
      </c>
      <c r="DE83" s="267"/>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3" s="144"/>
      <c r="DH83" s="268">
        <f ca="1">(TblMili[[#This Row],[Wizards]]+2*TblMili[[#This Row],[Archmages]])/TblConstr[[#This Row],[Land]]</f>
        <v>0.1</v>
      </c>
      <c r="DI83" s="268">
        <f ca="1">TblMili[[#This Row],[Raw (2)]]*(1+race_wizard_strength+IF(TblMili[[#This Row],[Hour]]&gt;72,tech_magical_weaponry_wiz*TblTech[[#This Row],[3-5]],0))</f>
        <v>0.1</v>
      </c>
    </row>
    <row r="84" spans="1:113" x14ac:dyDescent="0.2">
      <c r="A84" s="139">
        <f>TblRezone[[#This Row],[Hour]]</f>
        <v>81</v>
      </c>
      <c r="B84" s="260">
        <f ca="1">SUM(TblMili[[#This Row],[Unit 1]:[Archmages]])+SUM(OFFSET(TblMili[[#This Row],[Train Unit 1]],-8,0):TblMili[[#This Row],[Train Unit 2]]) + SUM(OFFSET(TblMili[[#This Row],[Train Unit 3]],-11,0):TblMili[[#This Row],[Train AM]]) + TblMili[[#This Row],[Draftees]]</f>
        <v>826</v>
      </c>
      <c r="C84" s="159">
        <f ca="1">TblPop[[#This Row],[Military%]]</f>
        <v>0.35029686174724345</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4"/>
      <c r="N84" s="96">
        <f ca="1">TblProd[[#This Row],[Networth]]</f>
        <v>6450</v>
      </c>
      <c r="O84" s="144"/>
      <c r="P8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1">
        <f ca="1">TblMili[[#This Row],[Raw]]*(1+TblMili[[#This Row],[Mods_Off]])</f>
        <v>0</v>
      </c>
      <c r="S8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4" s="261">
        <f ca="1">TblMili[[#This Row],[Non Draft]]+TblMili[[#This Row],[Draftees]]</f>
        <v>1076</v>
      </c>
      <c r="U84" s="262">
        <f ca="1">race_defense + TblImps[[#This Row],[Walls]] + ROUND( MIN(gt_bonus*TblConstr[[#This Row],[Tot GT]]/TblConstr[[#This Row],[Land]],gt_bonus_cap), 4) + IF(TblMagic[[#This Row],[Active Howling]]&gt;0,howling_dp_bonus,IF(TblMagic[[#This Row],[Active Ares Call]]&gt;0,ares_call_bonus))</f>
        <v>0</v>
      </c>
      <c r="V84" s="263">
        <f ca="1">TblMili[[#This Row],[Non Draft]] * (1 + TblMili[[#This Row],[Mods_Def]])</f>
        <v>450</v>
      </c>
      <c r="W84" s="261">
        <f ca="1">TblMili[[#This Row],[Draft]] * (1 + TblMili[[#This Row],[Mods_Def]])</f>
        <v>1076</v>
      </c>
      <c r="X84" s="261">
        <f ca="1">TblConstr[[#This Row],[Land]]</f>
        <v>250</v>
      </c>
      <c r="Y84" s="264"/>
      <c r="Z84" s="269">
        <f ca="1">IF(TblMili[[#This Row],[Set]]&lt;&gt;"",TblMili[[#This Row],[Set]],OFFSET(TblMili[[#This Row],[Draftrate]],-1,0))</f>
        <v>0.35</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6"/>
      <c r="AC84" s="182">
        <f ca="1">(TblConstr[[#This Row],[Tot Smi]]+TblConstr[[#This Row],[Dest Smi]])/(TblConstr[[#This Row],[Land]]-TblExplore[[#This Row],[Land Bonus]]*20)</f>
        <v>0</v>
      </c>
      <c r="AD84" s="139"/>
      <c r="AE84" s="260">
        <f>TblMili[[#This Row],[Hour]]</f>
        <v>81</v>
      </c>
      <c r="AF84" s="140">
        <f ca="1">TblExplore[[#This Row],[Time]]</f>
        <v>45735.333333333139</v>
      </c>
      <c r="AG84" s="181"/>
      <c r="AH84" s="181"/>
      <c r="AI84" s="181"/>
      <c r="AJ84" s="181"/>
      <c r="AK84" s="181"/>
      <c r="AL84" s="181"/>
      <c r="AM84" s="181"/>
      <c r="AN84" s="181"/>
      <c r="AO84" s="448">
        <f ca="1">ROUND(IF(AND(TblMagic[[#This Row],[Active DnD]]&lt;12,TblMagic[[#This Row],[Active DnD]]&gt;5),OFFSET(TblPop[[#This Row],[Draft Growth]],-1,0)*0.375,0),0)</f>
        <v>0</v>
      </c>
      <c r="AP84" s="144"/>
      <c r="AQ84" s="96">
        <f ca="1">TblProd[[#This Row],[Platinum]]</f>
        <v>559758</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45735.333333333139</v>
      </c>
      <c r="AW84" s="96">
        <f ca="1">TblMili[[#This Row],[Draftees]]</f>
        <v>626</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0.44</v>
      </c>
      <c r="BX84" s="159">
        <f ca="1">TblMili[[#This Row],[WG''s]]</f>
        <v>0</v>
      </c>
      <c r="BY84" s="265">
        <f ca="1">IF(mystic_cap="none",TblMili[[#This Row],[Homeland%]]/mystic_bonus,MIN(mystic_cap,TblMili[[#This Row],[Homeland%]]/mystic_bonus))</f>
        <v>2</v>
      </c>
      <c r="BZ84" s="265">
        <f ca="1">IF(druid_op_cap="none",TblMili[[#This Row],[Homeland%]]/druid_op_bonus,MIN(druid_op_cap,TblMili[[#This Row],[Homeland%]]/druid_op_bonus))</f>
        <v>2</v>
      </c>
      <c r="CA84" s="265">
        <f ca="1">IF(druid_dp_cap="none",TblMili[[#This Row],[Homeland%]]/druid_dp_bonus,MIN(druid_dp_cap,TblMili[[#This Row],[Homeland%]]/druid_dp_bonus))</f>
        <v>2</v>
      </c>
      <c r="CB84" s="265">
        <f ca="1">MIN(dryad_cap,TblMili[[#This Row],[Homeland%]]/dryad_bonus)</f>
        <v>2.1999999999999997</v>
      </c>
      <c r="CC84" s="265">
        <f ca="1">MIN(rocka_cap,TblMili[[#This Row],[Homeland%]]/rocka_bonus)</f>
        <v>2</v>
      </c>
      <c r="CD84" s="265">
        <f ca="1">MIN(adept_op_cap,TblMili[[#This Row],[WG]]/adept_op_bonus)</f>
        <v>0</v>
      </c>
      <c r="CE84" s="265">
        <f ca="1">MIN(adept_dp_cap,TblMili[[#This Row],[WG]]/adept_dp_bonus)</f>
        <v>0</v>
      </c>
      <c r="CF84" s="96">
        <f ca="1">MIN(TblMili[[#This Row],[Unit 3]],TblMili[[#This Row],[Unit 2]])*2</f>
        <v>0</v>
      </c>
      <c r="CG84" s="96">
        <f ca="1">MIN(TblMili[[#This Row],[Unit 1]],TblMili[[#This Row],[Unit 4]])*2</f>
        <v>0</v>
      </c>
      <c r="CH84" s="265">
        <f ca="1">MIN(frost_mage_cap,TblMili[[#This Row],[Homeland%]]/frost_mage_bonus)</f>
        <v>2.1999999999999997</v>
      </c>
      <c r="CI84" s="45">
        <f ca="1">MIN(ice_elem_cap,TblMili[[#This Row],[Raw (2)]]*ice_elem_bonus)</f>
        <v>0.1</v>
      </c>
      <c r="CJ84" s="265">
        <f t="shared" si="3"/>
        <v>0.83333333333333337</v>
      </c>
      <c r="CK84" s="265">
        <f ca="1">MIN(nox_nightshade_cap,TblConstr[[#This Row],[Homeland]]/TblConstr[[#This Row],[Land]]/nox_nightshade_swamp_bonus)</f>
        <v>4</v>
      </c>
      <c r="CL84" s="265">
        <f ca="1">MIN(TblConstr[[#This Row],[Tot Tow]]/TblConstr[[#This Row],[Land]]/abyss_enforce_bonus,abyss_enforcer_cap)</f>
        <v>0</v>
      </c>
      <c r="CM84" s="265">
        <f ca="1">IF(TblMagic[[#This Row],[Active Demonic Pact]]&gt;0,MIN(TblMili[[#This Row],[Unit 1]],TblMili[[#This Row],[Unit 4]])*demonic_pact_oppair,0)</f>
        <v>0</v>
      </c>
      <c r="CN84" s="266"/>
      <c r="CO84" s="266"/>
      <c r="CP84" s="266"/>
      <c r="CQ84" s="265">
        <f ca="1">MIN(6,TblMili[[#This Row],[Mystic]]+Races!$F$19)*1.8 +  IF(TblMili[[#This Row],[Mystic]]+Races!$F$19&gt;6,(TblMili[[#This Row],[Mystic]]+Races!$F$19-6)*0.2,0) - Races!$I$19</f>
        <v>1</v>
      </c>
      <c r="CR8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-0.64000000000000057</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4.7099999999999991</v>
      </c>
      <c r="DA84" s="157">
        <f ca="1">1.8 * MIN(MAX(TblMili[[#This Row],[Ice Elemental]]+Races!$E$71,Races!$F$71),6)  +  0.45 * MIN(MIN(TblMili[[#This Row],[Ice Elemental]]+Races!$E$71,Races!$F$71),6)  +  0.2 * ( MAX(TblMili[[#This Row],[Ice Elemental]]+Races!$E$71-6,0) + MAX(Races!$F$71-6,0) )  -  Races!$I$71</f>
        <v>0.92999999999999972</v>
      </c>
      <c r="DB84" s="96">
        <f ca="1">TblMili[[#This Row],[Frost Mage bonus]]*TblMili[[#This Row],[Unit 3]]+TblMili[[#This Row],[Ice Elemental bonus]]*TblMili[[#This Row],[Unit 4]]</f>
        <v>0</v>
      </c>
      <c r="DC84" s="267"/>
      <c r="DD84" s="145">
        <f ca="1">MIN(SUM(TblConstr[[#This Row],[Plain]:[Water]])/TblMili[[#This Row],[Land]]/favorable_terrain_bonus/100,favorable_terrain_max)</f>
        <v>0.1</v>
      </c>
      <c r="DE84" s="267"/>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4" s="144"/>
      <c r="DH84" s="268">
        <f ca="1">(TblMili[[#This Row],[Wizards]]+2*TblMili[[#This Row],[Archmages]])/TblConstr[[#This Row],[Land]]</f>
        <v>0.1</v>
      </c>
      <c r="DI84" s="268">
        <f ca="1">TblMili[[#This Row],[Raw (2)]]*(1+race_wizard_strength+IF(TblMili[[#This Row],[Hour]]&gt;72,tech_magical_weaponry_wiz*TblTech[[#This Row],[3-5]],0))</f>
        <v>0.1</v>
      </c>
    </row>
    <row r="85" spans="1:113" x14ac:dyDescent="0.2">
      <c r="A85" s="139">
        <f>TblRezone[[#This Row],[Hour]]</f>
        <v>82</v>
      </c>
      <c r="B85" s="260">
        <f ca="1">SUM(TblMili[[#This Row],[Unit 1]:[Archmages]])+SUM(OFFSET(TblMili[[#This Row],[Train Unit 1]],-8,0):TblMili[[#This Row],[Train Unit 2]]) + SUM(OFFSET(TblMili[[#This Row],[Train Unit 3]],-11,0):TblMili[[#This Row],[Train AM]]) + TblMili[[#This Row],[Draftees]]</f>
        <v>826</v>
      </c>
      <c r="C85" s="159">
        <f ca="1">TblPop[[#This Row],[Military%]]</f>
        <v>0.35029686174724345</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4"/>
      <c r="N85" s="96">
        <f ca="1">TblProd[[#This Row],[Networth]]</f>
        <v>6450</v>
      </c>
      <c r="O85" s="144"/>
      <c r="P8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1">
        <f ca="1">TblMili[[#This Row],[Raw]]*(1+TblMili[[#This Row],[Mods_Off]])</f>
        <v>0</v>
      </c>
      <c r="S8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5" s="261">
        <f ca="1">TblMili[[#This Row],[Non Draft]]+TblMili[[#This Row],[Draftees]]</f>
        <v>1076</v>
      </c>
      <c r="U85" s="262">
        <f ca="1">race_defense + TblImps[[#This Row],[Walls]] + ROUND( MIN(gt_bonus*TblConstr[[#This Row],[Tot GT]]/TblConstr[[#This Row],[Land]],gt_bonus_cap), 4) + IF(TblMagic[[#This Row],[Active Howling]]&gt;0,howling_dp_bonus,IF(TblMagic[[#This Row],[Active Ares Call]]&gt;0,ares_call_bonus))</f>
        <v>0</v>
      </c>
      <c r="V85" s="263">
        <f ca="1">TblMili[[#This Row],[Non Draft]] * (1 + TblMili[[#This Row],[Mods_Def]])</f>
        <v>450</v>
      </c>
      <c r="W85" s="261">
        <f ca="1">TblMili[[#This Row],[Draft]] * (1 + TblMili[[#This Row],[Mods_Def]])</f>
        <v>1076</v>
      </c>
      <c r="X85" s="261">
        <f ca="1">TblConstr[[#This Row],[Land]]</f>
        <v>250</v>
      </c>
      <c r="Y85" s="264"/>
      <c r="Z85" s="269">
        <f ca="1">IF(TblMili[[#This Row],[Set]]&lt;&gt;"",TblMili[[#This Row],[Set]],OFFSET(TblMili[[#This Row],[Draftrate]],-1,0))</f>
        <v>0.35</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6"/>
      <c r="AC85" s="182">
        <f ca="1">(TblConstr[[#This Row],[Tot Smi]]+TblConstr[[#This Row],[Dest Smi]])/(TblConstr[[#This Row],[Land]]-TblExplore[[#This Row],[Land Bonus]]*20)</f>
        <v>0</v>
      </c>
      <c r="AD85" s="139"/>
      <c r="AE85" s="260">
        <f>TblMili[[#This Row],[Hour]]</f>
        <v>82</v>
      </c>
      <c r="AF85" s="140">
        <f ca="1">TblExplore[[#This Row],[Time]]</f>
        <v>45735.374999999804</v>
      </c>
      <c r="AG85" s="181"/>
      <c r="AH85" s="181"/>
      <c r="AI85" s="181"/>
      <c r="AJ85" s="181"/>
      <c r="AK85" s="181"/>
      <c r="AL85" s="181"/>
      <c r="AM85" s="181"/>
      <c r="AN85" s="181"/>
      <c r="AO85" s="448">
        <f ca="1">ROUND(IF(AND(TblMagic[[#This Row],[Active DnD]]&lt;12,TblMagic[[#This Row],[Active DnD]]&gt;5),OFFSET(TblPop[[#This Row],[Draft Growth]],-1,0)*0.375,0),0)</f>
        <v>0</v>
      </c>
      <c r="AP85" s="144"/>
      <c r="AQ85" s="96">
        <f ca="1">TblProd[[#This Row],[Platinum]]</f>
        <v>565244</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45735.374999999804</v>
      </c>
      <c r="AW85" s="96">
        <f ca="1">TblMili[[#This Row],[Draftees]]</f>
        <v>626</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0.44</v>
      </c>
      <c r="BX85" s="159">
        <f ca="1">TblMili[[#This Row],[WG''s]]</f>
        <v>0</v>
      </c>
      <c r="BY85" s="265">
        <f ca="1">IF(mystic_cap="none",TblMili[[#This Row],[Homeland%]]/mystic_bonus,MIN(mystic_cap,TblMili[[#This Row],[Homeland%]]/mystic_bonus))</f>
        <v>2</v>
      </c>
      <c r="BZ85" s="265">
        <f ca="1">IF(druid_op_cap="none",TblMili[[#This Row],[Homeland%]]/druid_op_bonus,MIN(druid_op_cap,TblMili[[#This Row],[Homeland%]]/druid_op_bonus))</f>
        <v>2</v>
      </c>
      <c r="CA85" s="265">
        <f ca="1">IF(druid_dp_cap="none",TblMili[[#This Row],[Homeland%]]/druid_dp_bonus,MIN(druid_dp_cap,TblMili[[#This Row],[Homeland%]]/druid_dp_bonus))</f>
        <v>2</v>
      </c>
      <c r="CB85" s="265">
        <f ca="1">MIN(dryad_cap,TblMili[[#This Row],[Homeland%]]/dryad_bonus)</f>
        <v>2.1999999999999997</v>
      </c>
      <c r="CC85" s="265">
        <f ca="1">MIN(rocka_cap,TblMili[[#This Row],[Homeland%]]/rocka_bonus)</f>
        <v>2</v>
      </c>
      <c r="CD85" s="265">
        <f ca="1">MIN(adept_op_cap,TblMili[[#This Row],[WG]]/adept_op_bonus)</f>
        <v>0</v>
      </c>
      <c r="CE85" s="265">
        <f ca="1">MIN(adept_dp_cap,TblMili[[#This Row],[WG]]/adept_dp_bonus)</f>
        <v>0</v>
      </c>
      <c r="CF85" s="96">
        <f ca="1">MIN(TblMili[[#This Row],[Unit 3]],TblMili[[#This Row],[Unit 2]])*2</f>
        <v>0</v>
      </c>
      <c r="CG85" s="96">
        <f ca="1">MIN(TblMili[[#This Row],[Unit 1]],TblMili[[#This Row],[Unit 4]])*2</f>
        <v>0</v>
      </c>
      <c r="CH85" s="265">
        <f ca="1">MIN(frost_mage_cap,TblMili[[#This Row],[Homeland%]]/frost_mage_bonus)</f>
        <v>2.1999999999999997</v>
      </c>
      <c r="CI85" s="45">
        <f ca="1">MIN(ice_elem_cap,TblMili[[#This Row],[Raw (2)]]*ice_elem_bonus)</f>
        <v>0.1</v>
      </c>
      <c r="CJ85" s="265">
        <f t="shared" si="3"/>
        <v>0.83333333333333337</v>
      </c>
      <c r="CK85" s="265">
        <f ca="1">MIN(nox_nightshade_cap,TblConstr[[#This Row],[Homeland]]/TblConstr[[#This Row],[Land]]/nox_nightshade_swamp_bonus)</f>
        <v>4</v>
      </c>
      <c r="CL85" s="265">
        <f ca="1">MIN(TblConstr[[#This Row],[Tot Tow]]/TblConstr[[#This Row],[Land]]/abyss_enforce_bonus,abyss_enforcer_cap)</f>
        <v>0</v>
      </c>
      <c r="CM85" s="265">
        <f ca="1">IF(TblMagic[[#This Row],[Active Demonic Pact]]&gt;0,MIN(TblMili[[#This Row],[Unit 1]],TblMili[[#This Row],[Unit 4]])*demonic_pact_oppair,0)</f>
        <v>0</v>
      </c>
      <c r="CN85" s="266"/>
      <c r="CO85" s="266"/>
      <c r="CP85" s="266"/>
      <c r="CQ85" s="265">
        <f ca="1">MIN(6,TblMili[[#This Row],[Mystic]]+Races!$F$19)*1.8 +  IF(TblMili[[#This Row],[Mystic]]+Races!$F$19&gt;6,(TblMili[[#This Row],[Mystic]]+Races!$F$19-6)*0.2,0) - Races!$I$19</f>
        <v>1</v>
      </c>
      <c r="CR8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-0.64000000000000057</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4.7099999999999991</v>
      </c>
      <c r="DA85" s="157">
        <f ca="1">1.8 * MIN(MAX(TblMili[[#This Row],[Ice Elemental]]+Races!$E$71,Races!$F$71),6)  +  0.45 * MIN(MIN(TblMili[[#This Row],[Ice Elemental]]+Races!$E$71,Races!$F$71),6)  +  0.2 * ( MAX(TblMili[[#This Row],[Ice Elemental]]+Races!$E$71-6,0) + MAX(Races!$F$71-6,0) )  -  Races!$I$71</f>
        <v>0.92999999999999972</v>
      </c>
      <c r="DB85" s="96">
        <f ca="1">TblMili[[#This Row],[Frost Mage bonus]]*TblMili[[#This Row],[Unit 3]]+TblMili[[#This Row],[Ice Elemental bonus]]*TblMili[[#This Row],[Unit 4]]</f>
        <v>0</v>
      </c>
      <c r="DC85" s="267"/>
      <c r="DD85" s="145">
        <f ca="1">MIN(SUM(TblConstr[[#This Row],[Plain]:[Water]])/TblMili[[#This Row],[Land]]/favorable_terrain_bonus/100,favorable_terrain_max)</f>
        <v>0.1</v>
      </c>
      <c r="DE85" s="267"/>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5" s="144"/>
      <c r="DH85" s="268">
        <f ca="1">(TblMili[[#This Row],[Wizards]]+2*TblMili[[#This Row],[Archmages]])/TblConstr[[#This Row],[Land]]</f>
        <v>0.1</v>
      </c>
      <c r="DI85" s="268">
        <f ca="1">TblMili[[#This Row],[Raw (2)]]*(1+race_wizard_strength+IF(TblMili[[#This Row],[Hour]]&gt;72,tech_magical_weaponry_wiz*TblTech[[#This Row],[3-5]],0))</f>
        <v>0.1</v>
      </c>
    </row>
    <row r="86" spans="1:113" x14ac:dyDescent="0.2">
      <c r="A86" s="139">
        <f>TblRezone[[#This Row],[Hour]]</f>
        <v>83</v>
      </c>
      <c r="B86" s="260">
        <f ca="1">SUM(TblMili[[#This Row],[Unit 1]:[Archmages]])+SUM(OFFSET(TblMili[[#This Row],[Train Unit 1]],-8,0):TblMili[[#This Row],[Train Unit 2]]) + SUM(OFFSET(TblMili[[#This Row],[Train Unit 3]],-11,0):TblMili[[#This Row],[Train AM]]) + TblMili[[#This Row],[Draftees]]</f>
        <v>826</v>
      </c>
      <c r="C86" s="159">
        <f ca="1">TblPop[[#This Row],[Military%]]</f>
        <v>0.35029686174724345</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4"/>
      <c r="N86" s="96">
        <f ca="1">TblProd[[#This Row],[Networth]]</f>
        <v>6450</v>
      </c>
      <c r="O86" s="144"/>
      <c r="P8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1">
        <f ca="1">TblMili[[#This Row],[Raw]]*(1+TblMili[[#This Row],[Mods_Off]])</f>
        <v>0</v>
      </c>
      <c r="S8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6" s="261">
        <f ca="1">TblMili[[#This Row],[Non Draft]]+TblMili[[#This Row],[Draftees]]</f>
        <v>1076</v>
      </c>
      <c r="U86" s="262">
        <f ca="1">race_defense + TblImps[[#This Row],[Walls]] + ROUND( MIN(gt_bonus*TblConstr[[#This Row],[Tot GT]]/TblConstr[[#This Row],[Land]],gt_bonus_cap), 4) + IF(TblMagic[[#This Row],[Active Howling]]&gt;0,howling_dp_bonus,IF(TblMagic[[#This Row],[Active Ares Call]]&gt;0,ares_call_bonus))</f>
        <v>0</v>
      </c>
      <c r="V86" s="263">
        <f ca="1">TblMili[[#This Row],[Non Draft]] * (1 + TblMili[[#This Row],[Mods_Def]])</f>
        <v>450</v>
      </c>
      <c r="W86" s="261">
        <f ca="1">TblMili[[#This Row],[Draft]] * (1 + TblMili[[#This Row],[Mods_Def]])</f>
        <v>1076</v>
      </c>
      <c r="X86" s="261">
        <f ca="1">TblConstr[[#This Row],[Land]]</f>
        <v>250</v>
      </c>
      <c r="Y86" s="264"/>
      <c r="Z86" s="269">
        <f ca="1">IF(TblMili[[#This Row],[Set]]&lt;&gt;"",TblMili[[#This Row],[Set]],OFFSET(TblMili[[#This Row],[Draftrate]],-1,0))</f>
        <v>0.35</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6"/>
      <c r="AC86" s="182">
        <f ca="1">(TblConstr[[#This Row],[Tot Smi]]+TblConstr[[#This Row],[Dest Smi]])/(TblConstr[[#This Row],[Land]]-TblExplore[[#This Row],[Land Bonus]]*20)</f>
        <v>0</v>
      </c>
      <c r="AD86" s="139"/>
      <c r="AE86" s="260">
        <f>TblMili[[#This Row],[Hour]]</f>
        <v>83</v>
      </c>
      <c r="AF86" s="140">
        <f ca="1">TblExplore[[#This Row],[Time]]</f>
        <v>45735.416666666468</v>
      </c>
      <c r="AG86" s="181"/>
      <c r="AH86" s="181"/>
      <c r="AI86" s="181"/>
      <c r="AJ86" s="181"/>
      <c r="AK86" s="181"/>
      <c r="AL86" s="181"/>
      <c r="AM86" s="181"/>
      <c r="AN86" s="181"/>
      <c r="AO86" s="448">
        <f ca="1">ROUND(IF(AND(TblMagic[[#This Row],[Active DnD]]&lt;12,TblMagic[[#This Row],[Active DnD]]&gt;5),OFFSET(TblPop[[#This Row],[Draft Growth]],-1,0)*0.375,0),0)</f>
        <v>0</v>
      </c>
      <c r="AP86" s="144"/>
      <c r="AQ86" s="96">
        <f ca="1">TblProd[[#This Row],[Platinum]]</f>
        <v>570730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45735.416666666468</v>
      </c>
      <c r="AW86" s="96">
        <f ca="1">TblMili[[#This Row],[Draftees]]</f>
        <v>626</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0.44</v>
      </c>
      <c r="BX86" s="159">
        <f ca="1">TblMili[[#This Row],[WG''s]]</f>
        <v>0</v>
      </c>
      <c r="BY86" s="265">
        <f ca="1">IF(mystic_cap="none",TblMili[[#This Row],[Homeland%]]/mystic_bonus,MIN(mystic_cap,TblMili[[#This Row],[Homeland%]]/mystic_bonus))</f>
        <v>2</v>
      </c>
      <c r="BZ86" s="265">
        <f ca="1">IF(druid_op_cap="none",TblMili[[#This Row],[Homeland%]]/druid_op_bonus,MIN(druid_op_cap,TblMili[[#This Row],[Homeland%]]/druid_op_bonus))</f>
        <v>2</v>
      </c>
      <c r="CA86" s="265">
        <f ca="1">IF(druid_dp_cap="none",TblMili[[#This Row],[Homeland%]]/druid_dp_bonus,MIN(druid_dp_cap,TblMili[[#This Row],[Homeland%]]/druid_dp_bonus))</f>
        <v>2</v>
      </c>
      <c r="CB86" s="265">
        <f ca="1">MIN(dryad_cap,TblMili[[#This Row],[Homeland%]]/dryad_bonus)</f>
        <v>2.1999999999999997</v>
      </c>
      <c r="CC86" s="265">
        <f ca="1">MIN(rocka_cap,TblMili[[#This Row],[Homeland%]]/rocka_bonus)</f>
        <v>2</v>
      </c>
      <c r="CD86" s="265">
        <f ca="1">MIN(adept_op_cap,TblMili[[#This Row],[WG]]/adept_op_bonus)</f>
        <v>0</v>
      </c>
      <c r="CE86" s="265">
        <f ca="1">MIN(adept_dp_cap,TblMili[[#This Row],[WG]]/adept_dp_bonus)</f>
        <v>0</v>
      </c>
      <c r="CF86" s="96">
        <f ca="1">MIN(TblMili[[#This Row],[Unit 3]],TblMili[[#This Row],[Unit 2]])*2</f>
        <v>0</v>
      </c>
      <c r="CG86" s="96">
        <f ca="1">MIN(TblMili[[#This Row],[Unit 1]],TblMili[[#This Row],[Unit 4]])*2</f>
        <v>0</v>
      </c>
      <c r="CH86" s="265">
        <f ca="1">MIN(frost_mage_cap,TblMili[[#This Row],[Homeland%]]/frost_mage_bonus)</f>
        <v>2.1999999999999997</v>
      </c>
      <c r="CI86" s="45">
        <f ca="1">MIN(ice_elem_cap,TblMili[[#This Row],[Raw (2)]]*ice_elem_bonus)</f>
        <v>0.1</v>
      </c>
      <c r="CJ86" s="265">
        <f t="shared" si="3"/>
        <v>0.83333333333333337</v>
      </c>
      <c r="CK86" s="265">
        <f ca="1">MIN(nox_nightshade_cap,TblConstr[[#This Row],[Homeland]]/TblConstr[[#This Row],[Land]]/nox_nightshade_swamp_bonus)</f>
        <v>4</v>
      </c>
      <c r="CL86" s="265">
        <f ca="1">MIN(TblConstr[[#This Row],[Tot Tow]]/TblConstr[[#This Row],[Land]]/abyss_enforce_bonus,abyss_enforcer_cap)</f>
        <v>0</v>
      </c>
      <c r="CM86" s="265">
        <f ca="1">IF(TblMagic[[#This Row],[Active Demonic Pact]]&gt;0,MIN(TblMili[[#This Row],[Unit 1]],TblMili[[#This Row],[Unit 4]])*demonic_pact_oppair,0)</f>
        <v>0</v>
      </c>
      <c r="CN86" s="266"/>
      <c r="CO86" s="266"/>
      <c r="CP86" s="266"/>
      <c r="CQ86" s="265">
        <f ca="1">MIN(6,TblMili[[#This Row],[Mystic]]+Races!$F$19)*1.8 +  IF(TblMili[[#This Row],[Mystic]]+Races!$F$19&gt;6,(TblMili[[#This Row],[Mystic]]+Races!$F$19-6)*0.2,0) - Races!$I$19</f>
        <v>1</v>
      </c>
      <c r="CR8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-0.64000000000000057</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4.7099999999999991</v>
      </c>
      <c r="DA86" s="157">
        <f ca="1">1.8 * MIN(MAX(TblMili[[#This Row],[Ice Elemental]]+Races!$E$71,Races!$F$71),6)  +  0.45 * MIN(MIN(TblMili[[#This Row],[Ice Elemental]]+Races!$E$71,Races!$F$71),6)  +  0.2 * ( MAX(TblMili[[#This Row],[Ice Elemental]]+Races!$E$71-6,0) + MAX(Races!$F$71-6,0) )  -  Races!$I$71</f>
        <v>0.92999999999999972</v>
      </c>
      <c r="DB86" s="96">
        <f ca="1">TblMili[[#This Row],[Frost Mage bonus]]*TblMili[[#This Row],[Unit 3]]+TblMili[[#This Row],[Ice Elemental bonus]]*TblMili[[#This Row],[Unit 4]]</f>
        <v>0</v>
      </c>
      <c r="DC86" s="267"/>
      <c r="DD86" s="145">
        <f ca="1">MIN(SUM(TblConstr[[#This Row],[Plain]:[Water]])/TblMili[[#This Row],[Land]]/favorable_terrain_bonus/100,favorable_terrain_max)</f>
        <v>0.1</v>
      </c>
      <c r="DE86" s="267"/>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6" s="144"/>
      <c r="DH86" s="268">
        <f ca="1">(TblMili[[#This Row],[Wizards]]+2*TblMili[[#This Row],[Archmages]])/TblConstr[[#This Row],[Land]]</f>
        <v>0.1</v>
      </c>
      <c r="DI86" s="268">
        <f ca="1">TblMili[[#This Row],[Raw (2)]]*(1+race_wizard_strength+IF(TblMili[[#This Row],[Hour]]&gt;72,tech_magical_weaponry_wiz*TblTech[[#This Row],[3-5]],0))</f>
        <v>0.1</v>
      </c>
    </row>
    <row r="87" spans="1:113" x14ac:dyDescent="0.2">
      <c r="A87" s="139">
        <f>TblRezone[[#This Row],[Hour]]</f>
        <v>84</v>
      </c>
      <c r="B87" s="260">
        <f ca="1">SUM(TblMili[[#This Row],[Unit 1]:[Archmages]])+SUM(OFFSET(TblMili[[#This Row],[Train Unit 1]],-8,0):TblMili[[#This Row],[Train Unit 2]]) + SUM(OFFSET(TblMili[[#This Row],[Train Unit 3]],-11,0):TblMili[[#This Row],[Train AM]]) + TblMili[[#This Row],[Draftees]]</f>
        <v>826</v>
      </c>
      <c r="C87" s="159">
        <f ca="1">TblPop[[#This Row],[Military%]]</f>
        <v>0.35029686174724345</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4"/>
      <c r="N87" s="96">
        <f ca="1">TblProd[[#This Row],[Networth]]</f>
        <v>6450</v>
      </c>
      <c r="O87" s="144"/>
      <c r="P8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1">
        <f ca="1">TblMili[[#This Row],[Raw]]*(1+TblMili[[#This Row],[Mods_Off]])</f>
        <v>0</v>
      </c>
      <c r="S8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7" s="261">
        <f ca="1">TblMili[[#This Row],[Non Draft]]+TblMili[[#This Row],[Draftees]]</f>
        <v>1076</v>
      </c>
      <c r="U87" s="262">
        <f ca="1">race_defense + TblImps[[#This Row],[Walls]] + ROUND( MIN(gt_bonus*TblConstr[[#This Row],[Tot GT]]/TblConstr[[#This Row],[Land]],gt_bonus_cap), 4) + IF(TblMagic[[#This Row],[Active Howling]]&gt;0,howling_dp_bonus,IF(TblMagic[[#This Row],[Active Ares Call]]&gt;0,ares_call_bonus))</f>
        <v>0</v>
      </c>
      <c r="V87" s="263">
        <f ca="1">TblMili[[#This Row],[Non Draft]] * (1 + TblMili[[#This Row],[Mods_Def]])</f>
        <v>450</v>
      </c>
      <c r="W87" s="261">
        <f ca="1">TblMili[[#This Row],[Draft]] * (1 + TblMili[[#This Row],[Mods_Def]])</f>
        <v>1076</v>
      </c>
      <c r="X87" s="261">
        <f ca="1">TblConstr[[#This Row],[Land]]</f>
        <v>250</v>
      </c>
      <c r="Y87" s="264"/>
      <c r="Z87" s="269">
        <f ca="1">IF(TblMili[[#This Row],[Set]]&lt;&gt;"",TblMili[[#This Row],[Set]],OFFSET(TblMili[[#This Row],[Draftrate]],-1,0))</f>
        <v>0.35</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6"/>
      <c r="AC87" s="182">
        <f ca="1">(TblConstr[[#This Row],[Tot Smi]]+TblConstr[[#This Row],[Dest Smi]])/(TblConstr[[#This Row],[Land]]-TblExplore[[#This Row],[Land Bonus]]*20)</f>
        <v>0</v>
      </c>
      <c r="AD87" s="139"/>
      <c r="AE87" s="260">
        <f>TblMili[[#This Row],[Hour]]</f>
        <v>84</v>
      </c>
      <c r="AF87" s="140">
        <f ca="1">TblExplore[[#This Row],[Time]]</f>
        <v>45735.458333333132</v>
      </c>
      <c r="AG87" s="181"/>
      <c r="AH87" s="181"/>
      <c r="AI87" s="181"/>
      <c r="AJ87" s="181"/>
      <c r="AK87" s="181"/>
      <c r="AL87" s="181"/>
      <c r="AM87" s="181"/>
      <c r="AN87" s="181"/>
      <c r="AO87" s="448">
        <f ca="1">ROUND(IF(AND(TblMagic[[#This Row],[Active DnD]]&lt;12,TblMagic[[#This Row],[Active DnD]]&gt;5),OFFSET(TblPop[[#This Row],[Draft Growth]],-1,0)*0.375,0),0)</f>
        <v>0</v>
      </c>
      <c r="AP87" s="144"/>
      <c r="AQ87" s="96">
        <f ca="1">TblProd[[#This Row],[Platinum]]</f>
        <v>576216</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45735.458333333132</v>
      </c>
      <c r="AW87" s="96">
        <f ca="1">TblMili[[#This Row],[Draftees]]</f>
        <v>626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0.44</v>
      </c>
      <c r="BX87" s="159">
        <f ca="1">TblMili[[#This Row],[WG''s]]</f>
        <v>0</v>
      </c>
      <c r="BY87" s="265">
        <f ca="1">IF(mystic_cap="none",TblMili[[#This Row],[Homeland%]]/mystic_bonus,MIN(mystic_cap,TblMili[[#This Row],[Homeland%]]/mystic_bonus))</f>
        <v>2</v>
      </c>
      <c r="BZ87" s="265">
        <f ca="1">IF(druid_op_cap="none",TblMili[[#This Row],[Homeland%]]/druid_op_bonus,MIN(druid_op_cap,TblMili[[#This Row],[Homeland%]]/druid_op_bonus))</f>
        <v>2</v>
      </c>
      <c r="CA87" s="265">
        <f ca="1">IF(druid_dp_cap="none",TblMili[[#This Row],[Homeland%]]/druid_dp_bonus,MIN(druid_dp_cap,TblMili[[#This Row],[Homeland%]]/druid_dp_bonus))</f>
        <v>2</v>
      </c>
      <c r="CB87" s="265">
        <f ca="1">MIN(dryad_cap,TblMili[[#This Row],[Homeland%]]/dryad_bonus)</f>
        <v>2.1999999999999997</v>
      </c>
      <c r="CC87" s="265">
        <f ca="1">MIN(rocka_cap,TblMili[[#This Row],[Homeland%]]/rocka_bonus)</f>
        <v>2</v>
      </c>
      <c r="CD87" s="265">
        <f ca="1">MIN(adept_op_cap,TblMili[[#This Row],[WG]]/adept_op_bonus)</f>
        <v>0</v>
      </c>
      <c r="CE87" s="265">
        <f ca="1">MIN(adept_dp_cap,TblMili[[#This Row],[WG]]/adept_dp_bonus)</f>
        <v>0</v>
      </c>
      <c r="CF87" s="96">
        <f ca="1">MIN(TblMili[[#This Row],[Unit 3]],TblMili[[#This Row],[Unit 2]])*2</f>
        <v>0</v>
      </c>
      <c r="CG87" s="96">
        <f ca="1">MIN(TblMili[[#This Row],[Unit 1]],TblMili[[#This Row],[Unit 4]])*2</f>
        <v>0</v>
      </c>
      <c r="CH87" s="265">
        <f ca="1">MIN(frost_mage_cap,TblMili[[#This Row],[Homeland%]]/frost_mage_bonus)</f>
        <v>2.1999999999999997</v>
      </c>
      <c r="CI87" s="45">
        <f ca="1">MIN(ice_elem_cap,TblMili[[#This Row],[Raw (2)]]*ice_elem_bonus)</f>
        <v>0.1</v>
      </c>
      <c r="CJ87" s="265">
        <f t="shared" si="3"/>
        <v>0.83333333333333337</v>
      </c>
      <c r="CK87" s="265">
        <f ca="1">MIN(nox_nightshade_cap,TblConstr[[#This Row],[Homeland]]/TblConstr[[#This Row],[Land]]/nox_nightshade_swamp_bonus)</f>
        <v>4</v>
      </c>
      <c r="CL87" s="265">
        <f ca="1">MIN(TblConstr[[#This Row],[Tot Tow]]/TblConstr[[#This Row],[Land]]/abyss_enforce_bonus,abyss_enforcer_cap)</f>
        <v>0</v>
      </c>
      <c r="CM87" s="265">
        <f ca="1">IF(TblMagic[[#This Row],[Active Demonic Pact]]&gt;0,MIN(TblMili[[#This Row],[Unit 1]],TblMili[[#This Row],[Unit 4]])*demonic_pact_oppair,0)</f>
        <v>0</v>
      </c>
      <c r="CN87" s="266"/>
      <c r="CO87" s="266"/>
      <c r="CP87" s="266"/>
      <c r="CQ87" s="265">
        <f ca="1">MIN(6,TblMili[[#This Row],[Mystic]]+Races!$F$19)*1.8 +  IF(TblMili[[#This Row],[Mystic]]+Races!$F$19&gt;6,(TblMili[[#This Row],[Mystic]]+Races!$F$19-6)*0.2,0) - Races!$I$19</f>
        <v>1</v>
      </c>
      <c r="CR8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-0.64000000000000057</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4.7099999999999991</v>
      </c>
      <c r="DA87" s="157">
        <f ca="1">1.8 * MIN(MAX(TblMili[[#This Row],[Ice Elemental]]+Races!$E$71,Races!$F$71),6)  +  0.45 * MIN(MIN(TblMili[[#This Row],[Ice Elemental]]+Races!$E$71,Races!$F$71),6)  +  0.2 * ( MAX(TblMili[[#This Row],[Ice Elemental]]+Races!$E$71-6,0) + MAX(Races!$F$71-6,0) )  -  Races!$I$71</f>
        <v>0.92999999999999972</v>
      </c>
      <c r="DB87" s="96">
        <f ca="1">TblMili[[#This Row],[Frost Mage bonus]]*TblMili[[#This Row],[Unit 3]]+TblMili[[#This Row],[Ice Elemental bonus]]*TblMili[[#This Row],[Unit 4]]</f>
        <v>0</v>
      </c>
      <c r="DC87" s="267"/>
      <c r="DD87" s="145">
        <f ca="1">MIN(SUM(TblConstr[[#This Row],[Plain]:[Water]])/TblMili[[#This Row],[Land]]/favorable_terrain_bonus/100,favorable_terrain_max)</f>
        <v>0.1</v>
      </c>
      <c r="DE87" s="267"/>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7" s="144"/>
      <c r="DH87" s="268">
        <f ca="1">(TblMili[[#This Row],[Wizards]]+2*TblMili[[#This Row],[Archmages]])/TblConstr[[#This Row],[Land]]</f>
        <v>0.1</v>
      </c>
      <c r="DI87" s="268">
        <f ca="1">TblMili[[#This Row],[Raw (2)]]*(1+race_wizard_strength+IF(TblMili[[#This Row],[Hour]]&gt;72,tech_magical_weaponry_wiz*TblTech[[#This Row],[3-5]],0))</f>
        <v>0.1</v>
      </c>
    </row>
    <row r="88" spans="1:113" x14ac:dyDescent="0.2">
      <c r="A88" s="139">
        <f>TblRezone[[#This Row],[Hour]]</f>
        <v>85</v>
      </c>
      <c r="B88" s="260">
        <f ca="1">SUM(TblMili[[#This Row],[Unit 1]:[Archmages]])+SUM(OFFSET(TblMili[[#This Row],[Train Unit 1]],-8,0):TblMili[[#This Row],[Train Unit 2]]) + SUM(OFFSET(TblMili[[#This Row],[Train Unit 3]],-11,0):TblMili[[#This Row],[Train AM]]) + TblMili[[#This Row],[Draftees]]</f>
        <v>826</v>
      </c>
      <c r="C88" s="159">
        <f ca="1">TblPop[[#This Row],[Military%]]</f>
        <v>0.35029686174724345</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4"/>
      <c r="N88" s="96">
        <f ca="1">TblProd[[#This Row],[Networth]]</f>
        <v>6450</v>
      </c>
      <c r="O88" s="144"/>
      <c r="P8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1">
        <f ca="1">TblMili[[#This Row],[Raw]]*(1+TblMili[[#This Row],[Mods_Off]])</f>
        <v>0</v>
      </c>
      <c r="S8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8" s="261">
        <f ca="1">TblMili[[#This Row],[Non Draft]]+TblMili[[#This Row],[Draftees]]</f>
        <v>1076</v>
      </c>
      <c r="U88" s="262">
        <f ca="1">race_defense + TblImps[[#This Row],[Walls]] + ROUND( MIN(gt_bonus*TblConstr[[#This Row],[Tot GT]]/TblConstr[[#This Row],[Land]],gt_bonus_cap), 4) + IF(TblMagic[[#This Row],[Active Howling]]&gt;0,howling_dp_bonus,IF(TblMagic[[#This Row],[Active Ares Call]]&gt;0,ares_call_bonus))</f>
        <v>0</v>
      </c>
      <c r="V88" s="263">
        <f ca="1">TblMili[[#This Row],[Non Draft]] * (1 + TblMili[[#This Row],[Mods_Def]])</f>
        <v>450</v>
      </c>
      <c r="W88" s="261">
        <f ca="1">TblMili[[#This Row],[Draft]] * (1 + TblMili[[#This Row],[Mods_Def]])</f>
        <v>1076</v>
      </c>
      <c r="X88" s="261">
        <f ca="1">TblConstr[[#This Row],[Land]]</f>
        <v>250</v>
      </c>
      <c r="Y88" s="264"/>
      <c r="Z88" s="269">
        <f ca="1">IF(TblMili[[#This Row],[Set]]&lt;&gt;"",TblMili[[#This Row],[Set]],OFFSET(TblMili[[#This Row],[Draftrate]],-1,0))</f>
        <v>0.35</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6"/>
      <c r="AC88" s="182">
        <f ca="1">(TblConstr[[#This Row],[Tot Smi]]+TblConstr[[#This Row],[Dest Smi]])/(TblConstr[[#This Row],[Land]]-TblExplore[[#This Row],[Land Bonus]]*20)</f>
        <v>0</v>
      </c>
      <c r="AD88" s="260"/>
      <c r="AE88" s="260">
        <f>TblMili[[#This Row],[Hour]]</f>
        <v>85</v>
      </c>
      <c r="AF88" s="140">
        <f ca="1">TblExplore[[#This Row],[Time]]</f>
        <v>45735.499999999796</v>
      </c>
      <c r="AG88" s="181"/>
      <c r="AH88" s="181"/>
      <c r="AI88" s="181"/>
      <c r="AJ88" s="181"/>
      <c r="AK88" s="181"/>
      <c r="AL88" s="181"/>
      <c r="AM88" s="181"/>
      <c r="AN88" s="181"/>
      <c r="AO88" s="448">
        <f ca="1">ROUND(IF(AND(TblMagic[[#This Row],[Active DnD]]&lt;12,TblMagic[[#This Row],[Active DnD]]&gt;5),OFFSET(TblPop[[#This Row],[Draft Growth]],-1,0)*0.375,0),0)</f>
        <v>0</v>
      </c>
      <c r="AP88" s="144"/>
      <c r="AQ88" s="96">
        <f ca="1">TblProd[[#This Row],[Platinum]]</f>
        <v>581702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45735.499999999796</v>
      </c>
      <c r="AW88" s="96">
        <f ca="1">TblMili[[#This Row],[Draftees]]</f>
        <v>626</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0.44</v>
      </c>
      <c r="BX88" s="159">
        <f ca="1">TblMili[[#This Row],[WG''s]]</f>
        <v>0</v>
      </c>
      <c r="BY88" s="265">
        <f ca="1">IF(mystic_cap="none",TblMili[[#This Row],[Homeland%]]/mystic_bonus,MIN(mystic_cap,TblMili[[#This Row],[Homeland%]]/mystic_bonus))</f>
        <v>2</v>
      </c>
      <c r="BZ88" s="265">
        <f ca="1">IF(druid_op_cap="none",TblMili[[#This Row],[Homeland%]]/druid_op_bonus,MIN(druid_op_cap,TblMili[[#This Row],[Homeland%]]/druid_op_bonus))</f>
        <v>2</v>
      </c>
      <c r="CA88" s="265">
        <f ca="1">IF(druid_dp_cap="none",TblMili[[#This Row],[Homeland%]]/druid_dp_bonus,MIN(druid_dp_cap,TblMili[[#This Row],[Homeland%]]/druid_dp_bonus))</f>
        <v>2</v>
      </c>
      <c r="CB88" s="265">
        <f ca="1">MIN(dryad_cap,TblMili[[#This Row],[Homeland%]]/dryad_bonus)</f>
        <v>2.1999999999999997</v>
      </c>
      <c r="CC88" s="265">
        <f ca="1">MIN(rocka_cap,TblMili[[#This Row],[Homeland%]]/rocka_bonus)</f>
        <v>2</v>
      </c>
      <c r="CD88" s="265">
        <f ca="1">MIN(adept_op_cap,TblMili[[#This Row],[WG]]/adept_op_bonus)</f>
        <v>0</v>
      </c>
      <c r="CE88" s="265">
        <f ca="1">MIN(adept_dp_cap,TblMili[[#This Row],[WG]]/adept_dp_bonus)</f>
        <v>0</v>
      </c>
      <c r="CF88" s="96">
        <f ca="1">MIN(TblMili[[#This Row],[Unit 3]],TblMili[[#This Row],[Unit 2]])*2</f>
        <v>0</v>
      </c>
      <c r="CG88" s="96">
        <f ca="1">MIN(TblMili[[#This Row],[Unit 1]],TblMili[[#This Row],[Unit 4]])*2</f>
        <v>0</v>
      </c>
      <c r="CH88" s="265">
        <f ca="1">MIN(frost_mage_cap,TblMili[[#This Row],[Homeland%]]/frost_mage_bonus)</f>
        <v>2.1999999999999997</v>
      </c>
      <c r="CI88" s="45">
        <f ca="1">MIN(ice_elem_cap,TblMili[[#This Row],[Raw (2)]]*ice_elem_bonus)</f>
        <v>0.1</v>
      </c>
      <c r="CJ88" s="265">
        <f t="shared" si="3"/>
        <v>0.83333333333333337</v>
      </c>
      <c r="CK88" s="265">
        <f ca="1">MIN(nox_nightshade_cap,TblConstr[[#This Row],[Homeland]]/TblConstr[[#This Row],[Land]]/nox_nightshade_swamp_bonus)</f>
        <v>4</v>
      </c>
      <c r="CL88" s="265">
        <f ca="1">MIN(TblConstr[[#This Row],[Tot Tow]]/TblConstr[[#This Row],[Land]]/abyss_enforce_bonus,abyss_enforcer_cap)</f>
        <v>0</v>
      </c>
      <c r="CM88" s="265">
        <f ca="1">IF(TblMagic[[#This Row],[Active Demonic Pact]]&gt;0,MIN(TblMili[[#This Row],[Unit 1]],TblMili[[#This Row],[Unit 4]])*demonic_pact_oppair,0)</f>
        <v>0</v>
      </c>
      <c r="CN88" s="266"/>
      <c r="CO88" s="266"/>
      <c r="CP88" s="266"/>
      <c r="CQ88" s="265">
        <f ca="1">MIN(6,TblMili[[#This Row],[Mystic]]+Races!$F$19)*1.8 +  IF(TblMili[[#This Row],[Mystic]]+Races!$F$19&gt;6,(TblMili[[#This Row],[Mystic]]+Races!$F$19-6)*0.2,0) - Races!$I$19</f>
        <v>1</v>
      </c>
      <c r="CR8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-0.64000000000000057</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4.7099999999999991</v>
      </c>
      <c r="DA88" s="157">
        <f ca="1">1.8 * MIN(MAX(TblMili[[#This Row],[Ice Elemental]]+Races!$E$71,Races!$F$71),6)  +  0.45 * MIN(MIN(TblMili[[#This Row],[Ice Elemental]]+Races!$E$71,Races!$F$71),6)  +  0.2 * ( MAX(TblMili[[#This Row],[Ice Elemental]]+Races!$E$71-6,0) + MAX(Races!$F$71-6,0) )  -  Races!$I$71</f>
        <v>0.92999999999999972</v>
      </c>
      <c r="DB88" s="96">
        <f ca="1">TblMili[[#This Row],[Frost Mage bonus]]*TblMili[[#This Row],[Unit 3]]+TblMili[[#This Row],[Ice Elemental bonus]]*TblMili[[#This Row],[Unit 4]]</f>
        <v>0</v>
      </c>
      <c r="DC88" s="267"/>
      <c r="DD88" s="145">
        <f ca="1">MIN(SUM(TblConstr[[#This Row],[Plain]:[Water]])/TblMili[[#This Row],[Land]]/favorable_terrain_bonus/100,favorable_terrain_max)</f>
        <v>0.1</v>
      </c>
      <c r="DE88" s="267"/>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8" s="144"/>
      <c r="DH88" s="268">
        <f ca="1">(TblMili[[#This Row],[Wizards]]+2*TblMili[[#This Row],[Archmages]])/TblConstr[[#This Row],[Land]]</f>
        <v>0.1</v>
      </c>
      <c r="DI88" s="268">
        <f ca="1">TblMili[[#This Row],[Raw (2)]]*(1+race_wizard_strength+IF(TblMili[[#This Row],[Hour]]&gt;72,tech_magical_weaponry_wiz*TblTech[[#This Row],[3-5]],0))</f>
        <v>0.1</v>
      </c>
    </row>
    <row r="89" spans="1:113" x14ac:dyDescent="0.2">
      <c r="A89" s="139">
        <f>TblRezone[[#This Row],[Hour]]</f>
        <v>86</v>
      </c>
      <c r="B89" s="260">
        <f ca="1">SUM(TblMili[[#This Row],[Unit 1]:[Archmages]])+SUM(OFFSET(TblMili[[#This Row],[Train Unit 1]],-8,0):TblMili[[#This Row],[Train Unit 2]]) + SUM(OFFSET(TblMili[[#This Row],[Train Unit 3]],-11,0):TblMili[[#This Row],[Train AM]]) + TblMili[[#This Row],[Draftees]]</f>
        <v>826</v>
      </c>
      <c r="C89" s="159">
        <f ca="1">TblPop[[#This Row],[Military%]]</f>
        <v>0.35029686174724345</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4"/>
      <c r="N89" s="96">
        <f ca="1">TblProd[[#This Row],[Networth]]</f>
        <v>6450</v>
      </c>
      <c r="O89" s="144"/>
      <c r="P8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1">
        <f ca="1">TblMili[[#This Row],[Raw]]*(1+TblMili[[#This Row],[Mods_Off]])</f>
        <v>0</v>
      </c>
      <c r="S8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9" s="261">
        <f ca="1">TblMili[[#This Row],[Non Draft]]+TblMili[[#This Row],[Draftees]]</f>
        <v>1076</v>
      </c>
      <c r="U89" s="262">
        <f ca="1">race_defense + TblImps[[#This Row],[Walls]] + ROUND( MIN(gt_bonus*TblConstr[[#This Row],[Tot GT]]/TblConstr[[#This Row],[Land]],gt_bonus_cap), 4) + IF(TblMagic[[#This Row],[Active Howling]]&gt;0,howling_dp_bonus,IF(TblMagic[[#This Row],[Active Ares Call]]&gt;0,ares_call_bonus))</f>
        <v>0</v>
      </c>
      <c r="V89" s="263">
        <f ca="1">TblMili[[#This Row],[Non Draft]] * (1 + TblMili[[#This Row],[Mods_Def]])</f>
        <v>450</v>
      </c>
      <c r="W89" s="261">
        <f ca="1">TblMili[[#This Row],[Draft]] * (1 + TblMili[[#This Row],[Mods_Def]])</f>
        <v>1076</v>
      </c>
      <c r="X89" s="261">
        <f ca="1">TblConstr[[#This Row],[Land]]</f>
        <v>250</v>
      </c>
      <c r="Y89" s="264"/>
      <c r="Z89" s="269">
        <f ca="1">IF(TblMili[[#This Row],[Set]]&lt;&gt;"",TblMili[[#This Row],[Set]],OFFSET(TblMili[[#This Row],[Draftrate]],-1,0))</f>
        <v>0.35</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6"/>
      <c r="AC89" s="182">
        <f ca="1">(TblConstr[[#This Row],[Tot Smi]]+TblConstr[[#This Row],[Dest Smi]])/(TblConstr[[#This Row],[Land]]-TblExplore[[#This Row],[Land Bonus]]*20)</f>
        <v>0</v>
      </c>
      <c r="AD89" s="139"/>
      <c r="AE89" s="260">
        <f>TblMili[[#This Row],[Hour]]</f>
        <v>86</v>
      </c>
      <c r="AF89" s="140">
        <f ca="1">TblExplore[[#This Row],[Time]]</f>
        <v>45735.541666666461</v>
      </c>
      <c r="AG89" s="181"/>
      <c r="AH89" s="181"/>
      <c r="AI89" s="181"/>
      <c r="AJ89" s="181"/>
      <c r="AK89" s="181"/>
      <c r="AL89" s="181"/>
      <c r="AM89" s="181"/>
      <c r="AN89" s="181"/>
      <c r="AO89" s="448">
        <f ca="1">ROUND(IF(AND(TblMagic[[#This Row],[Active DnD]]&lt;12,TblMagic[[#This Row],[Active DnD]]&gt;5),OFFSET(TblPop[[#This Row],[Draft Growth]],-1,0)*0.375,0),0)</f>
        <v>0</v>
      </c>
      <c r="AP89" s="144"/>
      <c r="AQ89" s="96">
        <f ca="1">TblProd[[#This Row],[Platinum]]</f>
        <v>587188</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45735.541666666461</v>
      </c>
      <c r="AW89" s="96">
        <f ca="1">TblMili[[#This Row],[Draftees]]</f>
        <v>626</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0.44</v>
      </c>
      <c r="BX89" s="159">
        <f ca="1">TblMili[[#This Row],[WG''s]]</f>
        <v>0</v>
      </c>
      <c r="BY89" s="265">
        <f ca="1">IF(mystic_cap="none",TblMili[[#This Row],[Homeland%]]/mystic_bonus,MIN(mystic_cap,TblMili[[#This Row],[Homeland%]]/mystic_bonus))</f>
        <v>2</v>
      </c>
      <c r="BZ89" s="265">
        <f ca="1">IF(druid_op_cap="none",TblMili[[#This Row],[Homeland%]]/druid_op_bonus,MIN(druid_op_cap,TblMili[[#This Row],[Homeland%]]/druid_op_bonus))</f>
        <v>2</v>
      </c>
      <c r="CA89" s="265">
        <f ca="1">IF(druid_dp_cap="none",TblMili[[#This Row],[Homeland%]]/druid_dp_bonus,MIN(druid_dp_cap,TblMili[[#This Row],[Homeland%]]/druid_dp_bonus))</f>
        <v>2</v>
      </c>
      <c r="CB89" s="265">
        <f ca="1">MIN(dryad_cap,TblMili[[#This Row],[Homeland%]]/dryad_bonus)</f>
        <v>2.1999999999999997</v>
      </c>
      <c r="CC89" s="265">
        <f ca="1">MIN(rocka_cap,TblMili[[#This Row],[Homeland%]]/rocka_bonus)</f>
        <v>2</v>
      </c>
      <c r="CD89" s="265">
        <f ca="1">MIN(adept_op_cap,TblMili[[#This Row],[WG]]/adept_op_bonus)</f>
        <v>0</v>
      </c>
      <c r="CE89" s="265">
        <f ca="1">MIN(adept_dp_cap,TblMili[[#This Row],[WG]]/adept_dp_bonus)</f>
        <v>0</v>
      </c>
      <c r="CF89" s="96">
        <f ca="1">MIN(TblMili[[#This Row],[Unit 3]],TblMili[[#This Row],[Unit 2]])*2</f>
        <v>0</v>
      </c>
      <c r="CG89" s="96">
        <f ca="1">MIN(TblMili[[#This Row],[Unit 1]],TblMili[[#This Row],[Unit 4]])*2</f>
        <v>0</v>
      </c>
      <c r="CH89" s="265">
        <f ca="1">MIN(frost_mage_cap,TblMili[[#This Row],[Homeland%]]/frost_mage_bonus)</f>
        <v>2.1999999999999997</v>
      </c>
      <c r="CI89" s="45">
        <f ca="1">MIN(ice_elem_cap,TblMili[[#This Row],[Raw (2)]]*ice_elem_bonus)</f>
        <v>0.1</v>
      </c>
      <c r="CJ89" s="265">
        <f t="shared" si="3"/>
        <v>0.83333333333333337</v>
      </c>
      <c r="CK89" s="265">
        <f ca="1">MIN(nox_nightshade_cap,TblConstr[[#This Row],[Homeland]]/TblConstr[[#This Row],[Land]]/nox_nightshade_swamp_bonus)</f>
        <v>4</v>
      </c>
      <c r="CL89" s="265">
        <f ca="1">MIN(TblConstr[[#This Row],[Tot Tow]]/TblConstr[[#This Row],[Land]]/abyss_enforce_bonus,abyss_enforcer_cap)</f>
        <v>0</v>
      </c>
      <c r="CM89" s="265">
        <f ca="1">IF(TblMagic[[#This Row],[Active Demonic Pact]]&gt;0,MIN(TblMili[[#This Row],[Unit 1]],TblMili[[#This Row],[Unit 4]])*demonic_pact_oppair,0)</f>
        <v>0</v>
      </c>
      <c r="CN89" s="266"/>
      <c r="CO89" s="266"/>
      <c r="CP89" s="266"/>
      <c r="CQ89" s="265">
        <f ca="1">MIN(6,TblMili[[#This Row],[Mystic]]+Races!$F$19)*1.8 +  IF(TblMili[[#This Row],[Mystic]]+Races!$F$19&gt;6,(TblMili[[#This Row],[Mystic]]+Races!$F$19-6)*0.2,0) - Races!$I$19</f>
        <v>1</v>
      </c>
      <c r="CR8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-0.64000000000000057</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4.7099999999999991</v>
      </c>
      <c r="DA89" s="157">
        <f ca="1">1.8 * MIN(MAX(TblMili[[#This Row],[Ice Elemental]]+Races!$E$71,Races!$F$71),6)  +  0.45 * MIN(MIN(TblMili[[#This Row],[Ice Elemental]]+Races!$E$71,Races!$F$71),6)  +  0.2 * ( MAX(TblMili[[#This Row],[Ice Elemental]]+Races!$E$71-6,0) + MAX(Races!$F$71-6,0) )  -  Races!$I$71</f>
        <v>0.92999999999999972</v>
      </c>
      <c r="DB89" s="96">
        <f ca="1">TblMili[[#This Row],[Frost Mage bonus]]*TblMili[[#This Row],[Unit 3]]+TblMili[[#This Row],[Ice Elemental bonus]]*TblMili[[#This Row],[Unit 4]]</f>
        <v>0</v>
      </c>
      <c r="DC89" s="267"/>
      <c r="DD89" s="145">
        <f ca="1">MIN(SUM(TblConstr[[#This Row],[Plain]:[Water]])/TblMili[[#This Row],[Land]]/favorable_terrain_bonus/100,favorable_terrain_max)</f>
        <v>0.1</v>
      </c>
      <c r="DE89" s="267"/>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9" s="144"/>
      <c r="DH89" s="268">
        <f ca="1">(TblMili[[#This Row],[Wizards]]+2*TblMili[[#This Row],[Archmages]])/TblConstr[[#This Row],[Land]]</f>
        <v>0.1</v>
      </c>
      <c r="DI89" s="268">
        <f ca="1">TblMili[[#This Row],[Raw (2)]]*(1+race_wizard_strength+IF(TblMili[[#This Row],[Hour]]&gt;72,tech_magical_weaponry_wiz*TblTech[[#This Row],[3-5]],0))</f>
        <v>0.1</v>
      </c>
    </row>
    <row r="90" spans="1:113" x14ac:dyDescent="0.2">
      <c r="A90" s="139">
        <f>TblRezone[[#This Row],[Hour]]</f>
        <v>87</v>
      </c>
      <c r="B90" s="260">
        <f ca="1">SUM(TblMili[[#This Row],[Unit 1]:[Archmages]])+SUM(OFFSET(TblMili[[#This Row],[Train Unit 1]],-8,0):TblMili[[#This Row],[Train Unit 2]]) + SUM(OFFSET(TblMili[[#This Row],[Train Unit 3]],-11,0):TblMili[[#This Row],[Train AM]]) + TblMili[[#This Row],[Draftees]]</f>
        <v>826</v>
      </c>
      <c r="C90" s="159">
        <f ca="1">TblPop[[#This Row],[Military%]]</f>
        <v>0.35029686174724345</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4"/>
      <c r="N90" s="96">
        <f ca="1">TblProd[[#This Row],[Networth]]</f>
        <v>6450</v>
      </c>
      <c r="O90" s="144"/>
      <c r="P9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1">
        <f ca="1">TblMili[[#This Row],[Raw]]*(1+TblMili[[#This Row],[Mods_Off]])</f>
        <v>0</v>
      </c>
      <c r="S9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0" s="261">
        <f ca="1">TblMili[[#This Row],[Non Draft]]+TblMili[[#This Row],[Draftees]]</f>
        <v>1076</v>
      </c>
      <c r="U90" s="262">
        <f ca="1">race_defense + TblImps[[#This Row],[Walls]] + ROUND( MIN(gt_bonus*TblConstr[[#This Row],[Tot GT]]/TblConstr[[#This Row],[Land]],gt_bonus_cap), 4) + IF(TblMagic[[#This Row],[Active Howling]]&gt;0,howling_dp_bonus,IF(TblMagic[[#This Row],[Active Ares Call]]&gt;0,ares_call_bonus))</f>
        <v>0</v>
      </c>
      <c r="V90" s="263">
        <f ca="1">TblMili[[#This Row],[Non Draft]] * (1 + TblMili[[#This Row],[Mods_Def]])</f>
        <v>450</v>
      </c>
      <c r="W90" s="261">
        <f ca="1">TblMili[[#This Row],[Draft]] * (1 + TblMili[[#This Row],[Mods_Def]])</f>
        <v>1076</v>
      </c>
      <c r="X90" s="261">
        <f ca="1">TblConstr[[#This Row],[Land]]</f>
        <v>250</v>
      </c>
      <c r="Y90" s="264"/>
      <c r="Z90" s="269">
        <f ca="1">IF(TblMili[[#This Row],[Set]]&lt;&gt;"",TblMili[[#This Row],[Set]],OFFSET(TblMili[[#This Row],[Draftrate]],-1,0))</f>
        <v>0.35</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6"/>
      <c r="AC90" s="182">
        <f ca="1">(TblConstr[[#This Row],[Tot Smi]]+TblConstr[[#This Row],[Dest Smi]])/(TblConstr[[#This Row],[Land]]-TblExplore[[#This Row],[Land Bonus]]*20)</f>
        <v>0</v>
      </c>
      <c r="AD90" s="139"/>
      <c r="AE90" s="260">
        <f>TblMili[[#This Row],[Hour]]</f>
        <v>87</v>
      </c>
      <c r="AF90" s="140">
        <f ca="1">TblExplore[[#This Row],[Time]]</f>
        <v>45735.583333333125</v>
      </c>
      <c r="AG90" s="181"/>
      <c r="AH90" s="181"/>
      <c r="AI90" s="181"/>
      <c r="AJ90" s="181"/>
      <c r="AK90" s="181"/>
      <c r="AL90" s="181"/>
      <c r="AM90" s="181"/>
      <c r="AN90" s="181"/>
      <c r="AO90" s="448">
        <f ca="1">ROUND(IF(AND(TblMagic[[#This Row],[Active DnD]]&lt;12,TblMagic[[#This Row],[Active DnD]]&gt;5),OFFSET(TblPop[[#This Row],[Draft Growth]],-1,0)*0.375,0),0)</f>
        <v>0</v>
      </c>
      <c r="AP90" s="144"/>
      <c r="AQ90" s="96">
        <f ca="1">TblProd[[#This Row],[Platinum]]</f>
        <v>592674</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45735.583333333125</v>
      </c>
      <c r="AW90" s="96">
        <f ca="1">TblMili[[#This Row],[Draftees]]</f>
        <v>626</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0.44</v>
      </c>
      <c r="BX90" s="159">
        <f ca="1">TblMili[[#This Row],[WG''s]]</f>
        <v>0</v>
      </c>
      <c r="BY90" s="265">
        <f ca="1">IF(mystic_cap="none",TblMili[[#This Row],[Homeland%]]/mystic_bonus,MIN(mystic_cap,TblMili[[#This Row],[Homeland%]]/mystic_bonus))</f>
        <v>2</v>
      </c>
      <c r="BZ90" s="265">
        <f ca="1">IF(druid_op_cap="none",TblMili[[#This Row],[Homeland%]]/druid_op_bonus,MIN(druid_op_cap,TblMili[[#This Row],[Homeland%]]/druid_op_bonus))</f>
        <v>2</v>
      </c>
      <c r="CA90" s="265">
        <f ca="1">IF(druid_dp_cap="none",TblMili[[#This Row],[Homeland%]]/druid_dp_bonus,MIN(druid_dp_cap,TblMili[[#This Row],[Homeland%]]/druid_dp_bonus))</f>
        <v>2</v>
      </c>
      <c r="CB90" s="265">
        <f ca="1">MIN(dryad_cap,TblMili[[#This Row],[Homeland%]]/dryad_bonus)</f>
        <v>2.1999999999999997</v>
      </c>
      <c r="CC90" s="265">
        <f ca="1">MIN(rocka_cap,TblMili[[#This Row],[Homeland%]]/rocka_bonus)</f>
        <v>2</v>
      </c>
      <c r="CD90" s="265">
        <f ca="1">MIN(adept_op_cap,TblMili[[#This Row],[WG]]/adept_op_bonus)</f>
        <v>0</v>
      </c>
      <c r="CE90" s="265">
        <f ca="1">MIN(adept_dp_cap,TblMili[[#This Row],[WG]]/adept_dp_bonus)</f>
        <v>0</v>
      </c>
      <c r="CF90" s="96">
        <f ca="1">MIN(TblMili[[#This Row],[Unit 3]],TblMili[[#This Row],[Unit 2]])*2</f>
        <v>0</v>
      </c>
      <c r="CG90" s="96">
        <f ca="1">MIN(TblMili[[#This Row],[Unit 1]],TblMili[[#This Row],[Unit 4]])*2</f>
        <v>0</v>
      </c>
      <c r="CH90" s="265">
        <f ca="1">MIN(frost_mage_cap,TblMili[[#This Row],[Homeland%]]/frost_mage_bonus)</f>
        <v>2.1999999999999997</v>
      </c>
      <c r="CI90" s="45">
        <f ca="1">MIN(ice_elem_cap,TblMili[[#This Row],[Raw (2)]]*ice_elem_bonus)</f>
        <v>0.1</v>
      </c>
      <c r="CJ90" s="265">
        <f t="shared" si="3"/>
        <v>0.83333333333333337</v>
      </c>
      <c r="CK90" s="265">
        <f ca="1">MIN(nox_nightshade_cap,TblConstr[[#This Row],[Homeland]]/TblConstr[[#This Row],[Land]]/nox_nightshade_swamp_bonus)</f>
        <v>4</v>
      </c>
      <c r="CL90" s="265">
        <f ca="1">MIN(TblConstr[[#This Row],[Tot Tow]]/TblConstr[[#This Row],[Land]]/abyss_enforce_bonus,abyss_enforcer_cap)</f>
        <v>0</v>
      </c>
      <c r="CM90" s="265">
        <f ca="1">IF(TblMagic[[#This Row],[Active Demonic Pact]]&gt;0,MIN(TblMili[[#This Row],[Unit 1]],TblMili[[#This Row],[Unit 4]])*demonic_pact_oppair,0)</f>
        <v>0</v>
      </c>
      <c r="CN90" s="266"/>
      <c r="CO90" s="266"/>
      <c r="CP90" s="266"/>
      <c r="CQ90" s="265">
        <f ca="1">MIN(6,TblMili[[#This Row],[Mystic]]+Races!$F$19)*1.8 +  IF(TblMili[[#This Row],[Mystic]]+Races!$F$19&gt;6,(TblMili[[#This Row],[Mystic]]+Races!$F$19-6)*0.2,0) - Races!$I$19</f>
        <v>1</v>
      </c>
      <c r="CR9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-0.64000000000000057</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4.7099999999999991</v>
      </c>
      <c r="DA90" s="157">
        <f ca="1">1.8 * MIN(MAX(TblMili[[#This Row],[Ice Elemental]]+Races!$E$71,Races!$F$71),6)  +  0.45 * MIN(MIN(TblMili[[#This Row],[Ice Elemental]]+Races!$E$71,Races!$F$71),6)  +  0.2 * ( MAX(TblMili[[#This Row],[Ice Elemental]]+Races!$E$71-6,0) + MAX(Races!$F$71-6,0) )  -  Races!$I$71</f>
        <v>0.92999999999999972</v>
      </c>
      <c r="DB90" s="96">
        <f ca="1">TblMili[[#This Row],[Frost Mage bonus]]*TblMili[[#This Row],[Unit 3]]+TblMili[[#This Row],[Ice Elemental bonus]]*TblMili[[#This Row],[Unit 4]]</f>
        <v>0</v>
      </c>
      <c r="DC90" s="267"/>
      <c r="DD90" s="145">
        <f ca="1">MIN(SUM(TblConstr[[#This Row],[Plain]:[Water]])/TblMili[[#This Row],[Land]]/favorable_terrain_bonus/100,favorable_terrain_max)</f>
        <v>0.1</v>
      </c>
      <c r="DE90" s="267"/>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0" s="144"/>
      <c r="DH90" s="268">
        <f ca="1">(TblMili[[#This Row],[Wizards]]+2*TblMili[[#This Row],[Archmages]])/TblConstr[[#This Row],[Land]]</f>
        <v>0.1</v>
      </c>
      <c r="DI90" s="268">
        <f ca="1">TblMili[[#This Row],[Raw (2)]]*(1+race_wizard_strength+IF(TblMili[[#This Row],[Hour]]&gt;72,tech_magical_weaponry_wiz*TblTech[[#This Row],[3-5]],0))</f>
        <v>0.1</v>
      </c>
    </row>
    <row r="91" spans="1:113" x14ac:dyDescent="0.2">
      <c r="A91" s="139">
        <f>TblRezone[[#This Row],[Hour]]</f>
        <v>88</v>
      </c>
      <c r="B91" s="260">
        <f ca="1">SUM(TblMili[[#This Row],[Unit 1]:[Archmages]])+SUM(OFFSET(TblMili[[#This Row],[Train Unit 1]],-8,0):TblMili[[#This Row],[Train Unit 2]]) + SUM(OFFSET(TblMili[[#This Row],[Train Unit 3]],-11,0):TblMili[[#This Row],[Train AM]]) + TblMili[[#This Row],[Draftees]]</f>
        <v>826</v>
      </c>
      <c r="C91" s="159">
        <f ca="1">TblPop[[#This Row],[Military%]]</f>
        <v>0.35029686174724345</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4"/>
      <c r="N91" s="96">
        <f ca="1">TblProd[[#This Row],[Networth]]</f>
        <v>6450</v>
      </c>
      <c r="O91" s="144"/>
      <c r="P9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1">
        <f ca="1">TblMili[[#This Row],[Raw]]*(1+TblMili[[#This Row],[Mods_Off]])</f>
        <v>0</v>
      </c>
      <c r="S9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1" s="261">
        <f ca="1">TblMili[[#This Row],[Non Draft]]+TblMili[[#This Row],[Draftees]]</f>
        <v>1076</v>
      </c>
      <c r="U91" s="262">
        <f ca="1">race_defense + TblImps[[#This Row],[Walls]] + ROUND( MIN(gt_bonus*TblConstr[[#This Row],[Tot GT]]/TblConstr[[#This Row],[Land]],gt_bonus_cap), 4) + IF(TblMagic[[#This Row],[Active Howling]]&gt;0,howling_dp_bonus,IF(TblMagic[[#This Row],[Active Ares Call]]&gt;0,ares_call_bonus))</f>
        <v>0</v>
      </c>
      <c r="V91" s="263">
        <f ca="1">TblMili[[#This Row],[Non Draft]] * (1 + TblMili[[#This Row],[Mods_Def]])</f>
        <v>450</v>
      </c>
      <c r="W91" s="261">
        <f ca="1">TblMili[[#This Row],[Draft]] * (1 + TblMili[[#This Row],[Mods_Def]])</f>
        <v>1076</v>
      </c>
      <c r="X91" s="261">
        <f ca="1">TblConstr[[#This Row],[Land]]</f>
        <v>250</v>
      </c>
      <c r="Y91" s="264"/>
      <c r="Z91" s="269">
        <f ca="1">IF(TblMili[[#This Row],[Set]]&lt;&gt;"",TblMili[[#This Row],[Set]],OFFSET(TblMili[[#This Row],[Draftrate]],-1,0))</f>
        <v>0.35</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6"/>
      <c r="AC91" s="182">
        <f ca="1">(TblConstr[[#This Row],[Tot Smi]]+TblConstr[[#This Row],[Dest Smi]])/(TblConstr[[#This Row],[Land]]-TblExplore[[#This Row],[Land Bonus]]*20)</f>
        <v>0</v>
      </c>
      <c r="AD91" s="139"/>
      <c r="AE91" s="260">
        <f>TblMili[[#This Row],[Hour]]</f>
        <v>88</v>
      </c>
      <c r="AF91" s="140">
        <f ca="1">TblExplore[[#This Row],[Time]]</f>
        <v>45735.624999999789</v>
      </c>
      <c r="AG91" s="181"/>
      <c r="AH91" s="181"/>
      <c r="AI91" s="181"/>
      <c r="AJ91" s="181"/>
      <c r="AK91" s="181"/>
      <c r="AL91" s="181"/>
      <c r="AM91" s="181"/>
      <c r="AN91" s="181"/>
      <c r="AO91" s="448">
        <f ca="1">ROUND(IF(AND(TblMagic[[#This Row],[Active DnD]]&lt;12,TblMagic[[#This Row],[Active DnD]]&gt;5),OFFSET(TblPop[[#This Row],[Draft Growth]],-1,0)*0.375,0),0)</f>
        <v>0</v>
      </c>
      <c r="AP91" s="144"/>
      <c r="AQ91" s="96">
        <f ca="1">TblProd[[#This Row],[Platinum]]</f>
        <v>598160</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45735.624999999789</v>
      </c>
      <c r="AW91" s="96">
        <f ca="1">TblMili[[#This Row],[Draftees]]</f>
        <v>626</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0.44</v>
      </c>
      <c r="BX91" s="159">
        <f ca="1">TblMili[[#This Row],[WG''s]]</f>
        <v>0</v>
      </c>
      <c r="BY91" s="265">
        <f ca="1">IF(mystic_cap="none",TblMili[[#This Row],[Homeland%]]/mystic_bonus,MIN(mystic_cap,TblMili[[#This Row],[Homeland%]]/mystic_bonus))</f>
        <v>2</v>
      </c>
      <c r="BZ91" s="265">
        <f ca="1">IF(druid_op_cap="none",TblMili[[#This Row],[Homeland%]]/druid_op_bonus,MIN(druid_op_cap,TblMili[[#This Row],[Homeland%]]/druid_op_bonus))</f>
        <v>2</v>
      </c>
      <c r="CA91" s="265">
        <f ca="1">IF(druid_dp_cap="none",TblMili[[#This Row],[Homeland%]]/druid_dp_bonus,MIN(druid_dp_cap,TblMili[[#This Row],[Homeland%]]/druid_dp_bonus))</f>
        <v>2</v>
      </c>
      <c r="CB91" s="265">
        <f ca="1">MIN(dryad_cap,TblMili[[#This Row],[Homeland%]]/dryad_bonus)</f>
        <v>2.1999999999999997</v>
      </c>
      <c r="CC91" s="265">
        <f ca="1">MIN(rocka_cap,TblMili[[#This Row],[Homeland%]]/rocka_bonus)</f>
        <v>2</v>
      </c>
      <c r="CD91" s="265">
        <f ca="1">MIN(adept_op_cap,TblMili[[#This Row],[WG]]/adept_op_bonus)</f>
        <v>0</v>
      </c>
      <c r="CE91" s="265">
        <f ca="1">MIN(adept_dp_cap,TblMili[[#This Row],[WG]]/adept_dp_bonus)</f>
        <v>0</v>
      </c>
      <c r="CF91" s="96">
        <f ca="1">MIN(TblMili[[#This Row],[Unit 3]],TblMili[[#This Row],[Unit 2]])*2</f>
        <v>0</v>
      </c>
      <c r="CG91" s="96">
        <f ca="1">MIN(TblMili[[#This Row],[Unit 1]],TblMili[[#This Row],[Unit 4]])*2</f>
        <v>0</v>
      </c>
      <c r="CH91" s="265">
        <f ca="1">MIN(frost_mage_cap,TblMili[[#This Row],[Homeland%]]/frost_mage_bonus)</f>
        <v>2.1999999999999997</v>
      </c>
      <c r="CI91" s="45">
        <f ca="1">MIN(ice_elem_cap,TblMili[[#This Row],[Raw (2)]]*ice_elem_bonus)</f>
        <v>0.1</v>
      </c>
      <c r="CJ91" s="265">
        <f t="shared" si="3"/>
        <v>0.83333333333333337</v>
      </c>
      <c r="CK91" s="265">
        <f ca="1">MIN(nox_nightshade_cap,TblConstr[[#This Row],[Homeland]]/TblConstr[[#This Row],[Land]]/nox_nightshade_swamp_bonus)</f>
        <v>4</v>
      </c>
      <c r="CL91" s="265">
        <f ca="1">MIN(TblConstr[[#This Row],[Tot Tow]]/TblConstr[[#This Row],[Land]]/abyss_enforce_bonus,abyss_enforcer_cap)</f>
        <v>0</v>
      </c>
      <c r="CM91" s="265">
        <f ca="1">IF(TblMagic[[#This Row],[Active Demonic Pact]]&gt;0,MIN(TblMili[[#This Row],[Unit 1]],TblMili[[#This Row],[Unit 4]])*demonic_pact_oppair,0)</f>
        <v>0</v>
      </c>
      <c r="CN91" s="266"/>
      <c r="CO91" s="266"/>
      <c r="CP91" s="266"/>
      <c r="CQ91" s="265">
        <f ca="1">MIN(6,TblMili[[#This Row],[Mystic]]+Races!$F$19)*1.8 +  IF(TblMili[[#This Row],[Mystic]]+Races!$F$19&gt;6,(TblMili[[#This Row],[Mystic]]+Races!$F$19-6)*0.2,0) - Races!$I$19</f>
        <v>1</v>
      </c>
      <c r="CR9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-0.64000000000000057</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4.7099999999999991</v>
      </c>
      <c r="DA91" s="157">
        <f ca="1">1.8 * MIN(MAX(TblMili[[#This Row],[Ice Elemental]]+Races!$E$71,Races!$F$71),6)  +  0.45 * MIN(MIN(TblMili[[#This Row],[Ice Elemental]]+Races!$E$71,Races!$F$71),6)  +  0.2 * ( MAX(TblMili[[#This Row],[Ice Elemental]]+Races!$E$71-6,0) + MAX(Races!$F$71-6,0) )  -  Races!$I$71</f>
        <v>0.92999999999999972</v>
      </c>
      <c r="DB91" s="96">
        <f ca="1">TblMili[[#This Row],[Frost Mage bonus]]*TblMili[[#This Row],[Unit 3]]+TblMili[[#This Row],[Ice Elemental bonus]]*TblMili[[#This Row],[Unit 4]]</f>
        <v>0</v>
      </c>
      <c r="DC91" s="267"/>
      <c r="DD91" s="145">
        <f ca="1">MIN(SUM(TblConstr[[#This Row],[Plain]:[Water]])/TblMili[[#This Row],[Land]]/favorable_terrain_bonus/100,favorable_terrain_max)</f>
        <v>0.1</v>
      </c>
      <c r="DE91" s="267"/>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1" s="144"/>
      <c r="DH91" s="268">
        <f ca="1">(TblMili[[#This Row],[Wizards]]+2*TblMili[[#This Row],[Archmages]])/TblConstr[[#This Row],[Land]]</f>
        <v>0.1</v>
      </c>
      <c r="DI91" s="268">
        <f ca="1">TblMili[[#This Row],[Raw (2)]]*(1+race_wizard_strength+IF(TblMili[[#This Row],[Hour]]&gt;72,tech_magical_weaponry_wiz*TblTech[[#This Row],[3-5]],0))</f>
        <v>0.1</v>
      </c>
    </row>
    <row r="92" spans="1:113" x14ac:dyDescent="0.2">
      <c r="A92" s="139">
        <f>TblRezone[[#This Row],[Hour]]</f>
        <v>89</v>
      </c>
      <c r="B92" s="260">
        <f ca="1">SUM(TblMili[[#This Row],[Unit 1]:[Archmages]])+SUM(OFFSET(TblMili[[#This Row],[Train Unit 1]],-8,0):TblMili[[#This Row],[Train Unit 2]]) + SUM(OFFSET(TblMili[[#This Row],[Train Unit 3]],-11,0):TblMili[[#This Row],[Train AM]]) + TblMili[[#This Row],[Draftees]]</f>
        <v>826</v>
      </c>
      <c r="C92" s="159">
        <f ca="1">TblPop[[#This Row],[Military%]]</f>
        <v>0.35029686174724345</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4"/>
      <c r="N92" s="96">
        <f ca="1">TblProd[[#This Row],[Networth]]</f>
        <v>6450</v>
      </c>
      <c r="O92" s="144"/>
      <c r="P9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1">
        <f ca="1">TblMili[[#This Row],[Raw]]*(1+TblMili[[#This Row],[Mods_Off]])</f>
        <v>0</v>
      </c>
      <c r="S9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2" s="261">
        <f ca="1">TblMili[[#This Row],[Non Draft]]+TblMili[[#This Row],[Draftees]]</f>
        <v>1076</v>
      </c>
      <c r="U92" s="262">
        <f ca="1">race_defense + TblImps[[#This Row],[Walls]] + ROUND( MIN(gt_bonus*TblConstr[[#This Row],[Tot GT]]/TblConstr[[#This Row],[Land]],gt_bonus_cap), 4) + IF(TblMagic[[#This Row],[Active Howling]]&gt;0,howling_dp_bonus,IF(TblMagic[[#This Row],[Active Ares Call]]&gt;0,ares_call_bonus))</f>
        <v>0</v>
      </c>
      <c r="V92" s="263">
        <f ca="1">TblMili[[#This Row],[Non Draft]] * (1 + TblMili[[#This Row],[Mods_Def]])</f>
        <v>450</v>
      </c>
      <c r="W92" s="261">
        <f ca="1">TblMili[[#This Row],[Draft]] * (1 + TblMili[[#This Row],[Mods_Def]])</f>
        <v>1076</v>
      </c>
      <c r="X92" s="261">
        <f ca="1">TblConstr[[#This Row],[Land]]</f>
        <v>250</v>
      </c>
      <c r="Y92" s="264"/>
      <c r="Z92" s="269">
        <f ca="1">IF(TblMili[[#This Row],[Set]]&lt;&gt;"",TblMili[[#This Row],[Set]],OFFSET(TblMili[[#This Row],[Draftrate]],-1,0))</f>
        <v>0.35</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6"/>
      <c r="AC92" s="182">
        <f ca="1">(TblConstr[[#This Row],[Tot Smi]]+TblConstr[[#This Row],[Dest Smi]])/(TblConstr[[#This Row],[Land]]-TblExplore[[#This Row],[Land Bonus]]*20)</f>
        <v>0</v>
      </c>
      <c r="AD92" s="139"/>
      <c r="AE92" s="260">
        <f>TblMili[[#This Row],[Hour]]</f>
        <v>89</v>
      </c>
      <c r="AF92" s="140">
        <f ca="1">TblExplore[[#This Row],[Time]]</f>
        <v>45735.666666666453</v>
      </c>
      <c r="AG92" s="181"/>
      <c r="AH92" s="181"/>
      <c r="AI92" s="181"/>
      <c r="AJ92" s="181"/>
      <c r="AK92" s="181"/>
      <c r="AL92" s="181"/>
      <c r="AM92" s="181"/>
      <c r="AN92" s="181"/>
      <c r="AO92" s="448">
        <f ca="1">ROUND(IF(AND(TblMagic[[#This Row],[Active DnD]]&lt;12,TblMagic[[#This Row],[Active DnD]]&gt;5),OFFSET(TblPop[[#This Row],[Draft Growth]],-1,0)*0.375,0),0)</f>
        <v>0</v>
      </c>
      <c r="AP92" s="144"/>
      <c r="AQ92" s="96">
        <f ca="1">TblProd[[#This Row],[Platinum]]</f>
        <v>603646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45735.666666666453</v>
      </c>
      <c r="AW92" s="96">
        <f ca="1">TblMili[[#This Row],[Draftees]]</f>
        <v>626</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0.44</v>
      </c>
      <c r="BX92" s="159">
        <f ca="1">TblMili[[#This Row],[WG''s]]</f>
        <v>0</v>
      </c>
      <c r="BY92" s="265">
        <f ca="1">IF(mystic_cap="none",TblMili[[#This Row],[Homeland%]]/mystic_bonus,MIN(mystic_cap,TblMili[[#This Row],[Homeland%]]/mystic_bonus))</f>
        <v>2</v>
      </c>
      <c r="BZ92" s="265">
        <f ca="1">IF(druid_op_cap="none",TblMili[[#This Row],[Homeland%]]/druid_op_bonus,MIN(druid_op_cap,TblMili[[#This Row],[Homeland%]]/druid_op_bonus))</f>
        <v>2</v>
      </c>
      <c r="CA92" s="265">
        <f ca="1">IF(druid_dp_cap="none",TblMili[[#This Row],[Homeland%]]/druid_dp_bonus,MIN(druid_dp_cap,TblMili[[#This Row],[Homeland%]]/druid_dp_bonus))</f>
        <v>2</v>
      </c>
      <c r="CB92" s="265">
        <f ca="1">MIN(dryad_cap,TblMili[[#This Row],[Homeland%]]/dryad_bonus)</f>
        <v>2.1999999999999997</v>
      </c>
      <c r="CC92" s="265">
        <f ca="1">MIN(rocka_cap,TblMili[[#This Row],[Homeland%]]/rocka_bonus)</f>
        <v>2</v>
      </c>
      <c r="CD92" s="265">
        <f ca="1">MIN(adept_op_cap,TblMili[[#This Row],[WG]]/adept_op_bonus)</f>
        <v>0</v>
      </c>
      <c r="CE92" s="265">
        <f ca="1">MIN(adept_dp_cap,TblMili[[#This Row],[WG]]/adept_dp_bonus)</f>
        <v>0</v>
      </c>
      <c r="CF92" s="96">
        <f ca="1">MIN(TblMili[[#This Row],[Unit 3]],TblMili[[#This Row],[Unit 2]])*2</f>
        <v>0</v>
      </c>
      <c r="CG92" s="96">
        <f ca="1">MIN(TblMili[[#This Row],[Unit 1]],TblMili[[#This Row],[Unit 4]])*2</f>
        <v>0</v>
      </c>
      <c r="CH92" s="265">
        <f ca="1">MIN(frost_mage_cap,TblMili[[#This Row],[Homeland%]]/frost_mage_bonus)</f>
        <v>2.1999999999999997</v>
      </c>
      <c r="CI92" s="45">
        <f ca="1">MIN(ice_elem_cap,TblMili[[#This Row],[Raw (2)]]*ice_elem_bonus)</f>
        <v>0.1</v>
      </c>
      <c r="CJ92" s="265">
        <f t="shared" si="3"/>
        <v>0.83333333333333337</v>
      </c>
      <c r="CK92" s="265">
        <f ca="1">MIN(nox_nightshade_cap,TblConstr[[#This Row],[Homeland]]/TblConstr[[#This Row],[Land]]/nox_nightshade_swamp_bonus)</f>
        <v>4</v>
      </c>
      <c r="CL92" s="265">
        <f ca="1">MIN(TblConstr[[#This Row],[Tot Tow]]/TblConstr[[#This Row],[Land]]/abyss_enforce_bonus,abyss_enforcer_cap)</f>
        <v>0</v>
      </c>
      <c r="CM92" s="265">
        <f ca="1">IF(TblMagic[[#This Row],[Active Demonic Pact]]&gt;0,MIN(TblMili[[#This Row],[Unit 1]],TblMili[[#This Row],[Unit 4]])*demonic_pact_oppair,0)</f>
        <v>0</v>
      </c>
      <c r="CN92" s="266"/>
      <c r="CO92" s="266"/>
      <c r="CP92" s="266"/>
      <c r="CQ92" s="265">
        <f ca="1">MIN(6,TblMili[[#This Row],[Mystic]]+Races!$F$19)*1.8 +  IF(TblMili[[#This Row],[Mystic]]+Races!$F$19&gt;6,(TblMili[[#This Row],[Mystic]]+Races!$F$19-6)*0.2,0) - Races!$I$19</f>
        <v>1</v>
      </c>
      <c r="CR9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-0.64000000000000057</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4.7099999999999991</v>
      </c>
      <c r="DA92" s="157">
        <f ca="1">1.8 * MIN(MAX(TblMili[[#This Row],[Ice Elemental]]+Races!$E$71,Races!$F$71),6)  +  0.45 * MIN(MIN(TblMili[[#This Row],[Ice Elemental]]+Races!$E$71,Races!$F$71),6)  +  0.2 * ( MAX(TblMili[[#This Row],[Ice Elemental]]+Races!$E$71-6,0) + MAX(Races!$F$71-6,0) )  -  Races!$I$71</f>
        <v>0.92999999999999972</v>
      </c>
      <c r="DB92" s="96">
        <f ca="1">TblMili[[#This Row],[Frost Mage bonus]]*TblMili[[#This Row],[Unit 3]]+TblMili[[#This Row],[Ice Elemental bonus]]*TblMili[[#This Row],[Unit 4]]</f>
        <v>0</v>
      </c>
      <c r="DC92" s="267"/>
      <c r="DD92" s="145">
        <f ca="1">MIN(SUM(TblConstr[[#This Row],[Plain]:[Water]])/TblMili[[#This Row],[Land]]/favorable_terrain_bonus/100,favorable_terrain_max)</f>
        <v>0.1</v>
      </c>
      <c r="DE92" s="267"/>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2" s="144"/>
      <c r="DH92" s="268">
        <f ca="1">(TblMili[[#This Row],[Wizards]]+2*TblMili[[#This Row],[Archmages]])/TblConstr[[#This Row],[Land]]</f>
        <v>0.1</v>
      </c>
      <c r="DI92" s="268">
        <f ca="1">TblMili[[#This Row],[Raw (2)]]*(1+race_wizard_strength+IF(TblMili[[#This Row],[Hour]]&gt;72,tech_magical_weaponry_wiz*TblTech[[#This Row],[3-5]],0))</f>
        <v>0.1</v>
      </c>
    </row>
    <row r="93" spans="1:113" x14ac:dyDescent="0.2">
      <c r="A93" s="139">
        <f>TblRezone[[#This Row],[Hour]]</f>
        <v>90</v>
      </c>
      <c r="B93" s="260">
        <f ca="1">SUM(TblMili[[#This Row],[Unit 1]:[Archmages]])+SUM(OFFSET(TblMili[[#This Row],[Train Unit 1]],-8,0):TblMili[[#This Row],[Train Unit 2]]) + SUM(OFFSET(TblMili[[#This Row],[Train Unit 3]],-11,0):TblMili[[#This Row],[Train AM]]) + TblMili[[#This Row],[Draftees]]</f>
        <v>826</v>
      </c>
      <c r="C93" s="159">
        <f ca="1">TblPop[[#This Row],[Military%]]</f>
        <v>0.35029686174724345</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4"/>
      <c r="N93" s="96">
        <f ca="1">TblProd[[#This Row],[Networth]]</f>
        <v>6450</v>
      </c>
      <c r="O93" s="144"/>
      <c r="P9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1">
        <f ca="1">TblMili[[#This Row],[Raw]]*(1+TblMili[[#This Row],[Mods_Off]])</f>
        <v>0</v>
      </c>
      <c r="S9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3" s="261">
        <f ca="1">TblMili[[#This Row],[Non Draft]]+TblMili[[#This Row],[Draftees]]</f>
        <v>1076</v>
      </c>
      <c r="U93" s="262">
        <f ca="1">race_defense + TblImps[[#This Row],[Walls]] + ROUND( MIN(gt_bonus*TblConstr[[#This Row],[Tot GT]]/TblConstr[[#This Row],[Land]],gt_bonus_cap), 4) + IF(TblMagic[[#This Row],[Active Howling]]&gt;0,howling_dp_bonus,IF(TblMagic[[#This Row],[Active Ares Call]]&gt;0,ares_call_bonus))</f>
        <v>0</v>
      </c>
      <c r="V93" s="263">
        <f ca="1">TblMili[[#This Row],[Non Draft]] * (1 + TblMili[[#This Row],[Mods_Def]])</f>
        <v>450</v>
      </c>
      <c r="W93" s="261">
        <f ca="1">TblMili[[#This Row],[Draft]] * (1 + TblMili[[#This Row],[Mods_Def]])</f>
        <v>1076</v>
      </c>
      <c r="X93" s="261">
        <f ca="1">TblConstr[[#This Row],[Land]]</f>
        <v>250</v>
      </c>
      <c r="Y93" s="264"/>
      <c r="Z93" s="269">
        <f ca="1">IF(TblMili[[#This Row],[Set]]&lt;&gt;"",TblMili[[#This Row],[Set]],OFFSET(TblMili[[#This Row],[Draftrate]],-1,0))</f>
        <v>0.35</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6"/>
      <c r="AC93" s="182">
        <f ca="1">(TblConstr[[#This Row],[Tot Smi]]+TblConstr[[#This Row],[Dest Smi]])/(TblConstr[[#This Row],[Land]]-TblExplore[[#This Row],[Land Bonus]]*20)</f>
        <v>0</v>
      </c>
      <c r="AD93" s="139"/>
      <c r="AE93" s="260">
        <f>TblMili[[#This Row],[Hour]]</f>
        <v>90</v>
      </c>
      <c r="AF93" s="140">
        <f ca="1">TblExplore[[#This Row],[Time]]</f>
        <v>45735.708333333117</v>
      </c>
      <c r="AG93" s="181"/>
      <c r="AH93" s="181"/>
      <c r="AI93" s="181"/>
      <c r="AJ93" s="181"/>
      <c r="AK93" s="181"/>
      <c r="AL93" s="181"/>
      <c r="AM93" s="181"/>
      <c r="AN93" s="181"/>
      <c r="AO93" s="448">
        <f ca="1">ROUND(IF(AND(TblMagic[[#This Row],[Active DnD]]&lt;12,TblMagic[[#This Row],[Active DnD]]&gt;5),OFFSET(TblPop[[#This Row],[Draft Growth]],-1,0)*0.375,0),0)</f>
        <v>0</v>
      </c>
      <c r="AP93" s="144"/>
      <c r="AQ93" s="96">
        <f ca="1">TblProd[[#This Row],[Platinum]]</f>
        <v>609132</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45735.708333333117</v>
      </c>
      <c r="AW93" s="96">
        <f ca="1">TblMili[[#This Row],[Draftees]]</f>
        <v>626</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0.44</v>
      </c>
      <c r="BX93" s="159">
        <f ca="1">TblMili[[#This Row],[WG''s]]</f>
        <v>0</v>
      </c>
      <c r="BY93" s="265">
        <f ca="1">IF(mystic_cap="none",TblMili[[#This Row],[Homeland%]]/mystic_bonus,MIN(mystic_cap,TblMili[[#This Row],[Homeland%]]/mystic_bonus))</f>
        <v>2</v>
      </c>
      <c r="BZ93" s="265">
        <f ca="1">IF(druid_op_cap="none",TblMili[[#This Row],[Homeland%]]/druid_op_bonus,MIN(druid_op_cap,TblMili[[#This Row],[Homeland%]]/druid_op_bonus))</f>
        <v>2</v>
      </c>
      <c r="CA93" s="265">
        <f ca="1">IF(druid_dp_cap="none",TblMili[[#This Row],[Homeland%]]/druid_dp_bonus,MIN(druid_dp_cap,TblMili[[#This Row],[Homeland%]]/druid_dp_bonus))</f>
        <v>2</v>
      </c>
      <c r="CB93" s="265">
        <f ca="1">MIN(dryad_cap,TblMili[[#This Row],[Homeland%]]/dryad_bonus)</f>
        <v>2.1999999999999997</v>
      </c>
      <c r="CC93" s="265">
        <f ca="1">MIN(rocka_cap,TblMili[[#This Row],[Homeland%]]/rocka_bonus)</f>
        <v>2</v>
      </c>
      <c r="CD93" s="265">
        <f ca="1">MIN(adept_op_cap,TblMili[[#This Row],[WG]]/adept_op_bonus)</f>
        <v>0</v>
      </c>
      <c r="CE93" s="265">
        <f ca="1">MIN(adept_dp_cap,TblMili[[#This Row],[WG]]/adept_dp_bonus)</f>
        <v>0</v>
      </c>
      <c r="CF93" s="96">
        <f ca="1">MIN(TblMili[[#This Row],[Unit 3]],TblMili[[#This Row],[Unit 2]])*2</f>
        <v>0</v>
      </c>
      <c r="CG93" s="96">
        <f ca="1">MIN(TblMili[[#This Row],[Unit 1]],TblMili[[#This Row],[Unit 4]])*2</f>
        <v>0</v>
      </c>
      <c r="CH93" s="265">
        <f ca="1">MIN(frost_mage_cap,TblMili[[#This Row],[Homeland%]]/frost_mage_bonus)</f>
        <v>2.1999999999999997</v>
      </c>
      <c r="CI93" s="45">
        <f ca="1">MIN(ice_elem_cap,TblMili[[#This Row],[Raw (2)]]*ice_elem_bonus)</f>
        <v>0.1</v>
      </c>
      <c r="CJ93" s="265">
        <f t="shared" si="3"/>
        <v>0.83333333333333337</v>
      </c>
      <c r="CK93" s="265">
        <f ca="1">MIN(nox_nightshade_cap,TblConstr[[#This Row],[Homeland]]/TblConstr[[#This Row],[Land]]/nox_nightshade_swamp_bonus)</f>
        <v>4</v>
      </c>
      <c r="CL93" s="265">
        <f ca="1">MIN(TblConstr[[#This Row],[Tot Tow]]/TblConstr[[#This Row],[Land]]/abyss_enforce_bonus,abyss_enforcer_cap)</f>
        <v>0</v>
      </c>
      <c r="CM93" s="265">
        <f ca="1">IF(TblMagic[[#This Row],[Active Demonic Pact]]&gt;0,MIN(TblMili[[#This Row],[Unit 1]],TblMili[[#This Row],[Unit 4]])*demonic_pact_oppair,0)</f>
        <v>0</v>
      </c>
      <c r="CN93" s="266"/>
      <c r="CO93" s="266"/>
      <c r="CP93" s="266"/>
      <c r="CQ93" s="265">
        <f ca="1">MIN(6,TblMili[[#This Row],[Mystic]]+Races!$F$19)*1.8 +  IF(TblMili[[#This Row],[Mystic]]+Races!$F$19&gt;6,(TblMili[[#This Row],[Mystic]]+Races!$F$19-6)*0.2,0) - Races!$I$19</f>
        <v>1</v>
      </c>
      <c r="CR9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-0.64000000000000057</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4.7099999999999991</v>
      </c>
      <c r="DA93" s="157">
        <f ca="1">1.8 * MIN(MAX(TblMili[[#This Row],[Ice Elemental]]+Races!$E$71,Races!$F$71),6)  +  0.45 * MIN(MIN(TblMili[[#This Row],[Ice Elemental]]+Races!$E$71,Races!$F$71),6)  +  0.2 * ( MAX(TblMili[[#This Row],[Ice Elemental]]+Races!$E$71-6,0) + MAX(Races!$F$71-6,0) )  -  Races!$I$71</f>
        <v>0.92999999999999972</v>
      </c>
      <c r="DB93" s="96">
        <f ca="1">TblMili[[#This Row],[Frost Mage bonus]]*TblMili[[#This Row],[Unit 3]]+TblMili[[#This Row],[Ice Elemental bonus]]*TblMili[[#This Row],[Unit 4]]</f>
        <v>0</v>
      </c>
      <c r="DC93" s="267"/>
      <c r="DD93" s="145">
        <f ca="1">MIN(SUM(TblConstr[[#This Row],[Plain]:[Water]])/TblMili[[#This Row],[Land]]/favorable_terrain_bonus/100,favorable_terrain_max)</f>
        <v>0.1</v>
      </c>
      <c r="DE93" s="267"/>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3" s="144"/>
      <c r="DH93" s="268">
        <f ca="1">(TblMili[[#This Row],[Wizards]]+2*TblMili[[#This Row],[Archmages]])/TblConstr[[#This Row],[Land]]</f>
        <v>0.1</v>
      </c>
      <c r="DI93" s="268">
        <f ca="1">TblMili[[#This Row],[Raw (2)]]*(1+race_wizard_strength+IF(TblMili[[#This Row],[Hour]]&gt;72,tech_magical_weaponry_wiz*TblTech[[#This Row],[3-5]],0))</f>
        <v>0.1</v>
      </c>
    </row>
    <row r="94" spans="1:113" x14ac:dyDescent="0.2">
      <c r="A94" s="139">
        <f>TblRezone[[#This Row],[Hour]]</f>
        <v>91</v>
      </c>
      <c r="B94" s="260">
        <f ca="1">SUM(TblMili[[#This Row],[Unit 1]:[Archmages]])+SUM(OFFSET(TblMili[[#This Row],[Train Unit 1]],-8,0):TblMili[[#This Row],[Train Unit 2]]) + SUM(OFFSET(TblMili[[#This Row],[Train Unit 3]],-11,0):TblMili[[#This Row],[Train AM]]) + TblMili[[#This Row],[Draftees]]</f>
        <v>826</v>
      </c>
      <c r="C94" s="159">
        <f ca="1">TblPop[[#This Row],[Military%]]</f>
        <v>0.35029686174724345</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4"/>
      <c r="N94" s="96">
        <f ca="1">TblProd[[#This Row],[Networth]]</f>
        <v>6450</v>
      </c>
      <c r="O94" s="144"/>
      <c r="P9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1">
        <f ca="1">TblMili[[#This Row],[Raw]]*(1+TblMili[[#This Row],[Mods_Off]])</f>
        <v>0</v>
      </c>
      <c r="S9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4" s="261">
        <f ca="1">TblMili[[#This Row],[Non Draft]]+TblMili[[#This Row],[Draftees]]</f>
        <v>1076</v>
      </c>
      <c r="U94" s="262">
        <f ca="1">race_defense + TblImps[[#This Row],[Walls]] + ROUND( MIN(gt_bonus*TblConstr[[#This Row],[Tot GT]]/TblConstr[[#This Row],[Land]],gt_bonus_cap), 4) + IF(TblMagic[[#This Row],[Active Howling]]&gt;0,howling_dp_bonus,IF(TblMagic[[#This Row],[Active Ares Call]]&gt;0,ares_call_bonus))</f>
        <v>0</v>
      </c>
      <c r="V94" s="263">
        <f ca="1">TblMili[[#This Row],[Non Draft]] * (1 + TblMili[[#This Row],[Mods_Def]])</f>
        <v>450</v>
      </c>
      <c r="W94" s="261">
        <f ca="1">TblMili[[#This Row],[Draft]] * (1 + TblMili[[#This Row],[Mods_Def]])</f>
        <v>1076</v>
      </c>
      <c r="X94" s="261">
        <f ca="1">TblConstr[[#This Row],[Land]]</f>
        <v>250</v>
      </c>
      <c r="Y94" s="264"/>
      <c r="Z94" s="269">
        <f ca="1">IF(TblMili[[#This Row],[Set]]&lt;&gt;"",TblMili[[#This Row],[Set]],OFFSET(TblMili[[#This Row],[Draftrate]],-1,0))</f>
        <v>0.35</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6"/>
      <c r="AC94" s="182">
        <f ca="1">(TblConstr[[#This Row],[Tot Smi]]+TblConstr[[#This Row],[Dest Smi]])/(TblConstr[[#This Row],[Land]]-TblExplore[[#This Row],[Land Bonus]]*20)</f>
        <v>0</v>
      </c>
      <c r="AD94" s="139"/>
      <c r="AE94" s="260">
        <f>TblMili[[#This Row],[Hour]]</f>
        <v>91</v>
      </c>
      <c r="AF94" s="140">
        <f ca="1">TblExplore[[#This Row],[Time]]</f>
        <v>45735.749999999782</v>
      </c>
      <c r="AG94" s="181"/>
      <c r="AH94" s="181"/>
      <c r="AI94" s="181"/>
      <c r="AJ94" s="181"/>
      <c r="AK94" s="181"/>
      <c r="AL94" s="181"/>
      <c r="AM94" s="181"/>
      <c r="AN94" s="181"/>
      <c r="AO94" s="448">
        <f ca="1">ROUND(IF(AND(TblMagic[[#This Row],[Active DnD]]&lt;12,TblMagic[[#This Row],[Active DnD]]&gt;5),OFFSET(TblPop[[#This Row],[Draft Growth]],-1,0)*0.375,0),0)</f>
        <v>0</v>
      </c>
      <c r="AP94" s="144"/>
      <c r="AQ94" s="96">
        <f ca="1">TblProd[[#This Row],[Platinum]]</f>
        <v>614618</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45735.749999999782</v>
      </c>
      <c r="AW94" s="96">
        <f ca="1">TblMili[[#This Row],[Draftees]]</f>
        <v>626</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0.44</v>
      </c>
      <c r="BX94" s="159">
        <f ca="1">TblMili[[#This Row],[WG''s]]</f>
        <v>0</v>
      </c>
      <c r="BY94" s="265">
        <f ca="1">IF(mystic_cap="none",TblMili[[#This Row],[Homeland%]]/mystic_bonus,MIN(mystic_cap,TblMili[[#This Row],[Homeland%]]/mystic_bonus))</f>
        <v>2</v>
      </c>
      <c r="BZ94" s="265">
        <f ca="1">IF(druid_op_cap="none",TblMili[[#This Row],[Homeland%]]/druid_op_bonus,MIN(druid_op_cap,TblMili[[#This Row],[Homeland%]]/druid_op_bonus))</f>
        <v>2</v>
      </c>
      <c r="CA94" s="265">
        <f ca="1">IF(druid_dp_cap="none",TblMili[[#This Row],[Homeland%]]/druid_dp_bonus,MIN(druid_dp_cap,TblMili[[#This Row],[Homeland%]]/druid_dp_bonus))</f>
        <v>2</v>
      </c>
      <c r="CB94" s="265">
        <f ca="1">MIN(dryad_cap,TblMili[[#This Row],[Homeland%]]/dryad_bonus)</f>
        <v>2.1999999999999997</v>
      </c>
      <c r="CC94" s="265">
        <f ca="1">MIN(rocka_cap,TblMili[[#This Row],[Homeland%]]/rocka_bonus)</f>
        <v>2</v>
      </c>
      <c r="CD94" s="265">
        <f ca="1">MIN(adept_op_cap,TblMili[[#This Row],[WG]]/adept_op_bonus)</f>
        <v>0</v>
      </c>
      <c r="CE94" s="265">
        <f ca="1">MIN(adept_dp_cap,TblMili[[#This Row],[WG]]/adept_dp_bonus)</f>
        <v>0</v>
      </c>
      <c r="CF94" s="96">
        <f ca="1">MIN(TblMili[[#This Row],[Unit 3]],TblMili[[#This Row],[Unit 2]])*2</f>
        <v>0</v>
      </c>
      <c r="CG94" s="96">
        <f ca="1">MIN(TblMili[[#This Row],[Unit 1]],TblMili[[#This Row],[Unit 4]])*2</f>
        <v>0</v>
      </c>
      <c r="CH94" s="265">
        <f ca="1">MIN(frost_mage_cap,TblMili[[#This Row],[Homeland%]]/frost_mage_bonus)</f>
        <v>2.1999999999999997</v>
      </c>
      <c r="CI94" s="45">
        <f ca="1">MIN(ice_elem_cap,TblMili[[#This Row],[Raw (2)]]*ice_elem_bonus)</f>
        <v>0.1</v>
      </c>
      <c r="CJ94" s="265">
        <f t="shared" si="3"/>
        <v>0.83333333333333337</v>
      </c>
      <c r="CK94" s="265">
        <f ca="1">MIN(nox_nightshade_cap,TblConstr[[#This Row],[Homeland]]/TblConstr[[#This Row],[Land]]/nox_nightshade_swamp_bonus)</f>
        <v>4</v>
      </c>
      <c r="CL94" s="265">
        <f ca="1">MIN(TblConstr[[#This Row],[Tot Tow]]/TblConstr[[#This Row],[Land]]/abyss_enforce_bonus,abyss_enforcer_cap)</f>
        <v>0</v>
      </c>
      <c r="CM94" s="265">
        <f ca="1">IF(TblMagic[[#This Row],[Active Demonic Pact]]&gt;0,MIN(TblMili[[#This Row],[Unit 1]],TblMili[[#This Row],[Unit 4]])*demonic_pact_oppair,0)</f>
        <v>0</v>
      </c>
      <c r="CN94" s="266"/>
      <c r="CO94" s="266"/>
      <c r="CP94" s="266"/>
      <c r="CQ94" s="265">
        <f ca="1">MIN(6,TblMili[[#This Row],[Mystic]]+Races!$F$19)*1.8 +  IF(TblMili[[#This Row],[Mystic]]+Races!$F$19&gt;6,(TblMili[[#This Row],[Mystic]]+Races!$F$19-6)*0.2,0) - Races!$I$19</f>
        <v>1</v>
      </c>
      <c r="CR9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-0.64000000000000057</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4.7099999999999991</v>
      </c>
      <c r="DA94" s="157">
        <f ca="1">1.8 * MIN(MAX(TblMili[[#This Row],[Ice Elemental]]+Races!$E$71,Races!$F$71),6)  +  0.45 * MIN(MIN(TblMili[[#This Row],[Ice Elemental]]+Races!$E$71,Races!$F$71),6)  +  0.2 * ( MAX(TblMili[[#This Row],[Ice Elemental]]+Races!$E$71-6,0) + MAX(Races!$F$71-6,0) )  -  Races!$I$71</f>
        <v>0.92999999999999972</v>
      </c>
      <c r="DB94" s="96">
        <f ca="1">TblMili[[#This Row],[Frost Mage bonus]]*TblMili[[#This Row],[Unit 3]]+TblMili[[#This Row],[Ice Elemental bonus]]*TblMili[[#This Row],[Unit 4]]</f>
        <v>0</v>
      </c>
      <c r="DC94" s="267"/>
      <c r="DD94" s="145">
        <f ca="1">MIN(SUM(TblConstr[[#This Row],[Plain]:[Water]])/TblMili[[#This Row],[Land]]/favorable_terrain_bonus/100,favorable_terrain_max)</f>
        <v>0.1</v>
      </c>
      <c r="DE94" s="267"/>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4" s="144"/>
      <c r="DH94" s="268">
        <f ca="1">(TblMili[[#This Row],[Wizards]]+2*TblMili[[#This Row],[Archmages]])/TblConstr[[#This Row],[Land]]</f>
        <v>0.1</v>
      </c>
      <c r="DI94" s="268">
        <f ca="1">TblMili[[#This Row],[Raw (2)]]*(1+race_wizard_strength+IF(TblMili[[#This Row],[Hour]]&gt;72,tech_magical_weaponry_wiz*TblTech[[#This Row],[3-5]],0))</f>
        <v>0.1</v>
      </c>
    </row>
    <row r="95" spans="1:113" x14ac:dyDescent="0.2">
      <c r="A95" s="139">
        <f>TblRezone[[#This Row],[Hour]]</f>
        <v>92</v>
      </c>
      <c r="B95" s="260">
        <f ca="1">SUM(TblMili[[#This Row],[Unit 1]:[Archmages]])+SUM(OFFSET(TblMili[[#This Row],[Train Unit 1]],-8,0):TblMili[[#This Row],[Train Unit 2]]) + SUM(OFFSET(TblMili[[#This Row],[Train Unit 3]],-11,0):TblMili[[#This Row],[Train AM]]) + TblMili[[#This Row],[Draftees]]</f>
        <v>826</v>
      </c>
      <c r="C95" s="159">
        <f ca="1">TblPop[[#This Row],[Military%]]</f>
        <v>0.35029686174724345</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4"/>
      <c r="N95" s="96">
        <f ca="1">TblProd[[#This Row],[Networth]]</f>
        <v>6450</v>
      </c>
      <c r="O95" s="144"/>
      <c r="P9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1">
        <f ca="1">TblMili[[#This Row],[Raw]]*(1+TblMili[[#This Row],[Mods_Off]])</f>
        <v>0</v>
      </c>
      <c r="S9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5" s="261">
        <f ca="1">TblMili[[#This Row],[Non Draft]]+TblMili[[#This Row],[Draftees]]</f>
        <v>1076</v>
      </c>
      <c r="U95" s="262">
        <f ca="1">race_defense + TblImps[[#This Row],[Walls]] + ROUND( MIN(gt_bonus*TblConstr[[#This Row],[Tot GT]]/TblConstr[[#This Row],[Land]],gt_bonus_cap), 4) + IF(TblMagic[[#This Row],[Active Howling]]&gt;0,howling_dp_bonus,IF(TblMagic[[#This Row],[Active Ares Call]]&gt;0,ares_call_bonus))</f>
        <v>0</v>
      </c>
      <c r="V95" s="263">
        <f ca="1">TblMili[[#This Row],[Non Draft]] * (1 + TblMili[[#This Row],[Mods_Def]])</f>
        <v>450</v>
      </c>
      <c r="W95" s="261">
        <f ca="1">TblMili[[#This Row],[Draft]] * (1 + TblMili[[#This Row],[Mods_Def]])</f>
        <v>1076</v>
      </c>
      <c r="X95" s="261">
        <f ca="1">TblConstr[[#This Row],[Land]]</f>
        <v>250</v>
      </c>
      <c r="Y95" s="264"/>
      <c r="Z95" s="269">
        <f ca="1">IF(TblMili[[#This Row],[Set]]&lt;&gt;"",TblMili[[#This Row],[Set]],OFFSET(TblMili[[#This Row],[Draftrate]],-1,0))</f>
        <v>0.35</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6"/>
      <c r="AC95" s="182">
        <f ca="1">(TblConstr[[#This Row],[Tot Smi]]+TblConstr[[#This Row],[Dest Smi]])/(TblConstr[[#This Row],[Land]]-TblExplore[[#This Row],[Land Bonus]]*20)</f>
        <v>0</v>
      </c>
      <c r="AD95" s="139"/>
      <c r="AE95" s="260">
        <f>TblMili[[#This Row],[Hour]]</f>
        <v>92</v>
      </c>
      <c r="AF95" s="140">
        <f ca="1">TblExplore[[#This Row],[Time]]</f>
        <v>45735.791666666446</v>
      </c>
      <c r="AG95" s="181"/>
      <c r="AH95" s="181"/>
      <c r="AI95" s="181"/>
      <c r="AJ95" s="181"/>
      <c r="AK95" s="181"/>
      <c r="AL95" s="181"/>
      <c r="AM95" s="181"/>
      <c r="AN95" s="181"/>
      <c r="AO95" s="448">
        <f ca="1">ROUND(IF(AND(TblMagic[[#This Row],[Active DnD]]&lt;12,TblMagic[[#This Row],[Active DnD]]&gt;5),OFFSET(TblPop[[#This Row],[Draft Growth]],-1,0)*0.375,0),0)</f>
        <v>0</v>
      </c>
      <c r="AP95" s="144"/>
      <c r="AQ95" s="96">
        <f ca="1">TblProd[[#This Row],[Platinum]]</f>
        <v>620104</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45735.791666666446</v>
      </c>
      <c r="AW95" s="96">
        <f ca="1">TblMili[[#This Row],[Draftees]]</f>
        <v>626</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0.44</v>
      </c>
      <c r="BX95" s="159">
        <f ca="1">TblMili[[#This Row],[WG''s]]</f>
        <v>0</v>
      </c>
      <c r="BY95" s="265">
        <f ca="1">IF(mystic_cap="none",TblMili[[#This Row],[Homeland%]]/mystic_bonus,MIN(mystic_cap,TblMili[[#This Row],[Homeland%]]/mystic_bonus))</f>
        <v>2</v>
      </c>
      <c r="BZ95" s="265">
        <f ca="1">IF(druid_op_cap="none",TblMili[[#This Row],[Homeland%]]/druid_op_bonus,MIN(druid_op_cap,TblMili[[#This Row],[Homeland%]]/druid_op_bonus))</f>
        <v>2</v>
      </c>
      <c r="CA95" s="265">
        <f ca="1">IF(druid_dp_cap="none",TblMili[[#This Row],[Homeland%]]/druid_dp_bonus,MIN(druid_dp_cap,TblMili[[#This Row],[Homeland%]]/druid_dp_bonus))</f>
        <v>2</v>
      </c>
      <c r="CB95" s="265">
        <f ca="1">MIN(dryad_cap,TblMili[[#This Row],[Homeland%]]/dryad_bonus)</f>
        <v>2.1999999999999997</v>
      </c>
      <c r="CC95" s="265">
        <f ca="1">MIN(rocka_cap,TblMili[[#This Row],[Homeland%]]/rocka_bonus)</f>
        <v>2</v>
      </c>
      <c r="CD95" s="265">
        <f ca="1">MIN(adept_op_cap,TblMili[[#This Row],[WG]]/adept_op_bonus)</f>
        <v>0</v>
      </c>
      <c r="CE95" s="265">
        <f ca="1">MIN(adept_dp_cap,TblMili[[#This Row],[WG]]/adept_dp_bonus)</f>
        <v>0</v>
      </c>
      <c r="CF95" s="96">
        <f ca="1">MIN(TblMili[[#This Row],[Unit 3]],TblMili[[#This Row],[Unit 2]])*2</f>
        <v>0</v>
      </c>
      <c r="CG95" s="96">
        <f ca="1">MIN(TblMili[[#This Row],[Unit 1]],TblMili[[#This Row],[Unit 4]])*2</f>
        <v>0</v>
      </c>
      <c r="CH95" s="265">
        <f ca="1">MIN(frost_mage_cap,TblMili[[#This Row],[Homeland%]]/frost_mage_bonus)</f>
        <v>2.1999999999999997</v>
      </c>
      <c r="CI95" s="45">
        <f ca="1">MIN(ice_elem_cap,TblMili[[#This Row],[Raw (2)]]*ice_elem_bonus)</f>
        <v>0.1</v>
      </c>
      <c r="CJ95" s="265">
        <f t="shared" si="3"/>
        <v>0.83333333333333337</v>
      </c>
      <c r="CK95" s="265">
        <f ca="1">MIN(nox_nightshade_cap,TblConstr[[#This Row],[Homeland]]/TblConstr[[#This Row],[Land]]/nox_nightshade_swamp_bonus)</f>
        <v>4</v>
      </c>
      <c r="CL95" s="265">
        <f ca="1">MIN(TblConstr[[#This Row],[Tot Tow]]/TblConstr[[#This Row],[Land]]/abyss_enforce_bonus,abyss_enforcer_cap)</f>
        <v>0</v>
      </c>
      <c r="CM95" s="265">
        <f ca="1">IF(TblMagic[[#This Row],[Active Demonic Pact]]&gt;0,MIN(TblMili[[#This Row],[Unit 1]],TblMili[[#This Row],[Unit 4]])*demonic_pact_oppair,0)</f>
        <v>0</v>
      </c>
      <c r="CN95" s="266"/>
      <c r="CO95" s="266"/>
      <c r="CP95" s="266"/>
      <c r="CQ95" s="265">
        <f ca="1">MIN(6,TblMili[[#This Row],[Mystic]]+Races!$F$19)*1.8 +  IF(TblMili[[#This Row],[Mystic]]+Races!$F$19&gt;6,(TblMili[[#This Row],[Mystic]]+Races!$F$19-6)*0.2,0) - Races!$I$19</f>
        <v>1</v>
      </c>
      <c r="CR9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-0.64000000000000057</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4.7099999999999991</v>
      </c>
      <c r="DA95" s="157">
        <f ca="1">1.8 * MIN(MAX(TblMili[[#This Row],[Ice Elemental]]+Races!$E$71,Races!$F$71),6)  +  0.45 * MIN(MIN(TblMili[[#This Row],[Ice Elemental]]+Races!$E$71,Races!$F$71),6)  +  0.2 * ( MAX(TblMili[[#This Row],[Ice Elemental]]+Races!$E$71-6,0) + MAX(Races!$F$71-6,0) )  -  Races!$I$71</f>
        <v>0.92999999999999972</v>
      </c>
      <c r="DB95" s="96">
        <f ca="1">TblMili[[#This Row],[Frost Mage bonus]]*TblMili[[#This Row],[Unit 3]]+TblMili[[#This Row],[Ice Elemental bonus]]*TblMili[[#This Row],[Unit 4]]</f>
        <v>0</v>
      </c>
      <c r="DC95" s="267"/>
      <c r="DD95" s="145">
        <f ca="1">MIN(SUM(TblConstr[[#This Row],[Plain]:[Water]])/TblMili[[#This Row],[Land]]/favorable_terrain_bonus/100,favorable_terrain_max)</f>
        <v>0.1</v>
      </c>
      <c r="DE95" s="267"/>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5" s="144"/>
      <c r="DH95" s="268">
        <f ca="1">(TblMili[[#This Row],[Wizards]]+2*TblMili[[#This Row],[Archmages]])/TblConstr[[#This Row],[Land]]</f>
        <v>0.1</v>
      </c>
      <c r="DI95" s="268">
        <f ca="1">TblMili[[#This Row],[Raw (2)]]*(1+race_wizard_strength+IF(TblMili[[#This Row],[Hour]]&gt;72,tech_magical_weaponry_wiz*TblTech[[#This Row],[3-5]],0))</f>
        <v>0.1</v>
      </c>
    </row>
    <row r="96" spans="1:113" x14ac:dyDescent="0.2">
      <c r="A96" s="139">
        <f>TblRezone[[#This Row],[Hour]]</f>
        <v>93</v>
      </c>
      <c r="B96" s="260">
        <f ca="1">SUM(TblMili[[#This Row],[Unit 1]:[Archmages]])+SUM(OFFSET(TblMili[[#This Row],[Train Unit 1]],-8,0):TblMili[[#This Row],[Train Unit 2]]) + SUM(OFFSET(TblMili[[#This Row],[Train Unit 3]],-11,0):TblMili[[#This Row],[Train AM]]) + TblMili[[#This Row],[Draftees]]</f>
        <v>826</v>
      </c>
      <c r="C96" s="159">
        <f ca="1">TblPop[[#This Row],[Military%]]</f>
        <v>0.35029686174724345</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4"/>
      <c r="N96" s="96">
        <f ca="1">TblProd[[#This Row],[Networth]]</f>
        <v>6450</v>
      </c>
      <c r="O96" s="144"/>
      <c r="P9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1">
        <f ca="1">TblMili[[#This Row],[Raw]]*(1+TblMili[[#This Row],[Mods_Off]])</f>
        <v>0</v>
      </c>
      <c r="S9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6" s="261">
        <f ca="1">TblMili[[#This Row],[Non Draft]]+TblMili[[#This Row],[Draftees]]</f>
        <v>1076</v>
      </c>
      <c r="U96" s="262">
        <f ca="1">race_defense + TblImps[[#This Row],[Walls]] + ROUND( MIN(gt_bonus*TblConstr[[#This Row],[Tot GT]]/TblConstr[[#This Row],[Land]],gt_bonus_cap), 4) + IF(TblMagic[[#This Row],[Active Howling]]&gt;0,howling_dp_bonus,IF(TblMagic[[#This Row],[Active Ares Call]]&gt;0,ares_call_bonus))</f>
        <v>0</v>
      </c>
      <c r="V96" s="263">
        <f ca="1">TblMili[[#This Row],[Non Draft]] * (1 + TblMili[[#This Row],[Mods_Def]])</f>
        <v>450</v>
      </c>
      <c r="W96" s="261">
        <f ca="1">TblMili[[#This Row],[Draft]] * (1 + TblMili[[#This Row],[Mods_Def]])</f>
        <v>1076</v>
      </c>
      <c r="X96" s="261">
        <f ca="1">TblConstr[[#This Row],[Land]]</f>
        <v>250</v>
      </c>
      <c r="Y96" s="264"/>
      <c r="Z96" s="269">
        <f ca="1">IF(TblMili[[#This Row],[Set]]&lt;&gt;"",TblMili[[#This Row],[Set]],OFFSET(TblMili[[#This Row],[Draftrate]],-1,0))</f>
        <v>0.35</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6"/>
      <c r="AC96" s="182">
        <f ca="1">(TblConstr[[#This Row],[Tot Smi]]+TblConstr[[#This Row],[Dest Smi]])/(TblConstr[[#This Row],[Land]]-TblExplore[[#This Row],[Land Bonus]]*20)</f>
        <v>0</v>
      </c>
      <c r="AD96" s="139"/>
      <c r="AE96" s="260">
        <f>TblMili[[#This Row],[Hour]]</f>
        <v>93</v>
      </c>
      <c r="AF96" s="140">
        <f ca="1">TblExplore[[#This Row],[Time]]</f>
        <v>45735.83333333311</v>
      </c>
      <c r="AG96" s="181"/>
      <c r="AH96" s="181"/>
      <c r="AI96" s="181"/>
      <c r="AJ96" s="181"/>
      <c r="AK96" s="181"/>
      <c r="AL96" s="181"/>
      <c r="AM96" s="181"/>
      <c r="AN96" s="181"/>
      <c r="AO96" s="448">
        <f ca="1">ROUND(IF(AND(TblMagic[[#This Row],[Active DnD]]&lt;12,TblMagic[[#This Row],[Active DnD]]&gt;5),OFFSET(TblPop[[#This Row],[Draft Growth]],-1,0)*0.375,0),0)</f>
        <v>0</v>
      </c>
      <c r="AP96" s="144"/>
      <c r="AQ96" s="96">
        <f ca="1">TblProd[[#This Row],[Platinum]]</f>
        <v>625590</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45735.83333333311</v>
      </c>
      <c r="AW96" s="96">
        <f ca="1">TblMili[[#This Row],[Draftees]]</f>
        <v>626</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0.44</v>
      </c>
      <c r="BX96" s="159">
        <f ca="1">TblMili[[#This Row],[WG''s]]</f>
        <v>0</v>
      </c>
      <c r="BY96" s="265">
        <f ca="1">IF(mystic_cap="none",TblMili[[#This Row],[Homeland%]]/mystic_bonus,MIN(mystic_cap,TblMili[[#This Row],[Homeland%]]/mystic_bonus))</f>
        <v>2</v>
      </c>
      <c r="BZ96" s="265">
        <f ca="1">IF(druid_op_cap="none",TblMili[[#This Row],[Homeland%]]/druid_op_bonus,MIN(druid_op_cap,TblMili[[#This Row],[Homeland%]]/druid_op_bonus))</f>
        <v>2</v>
      </c>
      <c r="CA96" s="265">
        <f ca="1">IF(druid_dp_cap="none",TblMili[[#This Row],[Homeland%]]/druid_dp_bonus,MIN(druid_dp_cap,TblMili[[#This Row],[Homeland%]]/druid_dp_bonus))</f>
        <v>2</v>
      </c>
      <c r="CB96" s="265">
        <f ca="1">MIN(dryad_cap,TblMili[[#This Row],[Homeland%]]/dryad_bonus)</f>
        <v>2.1999999999999997</v>
      </c>
      <c r="CC96" s="265">
        <f ca="1">MIN(rocka_cap,TblMili[[#This Row],[Homeland%]]/rocka_bonus)</f>
        <v>2</v>
      </c>
      <c r="CD96" s="265">
        <f ca="1">MIN(adept_op_cap,TblMili[[#This Row],[WG]]/adept_op_bonus)</f>
        <v>0</v>
      </c>
      <c r="CE96" s="265">
        <f ca="1">MIN(adept_dp_cap,TblMili[[#This Row],[WG]]/adept_dp_bonus)</f>
        <v>0</v>
      </c>
      <c r="CF96" s="96">
        <f ca="1">MIN(TblMili[[#This Row],[Unit 3]],TblMili[[#This Row],[Unit 2]])*2</f>
        <v>0</v>
      </c>
      <c r="CG96" s="96">
        <f ca="1">MIN(TblMili[[#This Row],[Unit 1]],TblMili[[#This Row],[Unit 4]])*2</f>
        <v>0</v>
      </c>
      <c r="CH96" s="265">
        <f ca="1">MIN(frost_mage_cap,TblMili[[#This Row],[Homeland%]]/frost_mage_bonus)</f>
        <v>2.1999999999999997</v>
      </c>
      <c r="CI96" s="45">
        <f ca="1">MIN(ice_elem_cap,TblMili[[#This Row],[Raw (2)]]*ice_elem_bonus)</f>
        <v>0.1</v>
      </c>
      <c r="CJ96" s="265">
        <f t="shared" si="3"/>
        <v>0.83333333333333337</v>
      </c>
      <c r="CK96" s="265">
        <f ca="1">MIN(nox_nightshade_cap,TblConstr[[#This Row],[Homeland]]/TblConstr[[#This Row],[Land]]/nox_nightshade_swamp_bonus)</f>
        <v>4</v>
      </c>
      <c r="CL96" s="265">
        <f ca="1">MIN(TblConstr[[#This Row],[Tot Tow]]/TblConstr[[#This Row],[Land]]/abyss_enforce_bonus,abyss_enforcer_cap)</f>
        <v>0</v>
      </c>
      <c r="CM96" s="265">
        <f ca="1">IF(TblMagic[[#This Row],[Active Demonic Pact]]&gt;0,MIN(TblMili[[#This Row],[Unit 1]],TblMili[[#This Row],[Unit 4]])*demonic_pact_oppair,0)</f>
        <v>0</v>
      </c>
      <c r="CN96" s="266"/>
      <c r="CO96" s="266"/>
      <c r="CP96" s="266"/>
      <c r="CQ96" s="265">
        <f ca="1">MIN(6,TblMili[[#This Row],[Mystic]]+Races!$F$19)*1.8 +  IF(TblMili[[#This Row],[Mystic]]+Races!$F$19&gt;6,(TblMili[[#This Row],[Mystic]]+Races!$F$19-6)*0.2,0) - Races!$I$19</f>
        <v>1</v>
      </c>
      <c r="CR9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-0.64000000000000057</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4.7099999999999991</v>
      </c>
      <c r="DA96" s="157">
        <f ca="1">1.8 * MIN(MAX(TblMili[[#This Row],[Ice Elemental]]+Races!$E$71,Races!$F$71),6)  +  0.45 * MIN(MIN(TblMili[[#This Row],[Ice Elemental]]+Races!$E$71,Races!$F$71),6)  +  0.2 * ( MAX(TblMili[[#This Row],[Ice Elemental]]+Races!$E$71-6,0) + MAX(Races!$F$71-6,0) )  -  Races!$I$71</f>
        <v>0.92999999999999972</v>
      </c>
      <c r="DB96" s="96">
        <f ca="1">TblMili[[#This Row],[Frost Mage bonus]]*TblMili[[#This Row],[Unit 3]]+TblMili[[#This Row],[Ice Elemental bonus]]*TblMili[[#This Row],[Unit 4]]</f>
        <v>0</v>
      </c>
      <c r="DC96" s="267"/>
      <c r="DD96" s="145">
        <f ca="1">MIN(SUM(TblConstr[[#This Row],[Plain]:[Water]])/TblMili[[#This Row],[Land]]/favorable_terrain_bonus/100,favorable_terrain_max)</f>
        <v>0.1</v>
      </c>
      <c r="DE96" s="267"/>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6" s="144"/>
      <c r="DH96" s="268">
        <f ca="1">(TblMili[[#This Row],[Wizards]]+2*TblMili[[#This Row],[Archmages]])/TblConstr[[#This Row],[Land]]</f>
        <v>0.1</v>
      </c>
      <c r="DI96" s="268">
        <f ca="1">TblMili[[#This Row],[Raw (2)]]*(1+race_wizard_strength+IF(TblMili[[#This Row],[Hour]]&gt;72,tech_magical_weaponry_wiz*TblTech[[#This Row],[3-5]],0))</f>
        <v>0.1</v>
      </c>
    </row>
    <row r="97" spans="1:113" x14ac:dyDescent="0.2">
      <c r="A97" s="139">
        <f>TblRezone[[#This Row],[Hour]]</f>
        <v>94</v>
      </c>
      <c r="B97" s="260">
        <f ca="1">SUM(TblMili[[#This Row],[Unit 1]:[Archmages]])+SUM(OFFSET(TblMili[[#This Row],[Train Unit 1]],-8,0):TblMili[[#This Row],[Train Unit 2]]) + SUM(OFFSET(TblMili[[#This Row],[Train Unit 3]],-11,0):TblMili[[#This Row],[Train AM]]) + TblMili[[#This Row],[Draftees]]</f>
        <v>826</v>
      </c>
      <c r="C97" s="159">
        <f ca="1">TblPop[[#This Row],[Military%]]</f>
        <v>0.35029686174724345</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4"/>
      <c r="N97" s="96">
        <f ca="1">TblProd[[#This Row],[Networth]]</f>
        <v>6450</v>
      </c>
      <c r="O97" s="144"/>
      <c r="P9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1">
        <f ca="1">TblMili[[#This Row],[Raw]]*(1+TblMili[[#This Row],[Mods_Off]])</f>
        <v>0</v>
      </c>
      <c r="S9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7" s="261">
        <f ca="1">TblMili[[#This Row],[Non Draft]]+TblMili[[#This Row],[Draftees]]</f>
        <v>1076</v>
      </c>
      <c r="U97" s="262">
        <f ca="1">race_defense + TblImps[[#This Row],[Walls]] + ROUND( MIN(gt_bonus*TblConstr[[#This Row],[Tot GT]]/TblConstr[[#This Row],[Land]],gt_bonus_cap), 4) + IF(TblMagic[[#This Row],[Active Howling]]&gt;0,howling_dp_bonus,IF(TblMagic[[#This Row],[Active Ares Call]]&gt;0,ares_call_bonus))</f>
        <v>0</v>
      </c>
      <c r="V97" s="263">
        <f ca="1">TblMili[[#This Row],[Non Draft]] * (1 + TblMili[[#This Row],[Mods_Def]])</f>
        <v>450</v>
      </c>
      <c r="W97" s="261">
        <f ca="1">TblMili[[#This Row],[Draft]] * (1 + TblMili[[#This Row],[Mods_Def]])</f>
        <v>1076</v>
      </c>
      <c r="X97" s="261">
        <f ca="1">TblConstr[[#This Row],[Land]]</f>
        <v>250</v>
      </c>
      <c r="Y97" s="264"/>
      <c r="Z97" s="269">
        <f ca="1">IF(TblMili[[#This Row],[Set]]&lt;&gt;"",TblMili[[#This Row],[Set]],OFFSET(TblMili[[#This Row],[Draftrate]],-1,0))</f>
        <v>0.35</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6"/>
      <c r="AC97" s="182">
        <f ca="1">(TblConstr[[#This Row],[Tot Smi]]+TblConstr[[#This Row],[Dest Smi]])/(TblConstr[[#This Row],[Land]]-TblExplore[[#This Row],[Land Bonus]]*20)</f>
        <v>0</v>
      </c>
      <c r="AD97" s="139"/>
      <c r="AE97" s="260">
        <f>TblMili[[#This Row],[Hour]]</f>
        <v>94</v>
      </c>
      <c r="AF97" s="140">
        <f ca="1">TblExplore[[#This Row],[Time]]</f>
        <v>45735.874999999774</v>
      </c>
      <c r="AG97" s="181"/>
      <c r="AH97" s="181"/>
      <c r="AI97" s="181"/>
      <c r="AJ97" s="181"/>
      <c r="AK97" s="181"/>
      <c r="AL97" s="181"/>
      <c r="AM97" s="181"/>
      <c r="AN97" s="181"/>
      <c r="AO97" s="448">
        <f ca="1">ROUND(IF(AND(TblMagic[[#This Row],[Active DnD]]&lt;12,TblMagic[[#This Row],[Active DnD]]&gt;5),OFFSET(TblPop[[#This Row],[Draft Growth]],-1,0)*0.375,0),0)</f>
        <v>0</v>
      </c>
      <c r="AP97" s="144"/>
      <c r="AQ97" s="96">
        <f ca="1">TblProd[[#This Row],[Platinum]]</f>
        <v>631076</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45735.874999999774</v>
      </c>
      <c r="AW97" s="96">
        <f ca="1">TblMili[[#This Row],[Draftees]]</f>
        <v>626</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0.44</v>
      </c>
      <c r="BX97" s="159">
        <f ca="1">TblMili[[#This Row],[WG''s]]</f>
        <v>0</v>
      </c>
      <c r="BY97" s="265">
        <f ca="1">IF(mystic_cap="none",TblMili[[#This Row],[Homeland%]]/mystic_bonus,MIN(mystic_cap,TblMili[[#This Row],[Homeland%]]/mystic_bonus))</f>
        <v>2</v>
      </c>
      <c r="BZ97" s="265">
        <f ca="1">IF(druid_op_cap="none",TblMili[[#This Row],[Homeland%]]/druid_op_bonus,MIN(druid_op_cap,TblMili[[#This Row],[Homeland%]]/druid_op_bonus))</f>
        <v>2</v>
      </c>
      <c r="CA97" s="265">
        <f ca="1">IF(druid_dp_cap="none",TblMili[[#This Row],[Homeland%]]/druid_dp_bonus,MIN(druid_dp_cap,TblMili[[#This Row],[Homeland%]]/druid_dp_bonus))</f>
        <v>2</v>
      </c>
      <c r="CB97" s="265">
        <f ca="1">MIN(dryad_cap,TblMili[[#This Row],[Homeland%]]/dryad_bonus)</f>
        <v>2.1999999999999997</v>
      </c>
      <c r="CC97" s="265">
        <f ca="1">MIN(rocka_cap,TblMili[[#This Row],[Homeland%]]/rocka_bonus)</f>
        <v>2</v>
      </c>
      <c r="CD97" s="265">
        <f ca="1">MIN(adept_op_cap,TblMili[[#This Row],[WG]]/adept_op_bonus)</f>
        <v>0</v>
      </c>
      <c r="CE97" s="265">
        <f ca="1">MIN(adept_dp_cap,TblMili[[#This Row],[WG]]/adept_dp_bonus)</f>
        <v>0</v>
      </c>
      <c r="CF97" s="96">
        <f ca="1">MIN(TblMili[[#This Row],[Unit 3]],TblMili[[#This Row],[Unit 2]])*2</f>
        <v>0</v>
      </c>
      <c r="CG97" s="96">
        <f ca="1">MIN(TblMili[[#This Row],[Unit 1]],TblMili[[#This Row],[Unit 4]])*2</f>
        <v>0</v>
      </c>
      <c r="CH97" s="265">
        <f ca="1">MIN(frost_mage_cap,TblMili[[#This Row],[Homeland%]]/frost_mage_bonus)</f>
        <v>2.1999999999999997</v>
      </c>
      <c r="CI97" s="45">
        <f ca="1">MIN(ice_elem_cap,TblMili[[#This Row],[Raw (2)]]*ice_elem_bonus)</f>
        <v>0.1</v>
      </c>
      <c r="CJ97" s="265">
        <f t="shared" si="3"/>
        <v>0.83333333333333337</v>
      </c>
      <c r="CK97" s="265">
        <f ca="1">MIN(nox_nightshade_cap,TblConstr[[#This Row],[Homeland]]/TblConstr[[#This Row],[Land]]/nox_nightshade_swamp_bonus)</f>
        <v>4</v>
      </c>
      <c r="CL97" s="265">
        <f ca="1">MIN(TblConstr[[#This Row],[Tot Tow]]/TblConstr[[#This Row],[Land]]/abyss_enforce_bonus,abyss_enforcer_cap)</f>
        <v>0</v>
      </c>
      <c r="CM97" s="265">
        <f ca="1">IF(TblMagic[[#This Row],[Active Demonic Pact]]&gt;0,MIN(TblMili[[#This Row],[Unit 1]],TblMili[[#This Row],[Unit 4]])*demonic_pact_oppair,0)</f>
        <v>0</v>
      </c>
      <c r="CN97" s="266"/>
      <c r="CO97" s="266"/>
      <c r="CP97" s="266"/>
      <c r="CQ97" s="265">
        <f ca="1">MIN(6,TblMili[[#This Row],[Mystic]]+Races!$F$19)*1.8 +  IF(TblMili[[#This Row],[Mystic]]+Races!$F$19&gt;6,(TblMili[[#This Row],[Mystic]]+Races!$F$19-6)*0.2,0) - Races!$I$19</f>
        <v>1</v>
      </c>
      <c r="CR9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-0.64000000000000057</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4.7099999999999991</v>
      </c>
      <c r="DA97" s="157">
        <f ca="1">1.8 * MIN(MAX(TblMili[[#This Row],[Ice Elemental]]+Races!$E$71,Races!$F$71),6)  +  0.45 * MIN(MIN(TblMili[[#This Row],[Ice Elemental]]+Races!$E$71,Races!$F$71),6)  +  0.2 * ( MAX(TblMili[[#This Row],[Ice Elemental]]+Races!$E$71-6,0) + MAX(Races!$F$71-6,0) )  -  Races!$I$71</f>
        <v>0.92999999999999972</v>
      </c>
      <c r="DB97" s="96">
        <f ca="1">TblMili[[#This Row],[Frost Mage bonus]]*TblMili[[#This Row],[Unit 3]]+TblMili[[#This Row],[Ice Elemental bonus]]*TblMili[[#This Row],[Unit 4]]</f>
        <v>0</v>
      </c>
      <c r="DC97" s="267"/>
      <c r="DD97" s="145">
        <f ca="1">MIN(SUM(TblConstr[[#This Row],[Plain]:[Water]])/TblMili[[#This Row],[Land]]/favorable_terrain_bonus/100,favorable_terrain_max)</f>
        <v>0.1</v>
      </c>
      <c r="DE97" s="267"/>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7" s="144"/>
      <c r="DH97" s="268">
        <f ca="1">(TblMili[[#This Row],[Wizards]]+2*TblMili[[#This Row],[Archmages]])/TblConstr[[#This Row],[Land]]</f>
        <v>0.1</v>
      </c>
      <c r="DI97" s="268">
        <f ca="1">TblMili[[#This Row],[Raw (2)]]*(1+race_wizard_strength+IF(TblMili[[#This Row],[Hour]]&gt;72,tech_magical_weaponry_wiz*TblTech[[#This Row],[3-5]],0))</f>
        <v>0.1</v>
      </c>
    </row>
    <row r="98" spans="1:113" x14ac:dyDescent="0.2">
      <c r="A98" s="139">
        <f>TblRezone[[#This Row],[Hour]]</f>
        <v>95</v>
      </c>
      <c r="B98" s="260">
        <f ca="1">SUM(TblMili[[#This Row],[Unit 1]:[Archmages]])+SUM(OFFSET(TblMili[[#This Row],[Train Unit 1]],-8,0):TblMili[[#This Row],[Train Unit 2]]) + SUM(OFFSET(TblMili[[#This Row],[Train Unit 3]],-11,0):TblMili[[#This Row],[Train AM]]) + TblMili[[#This Row],[Draftees]]</f>
        <v>826</v>
      </c>
      <c r="C98" s="159">
        <f ca="1">TblPop[[#This Row],[Military%]]</f>
        <v>0.35029686174724345</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4"/>
      <c r="N98" s="96">
        <f ca="1">TblProd[[#This Row],[Networth]]</f>
        <v>6450</v>
      </c>
      <c r="O98" s="144"/>
      <c r="P9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1">
        <f ca="1">TblMili[[#This Row],[Raw]]*(1+TblMili[[#This Row],[Mods_Off]])</f>
        <v>0</v>
      </c>
      <c r="S9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8" s="261">
        <f ca="1">TblMili[[#This Row],[Non Draft]]+TblMili[[#This Row],[Draftees]]</f>
        <v>1076</v>
      </c>
      <c r="U98" s="262">
        <f ca="1">race_defense + TblImps[[#This Row],[Walls]] + ROUND( MIN(gt_bonus*TblConstr[[#This Row],[Tot GT]]/TblConstr[[#This Row],[Land]],gt_bonus_cap), 4) + IF(TblMagic[[#This Row],[Active Howling]]&gt;0,howling_dp_bonus,IF(TblMagic[[#This Row],[Active Ares Call]]&gt;0,ares_call_bonus))</f>
        <v>0</v>
      </c>
      <c r="V98" s="263">
        <f ca="1">TblMili[[#This Row],[Non Draft]] * (1 + TblMili[[#This Row],[Mods_Def]])</f>
        <v>450</v>
      </c>
      <c r="W98" s="261">
        <f ca="1">TblMili[[#This Row],[Draft]] * (1 + TblMili[[#This Row],[Mods_Def]])</f>
        <v>1076</v>
      </c>
      <c r="X98" s="261">
        <f ca="1">TblConstr[[#This Row],[Land]]</f>
        <v>250</v>
      </c>
      <c r="Y98" s="264"/>
      <c r="Z98" s="269">
        <f ca="1">IF(TblMili[[#This Row],[Set]]&lt;&gt;"",TblMili[[#This Row],[Set]],OFFSET(TblMili[[#This Row],[Draftrate]],-1,0))</f>
        <v>0.35</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6"/>
      <c r="AC98" s="182">
        <f ca="1">(TblConstr[[#This Row],[Tot Smi]]+TblConstr[[#This Row],[Dest Smi]])/(TblConstr[[#This Row],[Land]]-TblExplore[[#This Row],[Land Bonus]]*20)</f>
        <v>0</v>
      </c>
      <c r="AD98" s="139"/>
      <c r="AE98" s="260">
        <f>TblMili[[#This Row],[Hour]]</f>
        <v>95</v>
      </c>
      <c r="AF98" s="140">
        <f ca="1">TblExplore[[#This Row],[Time]]</f>
        <v>45735.916666666439</v>
      </c>
      <c r="AG98" s="181"/>
      <c r="AH98" s="181"/>
      <c r="AI98" s="181"/>
      <c r="AJ98" s="181"/>
      <c r="AK98" s="181"/>
      <c r="AL98" s="181"/>
      <c r="AM98" s="181"/>
      <c r="AN98" s="181"/>
      <c r="AO98" s="448">
        <f ca="1">ROUND(IF(AND(TblMagic[[#This Row],[Active DnD]]&lt;12,TblMagic[[#This Row],[Active DnD]]&gt;5),OFFSET(TblPop[[#This Row],[Draft Growth]],-1,0)*0.375,0),0)</f>
        <v>0</v>
      </c>
      <c r="AP98" s="144"/>
      <c r="AQ98" s="96">
        <f ca="1">TblProd[[#This Row],[Platinum]]</f>
        <v>636562</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45735.916666666439</v>
      </c>
      <c r="AW98" s="96">
        <f ca="1">TblMili[[#This Row],[Draftees]]</f>
        <v>626</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0.44</v>
      </c>
      <c r="BX98" s="159">
        <f ca="1">TblMili[[#This Row],[WG''s]]</f>
        <v>0</v>
      </c>
      <c r="BY98" s="265">
        <f ca="1">IF(mystic_cap="none",TblMili[[#This Row],[Homeland%]]/mystic_bonus,MIN(mystic_cap,TblMili[[#This Row],[Homeland%]]/mystic_bonus))</f>
        <v>2</v>
      </c>
      <c r="BZ98" s="265">
        <f ca="1">IF(druid_op_cap="none",TblMili[[#This Row],[Homeland%]]/druid_op_bonus,MIN(druid_op_cap,TblMili[[#This Row],[Homeland%]]/druid_op_bonus))</f>
        <v>2</v>
      </c>
      <c r="CA98" s="265">
        <f ca="1">IF(druid_dp_cap="none",TblMili[[#This Row],[Homeland%]]/druid_dp_bonus,MIN(druid_dp_cap,TblMili[[#This Row],[Homeland%]]/druid_dp_bonus))</f>
        <v>2</v>
      </c>
      <c r="CB98" s="265">
        <f ca="1">MIN(dryad_cap,TblMili[[#This Row],[Homeland%]]/dryad_bonus)</f>
        <v>2.1999999999999997</v>
      </c>
      <c r="CC98" s="265">
        <f ca="1">MIN(rocka_cap,TblMili[[#This Row],[Homeland%]]/rocka_bonus)</f>
        <v>2</v>
      </c>
      <c r="CD98" s="265">
        <f ca="1">MIN(adept_op_cap,TblMili[[#This Row],[WG]]/adept_op_bonus)</f>
        <v>0</v>
      </c>
      <c r="CE98" s="265">
        <f ca="1">MIN(adept_dp_cap,TblMili[[#This Row],[WG]]/adept_dp_bonus)</f>
        <v>0</v>
      </c>
      <c r="CF98" s="96">
        <f ca="1">MIN(TblMili[[#This Row],[Unit 3]],TblMili[[#This Row],[Unit 2]])*2</f>
        <v>0</v>
      </c>
      <c r="CG98" s="96">
        <f ca="1">MIN(TblMili[[#This Row],[Unit 1]],TblMili[[#This Row],[Unit 4]])*2</f>
        <v>0</v>
      </c>
      <c r="CH98" s="265">
        <f ca="1">MIN(frost_mage_cap,TblMili[[#This Row],[Homeland%]]/frost_mage_bonus)</f>
        <v>2.1999999999999997</v>
      </c>
      <c r="CI98" s="45">
        <f ca="1">MIN(ice_elem_cap,TblMili[[#This Row],[Raw (2)]]*ice_elem_bonus)</f>
        <v>0.1</v>
      </c>
      <c r="CJ98" s="265">
        <f t="shared" si="3"/>
        <v>0.83333333333333337</v>
      </c>
      <c r="CK98" s="265">
        <f ca="1">MIN(nox_nightshade_cap,TblConstr[[#This Row],[Homeland]]/TblConstr[[#This Row],[Land]]/nox_nightshade_swamp_bonus)</f>
        <v>4</v>
      </c>
      <c r="CL98" s="265">
        <f ca="1">MIN(TblConstr[[#This Row],[Tot Tow]]/TblConstr[[#This Row],[Land]]/abyss_enforce_bonus,abyss_enforcer_cap)</f>
        <v>0</v>
      </c>
      <c r="CM98" s="265">
        <f ca="1">IF(TblMagic[[#This Row],[Active Demonic Pact]]&gt;0,MIN(TblMili[[#This Row],[Unit 1]],TblMili[[#This Row],[Unit 4]])*demonic_pact_oppair,0)</f>
        <v>0</v>
      </c>
      <c r="CN98" s="266"/>
      <c r="CO98" s="266"/>
      <c r="CP98" s="266"/>
      <c r="CQ98" s="265">
        <f ca="1">MIN(6,TblMili[[#This Row],[Mystic]]+Races!$F$19)*1.8 +  IF(TblMili[[#This Row],[Mystic]]+Races!$F$19&gt;6,(TblMili[[#This Row],[Mystic]]+Races!$F$19-6)*0.2,0) - Races!$I$19</f>
        <v>1</v>
      </c>
      <c r="CR9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-0.64000000000000057</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4.7099999999999991</v>
      </c>
      <c r="DA98" s="157">
        <f ca="1">1.8 * MIN(MAX(TblMili[[#This Row],[Ice Elemental]]+Races!$E$71,Races!$F$71),6)  +  0.45 * MIN(MIN(TblMili[[#This Row],[Ice Elemental]]+Races!$E$71,Races!$F$71),6)  +  0.2 * ( MAX(TblMili[[#This Row],[Ice Elemental]]+Races!$E$71-6,0) + MAX(Races!$F$71-6,0) )  -  Races!$I$71</f>
        <v>0.92999999999999972</v>
      </c>
      <c r="DB98" s="96">
        <f ca="1">TblMili[[#This Row],[Frost Mage bonus]]*TblMili[[#This Row],[Unit 3]]+TblMili[[#This Row],[Ice Elemental bonus]]*TblMili[[#This Row],[Unit 4]]</f>
        <v>0</v>
      </c>
      <c r="DC98" s="267"/>
      <c r="DD98" s="145">
        <f ca="1">MIN(SUM(TblConstr[[#This Row],[Plain]:[Water]])/TblMili[[#This Row],[Land]]/favorable_terrain_bonus/100,favorable_terrain_max)</f>
        <v>0.1</v>
      </c>
      <c r="DE98" s="267"/>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8" s="144"/>
      <c r="DH98" s="268">
        <f ca="1">(TblMili[[#This Row],[Wizards]]+2*TblMili[[#This Row],[Archmages]])/TblConstr[[#This Row],[Land]]</f>
        <v>0.1</v>
      </c>
      <c r="DI98" s="268">
        <f ca="1">TblMili[[#This Row],[Raw (2)]]*(1+race_wizard_strength+IF(TblMili[[#This Row],[Hour]]&gt;72,tech_magical_weaponry_wiz*TblTech[[#This Row],[3-5]],0))</f>
        <v>0.1</v>
      </c>
    </row>
    <row r="99" spans="1:113" x14ac:dyDescent="0.2">
      <c r="A99" s="139">
        <f>TblRezone[[#This Row],[Hour]]</f>
        <v>96</v>
      </c>
      <c r="B99" s="260">
        <f ca="1">SUM(TblMili[[#This Row],[Unit 1]:[Archmages]])+SUM(OFFSET(TblMili[[#This Row],[Train Unit 1]],-8,0):TblMili[[#This Row],[Train Unit 2]]) + SUM(OFFSET(TblMili[[#This Row],[Train Unit 3]],-11,0):TblMili[[#This Row],[Train AM]]) + TblMili[[#This Row],[Draftees]]</f>
        <v>826</v>
      </c>
      <c r="C99" s="159">
        <f ca="1">TblPop[[#This Row],[Military%]]</f>
        <v>0.35029686174724345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4"/>
      <c r="N99" s="96">
        <f ca="1">TblProd[[#This Row],[Networth]]</f>
        <v>6450</v>
      </c>
      <c r="O99" s="144"/>
      <c r="P9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1">
        <f ca="1">TblMili[[#This Row],[Raw]]*(1+TblMili[[#This Row],[Mods_Off]])</f>
        <v>0</v>
      </c>
      <c r="S9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9" s="261">
        <f ca="1">TblMili[[#This Row],[Non Draft]]+TblMili[[#This Row],[Draftees]]</f>
        <v>1076</v>
      </c>
      <c r="U99" s="262">
        <f ca="1">race_defense + TblImps[[#This Row],[Walls]] + ROUND( MIN(gt_bonus*TblConstr[[#This Row],[Tot GT]]/TblConstr[[#This Row],[Land]],gt_bonus_cap), 4) + IF(TblMagic[[#This Row],[Active Howling]]&gt;0,howling_dp_bonus,IF(TblMagic[[#This Row],[Active Ares Call]]&gt;0,ares_call_bonus))</f>
        <v>0</v>
      </c>
      <c r="V99" s="263">
        <f ca="1">TblMili[[#This Row],[Non Draft]] * (1 + TblMili[[#This Row],[Mods_Def]])</f>
        <v>450</v>
      </c>
      <c r="W99" s="261">
        <f ca="1">TblMili[[#This Row],[Draft]] * (1 + TblMili[[#This Row],[Mods_Def]])</f>
        <v>1076</v>
      </c>
      <c r="X99" s="261">
        <f ca="1">TblConstr[[#This Row],[Land]]</f>
        <v>250</v>
      </c>
      <c r="Y99" s="264"/>
      <c r="Z99" s="269">
        <f ca="1">IF(TblMili[[#This Row],[Set]]&lt;&gt;"",TblMili[[#This Row],[Set]],OFFSET(TblMili[[#This Row],[Draftrate]],-1,0))</f>
        <v>0.35</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6"/>
      <c r="AC99" s="182">
        <f ca="1">(TblConstr[[#This Row],[Tot Smi]]+TblConstr[[#This Row],[Dest Smi]])/(TblConstr[[#This Row],[Land]]-TblExplore[[#This Row],[Land Bonus]]*20)</f>
        <v>0</v>
      </c>
      <c r="AD99" s="139"/>
      <c r="AE99" s="260">
        <f>TblMili[[#This Row],[Hour]]</f>
        <v>96</v>
      </c>
      <c r="AF99" s="140">
        <f ca="1">TblExplore[[#This Row],[Time]]</f>
        <v>45735.958333333103</v>
      </c>
      <c r="AG99" s="181"/>
      <c r="AH99" s="181"/>
      <c r="AI99" s="181"/>
      <c r="AJ99" s="181"/>
      <c r="AK99" s="181"/>
      <c r="AL99" s="181"/>
      <c r="AM99" s="181"/>
      <c r="AN99" s="181"/>
      <c r="AO99" s="448">
        <f ca="1">ROUND(IF(AND(TblMagic[[#This Row],[Active DnD]]&lt;12,TblMagic[[#This Row],[Active DnD]]&gt;5),OFFSET(TblPop[[#This Row],[Draft Growth]],-1,0)*0.375,0),0)</f>
        <v>0</v>
      </c>
      <c r="AP99" s="144"/>
      <c r="AQ99" s="96">
        <f ca="1">TblProd[[#This Row],[Platinum]]</f>
        <v>642048</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45735.958333333103</v>
      </c>
      <c r="AW99" s="96">
        <f ca="1">TblMili[[#This Row],[Draftees]]</f>
        <v>626</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0.44</v>
      </c>
      <c r="BX99" s="159">
        <f ca="1">TblMili[[#This Row],[WG''s]]</f>
        <v>0</v>
      </c>
      <c r="BY99" s="265">
        <f ca="1">IF(mystic_cap="none",TblMili[[#This Row],[Homeland%]]/mystic_bonus,MIN(mystic_cap,TblMili[[#This Row],[Homeland%]]/mystic_bonus))</f>
        <v>2</v>
      </c>
      <c r="BZ99" s="265">
        <f ca="1">IF(druid_op_cap="none",TblMili[[#This Row],[Homeland%]]/druid_op_bonus,MIN(druid_op_cap,TblMili[[#This Row],[Homeland%]]/druid_op_bonus))</f>
        <v>2</v>
      </c>
      <c r="CA99" s="265">
        <f ca="1">IF(druid_dp_cap="none",TblMili[[#This Row],[Homeland%]]/druid_dp_bonus,MIN(druid_dp_cap,TblMili[[#This Row],[Homeland%]]/druid_dp_bonus))</f>
        <v>2</v>
      </c>
      <c r="CB99" s="265">
        <f ca="1">MIN(dryad_cap,TblMili[[#This Row],[Homeland%]]/dryad_bonus)</f>
        <v>2.1999999999999997</v>
      </c>
      <c r="CC99" s="265">
        <f ca="1">MIN(rocka_cap,TblMili[[#This Row],[Homeland%]]/rocka_bonus)</f>
        <v>2</v>
      </c>
      <c r="CD99" s="265">
        <f ca="1">MIN(adept_op_cap,TblMili[[#This Row],[WG]]/adept_op_bonus)</f>
        <v>0</v>
      </c>
      <c r="CE99" s="265">
        <f ca="1">MIN(adept_dp_cap,TblMili[[#This Row],[WG]]/adept_dp_bonus)</f>
        <v>0</v>
      </c>
      <c r="CF99" s="96">
        <f ca="1">MIN(TblMili[[#This Row],[Unit 3]],TblMili[[#This Row],[Unit 2]])*2</f>
        <v>0</v>
      </c>
      <c r="CG99" s="96">
        <f ca="1">MIN(TblMili[[#This Row],[Unit 1]],TblMili[[#This Row],[Unit 4]])*2</f>
        <v>0</v>
      </c>
      <c r="CH99" s="265">
        <f ca="1">MIN(frost_mage_cap,TblMili[[#This Row],[Homeland%]]/frost_mage_bonus)</f>
        <v>2.1999999999999997</v>
      </c>
      <c r="CI99" s="45">
        <f ca="1">MIN(ice_elem_cap,TblMili[[#This Row],[Raw (2)]]*ice_elem_bonus)</f>
        <v>0.1</v>
      </c>
      <c r="CJ99" s="265">
        <f t="shared" si="3"/>
        <v>0.83333333333333337</v>
      </c>
      <c r="CK99" s="265">
        <f ca="1">MIN(nox_nightshade_cap,TblConstr[[#This Row],[Homeland]]/TblConstr[[#This Row],[Land]]/nox_nightshade_swamp_bonus)</f>
        <v>4</v>
      </c>
      <c r="CL99" s="265">
        <f ca="1">MIN(TblConstr[[#This Row],[Tot Tow]]/TblConstr[[#This Row],[Land]]/abyss_enforce_bonus,abyss_enforcer_cap)</f>
        <v>0</v>
      </c>
      <c r="CM99" s="265">
        <f ca="1">IF(TblMagic[[#This Row],[Active Demonic Pact]]&gt;0,MIN(TblMili[[#This Row],[Unit 1]],TblMili[[#This Row],[Unit 4]])*demonic_pact_oppair,0)</f>
        <v>0</v>
      </c>
      <c r="CN99" s="266"/>
      <c r="CO99" s="266"/>
      <c r="CP99" s="266"/>
      <c r="CQ99" s="265">
        <f ca="1">MIN(6,TblMili[[#This Row],[Mystic]]+Races!$F$19)*1.8 +  IF(TblMili[[#This Row],[Mystic]]+Races!$F$19&gt;6,(TblMili[[#This Row],[Mystic]]+Races!$F$19-6)*0.2,0) - Races!$I$19</f>
        <v>1</v>
      </c>
      <c r="CR9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-0.64000000000000057</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4.7099999999999991</v>
      </c>
      <c r="DA99" s="157">
        <f ca="1">1.8 * MIN(MAX(TblMili[[#This Row],[Ice Elemental]]+Races!$E$71,Races!$F$71),6)  +  0.45 * MIN(MIN(TblMili[[#This Row],[Ice Elemental]]+Races!$E$71,Races!$F$71),6)  +  0.2 * ( MAX(TblMili[[#This Row],[Ice Elemental]]+Races!$E$71-6,0) + MAX(Races!$F$71-6,0) )  -  Races!$I$71</f>
        <v>0.92999999999999972</v>
      </c>
      <c r="DB99" s="96">
        <f ca="1">TblMili[[#This Row],[Frost Mage bonus]]*TblMili[[#This Row],[Unit 3]]+TblMili[[#This Row],[Ice Elemental bonus]]*TblMili[[#This Row],[Unit 4]]</f>
        <v>0</v>
      </c>
      <c r="DC99" s="267"/>
      <c r="DD99" s="145">
        <f ca="1">MIN(SUM(TblConstr[[#This Row],[Plain]:[Water]])/TblMili[[#This Row],[Land]]/favorable_terrain_bonus/100,favorable_terrain_max)</f>
        <v>0.1</v>
      </c>
      <c r="DE99" s="267"/>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9" s="144"/>
      <c r="DH99" s="268">
        <f ca="1">(TblMili[[#This Row],[Wizards]]+2*TblMili[[#This Row],[Archmages]])/TblConstr[[#This Row],[Land]]</f>
        <v>0.1</v>
      </c>
      <c r="DI99" s="268">
        <f ca="1">TblMili[[#This Row],[Raw (2)]]*(1+race_wizard_strength+IF(TblMili[[#This Row],[Hour]]&gt;72,tech_magical_weaponry_wiz*TblTech[[#This Row],[3-5]],0))</f>
        <v>0.1</v>
      </c>
    </row>
    <row r="100" spans="1:113" x14ac:dyDescent="0.2">
      <c r="A100" s="139">
        <f>TblRezone[[#This Row],[Hour]]</f>
        <v>97</v>
      </c>
      <c r="B100" s="260">
        <f ca="1">SUM(TblMili[[#This Row],[Unit 1]:[Archmages]])+SUM(OFFSET(TblMili[[#This Row],[Train Unit 1]],-8,0):TblMili[[#This Row],[Train Unit 2]]) + SUM(OFFSET(TblMili[[#This Row],[Train Unit 3]],-11,0):TblMili[[#This Row],[Train AM]]) + TblMili[[#This Row],[Draftees]]</f>
        <v>826</v>
      </c>
      <c r="C100" s="159">
        <f ca="1">TblPop[[#This Row],[Military%]]</f>
        <v>0.35029686174724345</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4"/>
      <c r="N100" s="96">
        <f ca="1">TblProd[[#This Row],[Networth]]</f>
        <v>6450</v>
      </c>
      <c r="O100" s="144"/>
      <c r="P10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1">
        <f ca="1">TblMili[[#This Row],[Raw]]*(1+TblMili[[#This Row],[Mods_Off]])</f>
        <v>0</v>
      </c>
      <c r="S10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0" s="261">
        <f ca="1">TblMili[[#This Row],[Non Draft]]+TblMili[[#This Row],[Draftees]]</f>
        <v>1076</v>
      </c>
      <c r="U100" s="262">
        <f ca="1">race_defense + TblImps[[#This Row],[Walls]] + ROUND( MIN(gt_bonus*TblConstr[[#This Row],[Tot GT]]/TblConstr[[#This Row],[Land]],gt_bonus_cap), 4) + IF(TblMagic[[#This Row],[Active Howling]]&gt;0,howling_dp_bonus,IF(TblMagic[[#This Row],[Active Ares Call]]&gt;0,ares_call_bonus))</f>
        <v>0</v>
      </c>
      <c r="V100" s="263">
        <f ca="1">TblMili[[#This Row],[Non Draft]] * (1 + TblMili[[#This Row],[Mods_Def]])</f>
        <v>450</v>
      </c>
      <c r="W100" s="261">
        <f ca="1">TblMili[[#This Row],[Draft]] * (1 + TblMili[[#This Row],[Mods_Def]])</f>
        <v>1076</v>
      </c>
      <c r="X100" s="261">
        <f ca="1">TblConstr[[#This Row],[Land]]</f>
        <v>250</v>
      </c>
      <c r="Y100" s="264"/>
      <c r="Z100" s="269">
        <f ca="1">IF(TblMili[[#This Row],[Set]]&lt;&gt;"",TblMili[[#This Row],[Set]],OFFSET(TblMili[[#This Row],[Draftrate]],-1,0))</f>
        <v>0.35</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6"/>
      <c r="AC100" s="182">
        <f ca="1">(TblConstr[[#This Row],[Tot Smi]]+TblConstr[[#This Row],[Dest Smi]])/(TblConstr[[#This Row],[Land]]-TblExplore[[#This Row],[Land Bonus]]*20)</f>
        <v>0</v>
      </c>
      <c r="AD100" s="139"/>
      <c r="AE100" s="260">
        <f>TblMili[[#This Row],[Hour]]</f>
        <v>97</v>
      </c>
      <c r="AF100" s="140">
        <f ca="1">TblExplore[[#This Row],[Time]]</f>
        <v>45735.999999999767</v>
      </c>
      <c r="AG100" s="181"/>
      <c r="AH100" s="181"/>
      <c r="AI100" s="181"/>
      <c r="AJ100" s="181"/>
      <c r="AK100" s="181"/>
      <c r="AL100" s="181"/>
      <c r="AM100" s="181"/>
      <c r="AN100" s="181"/>
      <c r="AO100" s="448">
        <f ca="1">ROUND(IF(AND(TblMagic[[#This Row],[Active DnD]]&lt;12,TblMagic[[#This Row],[Active DnD]]&gt;5),OFFSET(TblPop[[#This Row],[Draft Growth]],-1,0)*0.375,0),0)</f>
        <v>0</v>
      </c>
      <c r="AP100" s="144"/>
      <c r="AQ100" s="96">
        <f ca="1">TblProd[[#This Row],[Platinum]]</f>
        <v>647534</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45735.999999999767</v>
      </c>
      <c r="AW100" s="96">
        <f ca="1">TblMili[[#This Row],[Draftees]]</f>
        <v>626</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0.44</v>
      </c>
      <c r="BX100" s="159">
        <f ca="1">TblMili[[#This Row],[WG''s]]</f>
        <v>0</v>
      </c>
      <c r="BY100" s="265">
        <f ca="1">IF(mystic_cap="none",TblMili[[#This Row],[Homeland%]]/mystic_bonus,MIN(mystic_cap,TblMili[[#This Row],[Homeland%]]/mystic_bonus))</f>
        <v>2</v>
      </c>
      <c r="BZ100" s="265">
        <f ca="1">IF(druid_op_cap="none",TblMili[[#This Row],[Homeland%]]/druid_op_bonus,MIN(druid_op_cap,TblMili[[#This Row],[Homeland%]]/druid_op_bonus))</f>
        <v>2</v>
      </c>
      <c r="CA100" s="265">
        <f ca="1">IF(druid_dp_cap="none",TblMili[[#This Row],[Homeland%]]/druid_dp_bonus,MIN(druid_dp_cap,TblMili[[#This Row],[Homeland%]]/druid_dp_bonus))</f>
        <v>2</v>
      </c>
      <c r="CB100" s="265">
        <f ca="1">MIN(dryad_cap,TblMili[[#This Row],[Homeland%]]/dryad_bonus)</f>
        <v>2.1999999999999997</v>
      </c>
      <c r="CC100" s="265">
        <f ca="1">MIN(rocka_cap,TblMili[[#This Row],[Homeland%]]/rocka_bonus)</f>
        <v>2</v>
      </c>
      <c r="CD100" s="265">
        <f ca="1">MIN(adept_op_cap,TblMili[[#This Row],[WG]]/adept_op_bonus)</f>
        <v>0</v>
      </c>
      <c r="CE100" s="265">
        <f ca="1">MIN(adept_dp_cap,TblMili[[#This Row],[WG]]/adept_dp_bonus)</f>
        <v>0</v>
      </c>
      <c r="CF100" s="96">
        <f ca="1">MIN(TblMili[[#This Row],[Unit 3]],TblMili[[#This Row],[Unit 2]])*2</f>
        <v>0</v>
      </c>
      <c r="CG100" s="96">
        <f ca="1">MIN(TblMili[[#This Row],[Unit 1]],TblMili[[#This Row],[Unit 4]])*2</f>
        <v>0</v>
      </c>
      <c r="CH100" s="265">
        <f ca="1">MIN(frost_mage_cap,TblMili[[#This Row],[Homeland%]]/frost_mage_bonus)</f>
        <v>2.1999999999999997</v>
      </c>
      <c r="CI100" s="45">
        <f ca="1">MIN(ice_elem_cap,TblMili[[#This Row],[Raw (2)]]*ice_elem_bonus)</f>
        <v>0.1</v>
      </c>
      <c r="CJ100" s="265">
        <f t="shared" ref="CJ100:CJ136" si="4">MIN(bone_breaker_cap,250/bone_breaker_bonus)</f>
        <v>0.83333333333333337</v>
      </c>
      <c r="CK100" s="265">
        <f ca="1">MIN(nox_nightshade_cap,TblConstr[[#This Row],[Homeland]]/TblConstr[[#This Row],[Land]]/nox_nightshade_swamp_bonus)</f>
        <v>4</v>
      </c>
      <c r="CL100" s="265">
        <f ca="1">MIN(TblConstr[[#This Row],[Tot Tow]]/TblConstr[[#This Row],[Land]]/abyss_enforce_bonus,abyss_enforcer_cap)</f>
        <v>0</v>
      </c>
      <c r="CM100" s="265">
        <f ca="1">IF(TblMagic[[#This Row],[Active Demonic Pact]]&gt;0,MIN(TblMili[[#This Row],[Unit 1]],TblMili[[#This Row],[Unit 4]])*demonic_pact_oppair,0)</f>
        <v>0</v>
      </c>
      <c r="CN100" s="266"/>
      <c r="CO100" s="266"/>
      <c r="CP100" s="266"/>
      <c r="CQ100" s="265">
        <f ca="1">MIN(6,TblMili[[#This Row],[Mystic]]+Races!$F$19)*1.8 +  IF(TblMili[[#This Row],[Mystic]]+Races!$F$19&gt;6,(TblMili[[#This Row],[Mystic]]+Races!$F$19-6)*0.2,0) - Races!$I$19</f>
        <v>1</v>
      </c>
      <c r="CR10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-0.64000000000000057</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4.7099999999999991</v>
      </c>
      <c r="DA100" s="157">
        <f ca="1">1.8 * MIN(MAX(TblMili[[#This Row],[Ice Elemental]]+Races!$E$71,Races!$F$71),6)  +  0.45 * MIN(MIN(TblMili[[#This Row],[Ice Elemental]]+Races!$E$71,Races!$F$71),6)  +  0.2 * ( MAX(TblMili[[#This Row],[Ice Elemental]]+Races!$E$71-6,0) + MAX(Races!$F$71-6,0) )  -  Races!$I$71</f>
        <v>0.92999999999999972</v>
      </c>
      <c r="DB100" s="96">
        <f ca="1">TblMili[[#This Row],[Frost Mage bonus]]*TblMili[[#This Row],[Unit 3]]+TblMili[[#This Row],[Ice Elemental bonus]]*TblMili[[#This Row],[Unit 4]]</f>
        <v>0</v>
      </c>
      <c r="DC100" s="267"/>
      <c r="DD100" s="145">
        <f ca="1">MIN(SUM(TblConstr[[#This Row],[Plain]:[Water]])/TblMili[[#This Row],[Land]]/favorable_terrain_bonus/100,favorable_terrain_max)</f>
        <v>0.1</v>
      </c>
      <c r="DE100" s="267"/>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0" s="144"/>
      <c r="DH100" s="268">
        <f ca="1">(TblMili[[#This Row],[Wizards]]+2*TblMili[[#This Row],[Archmages]])/TblConstr[[#This Row],[Land]]</f>
        <v>0.1</v>
      </c>
      <c r="DI100" s="268">
        <f ca="1">TblMili[[#This Row],[Raw (2)]]*(1+race_wizard_strength+IF(TblMili[[#This Row],[Hour]]&gt;72,tech_magical_weaponry_wiz*TblTech[[#This Row],[3-5]],0))</f>
        <v>0.1</v>
      </c>
    </row>
    <row r="101" spans="1:113" x14ac:dyDescent="0.2">
      <c r="A101" s="139">
        <f>TblRezone[[#This Row],[Hour]]</f>
        <v>98</v>
      </c>
      <c r="B101" s="260">
        <f ca="1">SUM(TblMili[[#This Row],[Unit 1]:[Archmages]])+SUM(OFFSET(TblMili[[#This Row],[Train Unit 1]],-8,0):TblMili[[#This Row],[Train Unit 2]]) + SUM(OFFSET(TblMili[[#This Row],[Train Unit 3]],-11,0):TblMili[[#This Row],[Train AM]]) + TblMili[[#This Row],[Draftees]]</f>
        <v>826</v>
      </c>
      <c r="C101" s="159">
        <f ca="1">TblPop[[#This Row],[Military%]]</f>
        <v>0.35029686174724345</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4"/>
      <c r="N101" s="96">
        <f ca="1">TblProd[[#This Row],[Networth]]</f>
        <v>6450</v>
      </c>
      <c r="O101" s="144"/>
      <c r="P10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1">
        <f ca="1">TblMili[[#This Row],[Raw]]*(1+TblMili[[#This Row],[Mods_Off]])</f>
        <v>0</v>
      </c>
      <c r="S10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1" s="261">
        <f ca="1">TblMili[[#This Row],[Non Draft]]+TblMili[[#This Row],[Draftees]]</f>
        <v>1076</v>
      </c>
      <c r="U101" s="262">
        <f ca="1">race_defense + TblImps[[#This Row],[Walls]] + ROUND( MIN(gt_bonus*TblConstr[[#This Row],[Tot GT]]/TblConstr[[#This Row],[Land]],gt_bonus_cap), 4) + IF(TblMagic[[#This Row],[Active Howling]]&gt;0,howling_dp_bonus,IF(TblMagic[[#This Row],[Active Ares Call]]&gt;0,ares_call_bonus))</f>
        <v>0</v>
      </c>
      <c r="V101" s="263">
        <f ca="1">TblMili[[#This Row],[Non Draft]] * (1 + TblMili[[#This Row],[Mods_Def]])</f>
        <v>450</v>
      </c>
      <c r="W101" s="261">
        <f ca="1">TblMili[[#This Row],[Draft]] * (1 + TblMili[[#This Row],[Mods_Def]])</f>
        <v>1076</v>
      </c>
      <c r="X101" s="261">
        <f ca="1">TblConstr[[#This Row],[Land]]</f>
        <v>250</v>
      </c>
      <c r="Y101" s="264"/>
      <c r="Z101" s="269">
        <f ca="1">IF(TblMili[[#This Row],[Set]]&lt;&gt;"",TblMili[[#This Row],[Set]],OFFSET(TblMili[[#This Row],[Draftrate]],-1,0))</f>
        <v>0.35</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6"/>
      <c r="AC101" s="182">
        <f ca="1">(TblConstr[[#This Row],[Tot Smi]]+TblConstr[[#This Row],[Dest Smi]])/(TblConstr[[#This Row],[Land]]-TblExplore[[#This Row],[Land Bonus]]*20)</f>
        <v>0</v>
      </c>
      <c r="AD101" s="139"/>
      <c r="AE101" s="260">
        <f>TblMili[[#This Row],[Hour]]</f>
        <v>98</v>
      </c>
      <c r="AF101" s="140">
        <f ca="1">TblExplore[[#This Row],[Time]]</f>
        <v>45736.041666666431</v>
      </c>
      <c r="AG101" s="181"/>
      <c r="AH101" s="181"/>
      <c r="AI101" s="181"/>
      <c r="AJ101" s="181"/>
      <c r="AK101" s="181"/>
      <c r="AL101" s="181"/>
      <c r="AM101" s="181"/>
      <c r="AN101" s="181"/>
      <c r="AO101" s="448">
        <f ca="1">ROUND(IF(AND(TblMagic[[#This Row],[Active DnD]]&lt;12,TblMagic[[#This Row],[Active DnD]]&gt;5),OFFSET(TblPop[[#This Row],[Draft Growth]],-1,0)*0.375,0),0)</f>
        <v>0</v>
      </c>
      <c r="AP101" s="144"/>
      <c r="AQ101" s="96">
        <f ca="1">TblProd[[#This Row],[Platinum]]</f>
        <v>653020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45736.041666666431</v>
      </c>
      <c r="AW101" s="96">
        <f ca="1">TblMili[[#This Row],[Draftees]]</f>
        <v>626</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0.44</v>
      </c>
      <c r="BX101" s="159">
        <f ca="1">TblMili[[#This Row],[WG''s]]</f>
        <v>0</v>
      </c>
      <c r="BY101" s="265">
        <f ca="1">IF(mystic_cap="none",TblMili[[#This Row],[Homeland%]]/mystic_bonus,MIN(mystic_cap,TblMili[[#This Row],[Homeland%]]/mystic_bonus))</f>
        <v>2</v>
      </c>
      <c r="BZ101" s="265">
        <f ca="1">IF(druid_op_cap="none",TblMili[[#This Row],[Homeland%]]/druid_op_bonus,MIN(druid_op_cap,TblMili[[#This Row],[Homeland%]]/druid_op_bonus))</f>
        <v>2</v>
      </c>
      <c r="CA101" s="265">
        <f ca="1">IF(druid_dp_cap="none",TblMili[[#This Row],[Homeland%]]/druid_dp_bonus,MIN(druid_dp_cap,TblMili[[#This Row],[Homeland%]]/druid_dp_bonus))</f>
        <v>2</v>
      </c>
      <c r="CB101" s="265">
        <f ca="1">MIN(dryad_cap,TblMili[[#This Row],[Homeland%]]/dryad_bonus)</f>
        <v>2.1999999999999997</v>
      </c>
      <c r="CC101" s="265">
        <f ca="1">MIN(rocka_cap,TblMili[[#This Row],[Homeland%]]/rocka_bonus)</f>
        <v>2</v>
      </c>
      <c r="CD101" s="265">
        <f ca="1">MIN(adept_op_cap,TblMili[[#This Row],[WG]]/adept_op_bonus)</f>
        <v>0</v>
      </c>
      <c r="CE101" s="265">
        <f ca="1">MIN(adept_dp_cap,TblMili[[#This Row],[WG]]/adept_dp_bonus)</f>
        <v>0</v>
      </c>
      <c r="CF101" s="96">
        <f ca="1">MIN(TblMili[[#This Row],[Unit 3]],TblMili[[#This Row],[Unit 2]])*2</f>
        <v>0</v>
      </c>
      <c r="CG101" s="96">
        <f ca="1">MIN(TblMili[[#This Row],[Unit 1]],TblMili[[#This Row],[Unit 4]])*2</f>
        <v>0</v>
      </c>
      <c r="CH101" s="265">
        <f ca="1">MIN(frost_mage_cap,TblMili[[#This Row],[Homeland%]]/frost_mage_bonus)</f>
        <v>2.1999999999999997</v>
      </c>
      <c r="CI101" s="45">
        <f ca="1">MIN(ice_elem_cap,TblMili[[#This Row],[Raw (2)]]*ice_elem_bonus)</f>
        <v>0.1</v>
      </c>
      <c r="CJ101" s="265">
        <f t="shared" si="4"/>
        <v>0.83333333333333337</v>
      </c>
      <c r="CK101" s="265">
        <f ca="1">MIN(nox_nightshade_cap,TblConstr[[#This Row],[Homeland]]/TblConstr[[#This Row],[Land]]/nox_nightshade_swamp_bonus)</f>
        <v>4</v>
      </c>
      <c r="CL101" s="265">
        <f ca="1">MIN(TblConstr[[#This Row],[Tot Tow]]/TblConstr[[#This Row],[Land]]/abyss_enforce_bonus,abyss_enforcer_cap)</f>
        <v>0</v>
      </c>
      <c r="CM101" s="265">
        <f ca="1">IF(TblMagic[[#This Row],[Active Demonic Pact]]&gt;0,MIN(TblMili[[#This Row],[Unit 1]],TblMili[[#This Row],[Unit 4]])*demonic_pact_oppair,0)</f>
        <v>0</v>
      </c>
      <c r="CN101" s="266"/>
      <c r="CO101" s="266"/>
      <c r="CP101" s="266"/>
      <c r="CQ101" s="265">
        <f ca="1">MIN(6,TblMili[[#This Row],[Mystic]]+Races!$F$19)*1.8 +  IF(TblMili[[#This Row],[Mystic]]+Races!$F$19&gt;6,(TblMili[[#This Row],[Mystic]]+Races!$F$19-6)*0.2,0) - Races!$I$19</f>
        <v>1</v>
      </c>
      <c r="CR10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-0.64000000000000057</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4.7099999999999991</v>
      </c>
      <c r="DA101" s="157">
        <f ca="1">1.8 * MIN(MAX(TblMili[[#This Row],[Ice Elemental]]+Races!$E$71,Races!$F$71),6)  +  0.45 * MIN(MIN(TblMili[[#This Row],[Ice Elemental]]+Races!$E$71,Races!$F$71),6)  +  0.2 * ( MAX(TblMili[[#This Row],[Ice Elemental]]+Races!$E$71-6,0) + MAX(Races!$F$71-6,0) )  -  Races!$I$71</f>
        <v>0.92999999999999972</v>
      </c>
      <c r="DB101" s="96">
        <f ca="1">TblMili[[#This Row],[Frost Mage bonus]]*TblMili[[#This Row],[Unit 3]]+TblMili[[#This Row],[Ice Elemental bonus]]*TblMili[[#This Row],[Unit 4]]</f>
        <v>0</v>
      </c>
      <c r="DC101" s="267"/>
      <c r="DD101" s="145">
        <f ca="1">MIN(SUM(TblConstr[[#This Row],[Plain]:[Water]])/TblMili[[#This Row],[Land]]/favorable_terrain_bonus/100,favorable_terrain_max)</f>
        <v>0.1</v>
      </c>
      <c r="DE101" s="267"/>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1" s="144"/>
      <c r="DH101" s="268">
        <f ca="1">(TblMili[[#This Row],[Wizards]]+2*TblMili[[#This Row],[Archmages]])/TblConstr[[#This Row],[Land]]</f>
        <v>0.1</v>
      </c>
      <c r="DI101" s="268">
        <f ca="1">TblMili[[#This Row],[Raw (2)]]*(1+race_wizard_strength+IF(TblMili[[#This Row],[Hour]]&gt;72,tech_magical_weaponry_wiz*TblTech[[#This Row],[3-5]],0))</f>
        <v>0.1</v>
      </c>
    </row>
    <row r="102" spans="1:113" x14ac:dyDescent="0.2">
      <c r="A102" s="139">
        <f>TblRezone[[#This Row],[Hour]]</f>
        <v>99</v>
      </c>
      <c r="B102" s="260">
        <f ca="1">SUM(TblMili[[#This Row],[Unit 1]:[Archmages]])+SUM(OFFSET(TblMili[[#This Row],[Train Unit 1]],-8,0):TblMili[[#This Row],[Train Unit 2]]) + SUM(OFFSET(TblMili[[#This Row],[Train Unit 3]],-11,0):TblMili[[#This Row],[Train AM]]) + TblMili[[#This Row],[Draftees]]</f>
        <v>826</v>
      </c>
      <c r="C102" s="159">
        <f ca="1">TblPop[[#This Row],[Military%]]</f>
        <v>0.35029686174724345</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4"/>
      <c r="N102" s="96">
        <f ca="1">TblProd[[#This Row],[Networth]]</f>
        <v>6450</v>
      </c>
      <c r="O102" s="144"/>
      <c r="P10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1">
        <f ca="1">TblMili[[#This Row],[Raw]]*(1+TblMili[[#This Row],[Mods_Off]])</f>
        <v>0</v>
      </c>
      <c r="S10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2" s="261">
        <f ca="1">TblMili[[#This Row],[Non Draft]]+TblMili[[#This Row],[Draftees]]</f>
        <v>1076</v>
      </c>
      <c r="U102" s="262">
        <f ca="1">race_defense + TblImps[[#This Row],[Walls]] + ROUND( MIN(gt_bonus*TblConstr[[#This Row],[Tot GT]]/TblConstr[[#This Row],[Land]],gt_bonus_cap), 4) + IF(TblMagic[[#This Row],[Active Howling]]&gt;0,howling_dp_bonus,IF(TblMagic[[#This Row],[Active Ares Call]]&gt;0,ares_call_bonus))</f>
        <v>0</v>
      </c>
      <c r="V102" s="263">
        <f ca="1">TblMili[[#This Row],[Non Draft]] * (1 + TblMili[[#This Row],[Mods_Def]])</f>
        <v>450</v>
      </c>
      <c r="W102" s="261">
        <f ca="1">TblMili[[#This Row],[Draft]] * (1 + TblMili[[#This Row],[Mods_Def]])</f>
        <v>1076</v>
      </c>
      <c r="X102" s="261">
        <f ca="1">TblConstr[[#This Row],[Land]]</f>
        <v>250</v>
      </c>
      <c r="Y102" s="264"/>
      <c r="Z102" s="269">
        <f ca="1">IF(TblMili[[#This Row],[Set]]&lt;&gt;"",TblMili[[#This Row],[Set]],OFFSET(TblMili[[#This Row],[Draftrate]],-1,0))</f>
        <v>0.35</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6"/>
      <c r="AC102" s="182">
        <f ca="1">(TblConstr[[#This Row],[Tot Smi]]+TblConstr[[#This Row],[Dest Smi]])/(TblConstr[[#This Row],[Land]]-TblExplore[[#This Row],[Land Bonus]]*20)</f>
        <v>0</v>
      </c>
      <c r="AD102" s="139"/>
      <c r="AE102" s="260">
        <f>TblMili[[#This Row],[Hour]]</f>
        <v>99</v>
      </c>
      <c r="AF102" s="140">
        <f ca="1">TblExplore[[#This Row],[Time]]</f>
        <v>45736.083333333096</v>
      </c>
      <c r="AG102" s="181"/>
      <c r="AH102" s="181"/>
      <c r="AI102" s="181"/>
      <c r="AJ102" s="181"/>
      <c r="AK102" s="181"/>
      <c r="AL102" s="181"/>
      <c r="AM102" s="181"/>
      <c r="AN102" s="181"/>
      <c r="AO102" s="448">
        <f ca="1">ROUND(IF(AND(TblMagic[[#This Row],[Active DnD]]&lt;12,TblMagic[[#This Row],[Active DnD]]&gt;5),OFFSET(TblPop[[#This Row],[Draft Growth]],-1,0)*0.375,0),0)</f>
        <v>0</v>
      </c>
      <c r="AP102" s="144"/>
      <c r="AQ102" s="96">
        <f ca="1">TblProd[[#This Row],[Platinum]]</f>
        <v>658506</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45736.083333333096</v>
      </c>
      <c r="AW102" s="96">
        <f ca="1">TblMili[[#This Row],[Draftees]]</f>
        <v>626</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0.44</v>
      </c>
      <c r="BX102" s="159">
        <f ca="1">TblMili[[#This Row],[WG''s]]</f>
        <v>0</v>
      </c>
      <c r="BY102" s="265">
        <f ca="1">IF(mystic_cap="none",TblMili[[#This Row],[Homeland%]]/mystic_bonus,MIN(mystic_cap,TblMili[[#This Row],[Homeland%]]/mystic_bonus))</f>
        <v>2</v>
      </c>
      <c r="BZ102" s="265">
        <f ca="1">IF(druid_op_cap="none",TblMili[[#This Row],[Homeland%]]/druid_op_bonus,MIN(druid_op_cap,TblMili[[#This Row],[Homeland%]]/druid_op_bonus))</f>
        <v>2</v>
      </c>
      <c r="CA102" s="265">
        <f ca="1">IF(druid_dp_cap="none",TblMili[[#This Row],[Homeland%]]/druid_dp_bonus,MIN(druid_dp_cap,TblMili[[#This Row],[Homeland%]]/druid_dp_bonus))</f>
        <v>2</v>
      </c>
      <c r="CB102" s="265">
        <f ca="1">MIN(dryad_cap,TblMili[[#This Row],[Homeland%]]/dryad_bonus)</f>
        <v>2.1999999999999997</v>
      </c>
      <c r="CC102" s="265">
        <f ca="1">MIN(rocka_cap,TblMili[[#This Row],[Homeland%]]/rocka_bonus)</f>
        <v>2</v>
      </c>
      <c r="CD102" s="265">
        <f ca="1">MIN(adept_op_cap,TblMili[[#This Row],[WG]]/adept_op_bonus)</f>
        <v>0</v>
      </c>
      <c r="CE102" s="265">
        <f ca="1">MIN(adept_dp_cap,TblMili[[#This Row],[WG]]/adept_dp_bonus)</f>
        <v>0</v>
      </c>
      <c r="CF102" s="96">
        <f ca="1">MIN(TblMili[[#This Row],[Unit 3]],TblMili[[#This Row],[Unit 2]])*2</f>
        <v>0</v>
      </c>
      <c r="CG102" s="96">
        <f ca="1">MIN(TblMili[[#This Row],[Unit 1]],TblMili[[#This Row],[Unit 4]])*2</f>
        <v>0</v>
      </c>
      <c r="CH102" s="265">
        <f ca="1">MIN(frost_mage_cap,TblMili[[#This Row],[Homeland%]]/frost_mage_bonus)</f>
        <v>2.1999999999999997</v>
      </c>
      <c r="CI102" s="45">
        <f ca="1">MIN(ice_elem_cap,TblMili[[#This Row],[Raw (2)]]*ice_elem_bonus)</f>
        <v>0.1</v>
      </c>
      <c r="CJ102" s="265">
        <f t="shared" si="4"/>
        <v>0.83333333333333337</v>
      </c>
      <c r="CK102" s="265">
        <f ca="1">MIN(nox_nightshade_cap,TblConstr[[#This Row],[Homeland]]/TblConstr[[#This Row],[Land]]/nox_nightshade_swamp_bonus)</f>
        <v>4</v>
      </c>
      <c r="CL102" s="265">
        <f ca="1">MIN(TblConstr[[#This Row],[Tot Tow]]/TblConstr[[#This Row],[Land]]/abyss_enforce_bonus,abyss_enforcer_cap)</f>
        <v>0</v>
      </c>
      <c r="CM102" s="265">
        <f ca="1">IF(TblMagic[[#This Row],[Active Demonic Pact]]&gt;0,MIN(TblMili[[#This Row],[Unit 1]],TblMili[[#This Row],[Unit 4]])*demonic_pact_oppair,0)</f>
        <v>0</v>
      </c>
      <c r="CN102" s="266"/>
      <c r="CO102" s="266"/>
      <c r="CP102" s="266"/>
      <c r="CQ102" s="265">
        <f ca="1">MIN(6,TblMili[[#This Row],[Mystic]]+Races!$F$19)*1.8 +  IF(TblMili[[#This Row],[Mystic]]+Races!$F$19&gt;6,(TblMili[[#This Row],[Mystic]]+Races!$F$19-6)*0.2,0) - Races!$I$19</f>
        <v>1</v>
      </c>
      <c r="CR10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-0.64000000000000057</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4.7099999999999991</v>
      </c>
      <c r="DA102" s="157">
        <f ca="1">1.8 * MIN(MAX(TblMili[[#This Row],[Ice Elemental]]+Races!$E$71,Races!$F$71),6)  +  0.45 * MIN(MIN(TblMili[[#This Row],[Ice Elemental]]+Races!$E$71,Races!$F$71),6)  +  0.2 * ( MAX(TblMili[[#This Row],[Ice Elemental]]+Races!$E$71-6,0) + MAX(Races!$F$71-6,0) )  -  Races!$I$71</f>
        <v>0.92999999999999972</v>
      </c>
      <c r="DB102" s="96">
        <f ca="1">TblMili[[#This Row],[Frost Mage bonus]]*TblMili[[#This Row],[Unit 3]]+TblMili[[#This Row],[Ice Elemental bonus]]*TblMili[[#This Row],[Unit 4]]</f>
        <v>0</v>
      </c>
      <c r="DC102" s="267"/>
      <c r="DD102" s="145">
        <f ca="1">MIN(SUM(TblConstr[[#This Row],[Plain]:[Water]])/TblMili[[#This Row],[Land]]/favorable_terrain_bonus/100,favorable_terrain_max)</f>
        <v>0.1</v>
      </c>
      <c r="DE102" s="267"/>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2" s="144"/>
      <c r="DH102" s="268">
        <f ca="1">(TblMili[[#This Row],[Wizards]]+2*TblMili[[#This Row],[Archmages]])/TblConstr[[#This Row],[Land]]</f>
        <v>0.1</v>
      </c>
      <c r="DI102" s="268">
        <f ca="1">TblMili[[#This Row],[Raw (2)]]*(1+race_wizard_strength+IF(TblMili[[#This Row],[Hour]]&gt;72,tech_magical_weaponry_wiz*TblTech[[#This Row],[3-5]],0))</f>
        <v>0.1</v>
      </c>
    </row>
    <row r="103" spans="1:113" x14ac:dyDescent="0.2">
      <c r="A103" s="139">
        <f>TblRezone[[#This Row],[Hour]]</f>
        <v>100</v>
      </c>
      <c r="B103" s="260">
        <f ca="1">SUM(TblMili[[#This Row],[Unit 1]:[Archmages]])+SUM(OFFSET(TblMili[[#This Row],[Train Unit 1]],-8,0):TblMili[[#This Row],[Train Unit 2]]) + SUM(OFFSET(TblMili[[#This Row],[Train Unit 3]],-11,0):TblMili[[#This Row],[Train AM]]) + TblMili[[#This Row],[Draftees]]</f>
        <v>826</v>
      </c>
      <c r="C103" s="159">
        <f ca="1">TblPop[[#This Row],[Military%]]</f>
        <v>0.35029686174724345</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4"/>
      <c r="N103" s="96">
        <f ca="1">TblProd[[#This Row],[Networth]]</f>
        <v>6450</v>
      </c>
      <c r="O103" s="144"/>
      <c r="P10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1">
        <f ca="1">TblMili[[#This Row],[Raw]]*(1+TblMili[[#This Row],[Mods_Off]])</f>
        <v>0</v>
      </c>
      <c r="S10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3" s="261">
        <f ca="1">TblMili[[#This Row],[Non Draft]]+TblMili[[#This Row],[Draftees]]</f>
        <v>1076</v>
      </c>
      <c r="U103" s="262">
        <f ca="1">race_defense + TblImps[[#This Row],[Walls]] + ROUND( MIN(gt_bonus*TblConstr[[#This Row],[Tot GT]]/TblConstr[[#This Row],[Land]],gt_bonus_cap), 4) + IF(TblMagic[[#This Row],[Active Howling]]&gt;0,howling_dp_bonus,IF(TblMagic[[#This Row],[Active Ares Call]]&gt;0,ares_call_bonus))</f>
        <v>0</v>
      </c>
      <c r="V103" s="263">
        <f ca="1">TblMili[[#This Row],[Non Draft]] * (1 + TblMili[[#This Row],[Mods_Def]])</f>
        <v>450</v>
      </c>
      <c r="W103" s="261">
        <f ca="1">TblMili[[#This Row],[Draft]] * (1 + TblMili[[#This Row],[Mods_Def]])</f>
        <v>1076</v>
      </c>
      <c r="X103" s="261">
        <f ca="1">TblConstr[[#This Row],[Land]]</f>
        <v>250</v>
      </c>
      <c r="Y103" s="264"/>
      <c r="Z103" s="269">
        <f ca="1">IF(TblMili[[#This Row],[Set]]&lt;&gt;"",TblMili[[#This Row],[Set]],OFFSET(TblMili[[#This Row],[Draftrate]],-1,0))</f>
        <v>0.35</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6"/>
      <c r="AC103" s="182">
        <f ca="1">(TblConstr[[#This Row],[Tot Smi]]+TblConstr[[#This Row],[Dest Smi]])/(TblConstr[[#This Row],[Land]]-TblExplore[[#This Row],[Land Bonus]]*20)</f>
        <v>0</v>
      </c>
      <c r="AD103" s="139"/>
      <c r="AE103" s="260">
        <f>TblMili[[#This Row],[Hour]]</f>
        <v>100</v>
      </c>
      <c r="AF103" s="140">
        <f ca="1">TblExplore[[#This Row],[Time]]</f>
        <v>45736.12499999976</v>
      </c>
      <c r="AG103" s="181"/>
      <c r="AH103" s="181"/>
      <c r="AI103" s="181"/>
      <c r="AJ103" s="181"/>
      <c r="AK103" s="181"/>
      <c r="AL103" s="181"/>
      <c r="AM103" s="181"/>
      <c r="AN103" s="181"/>
      <c r="AO103" s="448">
        <f ca="1">ROUND(IF(AND(TblMagic[[#This Row],[Active DnD]]&lt;12,TblMagic[[#This Row],[Active DnD]]&gt;5),OFFSET(TblPop[[#This Row],[Draft Growth]],-1,0)*0.375,0),0)</f>
        <v>0</v>
      </c>
      <c r="AP103" s="144"/>
      <c r="AQ103" s="96">
        <f ca="1">TblProd[[#This Row],[Platinum]]</f>
        <v>663992</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45736.12499999976</v>
      </c>
      <c r="AW103" s="96">
        <f ca="1">TblMili[[#This Row],[Draftees]]</f>
        <v>626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0.44</v>
      </c>
      <c r="BX103" s="159">
        <f ca="1">TblMili[[#This Row],[WG''s]]</f>
        <v>0</v>
      </c>
      <c r="BY103" s="265">
        <f ca="1">IF(mystic_cap="none",TblMili[[#This Row],[Homeland%]]/mystic_bonus,MIN(mystic_cap,TblMili[[#This Row],[Homeland%]]/mystic_bonus))</f>
        <v>2</v>
      </c>
      <c r="BZ103" s="265">
        <f ca="1">IF(druid_op_cap="none",TblMili[[#This Row],[Homeland%]]/druid_op_bonus,MIN(druid_op_cap,TblMili[[#This Row],[Homeland%]]/druid_op_bonus))</f>
        <v>2</v>
      </c>
      <c r="CA103" s="265">
        <f ca="1">IF(druid_dp_cap="none",TblMili[[#This Row],[Homeland%]]/druid_dp_bonus,MIN(druid_dp_cap,TblMili[[#This Row],[Homeland%]]/druid_dp_bonus))</f>
        <v>2</v>
      </c>
      <c r="CB103" s="265">
        <f ca="1">MIN(dryad_cap,TblMili[[#This Row],[Homeland%]]/dryad_bonus)</f>
        <v>2.1999999999999997</v>
      </c>
      <c r="CC103" s="265">
        <f ca="1">MIN(rocka_cap,TblMili[[#This Row],[Homeland%]]/rocka_bonus)</f>
        <v>2</v>
      </c>
      <c r="CD103" s="265">
        <f ca="1">MIN(adept_op_cap,TblMili[[#This Row],[WG]]/adept_op_bonus)</f>
        <v>0</v>
      </c>
      <c r="CE103" s="265">
        <f ca="1">MIN(adept_dp_cap,TblMili[[#This Row],[WG]]/adept_dp_bonus)</f>
        <v>0</v>
      </c>
      <c r="CF103" s="96">
        <f ca="1">MIN(TblMili[[#This Row],[Unit 3]],TblMili[[#This Row],[Unit 2]])*2</f>
        <v>0</v>
      </c>
      <c r="CG103" s="96">
        <f ca="1">MIN(TblMili[[#This Row],[Unit 1]],TblMili[[#This Row],[Unit 4]])*2</f>
        <v>0</v>
      </c>
      <c r="CH103" s="265">
        <f ca="1">MIN(frost_mage_cap,TblMili[[#This Row],[Homeland%]]/frost_mage_bonus)</f>
        <v>2.1999999999999997</v>
      </c>
      <c r="CI103" s="45">
        <f ca="1">MIN(ice_elem_cap,TblMili[[#This Row],[Raw (2)]]*ice_elem_bonus)</f>
        <v>0.1</v>
      </c>
      <c r="CJ103" s="265">
        <f t="shared" si="4"/>
        <v>0.83333333333333337</v>
      </c>
      <c r="CK103" s="265">
        <f ca="1">MIN(nox_nightshade_cap,TblConstr[[#This Row],[Homeland]]/TblConstr[[#This Row],[Land]]/nox_nightshade_swamp_bonus)</f>
        <v>4</v>
      </c>
      <c r="CL103" s="265">
        <f ca="1">MIN(TblConstr[[#This Row],[Tot Tow]]/TblConstr[[#This Row],[Land]]/abyss_enforce_bonus,abyss_enforcer_cap)</f>
        <v>0</v>
      </c>
      <c r="CM103" s="265">
        <f ca="1">IF(TblMagic[[#This Row],[Active Demonic Pact]]&gt;0,MIN(TblMili[[#This Row],[Unit 1]],TblMili[[#This Row],[Unit 4]])*demonic_pact_oppair,0)</f>
        <v>0</v>
      </c>
      <c r="CN103" s="266"/>
      <c r="CO103" s="266"/>
      <c r="CP103" s="266"/>
      <c r="CQ103" s="265">
        <f ca="1">MIN(6,TblMili[[#This Row],[Mystic]]+Races!$F$19)*1.8 +  IF(TblMili[[#This Row],[Mystic]]+Races!$F$19&gt;6,(TblMili[[#This Row],[Mystic]]+Races!$F$19-6)*0.2,0) - Races!$I$19</f>
        <v>1</v>
      </c>
      <c r="CR10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-0.64000000000000057</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4.7099999999999991</v>
      </c>
      <c r="DA103" s="157">
        <f ca="1">1.8 * MIN(MAX(TblMili[[#This Row],[Ice Elemental]]+Races!$E$71,Races!$F$71),6)  +  0.45 * MIN(MIN(TblMili[[#This Row],[Ice Elemental]]+Races!$E$71,Races!$F$71),6)  +  0.2 * ( MAX(TblMili[[#This Row],[Ice Elemental]]+Races!$E$71-6,0) + MAX(Races!$F$71-6,0) )  -  Races!$I$71</f>
        <v>0.92999999999999972</v>
      </c>
      <c r="DB103" s="96">
        <f ca="1">TblMili[[#This Row],[Frost Mage bonus]]*TblMili[[#This Row],[Unit 3]]+TblMili[[#This Row],[Ice Elemental bonus]]*TblMili[[#This Row],[Unit 4]]</f>
        <v>0</v>
      </c>
      <c r="DC103" s="267"/>
      <c r="DD103" s="145">
        <f ca="1">MIN(SUM(TblConstr[[#This Row],[Plain]:[Water]])/TblMili[[#This Row],[Land]]/favorable_terrain_bonus/100,favorable_terrain_max)</f>
        <v>0.1</v>
      </c>
      <c r="DE103" s="267"/>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3" s="144"/>
      <c r="DH103" s="268">
        <f ca="1">(TblMili[[#This Row],[Wizards]]+2*TblMili[[#This Row],[Archmages]])/TblConstr[[#This Row],[Land]]</f>
        <v>0.1</v>
      </c>
      <c r="DI103" s="268">
        <f ca="1">TblMili[[#This Row],[Raw (2)]]*(1+race_wizard_strength+IF(TblMili[[#This Row],[Hour]]&gt;72,tech_magical_weaponry_wiz*TblTech[[#This Row],[3-5]],0))</f>
        <v>0.1</v>
      </c>
    </row>
    <row r="104" spans="1:113" x14ac:dyDescent="0.2">
      <c r="A104" s="139">
        <f>TblRezone[[#This Row],[Hour]]</f>
        <v>101</v>
      </c>
      <c r="B104" s="260">
        <f ca="1">SUM(TblMili[[#This Row],[Unit 1]:[Archmages]])+SUM(OFFSET(TblMili[[#This Row],[Train Unit 1]],-8,0):TblMili[[#This Row],[Train Unit 2]]) + SUM(OFFSET(TblMili[[#This Row],[Train Unit 3]],-11,0):TblMili[[#This Row],[Train AM]]) + TblMili[[#This Row],[Draftees]]</f>
        <v>826</v>
      </c>
      <c r="C104" s="159">
        <f ca="1">TblPop[[#This Row],[Military%]]</f>
        <v>0.35029686174724345</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4"/>
      <c r="N104" s="96">
        <f ca="1">TblProd[[#This Row],[Networth]]</f>
        <v>6450</v>
      </c>
      <c r="O104" s="144"/>
      <c r="P10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1">
        <f ca="1">TblMili[[#This Row],[Raw]]*(1+TblMili[[#This Row],[Mods_Off]])</f>
        <v>0</v>
      </c>
      <c r="S10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4" s="261">
        <f ca="1">TblMili[[#This Row],[Non Draft]]+TblMili[[#This Row],[Draftees]]</f>
        <v>1076</v>
      </c>
      <c r="U104" s="262">
        <f ca="1">race_defense + TblImps[[#This Row],[Walls]] + ROUND( MIN(gt_bonus*TblConstr[[#This Row],[Tot GT]]/TblConstr[[#This Row],[Land]],gt_bonus_cap), 4) + IF(TblMagic[[#This Row],[Active Howling]]&gt;0,howling_dp_bonus,IF(TblMagic[[#This Row],[Active Ares Call]]&gt;0,ares_call_bonus))</f>
        <v>0</v>
      </c>
      <c r="V104" s="263">
        <f ca="1">TblMili[[#This Row],[Non Draft]] * (1 + TblMili[[#This Row],[Mods_Def]])</f>
        <v>450</v>
      </c>
      <c r="W104" s="261">
        <f ca="1">TblMili[[#This Row],[Draft]] * (1 + TblMili[[#This Row],[Mods_Def]])</f>
        <v>1076</v>
      </c>
      <c r="X104" s="261">
        <f ca="1">TblConstr[[#This Row],[Land]]</f>
        <v>250</v>
      </c>
      <c r="Y104" s="264"/>
      <c r="Z104" s="269">
        <f ca="1">IF(TblMili[[#This Row],[Set]]&lt;&gt;"",TblMili[[#This Row],[Set]],OFFSET(TblMili[[#This Row],[Draftrate]],-1,0))</f>
        <v>0.35</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6"/>
      <c r="AC104" s="182">
        <f ca="1">(TblConstr[[#This Row],[Tot Smi]]+TblConstr[[#This Row],[Dest Smi]])/(TblConstr[[#This Row],[Land]]-TblExplore[[#This Row],[Land Bonus]]*20)</f>
        <v>0</v>
      </c>
      <c r="AD104" s="139"/>
      <c r="AE104" s="260">
        <f>TblMili[[#This Row],[Hour]]</f>
        <v>101</v>
      </c>
      <c r="AF104" s="140">
        <f ca="1">TblExplore[[#This Row],[Time]]</f>
        <v>45736.166666666424</v>
      </c>
      <c r="AG104" s="181"/>
      <c r="AH104" s="181"/>
      <c r="AI104" s="181"/>
      <c r="AJ104" s="181"/>
      <c r="AK104" s="181"/>
      <c r="AL104" s="181"/>
      <c r="AM104" s="181"/>
      <c r="AN104" s="181"/>
      <c r="AO104" s="448">
        <f ca="1">ROUND(IF(AND(TblMagic[[#This Row],[Active DnD]]&lt;12,TblMagic[[#This Row],[Active DnD]]&gt;5),OFFSET(TblPop[[#This Row],[Draft Growth]],-1,0)*0.375,0),0)</f>
        <v>0</v>
      </c>
      <c r="AP104" s="144"/>
      <c r="AQ104" s="96">
        <f ca="1">TblProd[[#This Row],[Platinum]]</f>
        <v>669478</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45736.166666666424</v>
      </c>
      <c r="AW104" s="96">
        <f ca="1">TblMili[[#This Row],[Draftees]]</f>
        <v>626</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0.44</v>
      </c>
      <c r="BX104" s="159">
        <f ca="1">TblMili[[#This Row],[WG''s]]</f>
        <v>0</v>
      </c>
      <c r="BY104" s="265">
        <f ca="1">IF(mystic_cap="none",TblMili[[#This Row],[Homeland%]]/mystic_bonus,MIN(mystic_cap,TblMili[[#This Row],[Homeland%]]/mystic_bonus))</f>
        <v>2</v>
      </c>
      <c r="BZ104" s="265">
        <f ca="1">IF(druid_op_cap="none",TblMili[[#This Row],[Homeland%]]/druid_op_bonus,MIN(druid_op_cap,TblMili[[#This Row],[Homeland%]]/druid_op_bonus))</f>
        <v>2</v>
      </c>
      <c r="CA104" s="265">
        <f ca="1">IF(druid_dp_cap="none",TblMili[[#This Row],[Homeland%]]/druid_dp_bonus,MIN(druid_dp_cap,TblMili[[#This Row],[Homeland%]]/druid_dp_bonus))</f>
        <v>2</v>
      </c>
      <c r="CB104" s="265">
        <f ca="1">MIN(dryad_cap,TblMili[[#This Row],[Homeland%]]/dryad_bonus)</f>
        <v>2.1999999999999997</v>
      </c>
      <c r="CC104" s="265">
        <f ca="1">MIN(rocka_cap,TblMili[[#This Row],[Homeland%]]/rocka_bonus)</f>
        <v>2</v>
      </c>
      <c r="CD104" s="265">
        <f ca="1">MIN(adept_op_cap,TblMili[[#This Row],[WG]]/adept_op_bonus)</f>
        <v>0</v>
      </c>
      <c r="CE104" s="265">
        <f ca="1">MIN(adept_dp_cap,TblMili[[#This Row],[WG]]/adept_dp_bonus)</f>
        <v>0</v>
      </c>
      <c r="CF104" s="96">
        <f ca="1">MIN(TblMili[[#This Row],[Unit 3]],TblMili[[#This Row],[Unit 2]])*2</f>
        <v>0</v>
      </c>
      <c r="CG104" s="96">
        <f ca="1">MIN(TblMili[[#This Row],[Unit 1]],TblMili[[#This Row],[Unit 4]])*2</f>
        <v>0</v>
      </c>
      <c r="CH104" s="265">
        <f ca="1">MIN(frost_mage_cap,TblMili[[#This Row],[Homeland%]]/frost_mage_bonus)</f>
        <v>2.1999999999999997</v>
      </c>
      <c r="CI104" s="45">
        <f ca="1">MIN(ice_elem_cap,TblMili[[#This Row],[Raw (2)]]*ice_elem_bonus)</f>
        <v>0.1</v>
      </c>
      <c r="CJ104" s="265">
        <f t="shared" si="4"/>
        <v>0.83333333333333337</v>
      </c>
      <c r="CK104" s="265">
        <f ca="1">MIN(nox_nightshade_cap,TblConstr[[#This Row],[Homeland]]/TblConstr[[#This Row],[Land]]/nox_nightshade_swamp_bonus)</f>
        <v>4</v>
      </c>
      <c r="CL104" s="265">
        <f ca="1">MIN(TblConstr[[#This Row],[Tot Tow]]/TblConstr[[#This Row],[Land]]/abyss_enforce_bonus,abyss_enforcer_cap)</f>
        <v>0</v>
      </c>
      <c r="CM104" s="265">
        <f ca="1">IF(TblMagic[[#This Row],[Active Demonic Pact]]&gt;0,MIN(TblMili[[#This Row],[Unit 1]],TblMili[[#This Row],[Unit 4]])*demonic_pact_oppair,0)</f>
        <v>0</v>
      </c>
      <c r="CN104" s="266"/>
      <c r="CO104" s="266"/>
      <c r="CP104" s="266"/>
      <c r="CQ104" s="265">
        <f ca="1">MIN(6,TblMili[[#This Row],[Mystic]]+Races!$F$19)*1.8 +  IF(TblMili[[#This Row],[Mystic]]+Races!$F$19&gt;6,(TblMili[[#This Row],[Mystic]]+Races!$F$19-6)*0.2,0) - Races!$I$19</f>
        <v>1</v>
      </c>
      <c r="CR10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-0.64000000000000057</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4.7099999999999991</v>
      </c>
      <c r="DA104" s="157">
        <f ca="1">1.8 * MIN(MAX(TblMili[[#This Row],[Ice Elemental]]+Races!$E$71,Races!$F$71),6)  +  0.45 * MIN(MIN(TblMili[[#This Row],[Ice Elemental]]+Races!$E$71,Races!$F$71),6)  +  0.2 * ( MAX(TblMili[[#This Row],[Ice Elemental]]+Races!$E$71-6,0) + MAX(Races!$F$71-6,0) )  -  Races!$I$71</f>
        <v>0.92999999999999972</v>
      </c>
      <c r="DB104" s="96">
        <f ca="1">TblMili[[#This Row],[Frost Mage bonus]]*TblMili[[#This Row],[Unit 3]]+TblMili[[#This Row],[Ice Elemental bonus]]*TblMili[[#This Row],[Unit 4]]</f>
        <v>0</v>
      </c>
      <c r="DC104" s="267"/>
      <c r="DD104" s="145">
        <f ca="1">MIN(SUM(TblConstr[[#This Row],[Plain]:[Water]])/TblMili[[#This Row],[Land]]/favorable_terrain_bonus/100,favorable_terrain_max)</f>
        <v>0.1</v>
      </c>
      <c r="DE104" s="267"/>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4" s="144"/>
      <c r="DH104" s="268">
        <f ca="1">(TblMili[[#This Row],[Wizards]]+2*TblMili[[#This Row],[Archmages]])/TblConstr[[#This Row],[Land]]</f>
        <v>0.1</v>
      </c>
      <c r="DI104" s="268">
        <f ca="1">TblMili[[#This Row],[Raw (2)]]*(1+race_wizard_strength+IF(TblMili[[#This Row],[Hour]]&gt;72,tech_magical_weaponry_wiz*TblTech[[#This Row],[3-5]],0))</f>
        <v>0.1</v>
      </c>
    </row>
    <row r="105" spans="1:113" x14ac:dyDescent="0.2">
      <c r="A105" s="139">
        <f>TblRezone[[#This Row],[Hour]]</f>
        <v>102</v>
      </c>
      <c r="B105" s="260">
        <f ca="1">SUM(TblMili[[#This Row],[Unit 1]:[Archmages]])+SUM(OFFSET(TblMili[[#This Row],[Train Unit 1]],-8,0):TblMili[[#This Row],[Train Unit 2]]) + SUM(OFFSET(TblMili[[#This Row],[Train Unit 3]],-11,0):TblMili[[#This Row],[Train AM]]) + TblMili[[#This Row],[Draftees]]</f>
        <v>826</v>
      </c>
      <c r="C105" s="159">
        <f ca="1">TblPop[[#This Row],[Military%]]</f>
        <v>0.35029686174724345</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4"/>
      <c r="N105" s="96">
        <f ca="1">TblProd[[#This Row],[Networth]]</f>
        <v>6450</v>
      </c>
      <c r="O105" s="144"/>
      <c r="P10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1">
        <f ca="1">TblMili[[#This Row],[Raw]]*(1+TblMili[[#This Row],[Mods_Off]])</f>
        <v>0</v>
      </c>
      <c r="S10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5" s="261">
        <f ca="1">TblMili[[#This Row],[Non Draft]]+TblMili[[#This Row],[Draftees]]</f>
        <v>1076</v>
      </c>
      <c r="U105" s="262">
        <f ca="1">race_defense + TblImps[[#This Row],[Walls]] + ROUND( MIN(gt_bonus*TblConstr[[#This Row],[Tot GT]]/TblConstr[[#This Row],[Land]],gt_bonus_cap), 4) + IF(TblMagic[[#This Row],[Active Howling]]&gt;0,howling_dp_bonus,IF(TblMagic[[#This Row],[Active Ares Call]]&gt;0,ares_call_bonus))</f>
        <v>0</v>
      </c>
      <c r="V105" s="263">
        <f ca="1">TblMili[[#This Row],[Non Draft]] * (1 + TblMili[[#This Row],[Mods_Def]])</f>
        <v>450</v>
      </c>
      <c r="W105" s="261">
        <f ca="1">TblMili[[#This Row],[Draft]] * (1 + TblMili[[#This Row],[Mods_Def]])</f>
        <v>1076</v>
      </c>
      <c r="X105" s="261">
        <f ca="1">TblConstr[[#This Row],[Land]]</f>
        <v>250</v>
      </c>
      <c r="Y105" s="264"/>
      <c r="Z105" s="269">
        <f ca="1">IF(TblMili[[#This Row],[Set]]&lt;&gt;"",TblMili[[#This Row],[Set]],OFFSET(TblMili[[#This Row],[Draftrate]],-1,0))</f>
        <v>0.35</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6"/>
      <c r="AC105" s="182">
        <f ca="1">(TblConstr[[#This Row],[Tot Smi]]+TblConstr[[#This Row],[Dest Smi]])/(TblConstr[[#This Row],[Land]]-TblExplore[[#This Row],[Land Bonus]]*20)</f>
        <v>0</v>
      </c>
      <c r="AD105" s="139"/>
      <c r="AE105" s="260">
        <f>TblMili[[#This Row],[Hour]]</f>
        <v>102</v>
      </c>
      <c r="AF105" s="140">
        <f ca="1">TblExplore[[#This Row],[Time]]</f>
        <v>45736.208333333088</v>
      </c>
      <c r="AG105" s="181"/>
      <c r="AH105" s="181"/>
      <c r="AI105" s="181"/>
      <c r="AJ105" s="181"/>
      <c r="AK105" s="181"/>
      <c r="AL105" s="181"/>
      <c r="AM105" s="181"/>
      <c r="AN105" s="181"/>
      <c r="AO105" s="448">
        <f ca="1">ROUND(IF(AND(TblMagic[[#This Row],[Active DnD]]&lt;12,TblMagic[[#This Row],[Active DnD]]&gt;5),OFFSET(TblPop[[#This Row],[Draft Growth]],-1,0)*0.375,0),0)</f>
        <v>0</v>
      </c>
      <c r="AP105" s="144"/>
      <c r="AQ105" s="96">
        <f ca="1">TblProd[[#This Row],[Platinum]]</f>
        <v>674964</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45736.208333333088</v>
      </c>
      <c r="AW105" s="96">
        <f ca="1">TblMili[[#This Row],[Draftees]]</f>
        <v>626</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0.44</v>
      </c>
      <c r="BX105" s="159">
        <f ca="1">TblMili[[#This Row],[WG''s]]</f>
        <v>0</v>
      </c>
      <c r="BY105" s="265">
        <f ca="1">IF(mystic_cap="none",TblMili[[#This Row],[Homeland%]]/mystic_bonus,MIN(mystic_cap,TblMili[[#This Row],[Homeland%]]/mystic_bonus))</f>
        <v>2</v>
      </c>
      <c r="BZ105" s="265">
        <f ca="1">IF(druid_op_cap="none",TblMili[[#This Row],[Homeland%]]/druid_op_bonus,MIN(druid_op_cap,TblMili[[#This Row],[Homeland%]]/druid_op_bonus))</f>
        <v>2</v>
      </c>
      <c r="CA105" s="265">
        <f ca="1">IF(druid_dp_cap="none",TblMili[[#This Row],[Homeland%]]/druid_dp_bonus,MIN(druid_dp_cap,TblMili[[#This Row],[Homeland%]]/druid_dp_bonus))</f>
        <v>2</v>
      </c>
      <c r="CB105" s="265">
        <f ca="1">MIN(dryad_cap,TblMili[[#This Row],[Homeland%]]/dryad_bonus)</f>
        <v>2.1999999999999997</v>
      </c>
      <c r="CC105" s="265">
        <f ca="1">MIN(rocka_cap,TblMili[[#This Row],[Homeland%]]/rocka_bonus)</f>
        <v>2</v>
      </c>
      <c r="CD105" s="265">
        <f ca="1">MIN(adept_op_cap,TblMili[[#This Row],[WG]]/adept_op_bonus)</f>
        <v>0</v>
      </c>
      <c r="CE105" s="265">
        <f ca="1">MIN(adept_dp_cap,TblMili[[#This Row],[WG]]/adept_dp_bonus)</f>
        <v>0</v>
      </c>
      <c r="CF105" s="96">
        <f ca="1">MIN(TblMili[[#This Row],[Unit 3]],TblMili[[#This Row],[Unit 2]])*2</f>
        <v>0</v>
      </c>
      <c r="CG105" s="96">
        <f ca="1">MIN(TblMili[[#This Row],[Unit 1]],TblMili[[#This Row],[Unit 4]])*2</f>
        <v>0</v>
      </c>
      <c r="CH105" s="265">
        <f ca="1">MIN(frost_mage_cap,TblMili[[#This Row],[Homeland%]]/frost_mage_bonus)</f>
        <v>2.1999999999999997</v>
      </c>
      <c r="CI105" s="45">
        <f ca="1">MIN(ice_elem_cap,TblMili[[#This Row],[Raw (2)]]*ice_elem_bonus)</f>
        <v>0.1</v>
      </c>
      <c r="CJ105" s="265">
        <f t="shared" si="4"/>
        <v>0.83333333333333337</v>
      </c>
      <c r="CK105" s="265">
        <f ca="1">MIN(nox_nightshade_cap,TblConstr[[#This Row],[Homeland]]/TblConstr[[#This Row],[Land]]/nox_nightshade_swamp_bonus)</f>
        <v>4</v>
      </c>
      <c r="CL105" s="265">
        <f ca="1">MIN(TblConstr[[#This Row],[Tot Tow]]/TblConstr[[#This Row],[Land]]/abyss_enforce_bonus,abyss_enforcer_cap)</f>
        <v>0</v>
      </c>
      <c r="CM105" s="265">
        <f ca="1">IF(TblMagic[[#This Row],[Active Demonic Pact]]&gt;0,MIN(TblMili[[#This Row],[Unit 1]],TblMili[[#This Row],[Unit 4]])*demonic_pact_oppair,0)</f>
        <v>0</v>
      </c>
      <c r="CN105" s="266"/>
      <c r="CO105" s="266"/>
      <c r="CP105" s="266"/>
      <c r="CQ105" s="265">
        <f ca="1">MIN(6,TblMili[[#This Row],[Mystic]]+Races!$F$19)*1.8 +  IF(TblMili[[#This Row],[Mystic]]+Races!$F$19&gt;6,(TblMili[[#This Row],[Mystic]]+Races!$F$19-6)*0.2,0) - Races!$I$19</f>
        <v>1</v>
      </c>
      <c r="CR10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-0.64000000000000057</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4.7099999999999991</v>
      </c>
      <c r="DA105" s="157">
        <f ca="1">1.8 * MIN(MAX(TblMili[[#This Row],[Ice Elemental]]+Races!$E$71,Races!$F$71),6)  +  0.45 * MIN(MIN(TblMili[[#This Row],[Ice Elemental]]+Races!$E$71,Races!$F$71),6)  +  0.2 * ( MAX(TblMili[[#This Row],[Ice Elemental]]+Races!$E$71-6,0) + MAX(Races!$F$71-6,0) )  -  Races!$I$71</f>
        <v>0.92999999999999972</v>
      </c>
      <c r="DB105" s="96">
        <f ca="1">TblMili[[#This Row],[Frost Mage bonus]]*TblMili[[#This Row],[Unit 3]]+TblMili[[#This Row],[Ice Elemental bonus]]*TblMili[[#This Row],[Unit 4]]</f>
        <v>0</v>
      </c>
      <c r="DC105" s="267"/>
      <c r="DD105" s="145">
        <f ca="1">MIN(SUM(TblConstr[[#This Row],[Plain]:[Water]])/TblMili[[#This Row],[Land]]/favorable_terrain_bonus/100,favorable_terrain_max)</f>
        <v>0.1</v>
      </c>
      <c r="DE105" s="267"/>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5" s="144"/>
      <c r="DH105" s="268">
        <f ca="1">(TblMili[[#This Row],[Wizards]]+2*TblMili[[#This Row],[Archmages]])/TblConstr[[#This Row],[Land]]</f>
        <v>0.1</v>
      </c>
      <c r="DI105" s="268">
        <f ca="1">TblMili[[#This Row],[Raw (2)]]*(1+race_wizard_strength+IF(TblMili[[#This Row],[Hour]]&gt;72,tech_magical_weaponry_wiz*TblTech[[#This Row],[3-5]],0))</f>
        <v>0.1</v>
      </c>
    </row>
    <row r="106" spans="1:113" x14ac:dyDescent="0.2">
      <c r="A106" s="139">
        <f>TblRezone[[#This Row],[Hour]]</f>
        <v>103</v>
      </c>
      <c r="B106" s="260">
        <f ca="1">SUM(TblMili[[#This Row],[Unit 1]:[Archmages]])+SUM(OFFSET(TblMili[[#This Row],[Train Unit 1]],-8,0):TblMili[[#This Row],[Train Unit 2]]) + SUM(OFFSET(TblMili[[#This Row],[Train Unit 3]],-11,0):TblMili[[#This Row],[Train AM]]) + TblMili[[#This Row],[Draftees]]</f>
        <v>826</v>
      </c>
      <c r="C106" s="159">
        <f ca="1">TblPop[[#This Row],[Military%]]</f>
        <v>0.35029686174724345</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4"/>
      <c r="N106" s="96">
        <f ca="1">TblProd[[#This Row],[Networth]]</f>
        <v>6450</v>
      </c>
      <c r="O106" s="144"/>
      <c r="P10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1">
        <f ca="1">TblMili[[#This Row],[Raw]]*(1+TblMili[[#This Row],[Mods_Off]])</f>
        <v>0</v>
      </c>
      <c r="S10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6" s="261">
        <f ca="1">TblMili[[#This Row],[Non Draft]]+TblMili[[#This Row],[Draftees]]</f>
        <v>1076</v>
      </c>
      <c r="U106" s="262">
        <f ca="1">race_defense + TblImps[[#This Row],[Walls]] + ROUND( MIN(gt_bonus*TblConstr[[#This Row],[Tot GT]]/TblConstr[[#This Row],[Land]],gt_bonus_cap), 4) + IF(TblMagic[[#This Row],[Active Howling]]&gt;0,howling_dp_bonus,IF(TblMagic[[#This Row],[Active Ares Call]]&gt;0,ares_call_bonus))</f>
        <v>0</v>
      </c>
      <c r="V106" s="263">
        <f ca="1">TblMili[[#This Row],[Non Draft]] * (1 + TblMili[[#This Row],[Mods_Def]])</f>
        <v>450</v>
      </c>
      <c r="W106" s="261">
        <f ca="1">TblMili[[#This Row],[Draft]] * (1 + TblMili[[#This Row],[Mods_Def]])</f>
        <v>1076</v>
      </c>
      <c r="X106" s="261">
        <f ca="1">TblConstr[[#This Row],[Land]]</f>
        <v>250</v>
      </c>
      <c r="Y106" s="264"/>
      <c r="Z106" s="269">
        <f ca="1">IF(TblMili[[#This Row],[Set]]&lt;&gt;"",TblMili[[#This Row],[Set]],OFFSET(TblMili[[#This Row],[Draftrate]],-1,0))</f>
        <v>0.35</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6"/>
      <c r="AC106" s="182">
        <f ca="1">(TblConstr[[#This Row],[Tot Smi]]+TblConstr[[#This Row],[Dest Smi]])/(TblConstr[[#This Row],[Land]]-TblExplore[[#This Row],[Land Bonus]]*20)</f>
        <v>0</v>
      </c>
      <c r="AD106" s="139"/>
      <c r="AE106" s="260">
        <f>TblMili[[#This Row],[Hour]]</f>
        <v>103</v>
      </c>
      <c r="AF106" s="140">
        <f ca="1">TblExplore[[#This Row],[Time]]</f>
        <v>45736.249999999753</v>
      </c>
      <c r="AG106" s="181"/>
      <c r="AH106" s="181"/>
      <c r="AI106" s="181"/>
      <c r="AJ106" s="181"/>
      <c r="AK106" s="181"/>
      <c r="AL106" s="181"/>
      <c r="AM106" s="181"/>
      <c r="AN106" s="181"/>
      <c r="AO106" s="448">
        <f ca="1">ROUND(IF(AND(TblMagic[[#This Row],[Active DnD]]&lt;12,TblMagic[[#This Row],[Active DnD]]&gt;5),OFFSET(TblPop[[#This Row],[Draft Growth]],-1,0)*0.375,0),0)</f>
        <v>0</v>
      </c>
      <c r="AP106" s="144"/>
      <c r="AQ106" s="96">
        <f ca="1">TblProd[[#This Row],[Platinum]]</f>
        <v>680450</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45736.249999999753</v>
      </c>
      <c r="AW106" s="96">
        <f ca="1">TblMili[[#This Row],[Draftees]]</f>
        <v>626</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0.44</v>
      </c>
      <c r="BX106" s="159">
        <f ca="1">TblMili[[#This Row],[WG''s]]</f>
        <v>0</v>
      </c>
      <c r="BY106" s="265">
        <f ca="1">IF(mystic_cap="none",TblMili[[#This Row],[Homeland%]]/mystic_bonus,MIN(mystic_cap,TblMili[[#This Row],[Homeland%]]/mystic_bonus))</f>
        <v>2</v>
      </c>
      <c r="BZ106" s="265">
        <f ca="1">IF(druid_op_cap="none",TblMili[[#This Row],[Homeland%]]/druid_op_bonus,MIN(druid_op_cap,TblMili[[#This Row],[Homeland%]]/druid_op_bonus))</f>
        <v>2</v>
      </c>
      <c r="CA106" s="265">
        <f ca="1">IF(druid_dp_cap="none",TblMili[[#This Row],[Homeland%]]/druid_dp_bonus,MIN(druid_dp_cap,TblMili[[#This Row],[Homeland%]]/druid_dp_bonus))</f>
        <v>2</v>
      </c>
      <c r="CB106" s="265">
        <f ca="1">MIN(dryad_cap,TblMili[[#This Row],[Homeland%]]/dryad_bonus)</f>
        <v>2.1999999999999997</v>
      </c>
      <c r="CC106" s="265">
        <f ca="1">MIN(rocka_cap,TblMili[[#This Row],[Homeland%]]/rocka_bonus)</f>
        <v>2</v>
      </c>
      <c r="CD106" s="265">
        <f ca="1">MIN(adept_op_cap,TblMili[[#This Row],[WG]]/adept_op_bonus)</f>
        <v>0</v>
      </c>
      <c r="CE106" s="265">
        <f ca="1">MIN(adept_dp_cap,TblMili[[#This Row],[WG]]/adept_dp_bonus)</f>
        <v>0</v>
      </c>
      <c r="CF106" s="96">
        <f ca="1">MIN(TblMili[[#This Row],[Unit 3]],TblMili[[#This Row],[Unit 2]])*2</f>
        <v>0</v>
      </c>
      <c r="CG106" s="96">
        <f ca="1">MIN(TblMili[[#This Row],[Unit 1]],TblMili[[#This Row],[Unit 4]])*2</f>
        <v>0</v>
      </c>
      <c r="CH106" s="265">
        <f ca="1">MIN(frost_mage_cap,TblMili[[#This Row],[Homeland%]]/frost_mage_bonus)</f>
        <v>2.1999999999999997</v>
      </c>
      <c r="CI106" s="45">
        <f ca="1">MIN(ice_elem_cap,TblMili[[#This Row],[Raw (2)]]*ice_elem_bonus)</f>
        <v>0.1</v>
      </c>
      <c r="CJ106" s="265">
        <f t="shared" si="4"/>
        <v>0.83333333333333337</v>
      </c>
      <c r="CK106" s="265">
        <f ca="1">MIN(nox_nightshade_cap,TblConstr[[#This Row],[Homeland]]/TblConstr[[#This Row],[Land]]/nox_nightshade_swamp_bonus)</f>
        <v>4</v>
      </c>
      <c r="CL106" s="265">
        <f ca="1">MIN(TblConstr[[#This Row],[Tot Tow]]/TblConstr[[#This Row],[Land]]/abyss_enforce_bonus,abyss_enforcer_cap)</f>
        <v>0</v>
      </c>
      <c r="CM106" s="265">
        <f ca="1">IF(TblMagic[[#This Row],[Active Demonic Pact]]&gt;0,MIN(TblMili[[#This Row],[Unit 1]],TblMili[[#This Row],[Unit 4]])*demonic_pact_oppair,0)</f>
        <v>0</v>
      </c>
      <c r="CN106" s="266"/>
      <c r="CO106" s="266"/>
      <c r="CP106" s="266"/>
      <c r="CQ106" s="265">
        <f ca="1">MIN(6,TblMili[[#This Row],[Mystic]]+Races!$F$19)*1.8 +  IF(TblMili[[#This Row],[Mystic]]+Races!$F$19&gt;6,(TblMili[[#This Row],[Mystic]]+Races!$F$19-6)*0.2,0) - Races!$I$19</f>
        <v>1</v>
      </c>
      <c r="CR10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-0.64000000000000057</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4.7099999999999991</v>
      </c>
      <c r="DA106" s="157">
        <f ca="1">1.8 * MIN(MAX(TblMili[[#This Row],[Ice Elemental]]+Races!$E$71,Races!$F$71),6)  +  0.45 * MIN(MIN(TblMili[[#This Row],[Ice Elemental]]+Races!$E$71,Races!$F$71),6)  +  0.2 * ( MAX(TblMili[[#This Row],[Ice Elemental]]+Races!$E$71-6,0) + MAX(Races!$F$71-6,0) )  -  Races!$I$71</f>
        <v>0.92999999999999972</v>
      </c>
      <c r="DB106" s="96">
        <f ca="1">TblMili[[#This Row],[Frost Mage bonus]]*TblMili[[#This Row],[Unit 3]]+TblMili[[#This Row],[Ice Elemental bonus]]*TblMili[[#This Row],[Unit 4]]</f>
        <v>0</v>
      </c>
      <c r="DC106" s="267"/>
      <c r="DD106" s="145">
        <f ca="1">MIN(SUM(TblConstr[[#This Row],[Plain]:[Water]])/TblMili[[#This Row],[Land]]/favorable_terrain_bonus/100,favorable_terrain_max)</f>
        <v>0.1</v>
      </c>
      <c r="DE106" s="267"/>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6" s="144"/>
      <c r="DH106" s="268">
        <f ca="1">(TblMili[[#This Row],[Wizards]]+2*TblMili[[#This Row],[Archmages]])/TblConstr[[#This Row],[Land]]</f>
        <v>0.1</v>
      </c>
      <c r="DI106" s="268">
        <f ca="1">TblMili[[#This Row],[Raw (2)]]*(1+race_wizard_strength+IF(TblMili[[#This Row],[Hour]]&gt;72,tech_magical_weaponry_wiz*TblTech[[#This Row],[3-5]],0))</f>
        <v>0.1</v>
      </c>
    </row>
    <row r="107" spans="1:113" x14ac:dyDescent="0.2">
      <c r="A107" s="139">
        <f>TblRezone[[#This Row],[Hour]]</f>
        <v>104</v>
      </c>
      <c r="B107" s="260">
        <f ca="1">SUM(TblMili[[#This Row],[Unit 1]:[Archmages]])+SUM(OFFSET(TblMili[[#This Row],[Train Unit 1]],-8,0):TblMili[[#This Row],[Train Unit 2]]) + SUM(OFFSET(TblMili[[#This Row],[Train Unit 3]],-11,0):TblMili[[#This Row],[Train AM]]) + TblMili[[#This Row],[Draftees]]</f>
        <v>826</v>
      </c>
      <c r="C107" s="159">
        <f ca="1">TblPop[[#This Row],[Military%]]</f>
        <v>0.35029686174724345</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4"/>
      <c r="N107" s="96">
        <f ca="1">TblProd[[#This Row],[Networth]]</f>
        <v>6450</v>
      </c>
      <c r="O107" s="144"/>
      <c r="P10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1">
        <f ca="1">TblMili[[#This Row],[Raw]]*(1+TblMili[[#This Row],[Mods_Off]])</f>
        <v>0</v>
      </c>
      <c r="S10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7" s="261">
        <f ca="1">TblMili[[#This Row],[Non Draft]]+TblMili[[#This Row],[Draftees]]</f>
        <v>1076</v>
      </c>
      <c r="U107" s="262">
        <f ca="1">race_defense + TblImps[[#This Row],[Walls]] + ROUND( MIN(gt_bonus*TblConstr[[#This Row],[Tot GT]]/TblConstr[[#This Row],[Land]],gt_bonus_cap), 4) + IF(TblMagic[[#This Row],[Active Howling]]&gt;0,howling_dp_bonus,IF(TblMagic[[#This Row],[Active Ares Call]]&gt;0,ares_call_bonus))</f>
        <v>0</v>
      </c>
      <c r="V107" s="263">
        <f ca="1">TblMili[[#This Row],[Non Draft]] * (1 + TblMili[[#This Row],[Mods_Def]])</f>
        <v>450</v>
      </c>
      <c r="W107" s="261">
        <f ca="1">TblMili[[#This Row],[Draft]] * (1 + TblMili[[#This Row],[Mods_Def]])</f>
        <v>1076</v>
      </c>
      <c r="X107" s="261">
        <f ca="1">TblConstr[[#This Row],[Land]]</f>
        <v>250</v>
      </c>
      <c r="Y107" s="264"/>
      <c r="Z107" s="269">
        <f ca="1">IF(TblMili[[#This Row],[Set]]&lt;&gt;"",TblMili[[#This Row],[Set]],OFFSET(TblMili[[#This Row],[Draftrate]],-1,0))</f>
        <v>0.35</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6"/>
      <c r="AC107" s="182">
        <f ca="1">(TblConstr[[#This Row],[Tot Smi]]+TblConstr[[#This Row],[Dest Smi]])/(TblConstr[[#This Row],[Land]]-TblExplore[[#This Row],[Land Bonus]]*20)</f>
        <v>0</v>
      </c>
      <c r="AD107" s="139"/>
      <c r="AE107" s="260">
        <f>TblMili[[#This Row],[Hour]]</f>
        <v>104</v>
      </c>
      <c r="AF107" s="140">
        <f ca="1">TblExplore[[#This Row],[Time]]</f>
        <v>45736.291666666417</v>
      </c>
      <c r="AG107" s="181"/>
      <c r="AH107" s="181"/>
      <c r="AI107" s="181"/>
      <c r="AJ107" s="181"/>
      <c r="AK107" s="181"/>
      <c r="AL107" s="181"/>
      <c r="AM107" s="181"/>
      <c r="AN107" s="181"/>
      <c r="AO107" s="448">
        <f ca="1">ROUND(IF(AND(TblMagic[[#This Row],[Active DnD]]&lt;12,TblMagic[[#This Row],[Active DnD]]&gt;5),OFFSET(TblPop[[#This Row],[Draft Growth]],-1,0)*0.375,0),0)</f>
        <v>0</v>
      </c>
      <c r="AP107" s="144"/>
      <c r="AQ107" s="96">
        <f ca="1">TblProd[[#This Row],[Platinum]]</f>
        <v>685936</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45736.291666666417</v>
      </c>
      <c r="AW107" s="96">
        <f ca="1">TblMili[[#This Row],[Draftees]]</f>
        <v>626</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0.44</v>
      </c>
      <c r="BX107" s="159">
        <f ca="1">TblMili[[#This Row],[WG''s]]</f>
        <v>0</v>
      </c>
      <c r="BY107" s="265">
        <f ca="1">IF(mystic_cap="none",TblMili[[#This Row],[Homeland%]]/mystic_bonus,MIN(mystic_cap,TblMili[[#This Row],[Homeland%]]/mystic_bonus))</f>
        <v>2</v>
      </c>
      <c r="BZ107" s="265">
        <f ca="1">IF(druid_op_cap="none",TblMili[[#This Row],[Homeland%]]/druid_op_bonus,MIN(druid_op_cap,TblMili[[#This Row],[Homeland%]]/druid_op_bonus))</f>
        <v>2</v>
      </c>
      <c r="CA107" s="265">
        <f ca="1">IF(druid_dp_cap="none",TblMili[[#This Row],[Homeland%]]/druid_dp_bonus,MIN(druid_dp_cap,TblMili[[#This Row],[Homeland%]]/druid_dp_bonus))</f>
        <v>2</v>
      </c>
      <c r="CB107" s="265">
        <f ca="1">MIN(dryad_cap,TblMili[[#This Row],[Homeland%]]/dryad_bonus)</f>
        <v>2.1999999999999997</v>
      </c>
      <c r="CC107" s="265">
        <f ca="1">MIN(rocka_cap,TblMili[[#This Row],[Homeland%]]/rocka_bonus)</f>
        <v>2</v>
      </c>
      <c r="CD107" s="265">
        <f ca="1">MIN(adept_op_cap,TblMili[[#This Row],[WG]]/adept_op_bonus)</f>
        <v>0</v>
      </c>
      <c r="CE107" s="265">
        <f ca="1">MIN(adept_dp_cap,TblMili[[#This Row],[WG]]/adept_dp_bonus)</f>
        <v>0</v>
      </c>
      <c r="CF107" s="96">
        <f ca="1">MIN(TblMili[[#This Row],[Unit 3]],TblMili[[#This Row],[Unit 2]])*2</f>
        <v>0</v>
      </c>
      <c r="CG107" s="96">
        <f ca="1">MIN(TblMili[[#This Row],[Unit 1]],TblMili[[#This Row],[Unit 4]])*2</f>
        <v>0</v>
      </c>
      <c r="CH107" s="265">
        <f ca="1">MIN(frost_mage_cap,TblMili[[#This Row],[Homeland%]]/frost_mage_bonus)</f>
        <v>2.1999999999999997</v>
      </c>
      <c r="CI107" s="45">
        <f ca="1">MIN(ice_elem_cap,TblMili[[#This Row],[Raw (2)]]*ice_elem_bonus)</f>
        <v>0.1</v>
      </c>
      <c r="CJ107" s="265">
        <f t="shared" si="4"/>
        <v>0.83333333333333337</v>
      </c>
      <c r="CK107" s="265">
        <f ca="1">MIN(nox_nightshade_cap,TblConstr[[#This Row],[Homeland]]/TblConstr[[#This Row],[Land]]/nox_nightshade_swamp_bonus)</f>
        <v>4</v>
      </c>
      <c r="CL107" s="265">
        <f ca="1">MIN(TblConstr[[#This Row],[Tot Tow]]/TblConstr[[#This Row],[Land]]/abyss_enforce_bonus,abyss_enforcer_cap)</f>
        <v>0</v>
      </c>
      <c r="CM107" s="265">
        <f ca="1">IF(TblMagic[[#This Row],[Active Demonic Pact]]&gt;0,MIN(TblMili[[#This Row],[Unit 1]],TblMili[[#This Row],[Unit 4]])*demonic_pact_oppair,0)</f>
        <v>0</v>
      </c>
      <c r="CN107" s="266"/>
      <c r="CO107" s="266"/>
      <c r="CP107" s="266"/>
      <c r="CQ107" s="265">
        <f ca="1">MIN(6,TblMili[[#This Row],[Mystic]]+Races!$F$19)*1.8 +  IF(TblMili[[#This Row],[Mystic]]+Races!$F$19&gt;6,(TblMili[[#This Row],[Mystic]]+Races!$F$19-6)*0.2,0) - Races!$I$19</f>
        <v>1</v>
      </c>
      <c r="CR10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-0.64000000000000057</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4.7099999999999991</v>
      </c>
      <c r="DA107" s="157">
        <f ca="1">1.8 * MIN(MAX(TblMili[[#This Row],[Ice Elemental]]+Races!$E$71,Races!$F$71),6)  +  0.45 * MIN(MIN(TblMili[[#This Row],[Ice Elemental]]+Races!$E$71,Races!$F$71),6)  +  0.2 * ( MAX(TblMili[[#This Row],[Ice Elemental]]+Races!$E$71-6,0) + MAX(Races!$F$71-6,0) )  -  Races!$I$71</f>
        <v>0.92999999999999972</v>
      </c>
      <c r="DB107" s="96">
        <f ca="1">TblMili[[#This Row],[Frost Mage bonus]]*TblMili[[#This Row],[Unit 3]]+TblMili[[#This Row],[Ice Elemental bonus]]*TblMili[[#This Row],[Unit 4]]</f>
        <v>0</v>
      </c>
      <c r="DC107" s="267"/>
      <c r="DD107" s="145">
        <f ca="1">MIN(SUM(TblConstr[[#This Row],[Plain]:[Water]])/TblMili[[#This Row],[Land]]/favorable_terrain_bonus/100,favorable_terrain_max)</f>
        <v>0.1</v>
      </c>
      <c r="DE107" s="267"/>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7" s="144"/>
      <c r="DH107" s="268">
        <f ca="1">(TblMili[[#This Row],[Wizards]]+2*TblMili[[#This Row],[Archmages]])/TblConstr[[#This Row],[Land]]</f>
        <v>0.1</v>
      </c>
      <c r="DI107" s="268">
        <f ca="1">TblMili[[#This Row],[Raw (2)]]*(1+race_wizard_strength+IF(TblMili[[#This Row],[Hour]]&gt;72,tech_magical_weaponry_wiz*TblTech[[#This Row],[3-5]],0))</f>
        <v>0.1</v>
      </c>
    </row>
    <row r="108" spans="1:113" x14ac:dyDescent="0.2">
      <c r="A108" s="139">
        <f>TblRezone[[#This Row],[Hour]]</f>
        <v>105</v>
      </c>
      <c r="B108" s="260">
        <f ca="1">SUM(TblMili[[#This Row],[Unit 1]:[Archmages]])+SUM(OFFSET(TblMili[[#This Row],[Train Unit 1]],-8,0):TblMili[[#This Row],[Train Unit 2]]) + SUM(OFFSET(TblMili[[#This Row],[Train Unit 3]],-11,0):TblMili[[#This Row],[Train AM]]) + TblMili[[#This Row],[Draftees]]</f>
        <v>826</v>
      </c>
      <c r="C108" s="159">
        <f ca="1">TblPop[[#This Row],[Military%]]</f>
        <v>0.35029686174724345</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4"/>
      <c r="N108" s="96">
        <f ca="1">TblProd[[#This Row],[Networth]]</f>
        <v>6450</v>
      </c>
      <c r="O108" s="144"/>
      <c r="P10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1">
        <f ca="1">TblMili[[#This Row],[Raw]]*(1+TblMili[[#This Row],[Mods_Off]])</f>
        <v>0</v>
      </c>
      <c r="S10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8" s="261">
        <f ca="1">TblMili[[#This Row],[Non Draft]]+TblMili[[#This Row],[Draftees]]</f>
        <v>1076</v>
      </c>
      <c r="U108" s="262">
        <f ca="1">race_defense + TblImps[[#This Row],[Walls]] + ROUND( MIN(gt_bonus*TblConstr[[#This Row],[Tot GT]]/TblConstr[[#This Row],[Land]],gt_bonus_cap), 4) + IF(TblMagic[[#This Row],[Active Howling]]&gt;0,howling_dp_bonus,IF(TblMagic[[#This Row],[Active Ares Call]]&gt;0,ares_call_bonus))</f>
        <v>0</v>
      </c>
      <c r="V108" s="263">
        <f ca="1">TblMili[[#This Row],[Non Draft]] * (1 + TblMili[[#This Row],[Mods_Def]])</f>
        <v>450</v>
      </c>
      <c r="W108" s="261">
        <f ca="1">TblMili[[#This Row],[Draft]] * (1 + TblMili[[#This Row],[Mods_Def]])</f>
        <v>1076</v>
      </c>
      <c r="X108" s="261">
        <f ca="1">TblConstr[[#This Row],[Land]]</f>
        <v>250</v>
      </c>
      <c r="Y108" s="264"/>
      <c r="Z108" s="269">
        <f ca="1">IF(TblMili[[#This Row],[Set]]&lt;&gt;"",TblMili[[#This Row],[Set]],OFFSET(TblMili[[#This Row],[Draftrate]],-1,0))</f>
        <v>0.35</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6"/>
      <c r="AC108" s="182">
        <f ca="1">(TblConstr[[#This Row],[Tot Smi]]+TblConstr[[#This Row],[Dest Smi]])/(TblConstr[[#This Row],[Land]]-TblExplore[[#This Row],[Land Bonus]]*20)</f>
        <v>0</v>
      </c>
      <c r="AD108" s="139"/>
      <c r="AE108" s="260">
        <f>TblMili[[#This Row],[Hour]]</f>
        <v>105</v>
      </c>
      <c r="AF108" s="140">
        <f ca="1">TblExplore[[#This Row],[Time]]</f>
        <v>45736.333333333081</v>
      </c>
      <c r="AG108" s="181"/>
      <c r="AH108" s="181"/>
      <c r="AI108" s="181"/>
      <c r="AJ108" s="181"/>
      <c r="AK108" s="181"/>
      <c r="AL108" s="181"/>
      <c r="AM108" s="181"/>
      <c r="AN108" s="181"/>
      <c r="AO108" s="448">
        <f ca="1">ROUND(IF(AND(TblMagic[[#This Row],[Active DnD]]&lt;12,TblMagic[[#This Row],[Active DnD]]&gt;5),OFFSET(TblPop[[#This Row],[Draft Growth]],-1,0)*0.375,0),0)</f>
        <v>0</v>
      </c>
      <c r="AP108" s="144"/>
      <c r="AQ108" s="96">
        <f ca="1">TblProd[[#This Row],[Platinum]]</f>
        <v>691422</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45736.333333333081</v>
      </c>
      <c r="AW108" s="96">
        <f ca="1">TblMili[[#This Row],[Draftees]]</f>
        <v>626</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0.44</v>
      </c>
      <c r="BX108" s="159">
        <f ca="1">TblMili[[#This Row],[WG''s]]</f>
        <v>0</v>
      </c>
      <c r="BY108" s="265">
        <f ca="1">IF(mystic_cap="none",TblMili[[#This Row],[Homeland%]]/mystic_bonus,MIN(mystic_cap,TblMili[[#This Row],[Homeland%]]/mystic_bonus))</f>
        <v>2</v>
      </c>
      <c r="BZ108" s="265">
        <f ca="1">IF(druid_op_cap="none",TblMili[[#This Row],[Homeland%]]/druid_op_bonus,MIN(druid_op_cap,TblMili[[#This Row],[Homeland%]]/druid_op_bonus))</f>
        <v>2</v>
      </c>
      <c r="CA108" s="265">
        <f ca="1">IF(druid_dp_cap="none",TblMili[[#This Row],[Homeland%]]/druid_dp_bonus,MIN(druid_dp_cap,TblMili[[#This Row],[Homeland%]]/druid_dp_bonus))</f>
        <v>2</v>
      </c>
      <c r="CB108" s="265">
        <f ca="1">MIN(dryad_cap,TblMili[[#This Row],[Homeland%]]/dryad_bonus)</f>
        <v>2.1999999999999997</v>
      </c>
      <c r="CC108" s="265">
        <f ca="1">MIN(rocka_cap,TblMili[[#This Row],[Homeland%]]/rocka_bonus)</f>
        <v>2</v>
      </c>
      <c r="CD108" s="265">
        <f ca="1">MIN(adept_op_cap,TblMili[[#This Row],[WG]]/adept_op_bonus)</f>
        <v>0</v>
      </c>
      <c r="CE108" s="265">
        <f ca="1">MIN(adept_dp_cap,TblMili[[#This Row],[WG]]/adept_dp_bonus)</f>
        <v>0</v>
      </c>
      <c r="CF108" s="96">
        <f ca="1">MIN(TblMili[[#This Row],[Unit 3]],TblMili[[#This Row],[Unit 2]])*2</f>
        <v>0</v>
      </c>
      <c r="CG108" s="96">
        <f ca="1">MIN(TblMili[[#This Row],[Unit 1]],TblMili[[#This Row],[Unit 4]])*2</f>
        <v>0</v>
      </c>
      <c r="CH108" s="265">
        <f ca="1">MIN(frost_mage_cap,TblMili[[#This Row],[Homeland%]]/frost_mage_bonus)</f>
        <v>2.1999999999999997</v>
      </c>
      <c r="CI108" s="45">
        <f ca="1">MIN(ice_elem_cap,TblMili[[#This Row],[Raw (2)]]*ice_elem_bonus)</f>
        <v>0.1</v>
      </c>
      <c r="CJ108" s="265">
        <f t="shared" si="4"/>
        <v>0.83333333333333337</v>
      </c>
      <c r="CK108" s="265">
        <f ca="1">MIN(nox_nightshade_cap,TblConstr[[#This Row],[Homeland]]/TblConstr[[#This Row],[Land]]/nox_nightshade_swamp_bonus)</f>
        <v>4</v>
      </c>
      <c r="CL108" s="265">
        <f ca="1">MIN(TblConstr[[#This Row],[Tot Tow]]/TblConstr[[#This Row],[Land]]/abyss_enforce_bonus,abyss_enforcer_cap)</f>
        <v>0</v>
      </c>
      <c r="CM108" s="265">
        <f ca="1">IF(TblMagic[[#This Row],[Active Demonic Pact]]&gt;0,MIN(TblMili[[#This Row],[Unit 1]],TblMili[[#This Row],[Unit 4]])*demonic_pact_oppair,0)</f>
        <v>0</v>
      </c>
      <c r="CN108" s="266"/>
      <c r="CO108" s="266"/>
      <c r="CP108" s="266"/>
      <c r="CQ108" s="265">
        <f ca="1">MIN(6,TblMili[[#This Row],[Mystic]]+Races!$F$19)*1.8 +  IF(TblMili[[#This Row],[Mystic]]+Races!$F$19&gt;6,(TblMili[[#This Row],[Mystic]]+Races!$F$19-6)*0.2,0) - Races!$I$19</f>
        <v>1</v>
      </c>
      <c r="CR10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-0.64000000000000057</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4.7099999999999991</v>
      </c>
      <c r="DA108" s="157">
        <f ca="1">1.8 * MIN(MAX(TblMili[[#This Row],[Ice Elemental]]+Races!$E$71,Races!$F$71),6)  +  0.45 * MIN(MIN(TblMili[[#This Row],[Ice Elemental]]+Races!$E$71,Races!$F$71),6)  +  0.2 * ( MAX(TblMili[[#This Row],[Ice Elemental]]+Races!$E$71-6,0) + MAX(Races!$F$71-6,0) )  -  Races!$I$71</f>
        <v>0.92999999999999972</v>
      </c>
      <c r="DB108" s="96">
        <f ca="1">TblMili[[#This Row],[Frost Mage bonus]]*TblMili[[#This Row],[Unit 3]]+TblMili[[#This Row],[Ice Elemental bonus]]*TblMili[[#This Row],[Unit 4]]</f>
        <v>0</v>
      </c>
      <c r="DC108" s="267"/>
      <c r="DD108" s="145">
        <f ca="1">MIN(SUM(TblConstr[[#This Row],[Plain]:[Water]])/TblMili[[#This Row],[Land]]/favorable_terrain_bonus/100,favorable_terrain_max)</f>
        <v>0.1</v>
      </c>
      <c r="DE108" s="267"/>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8" s="144"/>
      <c r="DH108" s="268">
        <f ca="1">(TblMili[[#This Row],[Wizards]]+2*TblMili[[#This Row],[Archmages]])/TblConstr[[#This Row],[Land]]</f>
        <v>0.1</v>
      </c>
      <c r="DI108" s="268">
        <f ca="1">TblMili[[#This Row],[Raw (2)]]*(1+race_wizard_strength+IF(TblMili[[#This Row],[Hour]]&gt;72,tech_magical_weaponry_wiz*TblTech[[#This Row],[3-5]],0))</f>
        <v>0.1</v>
      </c>
    </row>
    <row r="109" spans="1:113" x14ac:dyDescent="0.2">
      <c r="A109" s="139">
        <f>TblRezone[[#This Row],[Hour]]</f>
        <v>106</v>
      </c>
      <c r="B109" s="260">
        <f ca="1">SUM(TblMili[[#This Row],[Unit 1]:[Archmages]])+SUM(OFFSET(TblMili[[#This Row],[Train Unit 1]],-8,0):TblMili[[#This Row],[Train Unit 2]]) + SUM(OFFSET(TblMili[[#This Row],[Train Unit 3]],-11,0):TblMili[[#This Row],[Train AM]]) + TblMili[[#This Row],[Draftees]]</f>
        <v>826</v>
      </c>
      <c r="C109" s="159">
        <f ca="1">TblPop[[#This Row],[Military%]]</f>
        <v>0.35029686174724345</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4"/>
      <c r="N109" s="96">
        <f ca="1">TblProd[[#This Row],[Networth]]</f>
        <v>6450</v>
      </c>
      <c r="O109" s="144"/>
      <c r="P10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1">
        <f ca="1">TblMili[[#This Row],[Raw]]*(1+TblMili[[#This Row],[Mods_Off]])</f>
        <v>0</v>
      </c>
      <c r="S10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9" s="261">
        <f ca="1">TblMili[[#This Row],[Non Draft]]+TblMili[[#This Row],[Draftees]]</f>
        <v>1076</v>
      </c>
      <c r="U109" s="262">
        <f ca="1">race_defense + TblImps[[#This Row],[Walls]] + ROUND( MIN(gt_bonus*TblConstr[[#This Row],[Tot GT]]/TblConstr[[#This Row],[Land]],gt_bonus_cap), 4) + IF(TblMagic[[#This Row],[Active Howling]]&gt;0,howling_dp_bonus,IF(TblMagic[[#This Row],[Active Ares Call]]&gt;0,ares_call_bonus))</f>
        <v>0</v>
      </c>
      <c r="V109" s="263">
        <f ca="1">TblMili[[#This Row],[Non Draft]] * (1 + TblMili[[#This Row],[Mods_Def]])</f>
        <v>450</v>
      </c>
      <c r="W109" s="261">
        <f ca="1">TblMili[[#This Row],[Draft]] * (1 + TblMili[[#This Row],[Mods_Def]])</f>
        <v>1076</v>
      </c>
      <c r="X109" s="261">
        <f ca="1">TblConstr[[#This Row],[Land]]</f>
        <v>250</v>
      </c>
      <c r="Y109" s="264"/>
      <c r="Z109" s="269">
        <f ca="1">IF(TblMili[[#This Row],[Set]]&lt;&gt;"",TblMili[[#This Row],[Set]],OFFSET(TblMili[[#This Row],[Draftrate]],-1,0))</f>
        <v>0.35</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6"/>
      <c r="AC109" s="182">
        <f ca="1">(TblConstr[[#This Row],[Tot Smi]]+TblConstr[[#This Row],[Dest Smi]])/(TblConstr[[#This Row],[Land]]-TblExplore[[#This Row],[Land Bonus]]*20)</f>
        <v>0</v>
      </c>
      <c r="AD109" s="139"/>
      <c r="AE109" s="260">
        <f>TblMili[[#This Row],[Hour]]</f>
        <v>106</v>
      </c>
      <c r="AF109" s="140">
        <f ca="1">TblExplore[[#This Row],[Time]]</f>
        <v>45736.374999999745</v>
      </c>
      <c r="AG109" s="181"/>
      <c r="AH109" s="181"/>
      <c r="AI109" s="181"/>
      <c r="AJ109" s="181"/>
      <c r="AK109" s="181"/>
      <c r="AL109" s="181"/>
      <c r="AM109" s="181"/>
      <c r="AN109" s="181"/>
      <c r="AO109" s="448">
        <f ca="1">ROUND(IF(AND(TblMagic[[#This Row],[Active DnD]]&lt;12,TblMagic[[#This Row],[Active DnD]]&gt;5),OFFSET(TblPop[[#This Row],[Draft Growth]],-1,0)*0.375,0),0)</f>
        <v>0</v>
      </c>
      <c r="AP109" s="144"/>
      <c r="AQ109" s="96">
        <f ca="1">TblProd[[#This Row],[Platinum]]</f>
        <v>696908</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45736.374999999745</v>
      </c>
      <c r="AW109" s="96">
        <f ca="1">TblMili[[#This Row],[Draftees]]</f>
        <v>626</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0.44</v>
      </c>
      <c r="BX109" s="159">
        <f ca="1">TblMili[[#This Row],[WG''s]]</f>
        <v>0</v>
      </c>
      <c r="BY109" s="265">
        <f ca="1">IF(mystic_cap="none",TblMili[[#This Row],[Homeland%]]/mystic_bonus,MIN(mystic_cap,TblMili[[#This Row],[Homeland%]]/mystic_bonus))</f>
        <v>2</v>
      </c>
      <c r="BZ109" s="265">
        <f ca="1">IF(druid_op_cap="none",TblMili[[#This Row],[Homeland%]]/druid_op_bonus,MIN(druid_op_cap,TblMili[[#This Row],[Homeland%]]/druid_op_bonus))</f>
        <v>2</v>
      </c>
      <c r="CA109" s="265">
        <f ca="1">IF(druid_dp_cap="none",TblMili[[#This Row],[Homeland%]]/druid_dp_bonus,MIN(druid_dp_cap,TblMili[[#This Row],[Homeland%]]/druid_dp_bonus))</f>
        <v>2</v>
      </c>
      <c r="CB109" s="265">
        <f ca="1">MIN(dryad_cap,TblMili[[#This Row],[Homeland%]]/dryad_bonus)</f>
        <v>2.1999999999999997</v>
      </c>
      <c r="CC109" s="265">
        <f ca="1">MIN(rocka_cap,TblMili[[#This Row],[Homeland%]]/rocka_bonus)</f>
        <v>2</v>
      </c>
      <c r="CD109" s="265">
        <f ca="1">MIN(adept_op_cap,TblMili[[#This Row],[WG]]/adept_op_bonus)</f>
        <v>0</v>
      </c>
      <c r="CE109" s="265">
        <f ca="1">MIN(adept_dp_cap,TblMili[[#This Row],[WG]]/adept_dp_bonus)</f>
        <v>0</v>
      </c>
      <c r="CF109" s="96">
        <f ca="1">MIN(TblMili[[#This Row],[Unit 3]],TblMili[[#This Row],[Unit 2]])*2</f>
        <v>0</v>
      </c>
      <c r="CG109" s="96">
        <f ca="1">MIN(TblMili[[#This Row],[Unit 1]],TblMili[[#This Row],[Unit 4]])*2</f>
        <v>0</v>
      </c>
      <c r="CH109" s="265">
        <f ca="1">MIN(frost_mage_cap,TblMili[[#This Row],[Homeland%]]/frost_mage_bonus)</f>
        <v>2.1999999999999997</v>
      </c>
      <c r="CI109" s="45">
        <f ca="1">MIN(ice_elem_cap,TblMili[[#This Row],[Raw (2)]]*ice_elem_bonus)</f>
        <v>0.1</v>
      </c>
      <c r="CJ109" s="265">
        <f t="shared" si="4"/>
        <v>0.83333333333333337</v>
      </c>
      <c r="CK109" s="265">
        <f ca="1">MIN(nox_nightshade_cap,TblConstr[[#This Row],[Homeland]]/TblConstr[[#This Row],[Land]]/nox_nightshade_swamp_bonus)</f>
        <v>4</v>
      </c>
      <c r="CL109" s="265">
        <f ca="1">MIN(TblConstr[[#This Row],[Tot Tow]]/TblConstr[[#This Row],[Land]]/abyss_enforce_bonus,abyss_enforcer_cap)</f>
        <v>0</v>
      </c>
      <c r="CM109" s="265">
        <f ca="1">IF(TblMagic[[#This Row],[Active Demonic Pact]]&gt;0,MIN(TblMili[[#This Row],[Unit 1]],TblMili[[#This Row],[Unit 4]])*demonic_pact_oppair,0)</f>
        <v>0</v>
      </c>
      <c r="CN109" s="266"/>
      <c r="CO109" s="266"/>
      <c r="CP109" s="266"/>
      <c r="CQ109" s="265">
        <f ca="1">MIN(6,TblMili[[#This Row],[Mystic]]+Races!$F$19)*1.8 +  IF(TblMili[[#This Row],[Mystic]]+Races!$F$19&gt;6,(TblMili[[#This Row],[Mystic]]+Races!$F$19-6)*0.2,0) - Races!$I$19</f>
        <v>1</v>
      </c>
      <c r="CR10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-0.64000000000000057</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4.7099999999999991</v>
      </c>
      <c r="DA109" s="157">
        <f ca="1">1.8 * MIN(MAX(TblMili[[#This Row],[Ice Elemental]]+Races!$E$71,Races!$F$71),6)  +  0.45 * MIN(MIN(TblMili[[#This Row],[Ice Elemental]]+Races!$E$71,Races!$F$71),6)  +  0.2 * ( MAX(TblMili[[#This Row],[Ice Elemental]]+Races!$E$71-6,0) + MAX(Races!$F$71-6,0) )  -  Races!$I$71</f>
        <v>0.92999999999999972</v>
      </c>
      <c r="DB109" s="96">
        <f ca="1">TblMili[[#This Row],[Frost Mage bonus]]*TblMili[[#This Row],[Unit 3]]+TblMili[[#This Row],[Ice Elemental bonus]]*TblMili[[#This Row],[Unit 4]]</f>
        <v>0</v>
      </c>
      <c r="DC109" s="267"/>
      <c r="DD109" s="145">
        <f ca="1">MIN(SUM(TblConstr[[#This Row],[Plain]:[Water]])/TblMili[[#This Row],[Land]]/favorable_terrain_bonus/100,favorable_terrain_max)</f>
        <v>0.1</v>
      </c>
      <c r="DE109" s="267"/>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9" s="144"/>
      <c r="DH109" s="268">
        <f ca="1">(TblMili[[#This Row],[Wizards]]+2*TblMili[[#This Row],[Archmages]])/TblConstr[[#This Row],[Land]]</f>
        <v>0.1</v>
      </c>
      <c r="DI109" s="268">
        <f ca="1">TblMili[[#This Row],[Raw (2)]]*(1+race_wizard_strength+IF(TblMili[[#This Row],[Hour]]&gt;72,tech_magical_weaponry_wiz*TblTech[[#This Row],[3-5]],0))</f>
        <v>0.1</v>
      </c>
    </row>
    <row r="110" spans="1:113" x14ac:dyDescent="0.2">
      <c r="A110" s="139">
        <f>TblRezone[[#This Row],[Hour]]</f>
        <v>107</v>
      </c>
      <c r="B110" s="260">
        <f ca="1">SUM(TblMili[[#This Row],[Unit 1]:[Archmages]])+SUM(OFFSET(TblMili[[#This Row],[Train Unit 1]],-8,0):TblMili[[#This Row],[Train Unit 2]]) + SUM(OFFSET(TblMili[[#This Row],[Train Unit 3]],-11,0):TblMili[[#This Row],[Train AM]]) + TblMili[[#This Row],[Draftees]]</f>
        <v>826</v>
      </c>
      <c r="C110" s="159">
        <f ca="1">TblPop[[#This Row],[Military%]]</f>
        <v>0.35029686174724345</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4"/>
      <c r="N110" s="96">
        <f ca="1">TblProd[[#This Row],[Networth]]</f>
        <v>6450</v>
      </c>
      <c r="O110" s="144"/>
      <c r="P1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1">
        <f ca="1">TblMili[[#This Row],[Raw]]*(1+TblMili[[#This Row],[Mods_Off]])</f>
        <v>0</v>
      </c>
      <c r="S1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0" s="261">
        <f ca="1">TblMili[[#This Row],[Non Draft]]+TblMili[[#This Row],[Draftees]]</f>
        <v>1076</v>
      </c>
      <c r="U110" s="262">
        <f ca="1">race_defense + TblImps[[#This Row],[Walls]] + ROUND( MIN(gt_bonus*TblConstr[[#This Row],[Tot GT]]/TblConstr[[#This Row],[Land]],gt_bonus_cap), 4) + IF(TblMagic[[#This Row],[Active Howling]]&gt;0,howling_dp_bonus,IF(TblMagic[[#This Row],[Active Ares Call]]&gt;0,ares_call_bonus))</f>
        <v>0</v>
      </c>
      <c r="V110" s="263">
        <f ca="1">TblMili[[#This Row],[Non Draft]] * (1 + TblMili[[#This Row],[Mods_Def]])</f>
        <v>450</v>
      </c>
      <c r="W110" s="261">
        <f ca="1">TblMili[[#This Row],[Draft]] * (1 + TblMili[[#This Row],[Mods_Def]])</f>
        <v>1076</v>
      </c>
      <c r="X110" s="261">
        <f ca="1">TblConstr[[#This Row],[Land]]</f>
        <v>250</v>
      </c>
      <c r="Y110" s="264"/>
      <c r="Z110" s="269">
        <f ca="1">IF(TblMili[[#This Row],[Set]]&lt;&gt;"",TblMili[[#This Row],[Set]],OFFSET(TblMili[[#This Row],[Draftrate]],-1,0))</f>
        <v>0.35</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6"/>
      <c r="AC110" s="182">
        <f ca="1">(TblConstr[[#This Row],[Tot Smi]]+TblConstr[[#This Row],[Dest Smi]])/(TblConstr[[#This Row],[Land]]-TblExplore[[#This Row],[Land Bonus]]*20)</f>
        <v>0</v>
      </c>
      <c r="AD110" s="139"/>
      <c r="AE110" s="260">
        <f>TblMili[[#This Row],[Hour]]</f>
        <v>107</v>
      </c>
      <c r="AF110" s="140">
        <f ca="1">TblExplore[[#This Row],[Time]]</f>
        <v>45736.41666666641</v>
      </c>
      <c r="AG110" s="181"/>
      <c r="AH110" s="181"/>
      <c r="AI110" s="181"/>
      <c r="AJ110" s="181"/>
      <c r="AK110" s="181"/>
      <c r="AL110" s="181"/>
      <c r="AM110" s="181"/>
      <c r="AN110" s="181"/>
      <c r="AO110" s="448">
        <f ca="1">ROUND(IF(AND(TblMagic[[#This Row],[Active DnD]]&lt;12,TblMagic[[#This Row],[Active DnD]]&gt;5),OFFSET(TblPop[[#This Row],[Draft Growth]],-1,0)*0.375,0),0)</f>
        <v>0</v>
      </c>
      <c r="AP110" s="144"/>
      <c r="AQ110" s="96">
        <f ca="1">TblProd[[#This Row],[Platinum]]</f>
        <v>702394</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45736.41666666641</v>
      </c>
      <c r="AW110" s="96">
        <f ca="1">TblMili[[#This Row],[Draftees]]</f>
        <v>626</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0.44</v>
      </c>
      <c r="BX110" s="159">
        <f ca="1">TblMili[[#This Row],[WG''s]]</f>
        <v>0</v>
      </c>
      <c r="BY110" s="265">
        <f ca="1">IF(mystic_cap="none",TblMili[[#This Row],[Homeland%]]/mystic_bonus,MIN(mystic_cap,TblMili[[#This Row],[Homeland%]]/mystic_bonus))</f>
        <v>2</v>
      </c>
      <c r="BZ110" s="265">
        <f ca="1">IF(druid_op_cap="none",TblMili[[#This Row],[Homeland%]]/druid_op_bonus,MIN(druid_op_cap,TblMili[[#This Row],[Homeland%]]/druid_op_bonus))</f>
        <v>2</v>
      </c>
      <c r="CA110" s="265">
        <f ca="1">IF(druid_dp_cap="none",TblMili[[#This Row],[Homeland%]]/druid_dp_bonus,MIN(druid_dp_cap,TblMili[[#This Row],[Homeland%]]/druid_dp_bonus))</f>
        <v>2</v>
      </c>
      <c r="CB110" s="265">
        <f ca="1">MIN(dryad_cap,TblMili[[#This Row],[Homeland%]]/dryad_bonus)</f>
        <v>2.1999999999999997</v>
      </c>
      <c r="CC110" s="265">
        <f ca="1">MIN(rocka_cap,TblMili[[#This Row],[Homeland%]]/rocka_bonus)</f>
        <v>2</v>
      </c>
      <c r="CD110" s="265">
        <f ca="1">MIN(adept_op_cap,TblMili[[#This Row],[WG]]/adept_op_bonus)</f>
        <v>0</v>
      </c>
      <c r="CE110" s="265">
        <f ca="1">MIN(adept_dp_cap,TblMili[[#This Row],[WG]]/adept_dp_bonus)</f>
        <v>0</v>
      </c>
      <c r="CF110" s="96">
        <f ca="1">MIN(TblMili[[#This Row],[Unit 3]],TblMili[[#This Row],[Unit 2]])*2</f>
        <v>0</v>
      </c>
      <c r="CG110" s="96">
        <f ca="1">MIN(TblMili[[#This Row],[Unit 1]],TblMili[[#This Row],[Unit 4]])*2</f>
        <v>0</v>
      </c>
      <c r="CH110" s="265">
        <f ca="1">MIN(frost_mage_cap,TblMili[[#This Row],[Homeland%]]/frost_mage_bonus)</f>
        <v>2.1999999999999997</v>
      </c>
      <c r="CI110" s="45">
        <f ca="1">MIN(ice_elem_cap,TblMili[[#This Row],[Raw (2)]]*ice_elem_bonus)</f>
        <v>0.1</v>
      </c>
      <c r="CJ110" s="265">
        <f t="shared" si="4"/>
        <v>0.83333333333333337</v>
      </c>
      <c r="CK110" s="265">
        <f ca="1">MIN(nox_nightshade_cap,TblConstr[[#This Row],[Homeland]]/TblConstr[[#This Row],[Land]]/nox_nightshade_swamp_bonus)</f>
        <v>4</v>
      </c>
      <c r="CL110" s="265">
        <f ca="1">MIN(TblConstr[[#This Row],[Tot Tow]]/TblConstr[[#This Row],[Land]]/abyss_enforce_bonus,abyss_enforcer_cap)</f>
        <v>0</v>
      </c>
      <c r="CM110" s="265">
        <f ca="1">IF(TblMagic[[#This Row],[Active Demonic Pact]]&gt;0,MIN(TblMili[[#This Row],[Unit 1]],TblMili[[#This Row],[Unit 4]])*demonic_pact_oppair,0)</f>
        <v>0</v>
      </c>
      <c r="CN110" s="266"/>
      <c r="CO110" s="266"/>
      <c r="CP110" s="266"/>
      <c r="CQ110" s="265">
        <f ca="1">MIN(6,TblMili[[#This Row],[Mystic]]+Races!$F$19)*1.8 +  IF(TblMili[[#This Row],[Mystic]]+Races!$F$19&gt;6,(TblMili[[#This Row],[Mystic]]+Races!$F$19-6)*0.2,0) - Races!$I$19</f>
        <v>1</v>
      </c>
      <c r="CR1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-0.64000000000000057</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4.7099999999999991</v>
      </c>
      <c r="DA110" s="157">
        <f ca="1">1.8 * MIN(MAX(TblMili[[#This Row],[Ice Elemental]]+Races!$E$71,Races!$F$71),6)  +  0.45 * MIN(MIN(TblMili[[#This Row],[Ice Elemental]]+Races!$E$71,Races!$F$71),6)  +  0.2 * ( MAX(TblMili[[#This Row],[Ice Elemental]]+Races!$E$71-6,0) + MAX(Races!$F$71-6,0) )  -  Races!$I$71</f>
        <v>0.92999999999999972</v>
      </c>
      <c r="DB110" s="96">
        <f ca="1">TblMili[[#This Row],[Frost Mage bonus]]*TblMili[[#This Row],[Unit 3]]+TblMili[[#This Row],[Ice Elemental bonus]]*TblMili[[#This Row],[Unit 4]]</f>
        <v>0</v>
      </c>
      <c r="DC110" s="267"/>
      <c r="DD110" s="145">
        <f ca="1">MIN(SUM(TblConstr[[#This Row],[Plain]:[Water]])/TblMili[[#This Row],[Land]]/favorable_terrain_bonus/100,favorable_terrain_max)</f>
        <v>0.1</v>
      </c>
      <c r="DE110" s="267"/>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0" s="144"/>
      <c r="DH110" s="268">
        <f ca="1">(TblMili[[#This Row],[Wizards]]+2*TblMili[[#This Row],[Archmages]])/TblConstr[[#This Row],[Land]]</f>
        <v>0.1</v>
      </c>
      <c r="DI110" s="268">
        <f ca="1">TblMili[[#This Row],[Raw (2)]]*(1+race_wizard_strength+IF(TblMili[[#This Row],[Hour]]&gt;72,tech_magical_weaponry_wiz*TblTech[[#This Row],[3-5]],0))</f>
        <v>0.1</v>
      </c>
    </row>
    <row r="111" spans="1:113" x14ac:dyDescent="0.2">
      <c r="A111" s="139">
        <f>TblRezone[[#This Row],[Hour]]</f>
        <v>108</v>
      </c>
      <c r="B111" s="260">
        <f ca="1">SUM(TblMili[[#This Row],[Unit 1]:[Archmages]])+SUM(OFFSET(TblMili[[#This Row],[Train Unit 1]],-8,0):TblMili[[#This Row],[Train Unit 2]]) + SUM(OFFSET(TblMili[[#This Row],[Train Unit 3]],-11,0):TblMili[[#This Row],[Train AM]]) + TblMili[[#This Row],[Draftees]]</f>
        <v>826</v>
      </c>
      <c r="C111" s="159">
        <f ca="1">TblPop[[#This Row],[Military%]]</f>
        <v>0.35029686174724345</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4"/>
      <c r="N111" s="96">
        <f ca="1">TblProd[[#This Row],[Networth]]</f>
        <v>6450</v>
      </c>
      <c r="O111" s="144"/>
      <c r="P1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1">
        <f ca="1">TblMili[[#This Row],[Raw]]*(1+TblMili[[#This Row],[Mods_Off]])</f>
        <v>0</v>
      </c>
      <c r="S1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1" s="261">
        <f ca="1">TblMili[[#This Row],[Non Draft]]+TblMili[[#This Row],[Draftees]]</f>
        <v>1076</v>
      </c>
      <c r="U111" s="262">
        <f ca="1">race_defense + TblImps[[#This Row],[Walls]] + ROUND( MIN(gt_bonus*TblConstr[[#This Row],[Tot GT]]/TblConstr[[#This Row],[Land]],gt_bonus_cap), 4) + IF(TblMagic[[#This Row],[Active Howling]]&gt;0,howling_dp_bonus,IF(TblMagic[[#This Row],[Active Ares Call]]&gt;0,ares_call_bonus))</f>
        <v>0</v>
      </c>
      <c r="V111" s="263">
        <f ca="1">TblMili[[#This Row],[Non Draft]] * (1 + TblMili[[#This Row],[Mods_Def]])</f>
        <v>450</v>
      </c>
      <c r="W111" s="261">
        <f ca="1">TblMili[[#This Row],[Draft]] * (1 + TblMili[[#This Row],[Mods_Def]])</f>
        <v>1076</v>
      </c>
      <c r="X111" s="261">
        <f ca="1">TblConstr[[#This Row],[Land]]</f>
        <v>250</v>
      </c>
      <c r="Y111" s="264"/>
      <c r="Z111" s="269">
        <f ca="1">IF(TblMili[[#This Row],[Set]]&lt;&gt;"",TblMili[[#This Row],[Set]],OFFSET(TblMili[[#This Row],[Draftrate]],-1,0))</f>
        <v>0.35</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6"/>
      <c r="AC111" s="182">
        <f ca="1">(TblConstr[[#This Row],[Tot Smi]]+TblConstr[[#This Row],[Dest Smi]])/(TblConstr[[#This Row],[Land]]-TblExplore[[#This Row],[Land Bonus]]*20)</f>
        <v>0</v>
      </c>
      <c r="AD111" s="139"/>
      <c r="AE111" s="260">
        <f>TblMili[[#This Row],[Hour]]</f>
        <v>108</v>
      </c>
      <c r="AF111" s="140">
        <f ca="1">TblExplore[[#This Row],[Time]]</f>
        <v>45736.458333333074</v>
      </c>
      <c r="AG111" s="181"/>
      <c r="AH111" s="181"/>
      <c r="AI111" s="181"/>
      <c r="AJ111" s="181"/>
      <c r="AK111" s="181"/>
      <c r="AL111" s="181"/>
      <c r="AM111" s="181"/>
      <c r="AN111" s="181"/>
      <c r="AO111" s="448">
        <f ca="1">ROUND(IF(AND(TblMagic[[#This Row],[Active DnD]]&lt;12,TblMagic[[#This Row],[Active DnD]]&gt;5),OFFSET(TblPop[[#This Row],[Draft Growth]],-1,0)*0.375,0),0)</f>
        <v>0</v>
      </c>
      <c r="AP111" s="144"/>
      <c r="AQ111" s="96">
        <f ca="1">TblProd[[#This Row],[Platinum]]</f>
        <v>707880</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45736.458333333074</v>
      </c>
      <c r="AW111" s="96">
        <f ca="1">TblMili[[#This Row],[Draftees]]</f>
        <v>626</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0.44</v>
      </c>
      <c r="BX111" s="159">
        <f ca="1">TblMili[[#This Row],[WG''s]]</f>
        <v>0</v>
      </c>
      <c r="BY111" s="265">
        <f ca="1">IF(mystic_cap="none",TblMili[[#This Row],[Homeland%]]/mystic_bonus,MIN(mystic_cap,TblMili[[#This Row],[Homeland%]]/mystic_bonus))</f>
        <v>2</v>
      </c>
      <c r="BZ111" s="265">
        <f ca="1">IF(druid_op_cap="none",TblMili[[#This Row],[Homeland%]]/druid_op_bonus,MIN(druid_op_cap,TblMili[[#This Row],[Homeland%]]/druid_op_bonus))</f>
        <v>2</v>
      </c>
      <c r="CA111" s="265">
        <f ca="1">IF(druid_dp_cap="none",TblMili[[#This Row],[Homeland%]]/druid_dp_bonus,MIN(druid_dp_cap,TblMili[[#This Row],[Homeland%]]/druid_dp_bonus))</f>
        <v>2</v>
      </c>
      <c r="CB111" s="265">
        <f ca="1">MIN(dryad_cap,TblMili[[#This Row],[Homeland%]]/dryad_bonus)</f>
        <v>2.1999999999999997</v>
      </c>
      <c r="CC111" s="265">
        <f ca="1">MIN(rocka_cap,TblMili[[#This Row],[Homeland%]]/rocka_bonus)</f>
        <v>2</v>
      </c>
      <c r="CD111" s="265">
        <f ca="1">MIN(adept_op_cap,TblMili[[#This Row],[WG]]/adept_op_bonus)</f>
        <v>0</v>
      </c>
      <c r="CE111" s="265">
        <f ca="1">MIN(adept_dp_cap,TblMili[[#This Row],[WG]]/adept_dp_bonus)</f>
        <v>0</v>
      </c>
      <c r="CF111" s="96">
        <f ca="1">MIN(TblMili[[#This Row],[Unit 3]],TblMili[[#This Row],[Unit 2]])*2</f>
        <v>0</v>
      </c>
      <c r="CG111" s="96">
        <f ca="1">MIN(TblMili[[#This Row],[Unit 1]],TblMili[[#This Row],[Unit 4]])*2</f>
        <v>0</v>
      </c>
      <c r="CH111" s="265">
        <f ca="1">MIN(frost_mage_cap,TblMili[[#This Row],[Homeland%]]/frost_mage_bonus)</f>
        <v>2.1999999999999997</v>
      </c>
      <c r="CI111" s="45">
        <f ca="1">MIN(ice_elem_cap,TblMili[[#This Row],[Raw (2)]]*ice_elem_bonus)</f>
        <v>0.1</v>
      </c>
      <c r="CJ111" s="265">
        <f t="shared" si="4"/>
        <v>0.83333333333333337</v>
      </c>
      <c r="CK111" s="265">
        <f ca="1">MIN(nox_nightshade_cap,TblConstr[[#This Row],[Homeland]]/TblConstr[[#This Row],[Land]]/nox_nightshade_swamp_bonus)</f>
        <v>4</v>
      </c>
      <c r="CL111" s="265">
        <f ca="1">MIN(TblConstr[[#This Row],[Tot Tow]]/TblConstr[[#This Row],[Land]]/abyss_enforce_bonus,abyss_enforcer_cap)</f>
        <v>0</v>
      </c>
      <c r="CM111" s="265">
        <f ca="1">IF(TblMagic[[#This Row],[Active Demonic Pact]]&gt;0,MIN(TblMili[[#This Row],[Unit 1]],TblMili[[#This Row],[Unit 4]])*demonic_pact_oppair,0)</f>
        <v>0</v>
      </c>
      <c r="CN111" s="266"/>
      <c r="CO111" s="266"/>
      <c r="CP111" s="266"/>
      <c r="CQ111" s="265">
        <f ca="1">MIN(6,TblMili[[#This Row],[Mystic]]+Races!$F$19)*1.8 +  IF(TblMili[[#This Row],[Mystic]]+Races!$F$19&gt;6,(TblMili[[#This Row],[Mystic]]+Races!$F$19-6)*0.2,0) - Races!$I$19</f>
        <v>1</v>
      </c>
      <c r="CR1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-0.64000000000000057</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4.7099999999999991</v>
      </c>
      <c r="DA111" s="157">
        <f ca="1">1.8 * MIN(MAX(TblMili[[#This Row],[Ice Elemental]]+Races!$E$71,Races!$F$71),6)  +  0.45 * MIN(MIN(TblMili[[#This Row],[Ice Elemental]]+Races!$E$71,Races!$F$71),6)  +  0.2 * ( MAX(TblMili[[#This Row],[Ice Elemental]]+Races!$E$71-6,0) + MAX(Races!$F$71-6,0) )  -  Races!$I$71</f>
        <v>0.92999999999999972</v>
      </c>
      <c r="DB111" s="96">
        <f ca="1">TblMili[[#This Row],[Frost Mage bonus]]*TblMili[[#This Row],[Unit 3]]+TblMili[[#This Row],[Ice Elemental bonus]]*TblMili[[#This Row],[Unit 4]]</f>
        <v>0</v>
      </c>
      <c r="DC111" s="267"/>
      <c r="DD111" s="145">
        <f ca="1">MIN(SUM(TblConstr[[#This Row],[Plain]:[Water]])/TblMili[[#This Row],[Land]]/favorable_terrain_bonus/100,favorable_terrain_max)</f>
        <v>0.1</v>
      </c>
      <c r="DE111" s="267"/>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1" s="144"/>
      <c r="DH111" s="268">
        <f ca="1">(TblMili[[#This Row],[Wizards]]+2*TblMili[[#This Row],[Archmages]])/TblConstr[[#This Row],[Land]]</f>
        <v>0.1</v>
      </c>
      <c r="DI111" s="268">
        <f ca="1">TblMili[[#This Row],[Raw (2)]]*(1+race_wizard_strength+IF(TblMili[[#This Row],[Hour]]&gt;72,tech_magical_weaponry_wiz*TblTech[[#This Row],[3-5]],0))</f>
        <v>0.1</v>
      </c>
    </row>
    <row r="112" spans="1:113" x14ac:dyDescent="0.2">
      <c r="A112" s="139">
        <f>TblRezone[[#This Row],[Hour]]</f>
        <v>109</v>
      </c>
      <c r="B112" s="260">
        <f ca="1">SUM(TblMili[[#This Row],[Unit 1]:[Archmages]])+SUM(OFFSET(TblMili[[#This Row],[Train Unit 1]],-8,0):TblMili[[#This Row],[Train Unit 2]]) + SUM(OFFSET(TblMili[[#This Row],[Train Unit 3]],-11,0):TblMili[[#This Row],[Train AM]]) + TblMili[[#This Row],[Draftees]]</f>
        <v>826</v>
      </c>
      <c r="C112" s="159">
        <f ca="1">TblPop[[#This Row],[Military%]]</f>
        <v>0.35029686174724345</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4"/>
      <c r="N112" s="96">
        <f ca="1">TblProd[[#This Row],[Networth]]</f>
        <v>6450</v>
      </c>
      <c r="O112" s="144"/>
      <c r="P1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1">
        <f ca="1">TblMili[[#This Row],[Raw]]*(1+TblMili[[#This Row],[Mods_Off]])</f>
        <v>0</v>
      </c>
      <c r="S1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2" s="261">
        <f ca="1">TblMili[[#This Row],[Non Draft]]+TblMili[[#This Row],[Draftees]]</f>
        <v>1076</v>
      </c>
      <c r="U112" s="262">
        <f ca="1">race_defense + TblImps[[#This Row],[Walls]] + ROUND( MIN(gt_bonus*TblConstr[[#This Row],[Tot GT]]/TblConstr[[#This Row],[Land]],gt_bonus_cap), 4) + IF(TblMagic[[#This Row],[Active Howling]]&gt;0,howling_dp_bonus,IF(TblMagic[[#This Row],[Active Ares Call]]&gt;0,ares_call_bonus))</f>
        <v>0</v>
      </c>
      <c r="V112" s="263">
        <f ca="1">TblMili[[#This Row],[Non Draft]] * (1 + TblMili[[#This Row],[Mods_Def]])</f>
        <v>450</v>
      </c>
      <c r="W112" s="261">
        <f ca="1">TblMili[[#This Row],[Draft]] * (1 + TblMili[[#This Row],[Mods_Def]])</f>
        <v>1076</v>
      </c>
      <c r="X112" s="261">
        <f ca="1">TblConstr[[#This Row],[Land]]</f>
        <v>250</v>
      </c>
      <c r="Y112" s="264"/>
      <c r="Z112" s="269">
        <f ca="1">IF(TblMili[[#This Row],[Set]]&lt;&gt;"",TblMili[[#This Row],[Set]],OFFSET(TblMili[[#This Row],[Draftrate]],-1,0))</f>
        <v>0.35</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6"/>
      <c r="AC112" s="182">
        <f ca="1">(TblConstr[[#This Row],[Tot Smi]]+TblConstr[[#This Row],[Dest Smi]])/(TblConstr[[#This Row],[Land]]-TblExplore[[#This Row],[Land Bonus]]*20)</f>
        <v>0</v>
      </c>
      <c r="AD112" s="139"/>
      <c r="AE112" s="260">
        <f>TblMili[[#This Row],[Hour]]</f>
        <v>109</v>
      </c>
      <c r="AF112" s="140">
        <f ca="1">TblExplore[[#This Row],[Time]]</f>
        <v>45736.499999999738</v>
      </c>
      <c r="AG112" s="181"/>
      <c r="AH112" s="181"/>
      <c r="AI112" s="181"/>
      <c r="AJ112" s="181"/>
      <c r="AK112" s="181"/>
      <c r="AL112" s="181"/>
      <c r="AM112" s="181"/>
      <c r="AN112" s="181"/>
      <c r="AO112" s="448">
        <f ca="1">ROUND(IF(AND(TblMagic[[#This Row],[Active DnD]]&lt;12,TblMagic[[#This Row],[Active DnD]]&gt;5),OFFSET(TblPop[[#This Row],[Draft Growth]],-1,0)*0.375,0),0)</f>
        <v>0</v>
      </c>
      <c r="AP112" s="144"/>
      <c r="AQ112" s="96">
        <f ca="1">TblProd[[#This Row],[Platinum]]</f>
        <v>713366</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45736.499999999738</v>
      </c>
      <c r="AW112" s="96">
        <f ca="1">TblMili[[#This Row],[Draftees]]</f>
        <v>626</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0.44</v>
      </c>
      <c r="BX112" s="159">
        <f ca="1">TblMili[[#This Row],[WG''s]]</f>
        <v>0</v>
      </c>
      <c r="BY112" s="265">
        <f ca="1">IF(mystic_cap="none",TblMili[[#This Row],[Homeland%]]/mystic_bonus,MIN(mystic_cap,TblMili[[#This Row],[Homeland%]]/mystic_bonus))</f>
        <v>2</v>
      </c>
      <c r="BZ112" s="265">
        <f ca="1">IF(druid_op_cap="none",TblMili[[#This Row],[Homeland%]]/druid_op_bonus,MIN(druid_op_cap,TblMili[[#This Row],[Homeland%]]/druid_op_bonus))</f>
        <v>2</v>
      </c>
      <c r="CA112" s="265">
        <f ca="1">IF(druid_dp_cap="none",TblMili[[#This Row],[Homeland%]]/druid_dp_bonus,MIN(druid_dp_cap,TblMili[[#This Row],[Homeland%]]/druid_dp_bonus))</f>
        <v>2</v>
      </c>
      <c r="CB112" s="265">
        <f ca="1">MIN(dryad_cap,TblMili[[#This Row],[Homeland%]]/dryad_bonus)</f>
        <v>2.1999999999999997</v>
      </c>
      <c r="CC112" s="265">
        <f ca="1">MIN(rocka_cap,TblMili[[#This Row],[Homeland%]]/rocka_bonus)</f>
        <v>2</v>
      </c>
      <c r="CD112" s="265">
        <f ca="1">MIN(adept_op_cap,TblMili[[#This Row],[WG]]/adept_op_bonus)</f>
        <v>0</v>
      </c>
      <c r="CE112" s="265">
        <f ca="1">MIN(adept_dp_cap,TblMili[[#This Row],[WG]]/adept_dp_bonus)</f>
        <v>0</v>
      </c>
      <c r="CF112" s="96">
        <f ca="1">MIN(TblMili[[#This Row],[Unit 3]],TblMili[[#This Row],[Unit 2]])*2</f>
        <v>0</v>
      </c>
      <c r="CG112" s="96">
        <f ca="1">MIN(TblMili[[#This Row],[Unit 1]],TblMili[[#This Row],[Unit 4]])*2</f>
        <v>0</v>
      </c>
      <c r="CH112" s="265">
        <f ca="1">MIN(frost_mage_cap,TblMili[[#This Row],[Homeland%]]/frost_mage_bonus)</f>
        <v>2.1999999999999997</v>
      </c>
      <c r="CI112" s="45">
        <f ca="1">MIN(ice_elem_cap,TblMili[[#This Row],[Raw (2)]]*ice_elem_bonus)</f>
        <v>0.1</v>
      </c>
      <c r="CJ112" s="265">
        <f t="shared" si="4"/>
        <v>0.83333333333333337</v>
      </c>
      <c r="CK112" s="265">
        <f ca="1">MIN(nox_nightshade_cap,TblConstr[[#This Row],[Homeland]]/TblConstr[[#This Row],[Land]]/nox_nightshade_swamp_bonus)</f>
        <v>4</v>
      </c>
      <c r="CL112" s="265">
        <f ca="1">MIN(TblConstr[[#This Row],[Tot Tow]]/TblConstr[[#This Row],[Land]]/abyss_enforce_bonus,abyss_enforcer_cap)</f>
        <v>0</v>
      </c>
      <c r="CM112" s="265">
        <f ca="1">IF(TblMagic[[#This Row],[Active Demonic Pact]]&gt;0,MIN(TblMili[[#This Row],[Unit 1]],TblMili[[#This Row],[Unit 4]])*demonic_pact_oppair,0)</f>
        <v>0</v>
      </c>
      <c r="CN112" s="266"/>
      <c r="CO112" s="266"/>
      <c r="CP112" s="266"/>
      <c r="CQ112" s="265">
        <f ca="1">MIN(6,TblMili[[#This Row],[Mystic]]+Races!$F$19)*1.8 +  IF(TblMili[[#This Row],[Mystic]]+Races!$F$19&gt;6,(TblMili[[#This Row],[Mystic]]+Races!$F$19-6)*0.2,0) - Races!$I$19</f>
        <v>1</v>
      </c>
      <c r="CR1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-0.64000000000000057</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4.7099999999999991</v>
      </c>
      <c r="DA112" s="157">
        <f ca="1">1.8 * MIN(MAX(TblMili[[#This Row],[Ice Elemental]]+Races!$E$71,Races!$F$71),6)  +  0.45 * MIN(MIN(TblMili[[#This Row],[Ice Elemental]]+Races!$E$71,Races!$F$71),6)  +  0.2 * ( MAX(TblMili[[#This Row],[Ice Elemental]]+Races!$E$71-6,0) + MAX(Races!$F$71-6,0) )  -  Races!$I$71</f>
        <v>0.92999999999999972</v>
      </c>
      <c r="DB112" s="96">
        <f ca="1">TblMili[[#This Row],[Frost Mage bonus]]*TblMili[[#This Row],[Unit 3]]+TblMili[[#This Row],[Ice Elemental bonus]]*TblMili[[#This Row],[Unit 4]]</f>
        <v>0</v>
      </c>
      <c r="DC112" s="267"/>
      <c r="DD112" s="145">
        <f ca="1">MIN(SUM(TblConstr[[#This Row],[Plain]:[Water]])/TblMili[[#This Row],[Land]]/favorable_terrain_bonus/100,favorable_terrain_max)</f>
        <v>0.1</v>
      </c>
      <c r="DE112" s="267"/>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2" s="144"/>
      <c r="DH112" s="268">
        <f ca="1">(TblMili[[#This Row],[Wizards]]+2*TblMili[[#This Row],[Archmages]])/TblConstr[[#This Row],[Land]]</f>
        <v>0.1</v>
      </c>
      <c r="DI112" s="268">
        <f ca="1">TblMili[[#This Row],[Raw (2)]]*(1+race_wizard_strength+IF(TblMili[[#This Row],[Hour]]&gt;72,tech_magical_weaponry_wiz*TblTech[[#This Row],[3-5]],0))</f>
        <v>0.1</v>
      </c>
    </row>
    <row r="113" spans="1:113" x14ac:dyDescent="0.2">
      <c r="A113" s="139">
        <f>TblRezone[[#This Row],[Hour]]</f>
        <v>110</v>
      </c>
      <c r="B113" s="260">
        <f ca="1">SUM(TblMili[[#This Row],[Unit 1]:[Archmages]])+SUM(OFFSET(TblMili[[#This Row],[Train Unit 1]],-8,0):TblMili[[#This Row],[Train Unit 2]]) + SUM(OFFSET(TblMili[[#This Row],[Train Unit 3]],-11,0):TblMili[[#This Row],[Train AM]]) + TblMili[[#This Row],[Draftees]]</f>
        <v>826</v>
      </c>
      <c r="C113" s="159">
        <f ca="1">TblPop[[#This Row],[Military%]]</f>
        <v>0.35029686174724345</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4"/>
      <c r="N113" s="96">
        <f ca="1">TblProd[[#This Row],[Networth]]</f>
        <v>6450</v>
      </c>
      <c r="O113" s="144"/>
      <c r="P1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1">
        <f ca="1">TblMili[[#This Row],[Raw]]*(1+TblMili[[#This Row],[Mods_Off]])</f>
        <v>0</v>
      </c>
      <c r="S1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3" s="261">
        <f ca="1">TblMili[[#This Row],[Non Draft]]+TblMili[[#This Row],[Draftees]]</f>
        <v>1076</v>
      </c>
      <c r="U113" s="262">
        <f ca="1">race_defense + TblImps[[#This Row],[Walls]] + ROUND( MIN(gt_bonus*TblConstr[[#This Row],[Tot GT]]/TblConstr[[#This Row],[Land]],gt_bonus_cap), 4) + IF(TblMagic[[#This Row],[Active Howling]]&gt;0,howling_dp_bonus,IF(TblMagic[[#This Row],[Active Ares Call]]&gt;0,ares_call_bonus))</f>
        <v>0</v>
      </c>
      <c r="V113" s="263">
        <f ca="1">TblMili[[#This Row],[Non Draft]] * (1 + TblMili[[#This Row],[Mods_Def]])</f>
        <v>450</v>
      </c>
      <c r="W113" s="261">
        <f ca="1">TblMili[[#This Row],[Draft]] * (1 + TblMili[[#This Row],[Mods_Def]])</f>
        <v>1076</v>
      </c>
      <c r="X113" s="261">
        <f ca="1">TblConstr[[#This Row],[Land]]</f>
        <v>250</v>
      </c>
      <c r="Y113" s="264"/>
      <c r="Z113" s="269">
        <f ca="1">IF(TblMili[[#This Row],[Set]]&lt;&gt;"",TblMili[[#This Row],[Set]],OFFSET(TblMili[[#This Row],[Draftrate]],-1,0))</f>
        <v>0.35</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6"/>
      <c r="AC113" s="182">
        <f ca="1">(TblConstr[[#This Row],[Tot Smi]]+TblConstr[[#This Row],[Dest Smi]])/(TblConstr[[#This Row],[Land]]-TblExplore[[#This Row],[Land Bonus]]*20)</f>
        <v>0</v>
      </c>
      <c r="AD113" s="139"/>
      <c r="AE113" s="260">
        <f>TblMili[[#This Row],[Hour]]</f>
        <v>110</v>
      </c>
      <c r="AF113" s="140">
        <f ca="1">TblExplore[[#This Row],[Time]]</f>
        <v>45736.541666666402</v>
      </c>
      <c r="AG113" s="181"/>
      <c r="AH113" s="181"/>
      <c r="AI113" s="181"/>
      <c r="AJ113" s="181"/>
      <c r="AK113" s="181"/>
      <c r="AL113" s="181"/>
      <c r="AM113" s="181"/>
      <c r="AN113" s="181"/>
      <c r="AO113" s="448">
        <f ca="1">ROUND(IF(AND(TblMagic[[#This Row],[Active DnD]]&lt;12,TblMagic[[#This Row],[Active DnD]]&gt;5),OFFSET(TblPop[[#This Row],[Draft Growth]],-1,0)*0.375,0),0)</f>
        <v>0</v>
      </c>
      <c r="AP113" s="144"/>
      <c r="AQ113" s="96">
        <f ca="1">TblProd[[#This Row],[Platinum]]</f>
        <v>718852</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45736.541666666402</v>
      </c>
      <c r="AW113" s="96">
        <f ca="1">TblMili[[#This Row],[Draftees]]</f>
        <v>626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0.44</v>
      </c>
      <c r="BX113" s="159">
        <f ca="1">TblMili[[#This Row],[WG''s]]</f>
        <v>0</v>
      </c>
      <c r="BY113" s="265">
        <f ca="1">IF(mystic_cap="none",TblMili[[#This Row],[Homeland%]]/mystic_bonus,MIN(mystic_cap,TblMili[[#This Row],[Homeland%]]/mystic_bonus))</f>
        <v>2</v>
      </c>
      <c r="BZ113" s="265">
        <f ca="1">IF(druid_op_cap="none",TblMili[[#This Row],[Homeland%]]/druid_op_bonus,MIN(druid_op_cap,TblMili[[#This Row],[Homeland%]]/druid_op_bonus))</f>
        <v>2</v>
      </c>
      <c r="CA113" s="265">
        <f ca="1">IF(druid_dp_cap="none",TblMili[[#This Row],[Homeland%]]/druid_dp_bonus,MIN(druid_dp_cap,TblMili[[#This Row],[Homeland%]]/druid_dp_bonus))</f>
        <v>2</v>
      </c>
      <c r="CB113" s="265">
        <f ca="1">MIN(dryad_cap,TblMili[[#This Row],[Homeland%]]/dryad_bonus)</f>
        <v>2.1999999999999997</v>
      </c>
      <c r="CC113" s="265">
        <f ca="1">MIN(rocka_cap,TblMili[[#This Row],[Homeland%]]/rocka_bonus)</f>
        <v>2</v>
      </c>
      <c r="CD113" s="265">
        <f ca="1">MIN(adept_op_cap,TblMili[[#This Row],[WG]]/adept_op_bonus)</f>
        <v>0</v>
      </c>
      <c r="CE113" s="265">
        <f ca="1">MIN(adept_dp_cap,TblMili[[#This Row],[WG]]/adept_dp_bonus)</f>
        <v>0</v>
      </c>
      <c r="CF113" s="96">
        <f ca="1">MIN(TblMili[[#This Row],[Unit 3]],TblMili[[#This Row],[Unit 2]])*2</f>
        <v>0</v>
      </c>
      <c r="CG113" s="96">
        <f ca="1">MIN(TblMili[[#This Row],[Unit 1]],TblMili[[#This Row],[Unit 4]])*2</f>
        <v>0</v>
      </c>
      <c r="CH113" s="265">
        <f ca="1">MIN(frost_mage_cap,TblMili[[#This Row],[Homeland%]]/frost_mage_bonus)</f>
        <v>2.1999999999999997</v>
      </c>
      <c r="CI113" s="45">
        <f ca="1">MIN(ice_elem_cap,TblMili[[#This Row],[Raw (2)]]*ice_elem_bonus)</f>
        <v>0.1</v>
      </c>
      <c r="CJ113" s="265">
        <f t="shared" si="4"/>
        <v>0.83333333333333337</v>
      </c>
      <c r="CK113" s="265">
        <f ca="1">MIN(nox_nightshade_cap,TblConstr[[#This Row],[Homeland]]/TblConstr[[#This Row],[Land]]/nox_nightshade_swamp_bonus)</f>
        <v>4</v>
      </c>
      <c r="CL113" s="265">
        <f ca="1">MIN(TblConstr[[#This Row],[Tot Tow]]/TblConstr[[#This Row],[Land]]/abyss_enforce_bonus,abyss_enforcer_cap)</f>
        <v>0</v>
      </c>
      <c r="CM113" s="265">
        <f ca="1">IF(TblMagic[[#This Row],[Active Demonic Pact]]&gt;0,MIN(TblMili[[#This Row],[Unit 1]],TblMili[[#This Row],[Unit 4]])*demonic_pact_oppair,0)</f>
        <v>0</v>
      </c>
      <c r="CN113" s="266"/>
      <c r="CO113" s="266"/>
      <c r="CP113" s="266"/>
      <c r="CQ113" s="265">
        <f ca="1">MIN(6,TblMili[[#This Row],[Mystic]]+Races!$F$19)*1.8 +  IF(TblMili[[#This Row],[Mystic]]+Races!$F$19&gt;6,(TblMili[[#This Row],[Mystic]]+Races!$F$19-6)*0.2,0) - Races!$I$19</f>
        <v>1</v>
      </c>
      <c r="CR1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-0.64000000000000057</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4.7099999999999991</v>
      </c>
      <c r="DA113" s="157">
        <f ca="1">1.8 * MIN(MAX(TblMili[[#This Row],[Ice Elemental]]+Races!$E$71,Races!$F$71),6)  +  0.45 * MIN(MIN(TblMili[[#This Row],[Ice Elemental]]+Races!$E$71,Races!$F$71),6)  +  0.2 * ( MAX(TblMili[[#This Row],[Ice Elemental]]+Races!$E$71-6,0) + MAX(Races!$F$71-6,0) )  -  Races!$I$71</f>
        <v>0.92999999999999972</v>
      </c>
      <c r="DB113" s="96">
        <f ca="1">TblMili[[#This Row],[Frost Mage bonus]]*TblMili[[#This Row],[Unit 3]]+TblMili[[#This Row],[Ice Elemental bonus]]*TblMili[[#This Row],[Unit 4]]</f>
        <v>0</v>
      </c>
      <c r="DC113" s="267"/>
      <c r="DD113" s="145">
        <f ca="1">MIN(SUM(TblConstr[[#This Row],[Plain]:[Water]])/TblMili[[#This Row],[Land]]/favorable_terrain_bonus/100,favorable_terrain_max)</f>
        <v>0.1</v>
      </c>
      <c r="DE113" s="267"/>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3" s="144"/>
      <c r="DH113" s="268">
        <f ca="1">(TblMili[[#This Row],[Wizards]]+2*TblMili[[#This Row],[Archmages]])/TblConstr[[#This Row],[Land]]</f>
        <v>0.1</v>
      </c>
      <c r="DI113" s="268">
        <f ca="1">TblMili[[#This Row],[Raw (2)]]*(1+race_wizard_strength+IF(TblMili[[#This Row],[Hour]]&gt;72,tech_magical_weaponry_wiz*TblTech[[#This Row],[3-5]],0))</f>
        <v>0.1</v>
      </c>
    </row>
    <row r="114" spans="1:113" x14ac:dyDescent="0.2">
      <c r="A114" s="139">
        <f>TblRezone[[#This Row],[Hour]]</f>
        <v>111</v>
      </c>
      <c r="B114" s="260">
        <f ca="1">SUM(TblMili[[#This Row],[Unit 1]:[Archmages]])+SUM(OFFSET(TblMili[[#This Row],[Train Unit 1]],-8,0):TblMili[[#This Row],[Train Unit 2]]) + SUM(OFFSET(TblMili[[#This Row],[Train Unit 3]],-11,0):TblMili[[#This Row],[Train AM]]) + TblMili[[#This Row],[Draftees]]</f>
        <v>826</v>
      </c>
      <c r="C114" s="159">
        <f ca="1">TblPop[[#This Row],[Military%]]</f>
        <v>0.35029686174724345</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4"/>
      <c r="N114" s="96">
        <f ca="1">TblProd[[#This Row],[Networth]]</f>
        <v>6450</v>
      </c>
      <c r="O114" s="144"/>
      <c r="P1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1">
        <f ca="1">TblMili[[#This Row],[Raw]]*(1+TblMili[[#This Row],[Mods_Off]])</f>
        <v>0</v>
      </c>
      <c r="S1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4" s="261">
        <f ca="1">TblMili[[#This Row],[Non Draft]]+TblMili[[#This Row],[Draftees]]</f>
        <v>1076</v>
      </c>
      <c r="U114" s="262">
        <f ca="1">race_defense + TblImps[[#This Row],[Walls]] + ROUND( MIN(gt_bonus*TblConstr[[#This Row],[Tot GT]]/TblConstr[[#This Row],[Land]],gt_bonus_cap), 4) + IF(TblMagic[[#This Row],[Active Howling]]&gt;0,howling_dp_bonus,IF(TblMagic[[#This Row],[Active Ares Call]]&gt;0,ares_call_bonus))</f>
        <v>0</v>
      </c>
      <c r="V114" s="263">
        <f ca="1">TblMili[[#This Row],[Non Draft]] * (1 + TblMili[[#This Row],[Mods_Def]])</f>
        <v>450</v>
      </c>
      <c r="W114" s="261">
        <f ca="1">TblMili[[#This Row],[Draft]] * (1 + TblMili[[#This Row],[Mods_Def]])</f>
        <v>1076</v>
      </c>
      <c r="X114" s="261">
        <f ca="1">TblConstr[[#This Row],[Land]]</f>
        <v>250</v>
      </c>
      <c r="Y114" s="264"/>
      <c r="Z114" s="269">
        <f ca="1">IF(TblMili[[#This Row],[Set]]&lt;&gt;"",TblMili[[#This Row],[Set]],OFFSET(TblMili[[#This Row],[Draftrate]],-1,0))</f>
        <v>0.35</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6"/>
      <c r="AC114" s="182">
        <f ca="1">(TblConstr[[#This Row],[Tot Smi]]+TblConstr[[#This Row],[Dest Smi]])/(TblConstr[[#This Row],[Land]]-TblExplore[[#This Row],[Land Bonus]]*20)</f>
        <v>0</v>
      </c>
      <c r="AD114" s="139"/>
      <c r="AE114" s="260">
        <f>TblMili[[#This Row],[Hour]]</f>
        <v>111</v>
      </c>
      <c r="AF114" s="140">
        <f ca="1">TblExplore[[#This Row],[Time]]</f>
        <v>45736.583333333067</v>
      </c>
      <c r="AG114" s="181"/>
      <c r="AH114" s="181"/>
      <c r="AI114" s="181"/>
      <c r="AJ114" s="181"/>
      <c r="AK114" s="181"/>
      <c r="AL114" s="181"/>
      <c r="AM114" s="181"/>
      <c r="AN114" s="181"/>
      <c r="AO114" s="448">
        <f ca="1">ROUND(IF(AND(TblMagic[[#This Row],[Active DnD]]&lt;12,TblMagic[[#This Row],[Active DnD]]&gt;5),OFFSET(TblPop[[#This Row],[Draft Growth]],-1,0)*0.375,0),0)</f>
        <v>0</v>
      </c>
      <c r="AP114" s="144"/>
      <c r="AQ114" s="96">
        <f ca="1">TblProd[[#This Row],[Platinum]]</f>
        <v>724338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45736.583333333067</v>
      </c>
      <c r="AW114" s="96">
        <f ca="1">TblMili[[#This Row],[Draftees]]</f>
        <v>626</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0.44</v>
      </c>
      <c r="BX114" s="159">
        <f ca="1">TblMili[[#This Row],[WG''s]]</f>
        <v>0</v>
      </c>
      <c r="BY114" s="265">
        <f ca="1">IF(mystic_cap="none",TblMili[[#This Row],[Homeland%]]/mystic_bonus,MIN(mystic_cap,TblMili[[#This Row],[Homeland%]]/mystic_bonus))</f>
        <v>2</v>
      </c>
      <c r="BZ114" s="265">
        <f ca="1">IF(druid_op_cap="none",TblMili[[#This Row],[Homeland%]]/druid_op_bonus,MIN(druid_op_cap,TblMili[[#This Row],[Homeland%]]/druid_op_bonus))</f>
        <v>2</v>
      </c>
      <c r="CA114" s="265">
        <f ca="1">IF(druid_dp_cap="none",TblMili[[#This Row],[Homeland%]]/druid_dp_bonus,MIN(druid_dp_cap,TblMili[[#This Row],[Homeland%]]/druid_dp_bonus))</f>
        <v>2</v>
      </c>
      <c r="CB114" s="265">
        <f ca="1">MIN(dryad_cap,TblMili[[#This Row],[Homeland%]]/dryad_bonus)</f>
        <v>2.1999999999999997</v>
      </c>
      <c r="CC114" s="265">
        <f ca="1">MIN(rocka_cap,TblMili[[#This Row],[Homeland%]]/rocka_bonus)</f>
        <v>2</v>
      </c>
      <c r="CD114" s="265">
        <f ca="1">MIN(adept_op_cap,TblMili[[#This Row],[WG]]/adept_op_bonus)</f>
        <v>0</v>
      </c>
      <c r="CE114" s="265">
        <f ca="1">MIN(adept_dp_cap,TblMili[[#This Row],[WG]]/adept_dp_bonus)</f>
        <v>0</v>
      </c>
      <c r="CF114" s="96">
        <f ca="1">MIN(TblMili[[#This Row],[Unit 3]],TblMili[[#This Row],[Unit 2]])*2</f>
        <v>0</v>
      </c>
      <c r="CG114" s="96">
        <f ca="1">MIN(TblMili[[#This Row],[Unit 1]],TblMili[[#This Row],[Unit 4]])*2</f>
        <v>0</v>
      </c>
      <c r="CH114" s="265">
        <f ca="1">MIN(frost_mage_cap,TblMili[[#This Row],[Homeland%]]/frost_mage_bonus)</f>
        <v>2.1999999999999997</v>
      </c>
      <c r="CI114" s="45">
        <f ca="1">MIN(ice_elem_cap,TblMili[[#This Row],[Raw (2)]]*ice_elem_bonus)</f>
        <v>0.1</v>
      </c>
      <c r="CJ114" s="265">
        <f t="shared" si="4"/>
        <v>0.83333333333333337</v>
      </c>
      <c r="CK114" s="265">
        <f ca="1">MIN(nox_nightshade_cap,TblConstr[[#This Row],[Homeland]]/TblConstr[[#This Row],[Land]]/nox_nightshade_swamp_bonus)</f>
        <v>4</v>
      </c>
      <c r="CL114" s="265">
        <f ca="1">MIN(TblConstr[[#This Row],[Tot Tow]]/TblConstr[[#This Row],[Land]]/abyss_enforce_bonus,abyss_enforcer_cap)</f>
        <v>0</v>
      </c>
      <c r="CM114" s="265">
        <f ca="1">IF(TblMagic[[#This Row],[Active Demonic Pact]]&gt;0,MIN(TblMili[[#This Row],[Unit 1]],TblMili[[#This Row],[Unit 4]])*demonic_pact_oppair,0)</f>
        <v>0</v>
      </c>
      <c r="CN114" s="266"/>
      <c r="CO114" s="266"/>
      <c r="CP114" s="266"/>
      <c r="CQ114" s="265">
        <f ca="1">MIN(6,TblMili[[#This Row],[Mystic]]+Races!$F$19)*1.8 +  IF(TblMili[[#This Row],[Mystic]]+Races!$F$19&gt;6,(TblMili[[#This Row],[Mystic]]+Races!$F$19-6)*0.2,0) - Races!$I$19</f>
        <v>1</v>
      </c>
      <c r="CR1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-0.64000000000000057</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4.7099999999999991</v>
      </c>
      <c r="DA114" s="157">
        <f ca="1">1.8 * MIN(MAX(TblMili[[#This Row],[Ice Elemental]]+Races!$E$71,Races!$F$71),6)  +  0.45 * MIN(MIN(TblMili[[#This Row],[Ice Elemental]]+Races!$E$71,Races!$F$71),6)  +  0.2 * ( MAX(TblMili[[#This Row],[Ice Elemental]]+Races!$E$71-6,0) + MAX(Races!$F$71-6,0) )  -  Races!$I$71</f>
        <v>0.92999999999999972</v>
      </c>
      <c r="DB114" s="96">
        <f ca="1">TblMili[[#This Row],[Frost Mage bonus]]*TblMili[[#This Row],[Unit 3]]+TblMili[[#This Row],[Ice Elemental bonus]]*TblMili[[#This Row],[Unit 4]]</f>
        <v>0</v>
      </c>
      <c r="DC114" s="267"/>
      <c r="DD114" s="145">
        <f ca="1">MIN(SUM(TblConstr[[#This Row],[Plain]:[Water]])/TblMili[[#This Row],[Land]]/favorable_terrain_bonus/100,favorable_terrain_max)</f>
        <v>0.1</v>
      </c>
      <c r="DE114" s="267"/>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4" s="144"/>
      <c r="DH114" s="268">
        <f ca="1">(TblMili[[#This Row],[Wizards]]+2*TblMili[[#This Row],[Archmages]])/TblConstr[[#This Row],[Land]]</f>
        <v>0.1</v>
      </c>
      <c r="DI114" s="268">
        <f ca="1">TblMili[[#This Row],[Raw (2)]]*(1+race_wizard_strength+IF(TblMili[[#This Row],[Hour]]&gt;72,tech_magical_weaponry_wiz*TblTech[[#This Row],[3-5]],0))</f>
        <v>0.1</v>
      </c>
    </row>
    <row r="115" spans="1:113" x14ac:dyDescent="0.2">
      <c r="A115" s="139">
        <f>TblRezone[[#This Row],[Hour]]</f>
        <v>112</v>
      </c>
      <c r="B115" s="260">
        <f ca="1">SUM(TblMili[[#This Row],[Unit 1]:[Archmages]])+SUM(OFFSET(TblMili[[#This Row],[Train Unit 1]],-8,0):TblMili[[#This Row],[Train Unit 2]]) + SUM(OFFSET(TblMili[[#This Row],[Train Unit 3]],-11,0):TblMili[[#This Row],[Train AM]]) + TblMili[[#This Row],[Draftees]]</f>
        <v>826</v>
      </c>
      <c r="C115" s="159">
        <f ca="1">TblPop[[#This Row],[Military%]]</f>
        <v>0.35029686174724345</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4"/>
      <c r="N115" s="96">
        <f ca="1">TblProd[[#This Row],[Networth]]</f>
        <v>6450</v>
      </c>
      <c r="O115" s="144"/>
      <c r="P1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1">
        <f ca="1">TblMili[[#This Row],[Raw]]*(1+TblMili[[#This Row],[Mods_Off]])</f>
        <v>0</v>
      </c>
      <c r="S1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5" s="261">
        <f ca="1">TblMili[[#This Row],[Non Draft]]+TblMili[[#This Row],[Draftees]]</f>
        <v>1076</v>
      </c>
      <c r="U115" s="262">
        <f ca="1">race_defense + TblImps[[#This Row],[Walls]] + ROUND( MIN(gt_bonus*TblConstr[[#This Row],[Tot GT]]/TblConstr[[#This Row],[Land]],gt_bonus_cap), 4) + IF(TblMagic[[#This Row],[Active Howling]]&gt;0,howling_dp_bonus,IF(TblMagic[[#This Row],[Active Ares Call]]&gt;0,ares_call_bonus))</f>
        <v>0</v>
      </c>
      <c r="V115" s="263">
        <f ca="1">TblMili[[#This Row],[Non Draft]] * (1 + TblMili[[#This Row],[Mods_Def]])</f>
        <v>450</v>
      </c>
      <c r="W115" s="261">
        <f ca="1">TblMili[[#This Row],[Draft]] * (1 + TblMili[[#This Row],[Mods_Def]])</f>
        <v>1076</v>
      </c>
      <c r="X115" s="261">
        <f ca="1">TblConstr[[#This Row],[Land]]</f>
        <v>250</v>
      </c>
      <c r="Y115" s="264"/>
      <c r="Z115" s="269">
        <f ca="1">IF(TblMili[[#This Row],[Set]]&lt;&gt;"",TblMili[[#This Row],[Set]],OFFSET(TblMili[[#This Row],[Draftrate]],-1,0))</f>
        <v>0.35</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6"/>
      <c r="AC115" s="182">
        <f ca="1">(TblConstr[[#This Row],[Tot Smi]]+TblConstr[[#This Row],[Dest Smi]])/(TblConstr[[#This Row],[Land]]-TblExplore[[#This Row],[Land Bonus]]*20)</f>
        <v>0</v>
      </c>
      <c r="AD115" s="139"/>
      <c r="AE115" s="260">
        <f>TblMili[[#This Row],[Hour]]</f>
        <v>112</v>
      </c>
      <c r="AF115" s="140">
        <f ca="1">TblExplore[[#This Row],[Time]]</f>
        <v>45736.624999999731</v>
      </c>
      <c r="AG115" s="181"/>
      <c r="AH115" s="181"/>
      <c r="AI115" s="181"/>
      <c r="AJ115" s="181"/>
      <c r="AK115" s="181"/>
      <c r="AL115" s="181"/>
      <c r="AM115" s="181"/>
      <c r="AN115" s="181"/>
      <c r="AO115" s="448">
        <f ca="1">ROUND(IF(AND(TblMagic[[#This Row],[Active DnD]]&lt;12,TblMagic[[#This Row],[Active DnD]]&gt;5),OFFSET(TblPop[[#This Row],[Draft Growth]],-1,0)*0.375,0),0)</f>
        <v>0</v>
      </c>
      <c r="AP115" s="144"/>
      <c r="AQ115" s="96">
        <f ca="1">TblProd[[#This Row],[Platinum]]</f>
        <v>729824</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45736.624999999731</v>
      </c>
      <c r="AW115" s="96">
        <f ca="1">TblMili[[#This Row],[Draftees]]</f>
        <v>626</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0.44</v>
      </c>
      <c r="BX115" s="159">
        <f ca="1">TblMili[[#This Row],[WG''s]]</f>
        <v>0</v>
      </c>
      <c r="BY115" s="265">
        <f ca="1">IF(mystic_cap="none",TblMili[[#This Row],[Homeland%]]/mystic_bonus,MIN(mystic_cap,TblMili[[#This Row],[Homeland%]]/mystic_bonus))</f>
        <v>2</v>
      </c>
      <c r="BZ115" s="265">
        <f ca="1">IF(druid_op_cap="none",TblMili[[#This Row],[Homeland%]]/druid_op_bonus,MIN(druid_op_cap,TblMili[[#This Row],[Homeland%]]/druid_op_bonus))</f>
        <v>2</v>
      </c>
      <c r="CA115" s="265">
        <f ca="1">IF(druid_dp_cap="none",TblMili[[#This Row],[Homeland%]]/druid_dp_bonus,MIN(druid_dp_cap,TblMili[[#This Row],[Homeland%]]/druid_dp_bonus))</f>
        <v>2</v>
      </c>
      <c r="CB115" s="265">
        <f ca="1">MIN(dryad_cap,TblMili[[#This Row],[Homeland%]]/dryad_bonus)</f>
        <v>2.1999999999999997</v>
      </c>
      <c r="CC115" s="265">
        <f ca="1">MIN(rocka_cap,TblMili[[#This Row],[Homeland%]]/rocka_bonus)</f>
        <v>2</v>
      </c>
      <c r="CD115" s="265">
        <f ca="1">MIN(adept_op_cap,TblMili[[#This Row],[WG]]/adept_op_bonus)</f>
        <v>0</v>
      </c>
      <c r="CE115" s="265">
        <f ca="1">MIN(adept_dp_cap,TblMili[[#This Row],[WG]]/adept_dp_bonus)</f>
        <v>0</v>
      </c>
      <c r="CF115" s="96">
        <f ca="1">MIN(TblMili[[#This Row],[Unit 3]],TblMili[[#This Row],[Unit 2]])*2</f>
        <v>0</v>
      </c>
      <c r="CG115" s="96">
        <f ca="1">MIN(TblMili[[#This Row],[Unit 1]],TblMili[[#This Row],[Unit 4]])*2</f>
        <v>0</v>
      </c>
      <c r="CH115" s="265">
        <f ca="1">MIN(frost_mage_cap,TblMili[[#This Row],[Homeland%]]/frost_mage_bonus)</f>
        <v>2.1999999999999997</v>
      </c>
      <c r="CI115" s="45">
        <f ca="1">MIN(ice_elem_cap,TblMili[[#This Row],[Raw (2)]]*ice_elem_bonus)</f>
        <v>0.1</v>
      </c>
      <c r="CJ115" s="265">
        <f t="shared" si="4"/>
        <v>0.83333333333333337</v>
      </c>
      <c r="CK115" s="265">
        <f ca="1">MIN(nox_nightshade_cap,TblConstr[[#This Row],[Homeland]]/TblConstr[[#This Row],[Land]]/nox_nightshade_swamp_bonus)</f>
        <v>4</v>
      </c>
      <c r="CL115" s="265">
        <f ca="1">MIN(TblConstr[[#This Row],[Tot Tow]]/TblConstr[[#This Row],[Land]]/abyss_enforce_bonus,abyss_enforcer_cap)</f>
        <v>0</v>
      </c>
      <c r="CM115" s="265">
        <f ca="1">IF(TblMagic[[#This Row],[Active Demonic Pact]]&gt;0,MIN(TblMili[[#This Row],[Unit 1]],TblMili[[#This Row],[Unit 4]])*demonic_pact_oppair,0)</f>
        <v>0</v>
      </c>
      <c r="CN115" s="266"/>
      <c r="CO115" s="266"/>
      <c r="CP115" s="266"/>
      <c r="CQ115" s="265">
        <f ca="1">MIN(6,TblMili[[#This Row],[Mystic]]+Races!$F$19)*1.8 +  IF(TblMili[[#This Row],[Mystic]]+Races!$F$19&gt;6,(TblMili[[#This Row],[Mystic]]+Races!$F$19-6)*0.2,0) - Races!$I$19</f>
        <v>1</v>
      </c>
      <c r="CR1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-0.64000000000000057</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4.7099999999999991</v>
      </c>
      <c r="DA115" s="157">
        <f ca="1">1.8 * MIN(MAX(TblMili[[#This Row],[Ice Elemental]]+Races!$E$71,Races!$F$71),6)  +  0.45 * MIN(MIN(TblMili[[#This Row],[Ice Elemental]]+Races!$E$71,Races!$F$71),6)  +  0.2 * ( MAX(TblMili[[#This Row],[Ice Elemental]]+Races!$E$71-6,0) + MAX(Races!$F$71-6,0) )  -  Races!$I$71</f>
        <v>0.92999999999999972</v>
      </c>
      <c r="DB115" s="96">
        <f ca="1">TblMili[[#This Row],[Frost Mage bonus]]*TblMili[[#This Row],[Unit 3]]+TblMili[[#This Row],[Ice Elemental bonus]]*TblMili[[#This Row],[Unit 4]]</f>
        <v>0</v>
      </c>
      <c r="DC115" s="267"/>
      <c r="DD115" s="145">
        <f ca="1">MIN(SUM(TblConstr[[#This Row],[Plain]:[Water]])/TblMili[[#This Row],[Land]]/favorable_terrain_bonus/100,favorable_terrain_max)</f>
        <v>0.1</v>
      </c>
      <c r="DE115" s="267"/>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5" s="144"/>
      <c r="DH115" s="268">
        <f ca="1">(TblMili[[#This Row],[Wizards]]+2*TblMili[[#This Row],[Archmages]])/TblConstr[[#This Row],[Land]]</f>
        <v>0.1</v>
      </c>
      <c r="DI115" s="268">
        <f ca="1">TblMili[[#This Row],[Raw (2)]]*(1+race_wizard_strength+IF(TblMili[[#This Row],[Hour]]&gt;72,tech_magical_weaponry_wiz*TblTech[[#This Row],[3-5]],0))</f>
        <v>0.1</v>
      </c>
    </row>
    <row r="116" spans="1:113" x14ac:dyDescent="0.2">
      <c r="A116" s="139">
        <f>TblRezone[[#This Row],[Hour]]</f>
        <v>113</v>
      </c>
      <c r="B116" s="260">
        <f ca="1">SUM(TblMili[[#This Row],[Unit 1]:[Archmages]])+SUM(OFFSET(TblMili[[#This Row],[Train Unit 1]],-8,0):TblMili[[#This Row],[Train Unit 2]]) + SUM(OFFSET(TblMili[[#This Row],[Train Unit 3]],-11,0):TblMili[[#This Row],[Train AM]]) + TblMili[[#This Row],[Draftees]]</f>
        <v>826</v>
      </c>
      <c r="C116" s="159">
        <f ca="1">TblPop[[#This Row],[Military%]]</f>
        <v>0.35029686174724345</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4"/>
      <c r="N116" s="96">
        <f ca="1">TblProd[[#This Row],[Networth]]</f>
        <v>6450</v>
      </c>
      <c r="O116" s="144"/>
      <c r="P1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1">
        <f ca="1">TblMili[[#This Row],[Raw]]*(1+TblMili[[#This Row],[Mods_Off]])</f>
        <v>0</v>
      </c>
      <c r="S1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6" s="261">
        <f ca="1">TblMili[[#This Row],[Non Draft]]+TblMili[[#This Row],[Draftees]]</f>
        <v>1076</v>
      </c>
      <c r="U116" s="262">
        <f ca="1">race_defense + TblImps[[#This Row],[Walls]] + ROUND( MIN(gt_bonus*TblConstr[[#This Row],[Tot GT]]/TblConstr[[#This Row],[Land]],gt_bonus_cap), 4) + IF(TblMagic[[#This Row],[Active Howling]]&gt;0,howling_dp_bonus,IF(TblMagic[[#This Row],[Active Ares Call]]&gt;0,ares_call_bonus))</f>
        <v>0</v>
      </c>
      <c r="V116" s="263">
        <f ca="1">TblMili[[#This Row],[Non Draft]] * (1 + TblMili[[#This Row],[Mods_Def]])</f>
        <v>450</v>
      </c>
      <c r="W116" s="261">
        <f ca="1">TblMili[[#This Row],[Draft]] * (1 + TblMili[[#This Row],[Mods_Def]])</f>
        <v>1076</v>
      </c>
      <c r="X116" s="261">
        <f ca="1">TblConstr[[#This Row],[Land]]</f>
        <v>250</v>
      </c>
      <c r="Y116" s="264"/>
      <c r="Z116" s="269">
        <f ca="1">IF(TblMili[[#This Row],[Set]]&lt;&gt;"",TblMili[[#This Row],[Set]],OFFSET(TblMili[[#This Row],[Draftrate]],-1,0))</f>
        <v>0.35</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6"/>
      <c r="AC116" s="182">
        <f ca="1">(TblConstr[[#This Row],[Tot Smi]]+TblConstr[[#This Row],[Dest Smi]])/(TblConstr[[#This Row],[Land]]-TblExplore[[#This Row],[Land Bonus]]*20)</f>
        <v>0</v>
      </c>
      <c r="AD116" s="139"/>
      <c r="AE116" s="260">
        <f>TblMili[[#This Row],[Hour]]</f>
        <v>113</v>
      </c>
      <c r="AF116" s="140">
        <f ca="1">TblExplore[[#This Row],[Time]]</f>
        <v>45736.666666666395</v>
      </c>
      <c r="AG116" s="181"/>
      <c r="AH116" s="181"/>
      <c r="AI116" s="181"/>
      <c r="AJ116" s="181"/>
      <c r="AK116" s="181"/>
      <c r="AL116" s="181"/>
      <c r="AM116" s="181"/>
      <c r="AN116" s="181"/>
      <c r="AO116" s="448">
        <f ca="1">ROUND(IF(AND(TblMagic[[#This Row],[Active DnD]]&lt;12,TblMagic[[#This Row],[Active DnD]]&gt;5),OFFSET(TblPop[[#This Row],[Draft Growth]],-1,0)*0.375,0),0)</f>
        <v>0</v>
      </c>
      <c r="AP116" s="144"/>
      <c r="AQ116" s="96">
        <f ca="1">TblProd[[#This Row],[Platinum]]</f>
        <v>735310</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45736.666666666395</v>
      </c>
      <c r="AW116" s="96">
        <f ca="1">TblMili[[#This Row],[Draftees]]</f>
        <v>626</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0.44</v>
      </c>
      <c r="BX116" s="159">
        <f ca="1">TblMili[[#This Row],[WG''s]]</f>
        <v>0</v>
      </c>
      <c r="BY116" s="265">
        <f ca="1">IF(mystic_cap="none",TblMili[[#This Row],[Homeland%]]/mystic_bonus,MIN(mystic_cap,TblMili[[#This Row],[Homeland%]]/mystic_bonus))</f>
        <v>2</v>
      </c>
      <c r="BZ116" s="265">
        <f ca="1">IF(druid_op_cap="none",TblMili[[#This Row],[Homeland%]]/druid_op_bonus,MIN(druid_op_cap,TblMili[[#This Row],[Homeland%]]/druid_op_bonus))</f>
        <v>2</v>
      </c>
      <c r="CA116" s="265">
        <f ca="1">IF(druid_dp_cap="none",TblMili[[#This Row],[Homeland%]]/druid_dp_bonus,MIN(druid_dp_cap,TblMili[[#This Row],[Homeland%]]/druid_dp_bonus))</f>
        <v>2</v>
      </c>
      <c r="CB116" s="265">
        <f ca="1">MIN(dryad_cap,TblMili[[#This Row],[Homeland%]]/dryad_bonus)</f>
        <v>2.1999999999999997</v>
      </c>
      <c r="CC116" s="265">
        <f ca="1">MIN(rocka_cap,TblMili[[#This Row],[Homeland%]]/rocka_bonus)</f>
        <v>2</v>
      </c>
      <c r="CD116" s="265">
        <f ca="1">MIN(adept_op_cap,TblMili[[#This Row],[WG]]/adept_op_bonus)</f>
        <v>0</v>
      </c>
      <c r="CE116" s="265">
        <f ca="1">MIN(adept_dp_cap,TblMili[[#This Row],[WG]]/adept_dp_bonus)</f>
        <v>0</v>
      </c>
      <c r="CF116" s="96">
        <f ca="1">MIN(TblMili[[#This Row],[Unit 3]],TblMili[[#This Row],[Unit 2]])*2</f>
        <v>0</v>
      </c>
      <c r="CG116" s="96">
        <f ca="1">MIN(TblMili[[#This Row],[Unit 1]],TblMili[[#This Row],[Unit 4]])*2</f>
        <v>0</v>
      </c>
      <c r="CH116" s="265">
        <f ca="1">MIN(frost_mage_cap,TblMili[[#This Row],[Homeland%]]/frost_mage_bonus)</f>
        <v>2.1999999999999997</v>
      </c>
      <c r="CI116" s="45">
        <f ca="1">MIN(ice_elem_cap,TblMili[[#This Row],[Raw (2)]]*ice_elem_bonus)</f>
        <v>0.1</v>
      </c>
      <c r="CJ116" s="265">
        <f t="shared" si="4"/>
        <v>0.83333333333333337</v>
      </c>
      <c r="CK116" s="265">
        <f ca="1">MIN(nox_nightshade_cap,TblConstr[[#This Row],[Homeland]]/TblConstr[[#This Row],[Land]]/nox_nightshade_swamp_bonus)</f>
        <v>4</v>
      </c>
      <c r="CL116" s="265">
        <f ca="1">MIN(TblConstr[[#This Row],[Tot Tow]]/TblConstr[[#This Row],[Land]]/abyss_enforce_bonus,abyss_enforcer_cap)</f>
        <v>0</v>
      </c>
      <c r="CM116" s="265">
        <f ca="1">IF(TblMagic[[#This Row],[Active Demonic Pact]]&gt;0,MIN(TblMili[[#This Row],[Unit 1]],TblMili[[#This Row],[Unit 4]])*demonic_pact_oppair,0)</f>
        <v>0</v>
      </c>
      <c r="CN116" s="266"/>
      <c r="CO116" s="266"/>
      <c r="CP116" s="266"/>
      <c r="CQ116" s="265">
        <f ca="1">MIN(6,TblMili[[#This Row],[Mystic]]+Races!$F$19)*1.8 +  IF(TblMili[[#This Row],[Mystic]]+Races!$F$19&gt;6,(TblMili[[#This Row],[Mystic]]+Races!$F$19-6)*0.2,0) - Races!$I$19</f>
        <v>1</v>
      </c>
      <c r="CR1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-0.64000000000000057</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4.7099999999999991</v>
      </c>
      <c r="DA116" s="157">
        <f ca="1">1.8 * MIN(MAX(TblMili[[#This Row],[Ice Elemental]]+Races!$E$71,Races!$F$71),6)  +  0.45 * MIN(MIN(TblMili[[#This Row],[Ice Elemental]]+Races!$E$71,Races!$F$71),6)  +  0.2 * ( MAX(TblMili[[#This Row],[Ice Elemental]]+Races!$E$71-6,0) + MAX(Races!$F$71-6,0) )  -  Races!$I$71</f>
        <v>0.92999999999999972</v>
      </c>
      <c r="DB116" s="96">
        <f ca="1">TblMili[[#This Row],[Frost Mage bonus]]*TblMili[[#This Row],[Unit 3]]+TblMili[[#This Row],[Ice Elemental bonus]]*TblMili[[#This Row],[Unit 4]]</f>
        <v>0</v>
      </c>
      <c r="DC116" s="267"/>
      <c r="DD116" s="145">
        <f ca="1">MIN(SUM(TblConstr[[#This Row],[Plain]:[Water]])/TblMili[[#This Row],[Land]]/favorable_terrain_bonus/100,favorable_terrain_max)</f>
        <v>0.1</v>
      </c>
      <c r="DE116" s="267"/>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6" s="144"/>
      <c r="DH116" s="268">
        <f ca="1">(TblMili[[#This Row],[Wizards]]+2*TblMili[[#This Row],[Archmages]])/TblConstr[[#This Row],[Land]]</f>
        <v>0.1</v>
      </c>
      <c r="DI116" s="268">
        <f ca="1">TblMili[[#This Row],[Raw (2)]]*(1+race_wizard_strength+IF(TblMili[[#This Row],[Hour]]&gt;72,tech_magical_weaponry_wiz*TblTech[[#This Row],[3-5]],0))</f>
        <v>0.1</v>
      </c>
    </row>
    <row r="117" spans="1:113" x14ac:dyDescent="0.2">
      <c r="A117" s="139">
        <f>TblRezone[[#This Row],[Hour]]</f>
        <v>114</v>
      </c>
      <c r="B117" s="260">
        <f ca="1">SUM(TblMili[[#This Row],[Unit 1]:[Archmages]])+SUM(OFFSET(TblMili[[#This Row],[Train Unit 1]],-8,0):TblMili[[#This Row],[Train Unit 2]]) + SUM(OFFSET(TblMili[[#This Row],[Train Unit 3]],-11,0):TblMili[[#This Row],[Train AM]]) + TblMili[[#This Row],[Draftees]]</f>
        <v>826</v>
      </c>
      <c r="C117" s="159">
        <f ca="1">TblPop[[#This Row],[Military%]]</f>
        <v>0.35029686174724345</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4"/>
      <c r="N117" s="96">
        <f ca="1">TblProd[[#This Row],[Networth]]</f>
        <v>6450</v>
      </c>
      <c r="O117" s="144"/>
      <c r="P1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1">
        <f ca="1">TblMili[[#This Row],[Raw]]*(1+TblMili[[#This Row],[Mods_Off]])</f>
        <v>0</v>
      </c>
      <c r="S1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7" s="261">
        <f ca="1">TblMili[[#This Row],[Non Draft]]+TblMili[[#This Row],[Draftees]]</f>
        <v>1076</v>
      </c>
      <c r="U117" s="262">
        <f ca="1">race_defense + TblImps[[#This Row],[Walls]] + ROUND( MIN(gt_bonus*TblConstr[[#This Row],[Tot GT]]/TblConstr[[#This Row],[Land]],gt_bonus_cap), 4) + IF(TblMagic[[#This Row],[Active Howling]]&gt;0,howling_dp_bonus,IF(TblMagic[[#This Row],[Active Ares Call]]&gt;0,ares_call_bonus))</f>
        <v>0</v>
      </c>
      <c r="V117" s="263">
        <f ca="1">TblMili[[#This Row],[Non Draft]] * (1 + TblMili[[#This Row],[Mods_Def]])</f>
        <v>450</v>
      </c>
      <c r="W117" s="261">
        <f ca="1">TblMili[[#This Row],[Draft]] * (1 + TblMili[[#This Row],[Mods_Def]])</f>
        <v>1076</v>
      </c>
      <c r="X117" s="261">
        <f ca="1">TblConstr[[#This Row],[Land]]</f>
        <v>250</v>
      </c>
      <c r="Y117" s="264"/>
      <c r="Z117" s="269">
        <f ca="1">IF(TblMili[[#This Row],[Set]]&lt;&gt;"",TblMili[[#This Row],[Set]],OFFSET(TblMili[[#This Row],[Draftrate]],-1,0))</f>
        <v>0.35</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6"/>
      <c r="AC117" s="182">
        <f ca="1">(TblConstr[[#This Row],[Tot Smi]]+TblConstr[[#This Row],[Dest Smi]])/(TblConstr[[#This Row],[Land]]-TblExplore[[#This Row],[Land Bonus]]*20)</f>
        <v>0</v>
      </c>
      <c r="AD117" s="139"/>
      <c r="AE117" s="260">
        <f>TblMili[[#This Row],[Hour]]</f>
        <v>114</v>
      </c>
      <c r="AF117" s="140">
        <f ca="1">TblExplore[[#This Row],[Time]]</f>
        <v>45736.708333333059</v>
      </c>
      <c r="AG117" s="181"/>
      <c r="AH117" s="181"/>
      <c r="AI117" s="181"/>
      <c r="AJ117" s="181"/>
      <c r="AK117" s="181"/>
      <c r="AL117" s="181"/>
      <c r="AM117" s="181"/>
      <c r="AN117" s="181"/>
      <c r="AO117" s="448">
        <f ca="1">ROUND(IF(AND(TblMagic[[#This Row],[Active DnD]]&lt;12,TblMagic[[#This Row],[Active DnD]]&gt;5),OFFSET(TblPop[[#This Row],[Draft Growth]],-1,0)*0.375,0),0)</f>
        <v>0</v>
      </c>
      <c r="AP117" s="144"/>
      <c r="AQ117" s="96">
        <f ca="1">TblProd[[#This Row],[Platinum]]</f>
        <v>740796</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45736.708333333059</v>
      </c>
      <c r="AW117" s="96">
        <f ca="1">TblMili[[#This Row],[Draftees]]</f>
        <v>626</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0.44</v>
      </c>
      <c r="BX117" s="159">
        <f ca="1">TblMili[[#This Row],[WG''s]]</f>
        <v>0</v>
      </c>
      <c r="BY117" s="265">
        <f ca="1">IF(mystic_cap="none",TblMili[[#This Row],[Homeland%]]/mystic_bonus,MIN(mystic_cap,TblMili[[#This Row],[Homeland%]]/mystic_bonus))</f>
        <v>2</v>
      </c>
      <c r="BZ117" s="265">
        <f ca="1">IF(druid_op_cap="none",TblMili[[#This Row],[Homeland%]]/druid_op_bonus,MIN(druid_op_cap,TblMili[[#This Row],[Homeland%]]/druid_op_bonus))</f>
        <v>2</v>
      </c>
      <c r="CA117" s="265">
        <f ca="1">IF(druid_dp_cap="none",TblMili[[#This Row],[Homeland%]]/druid_dp_bonus,MIN(druid_dp_cap,TblMili[[#This Row],[Homeland%]]/druid_dp_bonus))</f>
        <v>2</v>
      </c>
      <c r="CB117" s="265">
        <f ca="1">MIN(dryad_cap,TblMili[[#This Row],[Homeland%]]/dryad_bonus)</f>
        <v>2.1999999999999997</v>
      </c>
      <c r="CC117" s="265">
        <f ca="1">MIN(rocka_cap,TblMili[[#This Row],[Homeland%]]/rocka_bonus)</f>
        <v>2</v>
      </c>
      <c r="CD117" s="265">
        <f ca="1">MIN(adept_op_cap,TblMili[[#This Row],[WG]]/adept_op_bonus)</f>
        <v>0</v>
      </c>
      <c r="CE117" s="265">
        <f ca="1">MIN(adept_dp_cap,TblMili[[#This Row],[WG]]/adept_dp_bonus)</f>
        <v>0</v>
      </c>
      <c r="CF117" s="96">
        <f ca="1">MIN(TblMili[[#This Row],[Unit 3]],TblMili[[#This Row],[Unit 2]])*2</f>
        <v>0</v>
      </c>
      <c r="CG117" s="96">
        <f ca="1">MIN(TblMili[[#This Row],[Unit 1]],TblMili[[#This Row],[Unit 4]])*2</f>
        <v>0</v>
      </c>
      <c r="CH117" s="265">
        <f ca="1">MIN(frost_mage_cap,TblMili[[#This Row],[Homeland%]]/frost_mage_bonus)</f>
        <v>2.1999999999999997</v>
      </c>
      <c r="CI117" s="45">
        <f ca="1">MIN(ice_elem_cap,TblMili[[#This Row],[Raw (2)]]*ice_elem_bonus)</f>
        <v>0.1</v>
      </c>
      <c r="CJ117" s="265">
        <f t="shared" si="4"/>
        <v>0.83333333333333337</v>
      </c>
      <c r="CK117" s="265">
        <f ca="1">MIN(nox_nightshade_cap,TblConstr[[#This Row],[Homeland]]/TblConstr[[#This Row],[Land]]/nox_nightshade_swamp_bonus)</f>
        <v>4</v>
      </c>
      <c r="CL117" s="265">
        <f ca="1">MIN(TblConstr[[#This Row],[Tot Tow]]/TblConstr[[#This Row],[Land]]/abyss_enforce_bonus,abyss_enforcer_cap)</f>
        <v>0</v>
      </c>
      <c r="CM117" s="265">
        <f ca="1">IF(TblMagic[[#This Row],[Active Demonic Pact]]&gt;0,MIN(TblMili[[#This Row],[Unit 1]],TblMili[[#This Row],[Unit 4]])*demonic_pact_oppair,0)</f>
        <v>0</v>
      </c>
      <c r="CN117" s="266"/>
      <c r="CO117" s="266"/>
      <c r="CP117" s="266"/>
      <c r="CQ117" s="265">
        <f ca="1">MIN(6,TblMili[[#This Row],[Mystic]]+Races!$F$19)*1.8 +  IF(TblMili[[#This Row],[Mystic]]+Races!$F$19&gt;6,(TblMili[[#This Row],[Mystic]]+Races!$F$19-6)*0.2,0) - Races!$I$19</f>
        <v>1</v>
      </c>
      <c r="CR1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-0.64000000000000057</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4.7099999999999991</v>
      </c>
      <c r="DA117" s="157">
        <f ca="1">1.8 * MIN(MAX(TblMili[[#This Row],[Ice Elemental]]+Races!$E$71,Races!$F$71),6)  +  0.45 * MIN(MIN(TblMili[[#This Row],[Ice Elemental]]+Races!$E$71,Races!$F$71),6)  +  0.2 * ( MAX(TblMili[[#This Row],[Ice Elemental]]+Races!$E$71-6,0) + MAX(Races!$F$71-6,0) )  -  Races!$I$71</f>
        <v>0.92999999999999972</v>
      </c>
      <c r="DB117" s="96">
        <f ca="1">TblMili[[#This Row],[Frost Mage bonus]]*TblMili[[#This Row],[Unit 3]]+TblMili[[#This Row],[Ice Elemental bonus]]*TblMili[[#This Row],[Unit 4]]</f>
        <v>0</v>
      </c>
      <c r="DC117" s="267"/>
      <c r="DD117" s="145">
        <f ca="1">MIN(SUM(TblConstr[[#This Row],[Plain]:[Water]])/TblMili[[#This Row],[Land]]/favorable_terrain_bonus/100,favorable_terrain_max)</f>
        <v>0.1</v>
      </c>
      <c r="DE117" s="267"/>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7" s="144"/>
      <c r="DH117" s="268">
        <f ca="1">(TblMili[[#This Row],[Wizards]]+2*TblMili[[#This Row],[Archmages]])/TblConstr[[#This Row],[Land]]</f>
        <v>0.1</v>
      </c>
      <c r="DI117" s="268">
        <f ca="1">TblMili[[#This Row],[Raw (2)]]*(1+race_wizard_strength+IF(TblMili[[#This Row],[Hour]]&gt;72,tech_magical_weaponry_wiz*TblTech[[#This Row],[3-5]],0))</f>
        <v>0.1</v>
      </c>
    </row>
    <row r="118" spans="1:113" x14ac:dyDescent="0.2">
      <c r="A118" s="139">
        <f>TblRezone[[#This Row],[Hour]]</f>
        <v>115</v>
      </c>
      <c r="B118" s="260">
        <f ca="1">SUM(TblMili[[#This Row],[Unit 1]:[Archmages]])+SUM(OFFSET(TblMili[[#This Row],[Train Unit 1]],-8,0):TblMili[[#This Row],[Train Unit 2]]) + SUM(OFFSET(TblMili[[#This Row],[Train Unit 3]],-11,0):TblMili[[#This Row],[Train AM]]) + TblMili[[#This Row],[Draftees]]</f>
        <v>826</v>
      </c>
      <c r="C118" s="159">
        <f ca="1">TblPop[[#This Row],[Military%]]</f>
        <v>0.35029686174724345</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4"/>
      <c r="N118" s="96">
        <f ca="1">TblProd[[#This Row],[Networth]]</f>
        <v>6450</v>
      </c>
      <c r="O118" s="144"/>
      <c r="P1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1">
        <f ca="1">TblMili[[#This Row],[Raw]]*(1+TblMili[[#This Row],[Mods_Off]])</f>
        <v>0</v>
      </c>
      <c r="S1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8" s="261">
        <f ca="1">TblMili[[#This Row],[Non Draft]]+TblMili[[#This Row],[Draftees]]</f>
        <v>1076</v>
      </c>
      <c r="U118" s="262">
        <f ca="1">race_defense + TblImps[[#This Row],[Walls]] + ROUND( MIN(gt_bonus*TblConstr[[#This Row],[Tot GT]]/TblConstr[[#This Row],[Land]],gt_bonus_cap), 4) + IF(TblMagic[[#This Row],[Active Howling]]&gt;0,howling_dp_bonus,IF(TblMagic[[#This Row],[Active Ares Call]]&gt;0,ares_call_bonus))</f>
        <v>0</v>
      </c>
      <c r="V118" s="263">
        <f ca="1">TblMili[[#This Row],[Non Draft]] * (1 + TblMili[[#This Row],[Mods_Def]])</f>
        <v>450</v>
      </c>
      <c r="W118" s="261">
        <f ca="1">TblMili[[#This Row],[Draft]] * (1 + TblMili[[#This Row],[Mods_Def]])</f>
        <v>1076</v>
      </c>
      <c r="X118" s="261">
        <f ca="1">TblConstr[[#This Row],[Land]]</f>
        <v>250</v>
      </c>
      <c r="Y118" s="264"/>
      <c r="Z118" s="269">
        <f ca="1">IF(TblMili[[#This Row],[Set]]&lt;&gt;"",TblMili[[#This Row],[Set]],OFFSET(TblMili[[#This Row],[Draftrate]],-1,0))</f>
        <v>0.35</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6"/>
      <c r="AC118" s="182">
        <f ca="1">(TblConstr[[#This Row],[Tot Smi]]+TblConstr[[#This Row],[Dest Smi]])/(TblConstr[[#This Row],[Land]]-TblExplore[[#This Row],[Land Bonus]]*20)</f>
        <v>0</v>
      </c>
      <c r="AD118" s="139"/>
      <c r="AE118" s="260">
        <f>TblMili[[#This Row],[Hour]]</f>
        <v>115</v>
      </c>
      <c r="AF118" s="140">
        <f ca="1">TblExplore[[#This Row],[Time]]</f>
        <v>45736.749999999724</v>
      </c>
      <c r="AG118" s="181"/>
      <c r="AH118" s="181"/>
      <c r="AI118" s="181"/>
      <c r="AJ118" s="181"/>
      <c r="AK118" s="181"/>
      <c r="AL118" s="181"/>
      <c r="AM118" s="181"/>
      <c r="AN118" s="181"/>
      <c r="AO118" s="448">
        <f ca="1">ROUND(IF(AND(TblMagic[[#This Row],[Active DnD]]&lt;12,TblMagic[[#This Row],[Active DnD]]&gt;5),OFFSET(TblPop[[#This Row],[Draft Growth]],-1,0)*0.375,0),0)</f>
        <v>0</v>
      </c>
      <c r="AP118" s="144"/>
      <c r="AQ118" s="96">
        <f ca="1">TblProd[[#This Row],[Platinum]]</f>
        <v>746282</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45736.749999999724</v>
      </c>
      <c r="AW118" s="96">
        <f ca="1">TblMili[[#This Row],[Draftees]]</f>
        <v>626</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0.44</v>
      </c>
      <c r="BX118" s="159">
        <f ca="1">TblMili[[#This Row],[WG''s]]</f>
        <v>0</v>
      </c>
      <c r="BY118" s="265">
        <f ca="1">IF(mystic_cap="none",TblMili[[#This Row],[Homeland%]]/mystic_bonus,MIN(mystic_cap,TblMili[[#This Row],[Homeland%]]/mystic_bonus))</f>
        <v>2</v>
      </c>
      <c r="BZ118" s="265">
        <f ca="1">IF(druid_op_cap="none",TblMili[[#This Row],[Homeland%]]/druid_op_bonus,MIN(druid_op_cap,TblMili[[#This Row],[Homeland%]]/druid_op_bonus))</f>
        <v>2</v>
      </c>
      <c r="CA118" s="265">
        <f ca="1">IF(druid_dp_cap="none",TblMili[[#This Row],[Homeland%]]/druid_dp_bonus,MIN(druid_dp_cap,TblMili[[#This Row],[Homeland%]]/druid_dp_bonus))</f>
        <v>2</v>
      </c>
      <c r="CB118" s="265">
        <f ca="1">MIN(dryad_cap,TblMili[[#This Row],[Homeland%]]/dryad_bonus)</f>
        <v>2.1999999999999997</v>
      </c>
      <c r="CC118" s="265">
        <f ca="1">MIN(rocka_cap,TblMili[[#This Row],[Homeland%]]/rocka_bonus)</f>
        <v>2</v>
      </c>
      <c r="CD118" s="265">
        <f ca="1">MIN(adept_op_cap,TblMili[[#This Row],[WG]]/adept_op_bonus)</f>
        <v>0</v>
      </c>
      <c r="CE118" s="265">
        <f ca="1">MIN(adept_dp_cap,TblMili[[#This Row],[WG]]/adept_dp_bonus)</f>
        <v>0</v>
      </c>
      <c r="CF118" s="96">
        <f ca="1">MIN(TblMili[[#This Row],[Unit 3]],TblMili[[#This Row],[Unit 2]])*2</f>
        <v>0</v>
      </c>
      <c r="CG118" s="96">
        <f ca="1">MIN(TblMili[[#This Row],[Unit 1]],TblMili[[#This Row],[Unit 4]])*2</f>
        <v>0</v>
      </c>
      <c r="CH118" s="265">
        <f ca="1">MIN(frost_mage_cap,TblMili[[#This Row],[Homeland%]]/frost_mage_bonus)</f>
        <v>2.1999999999999997</v>
      </c>
      <c r="CI118" s="45">
        <f ca="1">MIN(ice_elem_cap,TblMili[[#This Row],[Raw (2)]]*ice_elem_bonus)</f>
        <v>0.1</v>
      </c>
      <c r="CJ118" s="265">
        <f t="shared" si="4"/>
        <v>0.83333333333333337</v>
      </c>
      <c r="CK118" s="265">
        <f ca="1">MIN(nox_nightshade_cap,TblConstr[[#This Row],[Homeland]]/TblConstr[[#This Row],[Land]]/nox_nightshade_swamp_bonus)</f>
        <v>4</v>
      </c>
      <c r="CL118" s="265">
        <f ca="1">MIN(TblConstr[[#This Row],[Tot Tow]]/TblConstr[[#This Row],[Land]]/abyss_enforce_bonus,abyss_enforcer_cap)</f>
        <v>0</v>
      </c>
      <c r="CM118" s="265">
        <f ca="1">IF(TblMagic[[#This Row],[Active Demonic Pact]]&gt;0,MIN(TblMili[[#This Row],[Unit 1]],TblMili[[#This Row],[Unit 4]])*demonic_pact_oppair,0)</f>
        <v>0</v>
      </c>
      <c r="CN118" s="266"/>
      <c r="CO118" s="266"/>
      <c r="CP118" s="266"/>
      <c r="CQ118" s="265">
        <f ca="1">MIN(6,TblMili[[#This Row],[Mystic]]+Races!$F$19)*1.8 +  IF(TblMili[[#This Row],[Mystic]]+Races!$F$19&gt;6,(TblMili[[#This Row],[Mystic]]+Races!$F$19-6)*0.2,0) - Races!$I$19</f>
        <v>1</v>
      </c>
      <c r="CR1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-0.64000000000000057</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4.7099999999999991</v>
      </c>
      <c r="DA118" s="157">
        <f ca="1">1.8 * MIN(MAX(TblMili[[#This Row],[Ice Elemental]]+Races!$E$71,Races!$F$71),6)  +  0.45 * MIN(MIN(TblMili[[#This Row],[Ice Elemental]]+Races!$E$71,Races!$F$71),6)  +  0.2 * ( MAX(TblMili[[#This Row],[Ice Elemental]]+Races!$E$71-6,0) + MAX(Races!$F$71-6,0) )  -  Races!$I$71</f>
        <v>0.92999999999999972</v>
      </c>
      <c r="DB118" s="96">
        <f ca="1">TblMili[[#This Row],[Frost Mage bonus]]*TblMili[[#This Row],[Unit 3]]+TblMili[[#This Row],[Ice Elemental bonus]]*TblMili[[#This Row],[Unit 4]]</f>
        <v>0</v>
      </c>
      <c r="DC118" s="267"/>
      <c r="DD118" s="145">
        <f ca="1">MIN(SUM(TblConstr[[#This Row],[Plain]:[Water]])/TblMili[[#This Row],[Land]]/favorable_terrain_bonus/100,favorable_terrain_max)</f>
        <v>0.1</v>
      </c>
      <c r="DE118" s="267"/>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8" s="144"/>
      <c r="DH118" s="268">
        <f ca="1">(TblMili[[#This Row],[Wizards]]+2*TblMili[[#This Row],[Archmages]])/TblConstr[[#This Row],[Land]]</f>
        <v>0.1</v>
      </c>
      <c r="DI118" s="268">
        <f ca="1">TblMili[[#This Row],[Raw (2)]]*(1+race_wizard_strength+IF(TblMili[[#This Row],[Hour]]&gt;72,tech_magical_weaponry_wiz*TblTech[[#This Row],[3-5]],0))</f>
        <v>0.1</v>
      </c>
    </row>
    <row r="119" spans="1:113" x14ac:dyDescent="0.2">
      <c r="A119" s="139">
        <f>TblRezone[[#This Row],[Hour]]</f>
        <v>116</v>
      </c>
      <c r="B119" s="260">
        <f ca="1">SUM(TblMili[[#This Row],[Unit 1]:[Archmages]])+SUM(OFFSET(TblMili[[#This Row],[Train Unit 1]],-8,0):TblMili[[#This Row],[Train Unit 2]]) + SUM(OFFSET(TblMili[[#This Row],[Train Unit 3]],-11,0):TblMili[[#This Row],[Train AM]]) + TblMili[[#This Row],[Draftees]]</f>
        <v>826</v>
      </c>
      <c r="C119" s="159">
        <f ca="1">TblPop[[#This Row],[Military%]]</f>
        <v>0.35029686174724345</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4"/>
      <c r="N119" s="96">
        <f ca="1">TblProd[[#This Row],[Networth]]</f>
        <v>6450</v>
      </c>
      <c r="O119" s="144"/>
      <c r="P1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1">
        <f ca="1">TblMili[[#This Row],[Raw]]*(1+TblMili[[#This Row],[Mods_Off]])</f>
        <v>0</v>
      </c>
      <c r="S1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9" s="261">
        <f ca="1">TblMili[[#This Row],[Non Draft]]+TblMili[[#This Row],[Draftees]]</f>
        <v>1076</v>
      </c>
      <c r="U119" s="262">
        <f ca="1">race_defense + TblImps[[#This Row],[Walls]] + ROUND( MIN(gt_bonus*TblConstr[[#This Row],[Tot GT]]/TblConstr[[#This Row],[Land]],gt_bonus_cap), 4) + IF(TblMagic[[#This Row],[Active Howling]]&gt;0,howling_dp_bonus,IF(TblMagic[[#This Row],[Active Ares Call]]&gt;0,ares_call_bonus))</f>
        <v>0</v>
      </c>
      <c r="V119" s="263">
        <f ca="1">TblMili[[#This Row],[Non Draft]] * (1 + TblMili[[#This Row],[Mods_Def]])</f>
        <v>450</v>
      </c>
      <c r="W119" s="261">
        <f ca="1">TblMili[[#This Row],[Draft]] * (1 + TblMili[[#This Row],[Mods_Def]])</f>
        <v>1076</v>
      </c>
      <c r="X119" s="261">
        <f ca="1">TblConstr[[#This Row],[Land]]</f>
        <v>250</v>
      </c>
      <c r="Y119" s="264"/>
      <c r="Z119" s="269">
        <f ca="1">IF(TblMili[[#This Row],[Set]]&lt;&gt;"",TblMili[[#This Row],[Set]],OFFSET(TblMili[[#This Row],[Draftrate]],-1,0))</f>
        <v>0.35</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6"/>
      <c r="AC119" s="182">
        <f ca="1">(TblConstr[[#This Row],[Tot Smi]]+TblConstr[[#This Row],[Dest Smi]])/(TblConstr[[#This Row],[Land]]-TblExplore[[#This Row],[Land Bonus]]*20)</f>
        <v>0</v>
      </c>
      <c r="AD119" s="139"/>
      <c r="AE119" s="260">
        <f>TblMili[[#This Row],[Hour]]</f>
        <v>116</v>
      </c>
      <c r="AF119" s="140">
        <f ca="1">TblExplore[[#This Row],[Time]]</f>
        <v>45736.791666666388</v>
      </c>
      <c r="AG119" s="181"/>
      <c r="AH119" s="181"/>
      <c r="AI119" s="181"/>
      <c r="AJ119" s="181"/>
      <c r="AK119" s="181"/>
      <c r="AL119" s="181"/>
      <c r="AM119" s="181"/>
      <c r="AN119" s="181"/>
      <c r="AO119" s="448">
        <f ca="1">ROUND(IF(AND(TblMagic[[#This Row],[Active DnD]]&lt;12,TblMagic[[#This Row],[Active DnD]]&gt;5),OFFSET(TblPop[[#This Row],[Draft Growth]],-1,0)*0.375,0),0)</f>
        <v>0</v>
      </c>
      <c r="AP119" s="144"/>
      <c r="AQ119" s="96">
        <f ca="1">TblProd[[#This Row],[Platinum]]</f>
        <v>751768</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45736.791666666388</v>
      </c>
      <c r="AW119" s="96">
        <f ca="1">TblMili[[#This Row],[Draftees]]</f>
        <v>626</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0.44</v>
      </c>
      <c r="BX119" s="159">
        <f ca="1">TblMili[[#This Row],[WG''s]]</f>
        <v>0</v>
      </c>
      <c r="BY119" s="265">
        <f ca="1">IF(mystic_cap="none",TblMili[[#This Row],[Homeland%]]/mystic_bonus,MIN(mystic_cap,TblMili[[#This Row],[Homeland%]]/mystic_bonus))</f>
        <v>2</v>
      </c>
      <c r="BZ119" s="265">
        <f ca="1">IF(druid_op_cap="none",TblMili[[#This Row],[Homeland%]]/druid_op_bonus,MIN(druid_op_cap,TblMili[[#This Row],[Homeland%]]/druid_op_bonus))</f>
        <v>2</v>
      </c>
      <c r="CA119" s="265">
        <f ca="1">IF(druid_dp_cap="none",TblMili[[#This Row],[Homeland%]]/druid_dp_bonus,MIN(druid_dp_cap,TblMili[[#This Row],[Homeland%]]/druid_dp_bonus))</f>
        <v>2</v>
      </c>
      <c r="CB119" s="265">
        <f ca="1">MIN(dryad_cap,TblMili[[#This Row],[Homeland%]]/dryad_bonus)</f>
        <v>2.1999999999999997</v>
      </c>
      <c r="CC119" s="265">
        <f ca="1">MIN(rocka_cap,TblMili[[#This Row],[Homeland%]]/rocka_bonus)</f>
        <v>2</v>
      </c>
      <c r="CD119" s="265">
        <f ca="1">MIN(adept_op_cap,TblMili[[#This Row],[WG]]/adept_op_bonus)</f>
        <v>0</v>
      </c>
      <c r="CE119" s="265">
        <f ca="1">MIN(adept_dp_cap,TblMili[[#This Row],[WG]]/adept_dp_bonus)</f>
        <v>0</v>
      </c>
      <c r="CF119" s="96">
        <f ca="1">MIN(TblMili[[#This Row],[Unit 3]],TblMili[[#This Row],[Unit 2]])*2</f>
        <v>0</v>
      </c>
      <c r="CG119" s="96">
        <f ca="1">MIN(TblMili[[#This Row],[Unit 1]],TblMili[[#This Row],[Unit 4]])*2</f>
        <v>0</v>
      </c>
      <c r="CH119" s="265">
        <f ca="1">MIN(frost_mage_cap,TblMili[[#This Row],[Homeland%]]/frost_mage_bonus)</f>
        <v>2.1999999999999997</v>
      </c>
      <c r="CI119" s="45">
        <f ca="1">MIN(ice_elem_cap,TblMili[[#This Row],[Raw (2)]]*ice_elem_bonus)</f>
        <v>0.1</v>
      </c>
      <c r="CJ119" s="265">
        <f t="shared" si="4"/>
        <v>0.83333333333333337</v>
      </c>
      <c r="CK119" s="265">
        <f ca="1">MIN(nox_nightshade_cap,TblConstr[[#This Row],[Homeland]]/TblConstr[[#This Row],[Land]]/nox_nightshade_swamp_bonus)</f>
        <v>4</v>
      </c>
      <c r="CL119" s="265">
        <f ca="1">MIN(TblConstr[[#This Row],[Tot Tow]]/TblConstr[[#This Row],[Land]]/abyss_enforce_bonus,abyss_enforcer_cap)</f>
        <v>0</v>
      </c>
      <c r="CM119" s="265">
        <f ca="1">IF(TblMagic[[#This Row],[Active Demonic Pact]]&gt;0,MIN(TblMili[[#This Row],[Unit 1]],TblMili[[#This Row],[Unit 4]])*demonic_pact_oppair,0)</f>
        <v>0</v>
      </c>
      <c r="CN119" s="266"/>
      <c r="CO119" s="266"/>
      <c r="CP119" s="266"/>
      <c r="CQ119" s="265">
        <f ca="1">MIN(6,TblMili[[#This Row],[Mystic]]+Races!$F$19)*1.8 +  IF(TblMili[[#This Row],[Mystic]]+Races!$F$19&gt;6,(TblMili[[#This Row],[Mystic]]+Races!$F$19-6)*0.2,0) - Races!$I$19</f>
        <v>1</v>
      </c>
      <c r="CR1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-0.64000000000000057</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4.7099999999999991</v>
      </c>
      <c r="DA119" s="157">
        <f ca="1">1.8 * MIN(MAX(TblMili[[#This Row],[Ice Elemental]]+Races!$E$71,Races!$F$71),6)  +  0.45 * MIN(MIN(TblMili[[#This Row],[Ice Elemental]]+Races!$E$71,Races!$F$71),6)  +  0.2 * ( MAX(TblMili[[#This Row],[Ice Elemental]]+Races!$E$71-6,0) + MAX(Races!$F$71-6,0) )  -  Races!$I$71</f>
        <v>0.92999999999999972</v>
      </c>
      <c r="DB119" s="96">
        <f ca="1">TblMili[[#This Row],[Frost Mage bonus]]*TblMili[[#This Row],[Unit 3]]+TblMili[[#This Row],[Ice Elemental bonus]]*TblMili[[#This Row],[Unit 4]]</f>
        <v>0</v>
      </c>
      <c r="DC119" s="267"/>
      <c r="DD119" s="145">
        <f ca="1">MIN(SUM(TblConstr[[#This Row],[Plain]:[Water]])/TblMili[[#This Row],[Land]]/favorable_terrain_bonus/100,favorable_terrain_max)</f>
        <v>0.1</v>
      </c>
      <c r="DE119" s="267"/>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9" s="144"/>
      <c r="DH119" s="268">
        <f ca="1">(TblMili[[#This Row],[Wizards]]+2*TblMili[[#This Row],[Archmages]])/TblConstr[[#This Row],[Land]]</f>
        <v>0.1</v>
      </c>
      <c r="DI119" s="268">
        <f ca="1">TblMili[[#This Row],[Raw (2)]]*(1+race_wizard_strength+IF(TblMili[[#This Row],[Hour]]&gt;72,tech_magical_weaponry_wiz*TblTech[[#This Row],[3-5]],0))</f>
        <v>0.1</v>
      </c>
    </row>
    <row r="120" spans="1:113" x14ac:dyDescent="0.2">
      <c r="A120" s="139">
        <f>TblRezone[[#This Row],[Hour]]</f>
        <v>117</v>
      </c>
      <c r="B120" s="260">
        <f ca="1">SUM(TblMili[[#This Row],[Unit 1]:[Archmages]])+SUM(OFFSET(TblMili[[#This Row],[Train Unit 1]],-8,0):TblMili[[#This Row],[Train Unit 2]]) + SUM(OFFSET(TblMili[[#This Row],[Train Unit 3]],-11,0):TblMili[[#This Row],[Train AM]]) + TblMili[[#This Row],[Draftees]]</f>
        <v>826</v>
      </c>
      <c r="C120" s="159">
        <f ca="1">TblPop[[#This Row],[Military%]]</f>
        <v>0.35029686174724345</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4"/>
      <c r="N120" s="96">
        <f ca="1">TblProd[[#This Row],[Networth]]</f>
        <v>6450</v>
      </c>
      <c r="O120" s="144"/>
      <c r="P1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1">
        <f ca="1">TblMili[[#This Row],[Raw]]*(1+TblMili[[#This Row],[Mods_Off]])</f>
        <v>0</v>
      </c>
      <c r="S1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0" s="261">
        <f ca="1">TblMili[[#This Row],[Non Draft]]+TblMili[[#This Row],[Draftees]]</f>
        <v>1076</v>
      </c>
      <c r="U120" s="262">
        <f ca="1">race_defense + TblImps[[#This Row],[Walls]] + ROUND( MIN(gt_bonus*TblConstr[[#This Row],[Tot GT]]/TblConstr[[#This Row],[Land]],gt_bonus_cap), 4) + IF(TblMagic[[#This Row],[Active Howling]]&gt;0,howling_dp_bonus,IF(TblMagic[[#This Row],[Active Ares Call]]&gt;0,ares_call_bonus))</f>
        <v>0</v>
      </c>
      <c r="V120" s="263">
        <f ca="1">TblMili[[#This Row],[Non Draft]] * (1 + TblMili[[#This Row],[Mods_Def]])</f>
        <v>450</v>
      </c>
      <c r="W120" s="261">
        <f ca="1">TblMili[[#This Row],[Draft]] * (1 + TblMili[[#This Row],[Mods_Def]])</f>
        <v>1076</v>
      </c>
      <c r="X120" s="261">
        <f ca="1">TblConstr[[#This Row],[Land]]</f>
        <v>250</v>
      </c>
      <c r="Y120" s="264"/>
      <c r="Z120" s="269">
        <f ca="1">IF(TblMili[[#This Row],[Set]]&lt;&gt;"",TblMili[[#This Row],[Set]],OFFSET(TblMili[[#This Row],[Draftrate]],-1,0))</f>
        <v>0.35</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6"/>
      <c r="AC120" s="182">
        <f ca="1">(TblConstr[[#This Row],[Tot Smi]]+TblConstr[[#This Row],[Dest Smi]])/(TblConstr[[#This Row],[Land]]-TblExplore[[#This Row],[Land Bonus]]*20)</f>
        <v>0</v>
      </c>
      <c r="AD120" s="139"/>
      <c r="AE120" s="260">
        <f>TblMili[[#This Row],[Hour]]</f>
        <v>117</v>
      </c>
      <c r="AF120" s="140">
        <f ca="1">TblExplore[[#This Row],[Time]]</f>
        <v>45736.833333333052</v>
      </c>
      <c r="AG120" s="181"/>
      <c r="AH120" s="181"/>
      <c r="AI120" s="181"/>
      <c r="AJ120" s="181"/>
      <c r="AK120" s="181"/>
      <c r="AL120" s="181"/>
      <c r="AM120" s="181"/>
      <c r="AN120" s="181"/>
      <c r="AO120" s="448">
        <f ca="1">ROUND(IF(AND(TblMagic[[#This Row],[Active DnD]]&lt;12,TblMagic[[#This Row],[Active DnD]]&gt;5),OFFSET(TblPop[[#This Row],[Draft Growth]],-1,0)*0.375,0),0)</f>
        <v>0</v>
      </c>
      <c r="AP120" s="144"/>
      <c r="AQ120" s="96">
        <f ca="1">TblProd[[#This Row],[Platinum]]</f>
        <v>757254</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45736.833333333052</v>
      </c>
      <c r="AW120" s="96">
        <f ca="1">TblMili[[#This Row],[Draftees]]</f>
        <v>626</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0.44</v>
      </c>
      <c r="BX120" s="159">
        <f ca="1">TblMili[[#This Row],[WG''s]]</f>
        <v>0</v>
      </c>
      <c r="BY120" s="265">
        <f ca="1">IF(mystic_cap="none",TblMili[[#This Row],[Homeland%]]/mystic_bonus,MIN(mystic_cap,TblMili[[#This Row],[Homeland%]]/mystic_bonus))</f>
        <v>2</v>
      </c>
      <c r="BZ120" s="265">
        <f ca="1">IF(druid_op_cap="none",TblMili[[#This Row],[Homeland%]]/druid_op_bonus,MIN(druid_op_cap,TblMili[[#This Row],[Homeland%]]/druid_op_bonus))</f>
        <v>2</v>
      </c>
      <c r="CA120" s="265">
        <f ca="1">IF(druid_dp_cap="none",TblMili[[#This Row],[Homeland%]]/druid_dp_bonus,MIN(druid_dp_cap,TblMili[[#This Row],[Homeland%]]/druid_dp_bonus))</f>
        <v>2</v>
      </c>
      <c r="CB120" s="265">
        <f ca="1">MIN(dryad_cap,TblMili[[#This Row],[Homeland%]]/dryad_bonus)</f>
        <v>2.1999999999999997</v>
      </c>
      <c r="CC120" s="265">
        <f ca="1">MIN(rocka_cap,TblMili[[#This Row],[Homeland%]]/rocka_bonus)</f>
        <v>2</v>
      </c>
      <c r="CD120" s="265">
        <f ca="1">MIN(adept_op_cap,TblMili[[#This Row],[WG]]/adept_op_bonus)</f>
        <v>0</v>
      </c>
      <c r="CE120" s="265">
        <f ca="1">MIN(adept_dp_cap,TblMili[[#This Row],[WG]]/adept_dp_bonus)</f>
        <v>0</v>
      </c>
      <c r="CF120" s="96">
        <f ca="1">MIN(TblMili[[#This Row],[Unit 3]],TblMili[[#This Row],[Unit 2]])*2</f>
        <v>0</v>
      </c>
      <c r="CG120" s="96">
        <f ca="1">MIN(TblMili[[#This Row],[Unit 1]],TblMili[[#This Row],[Unit 4]])*2</f>
        <v>0</v>
      </c>
      <c r="CH120" s="265">
        <f ca="1">MIN(frost_mage_cap,TblMili[[#This Row],[Homeland%]]/frost_mage_bonus)</f>
        <v>2.1999999999999997</v>
      </c>
      <c r="CI120" s="45">
        <f ca="1">MIN(ice_elem_cap,TblMili[[#This Row],[Raw (2)]]*ice_elem_bonus)</f>
        <v>0.1</v>
      </c>
      <c r="CJ120" s="265">
        <f t="shared" si="4"/>
        <v>0.83333333333333337</v>
      </c>
      <c r="CK120" s="265">
        <f ca="1">MIN(nox_nightshade_cap,TblConstr[[#This Row],[Homeland]]/TblConstr[[#This Row],[Land]]/nox_nightshade_swamp_bonus)</f>
        <v>4</v>
      </c>
      <c r="CL120" s="265">
        <f ca="1">MIN(TblConstr[[#This Row],[Tot Tow]]/TblConstr[[#This Row],[Land]]/abyss_enforce_bonus,abyss_enforcer_cap)</f>
        <v>0</v>
      </c>
      <c r="CM120" s="265">
        <f ca="1">IF(TblMagic[[#This Row],[Active Demonic Pact]]&gt;0,MIN(TblMili[[#This Row],[Unit 1]],TblMili[[#This Row],[Unit 4]])*demonic_pact_oppair,0)</f>
        <v>0</v>
      </c>
      <c r="CN120" s="266"/>
      <c r="CO120" s="266"/>
      <c r="CP120" s="266"/>
      <c r="CQ120" s="265">
        <f ca="1">MIN(6,TblMili[[#This Row],[Mystic]]+Races!$F$19)*1.8 +  IF(TblMili[[#This Row],[Mystic]]+Races!$F$19&gt;6,(TblMili[[#This Row],[Mystic]]+Races!$F$19-6)*0.2,0) - Races!$I$19</f>
        <v>1</v>
      </c>
      <c r="CR1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-0.64000000000000057</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4.7099999999999991</v>
      </c>
      <c r="DA120" s="157">
        <f ca="1">1.8 * MIN(MAX(TblMili[[#This Row],[Ice Elemental]]+Races!$E$71,Races!$F$71),6)  +  0.45 * MIN(MIN(TblMili[[#This Row],[Ice Elemental]]+Races!$E$71,Races!$F$71),6)  +  0.2 * ( MAX(TblMili[[#This Row],[Ice Elemental]]+Races!$E$71-6,0) + MAX(Races!$F$71-6,0) )  -  Races!$I$71</f>
        <v>0.92999999999999972</v>
      </c>
      <c r="DB120" s="96">
        <f ca="1">TblMili[[#This Row],[Frost Mage bonus]]*TblMili[[#This Row],[Unit 3]]+TblMili[[#This Row],[Ice Elemental bonus]]*TblMili[[#This Row],[Unit 4]]</f>
        <v>0</v>
      </c>
      <c r="DC120" s="267"/>
      <c r="DD120" s="145">
        <f ca="1">MIN(SUM(TblConstr[[#This Row],[Plain]:[Water]])/TblMili[[#This Row],[Land]]/favorable_terrain_bonus/100,favorable_terrain_max)</f>
        <v>0.1</v>
      </c>
      <c r="DE120" s="267"/>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0" s="144"/>
      <c r="DH120" s="268">
        <f ca="1">(TblMili[[#This Row],[Wizards]]+2*TblMili[[#This Row],[Archmages]])/TblConstr[[#This Row],[Land]]</f>
        <v>0.1</v>
      </c>
      <c r="DI120" s="268">
        <f ca="1">TblMili[[#This Row],[Raw (2)]]*(1+race_wizard_strength+IF(TblMili[[#This Row],[Hour]]&gt;72,tech_magical_weaponry_wiz*TblTech[[#This Row],[3-5]],0))</f>
        <v>0.1</v>
      </c>
    </row>
    <row r="121" spans="1:113" x14ac:dyDescent="0.2">
      <c r="A121" s="139">
        <f>TblRezone[[#This Row],[Hour]]</f>
        <v>118</v>
      </c>
      <c r="B121" s="260">
        <f ca="1">SUM(TblMili[[#This Row],[Unit 1]:[Archmages]])+SUM(OFFSET(TblMili[[#This Row],[Train Unit 1]],-8,0):TblMili[[#This Row],[Train Unit 2]]) + SUM(OFFSET(TblMili[[#This Row],[Train Unit 3]],-11,0):TblMili[[#This Row],[Train AM]]) + TblMili[[#This Row],[Draftees]]</f>
        <v>826</v>
      </c>
      <c r="C121" s="159">
        <f ca="1">TblPop[[#This Row],[Military%]]</f>
        <v>0.35029686174724345</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4"/>
      <c r="N121" s="96">
        <f ca="1">TblProd[[#This Row],[Networth]]</f>
        <v>6450</v>
      </c>
      <c r="O121" s="144"/>
      <c r="P1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1">
        <f ca="1">TblMili[[#This Row],[Raw]]*(1+TblMili[[#This Row],[Mods_Off]])</f>
        <v>0</v>
      </c>
      <c r="S1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1" s="261">
        <f ca="1">TblMili[[#This Row],[Non Draft]]+TblMili[[#This Row],[Draftees]]</f>
        <v>1076</v>
      </c>
      <c r="U121" s="262">
        <f ca="1">race_defense + TblImps[[#This Row],[Walls]] + ROUND( MIN(gt_bonus*TblConstr[[#This Row],[Tot GT]]/TblConstr[[#This Row],[Land]],gt_bonus_cap), 4) + IF(TblMagic[[#This Row],[Active Howling]]&gt;0,howling_dp_bonus,IF(TblMagic[[#This Row],[Active Ares Call]]&gt;0,ares_call_bonus))</f>
        <v>0</v>
      </c>
      <c r="V121" s="263">
        <f ca="1">TblMili[[#This Row],[Non Draft]] * (1 + TblMili[[#This Row],[Mods_Def]])</f>
        <v>450</v>
      </c>
      <c r="W121" s="261">
        <f ca="1">TblMili[[#This Row],[Draft]] * (1 + TblMili[[#This Row],[Mods_Def]])</f>
        <v>1076</v>
      </c>
      <c r="X121" s="261">
        <f ca="1">TblConstr[[#This Row],[Land]]</f>
        <v>250</v>
      </c>
      <c r="Y121" s="264"/>
      <c r="Z121" s="269">
        <f ca="1">IF(TblMili[[#This Row],[Set]]&lt;&gt;"",TblMili[[#This Row],[Set]],OFFSET(TblMili[[#This Row],[Draftrate]],-1,0))</f>
        <v>0.35</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6"/>
      <c r="AC121" s="182">
        <f ca="1">(TblConstr[[#This Row],[Tot Smi]]+TblConstr[[#This Row],[Dest Smi]])/(TblConstr[[#This Row],[Land]]-TblExplore[[#This Row],[Land Bonus]]*20)</f>
        <v>0</v>
      </c>
      <c r="AD121" s="139"/>
      <c r="AE121" s="260">
        <f>TblMili[[#This Row],[Hour]]</f>
        <v>118</v>
      </c>
      <c r="AF121" s="140">
        <f ca="1">TblExplore[[#This Row],[Time]]</f>
        <v>45736.874999999716</v>
      </c>
      <c r="AG121" s="181"/>
      <c r="AH121" s="181"/>
      <c r="AI121" s="181"/>
      <c r="AJ121" s="181"/>
      <c r="AK121" s="181"/>
      <c r="AL121" s="181"/>
      <c r="AM121" s="181"/>
      <c r="AN121" s="181"/>
      <c r="AO121" s="448">
        <f ca="1">ROUND(IF(AND(TblMagic[[#This Row],[Active DnD]]&lt;12,TblMagic[[#This Row],[Active DnD]]&gt;5),OFFSET(TblPop[[#This Row],[Draft Growth]],-1,0)*0.375,0),0)</f>
        <v>0</v>
      </c>
      <c r="AP121" s="144"/>
      <c r="AQ121" s="96">
        <f ca="1">TblProd[[#This Row],[Platinum]]</f>
        <v>762740</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45736.874999999716</v>
      </c>
      <c r="AW121" s="96">
        <f ca="1">TblMili[[#This Row],[Draftees]]</f>
        <v>626</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0.44</v>
      </c>
      <c r="BX121" s="159">
        <f ca="1">TblMili[[#This Row],[WG''s]]</f>
        <v>0</v>
      </c>
      <c r="BY121" s="265">
        <f ca="1">IF(mystic_cap="none",TblMili[[#This Row],[Homeland%]]/mystic_bonus,MIN(mystic_cap,TblMili[[#This Row],[Homeland%]]/mystic_bonus))</f>
        <v>2</v>
      </c>
      <c r="BZ121" s="265">
        <f ca="1">IF(druid_op_cap="none",TblMili[[#This Row],[Homeland%]]/druid_op_bonus,MIN(druid_op_cap,TblMili[[#This Row],[Homeland%]]/druid_op_bonus))</f>
        <v>2</v>
      </c>
      <c r="CA121" s="265">
        <f ca="1">IF(druid_dp_cap="none",TblMili[[#This Row],[Homeland%]]/druid_dp_bonus,MIN(druid_dp_cap,TblMili[[#This Row],[Homeland%]]/druid_dp_bonus))</f>
        <v>2</v>
      </c>
      <c r="CB121" s="265">
        <f ca="1">MIN(dryad_cap,TblMili[[#This Row],[Homeland%]]/dryad_bonus)</f>
        <v>2.1999999999999997</v>
      </c>
      <c r="CC121" s="265">
        <f ca="1">MIN(rocka_cap,TblMili[[#This Row],[Homeland%]]/rocka_bonus)</f>
        <v>2</v>
      </c>
      <c r="CD121" s="265">
        <f ca="1">MIN(adept_op_cap,TblMili[[#This Row],[WG]]/adept_op_bonus)</f>
        <v>0</v>
      </c>
      <c r="CE121" s="265">
        <f ca="1">MIN(adept_dp_cap,TblMili[[#This Row],[WG]]/adept_dp_bonus)</f>
        <v>0</v>
      </c>
      <c r="CF121" s="96">
        <f ca="1">MIN(TblMili[[#This Row],[Unit 3]],TblMili[[#This Row],[Unit 2]])*2</f>
        <v>0</v>
      </c>
      <c r="CG121" s="96">
        <f ca="1">MIN(TblMili[[#This Row],[Unit 1]],TblMili[[#This Row],[Unit 4]])*2</f>
        <v>0</v>
      </c>
      <c r="CH121" s="265">
        <f ca="1">MIN(frost_mage_cap,TblMili[[#This Row],[Homeland%]]/frost_mage_bonus)</f>
        <v>2.1999999999999997</v>
      </c>
      <c r="CI121" s="45">
        <f ca="1">MIN(ice_elem_cap,TblMili[[#This Row],[Raw (2)]]*ice_elem_bonus)</f>
        <v>0.1</v>
      </c>
      <c r="CJ121" s="265">
        <f t="shared" si="4"/>
        <v>0.83333333333333337</v>
      </c>
      <c r="CK121" s="265">
        <f ca="1">MIN(nox_nightshade_cap,TblConstr[[#This Row],[Homeland]]/TblConstr[[#This Row],[Land]]/nox_nightshade_swamp_bonus)</f>
        <v>4</v>
      </c>
      <c r="CL121" s="265">
        <f ca="1">MIN(TblConstr[[#This Row],[Tot Tow]]/TblConstr[[#This Row],[Land]]/abyss_enforce_bonus,abyss_enforcer_cap)</f>
        <v>0</v>
      </c>
      <c r="CM121" s="265">
        <f ca="1">IF(TblMagic[[#This Row],[Active Demonic Pact]]&gt;0,MIN(TblMili[[#This Row],[Unit 1]],TblMili[[#This Row],[Unit 4]])*demonic_pact_oppair,0)</f>
        <v>0</v>
      </c>
      <c r="CN121" s="266"/>
      <c r="CO121" s="266"/>
      <c r="CP121" s="266"/>
      <c r="CQ121" s="265">
        <f ca="1">MIN(6,TblMili[[#This Row],[Mystic]]+Races!$F$19)*1.8 +  IF(TblMili[[#This Row],[Mystic]]+Races!$F$19&gt;6,(TblMili[[#This Row],[Mystic]]+Races!$F$19-6)*0.2,0) - Races!$I$19</f>
        <v>1</v>
      </c>
      <c r="CR1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-0.64000000000000057</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4.7099999999999991</v>
      </c>
      <c r="DA121" s="157">
        <f ca="1">1.8 * MIN(MAX(TblMili[[#This Row],[Ice Elemental]]+Races!$E$71,Races!$F$71),6)  +  0.45 * MIN(MIN(TblMili[[#This Row],[Ice Elemental]]+Races!$E$71,Races!$F$71),6)  +  0.2 * ( MAX(TblMili[[#This Row],[Ice Elemental]]+Races!$E$71-6,0) + MAX(Races!$F$71-6,0) )  -  Races!$I$71</f>
        <v>0.92999999999999972</v>
      </c>
      <c r="DB121" s="96">
        <f ca="1">TblMili[[#This Row],[Frost Mage bonus]]*TblMili[[#This Row],[Unit 3]]+TblMili[[#This Row],[Ice Elemental bonus]]*TblMili[[#This Row],[Unit 4]]</f>
        <v>0</v>
      </c>
      <c r="DC121" s="267"/>
      <c r="DD121" s="145">
        <f ca="1">MIN(SUM(TblConstr[[#This Row],[Plain]:[Water]])/TblMili[[#This Row],[Land]]/favorable_terrain_bonus/100,favorable_terrain_max)</f>
        <v>0.1</v>
      </c>
      <c r="DE121" s="267"/>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1" s="144"/>
      <c r="DH121" s="268">
        <f ca="1">(TblMili[[#This Row],[Wizards]]+2*TblMili[[#This Row],[Archmages]])/TblConstr[[#This Row],[Land]]</f>
        <v>0.1</v>
      </c>
      <c r="DI121" s="268">
        <f ca="1">TblMili[[#This Row],[Raw (2)]]*(1+race_wizard_strength+IF(TblMili[[#This Row],[Hour]]&gt;72,tech_magical_weaponry_wiz*TblTech[[#This Row],[3-5]],0))</f>
        <v>0.1</v>
      </c>
    </row>
    <row r="122" spans="1:113" x14ac:dyDescent="0.2">
      <c r="A122" s="139">
        <f>TblRezone[[#This Row],[Hour]]</f>
        <v>119</v>
      </c>
      <c r="B122" s="260">
        <f ca="1">SUM(TblMili[[#This Row],[Unit 1]:[Archmages]])+SUM(OFFSET(TblMili[[#This Row],[Train Unit 1]],-8,0):TblMili[[#This Row],[Train Unit 2]]) + SUM(OFFSET(TblMili[[#This Row],[Train Unit 3]],-11,0):TblMili[[#This Row],[Train AM]]) + TblMili[[#This Row],[Draftees]]</f>
        <v>826</v>
      </c>
      <c r="C122" s="159">
        <f ca="1">TblPop[[#This Row],[Military%]]</f>
        <v>0.35029686174724345</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4"/>
      <c r="N122" s="96">
        <f ca="1">TblProd[[#This Row],[Networth]]</f>
        <v>6450</v>
      </c>
      <c r="O122" s="144"/>
      <c r="P1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1">
        <f ca="1">TblMili[[#This Row],[Raw]]*(1+TblMili[[#This Row],[Mods_Off]])</f>
        <v>0</v>
      </c>
      <c r="S1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2" s="261">
        <f ca="1">TblMili[[#This Row],[Non Draft]]+TblMili[[#This Row],[Draftees]]</f>
        <v>1076</v>
      </c>
      <c r="U122" s="262">
        <f ca="1">race_defense + TblImps[[#This Row],[Walls]] + ROUND( MIN(gt_bonus*TblConstr[[#This Row],[Tot GT]]/TblConstr[[#This Row],[Land]],gt_bonus_cap), 4) + IF(TblMagic[[#This Row],[Active Howling]]&gt;0,howling_dp_bonus,IF(TblMagic[[#This Row],[Active Ares Call]]&gt;0,ares_call_bonus))</f>
        <v>0</v>
      </c>
      <c r="V122" s="263">
        <f ca="1">TblMili[[#This Row],[Non Draft]] * (1 + TblMili[[#This Row],[Mods_Def]])</f>
        <v>450</v>
      </c>
      <c r="W122" s="261">
        <f ca="1">TblMili[[#This Row],[Draft]] * (1 + TblMili[[#This Row],[Mods_Def]])</f>
        <v>1076</v>
      </c>
      <c r="X122" s="261">
        <f ca="1">TblConstr[[#This Row],[Land]]</f>
        <v>250</v>
      </c>
      <c r="Y122" s="264"/>
      <c r="Z122" s="269">
        <f ca="1">IF(TblMili[[#This Row],[Set]]&lt;&gt;"",TblMili[[#This Row],[Set]],OFFSET(TblMili[[#This Row],[Draftrate]],-1,0))</f>
        <v>0.35</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6"/>
      <c r="AC122" s="182">
        <f ca="1">(TblConstr[[#This Row],[Tot Smi]]+TblConstr[[#This Row],[Dest Smi]])/(TblConstr[[#This Row],[Land]]-TblExplore[[#This Row],[Land Bonus]]*20)</f>
        <v>0</v>
      </c>
      <c r="AD122" s="139"/>
      <c r="AE122" s="260">
        <f>TblMili[[#This Row],[Hour]]</f>
        <v>119</v>
      </c>
      <c r="AF122" s="140">
        <f ca="1">TblExplore[[#This Row],[Time]]</f>
        <v>45736.91666666638</v>
      </c>
      <c r="AG122" s="181"/>
      <c r="AH122" s="181"/>
      <c r="AI122" s="181"/>
      <c r="AJ122" s="181"/>
      <c r="AK122" s="181"/>
      <c r="AL122" s="181"/>
      <c r="AM122" s="181"/>
      <c r="AN122" s="181"/>
      <c r="AO122" s="448">
        <f ca="1">ROUND(IF(AND(TblMagic[[#This Row],[Active DnD]]&lt;12,TblMagic[[#This Row],[Active DnD]]&gt;5),OFFSET(TblPop[[#This Row],[Draft Growth]],-1,0)*0.375,0),0)</f>
        <v>0</v>
      </c>
      <c r="AP122" s="144"/>
      <c r="AQ122" s="96">
        <f ca="1">TblProd[[#This Row],[Platinum]]</f>
        <v>768226</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45736.91666666638</v>
      </c>
      <c r="AW122" s="96">
        <f ca="1">TblMili[[#This Row],[Draftees]]</f>
        <v>626</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0.44</v>
      </c>
      <c r="BX122" s="159">
        <f ca="1">TblMili[[#This Row],[WG''s]]</f>
        <v>0</v>
      </c>
      <c r="BY122" s="265">
        <f ca="1">IF(mystic_cap="none",TblMili[[#This Row],[Homeland%]]/mystic_bonus,MIN(mystic_cap,TblMili[[#This Row],[Homeland%]]/mystic_bonus))</f>
        <v>2</v>
      </c>
      <c r="BZ122" s="265">
        <f ca="1">IF(druid_op_cap="none",TblMili[[#This Row],[Homeland%]]/druid_op_bonus,MIN(druid_op_cap,TblMili[[#This Row],[Homeland%]]/druid_op_bonus))</f>
        <v>2</v>
      </c>
      <c r="CA122" s="265">
        <f ca="1">IF(druid_dp_cap="none",TblMili[[#This Row],[Homeland%]]/druid_dp_bonus,MIN(druid_dp_cap,TblMili[[#This Row],[Homeland%]]/druid_dp_bonus))</f>
        <v>2</v>
      </c>
      <c r="CB122" s="265">
        <f ca="1">MIN(dryad_cap,TblMili[[#This Row],[Homeland%]]/dryad_bonus)</f>
        <v>2.1999999999999997</v>
      </c>
      <c r="CC122" s="265">
        <f ca="1">MIN(rocka_cap,TblMili[[#This Row],[Homeland%]]/rocka_bonus)</f>
        <v>2</v>
      </c>
      <c r="CD122" s="265">
        <f ca="1">MIN(adept_op_cap,TblMili[[#This Row],[WG]]/adept_op_bonus)</f>
        <v>0</v>
      </c>
      <c r="CE122" s="265">
        <f ca="1">MIN(adept_dp_cap,TblMili[[#This Row],[WG]]/adept_dp_bonus)</f>
        <v>0</v>
      </c>
      <c r="CF122" s="96">
        <f ca="1">MIN(TblMili[[#This Row],[Unit 3]],TblMili[[#This Row],[Unit 2]])*2</f>
        <v>0</v>
      </c>
      <c r="CG122" s="96">
        <f ca="1">MIN(TblMili[[#This Row],[Unit 1]],TblMili[[#This Row],[Unit 4]])*2</f>
        <v>0</v>
      </c>
      <c r="CH122" s="265">
        <f ca="1">MIN(frost_mage_cap,TblMili[[#This Row],[Homeland%]]/frost_mage_bonus)</f>
        <v>2.1999999999999997</v>
      </c>
      <c r="CI122" s="45">
        <f ca="1">MIN(ice_elem_cap,TblMili[[#This Row],[Raw (2)]]*ice_elem_bonus)</f>
        <v>0.1</v>
      </c>
      <c r="CJ122" s="265">
        <f t="shared" si="4"/>
        <v>0.83333333333333337</v>
      </c>
      <c r="CK122" s="265">
        <f ca="1">MIN(nox_nightshade_cap,TblConstr[[#This Row],[Homeland]]/TblConstr[[#This Row],[Land]]/nox_nightshade_swamp_bonus)</f>
        <v>4</v>
      </c>
      <c r="CL122" s="265">
        <f ca="1">MIN(TblConstr[[#This Row],[Tot Tow]]/TblConstr[[#This Row],[Land]]/abyss_enforce_bonus,abyss_enforcer_cap)</f>
        <v>0</v>
      </c>
      <c r="CM122" s="265">
        <f ca="1">IF(TblMagic[[#This Row],[Active Demonic Pact]]&gt;0,MIN(TblMili[[#This Row],[Unit 1]],TblMili[[#This Row],[Unit 4]])*demonic_pact_oppair,0)</f>
        <v>0</v>
      </c>
      <c r="CN122" s="266"/>
      <c r="CO122" s="266"/>
      <c r="CP122" s="266"/>
      <c r="CQ122" s="265">
        <f ca="1">MIN(6,TblMili[[#This Row],[Mystic]]+Races!$F$19)*1.8 +  IF(TblMili[[#This Row],[Mystic]]+Races!$F$19&gt;6,(TblMili[[#This Row],[Mystic]]+Races!$F$19-6)*0.2,0) - Races!$I$19</f>
        <v>1</v>
      </c>
      <c r="CR1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-0.64000000000000057</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4.7099999999999991</v>
      </c>
      <c r="DA122" s="157">
        <f ca="1">1.8 * MIN(MAX(TblMili[[#This Row],[Ice Elemental]]+Races!$E$71,Races!$F$71),6)  +  0.45 * MIN(MIN(TblMili[[#This Row],[Ice Elemental]]+Races!$E$71,Races!$F$71),6)  +  0.2 * ( MAX(TblMili[[#This Row],[Ice Elemental]]+Races!$E$71-6,0) + MAX(Races!$F$71-6,0) )  -  Races!$I$71</f>
        <v>0.92999999999999972</v>
      </c>
      <c r="DB122" s="96">
        <f ca="1">TblMili[[#This Row],[Frost Mage bonus]]*TblMili[[#This Row],[Unit 3]]+TblMili[[#This Row],[Ice Elemental bonus]]*TblMili[[#This Row],[Unit 4]]</f>
        <v>0</v>
      </c>
      <c r="DC122" s="267"/>
      <c r="DD122" s="145">
        <f ca="1">MIN(SUM(TblConstr[[#This Row],[Plain]:[Water]])/TblMili[[#This Row],[Land]]/favorable_terrain_bonus/100,favorable_terrain_max)</f>
        <v>0.1</v>
      </c>
      <c r="DE122" s="267"/>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2" s="144"/>
      <c r="DH122" s="268">
        <f ca="1">(TblMili[[#This Row],[Wizards]]+2*TblMili[[#This Row],[Archmages]])/TblConstr[[#This Row],[Land]]</f>
        <v>0.1</v>
      </c>
      <c r="DI122" s="268">
        <f ca="1">TblMili[[#This Row],[Raw (2)]]*(1+race_wizard_strength+IF(TblMili[[#This Row],[Hour]]&gt;72,tech_magical_weaponry_wiz*TblTech[[#This Row],[3-5]],0))</f>
        <v>0.1</v>
      </c>
    </row>
    <row r="123" spans="1:113" x14ac:dyDescent="0.2">
      <c r="A123" s="139">
        <f>TblRezone[[#This Row],[Hour]]</f>
        <v>120</v>
      </c>
      <c r="B123" s="260">
        <f ca="1">SUM(TblMili[[#This Row],[Unit 1]:[Archmages]])+SUM(OFFSET(TblMili[[#This Row],[Train Unit 1]],-8,0):TblMili[[#This Row],[Train Unit 2]]) + SUM(OFFSET(TblMili[[#This Row],[Train Unit 3]],-11,0):TblMili[[#This Row],[Train AM]]) + TblMili[[#This Row],[Draftees]]</f>
        <v>826</v>
      </c>
      <c r="C123" s="159">
        <f ca="1">TblPop[[#This Row],[Military%]]</f>
        <v>0.35029686174724345</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4"/>
      <c r="N123" s="96">
        <f ca="1">TblProd[[#This Row],[Networth]]</f>
        <v>6450</v>
      </c>
      <c r="O123" s="144"/>
      <c r="P1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1">
        <f ca="1">TblMili[[#This Row],[Raw]]*(1+TblMili[[#This Row],[Mods_Off]])</f>
        <v>0</v>
      </c>
      <c r="S1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3" s="261">
        <f ca="1">TblMili[[#This Row],[Non Draft]]+TblMili[[#This Row],[Draftees]]</f>
        <v>1076</v>
      </c>
      <c r="U123" s="262">
        <f ca="1">race_defense + TblImps[[#This Row],[Walls]] + ROUND( MIN(gt_bonus*TblConstr[[#This Row],[Tot GT]]/TblConstr[[#This Row],[Land]],gt_bonus_cap), 4) + IF(TblMagic[[#This Row],[Active Howling]]&gt;0,howling_dp_bonus,IF(TblMagic[[#This Row],[Active Ares Call]]&gt;0,ares_call_bonus))</f>
        <v>0</v>
      </c>
      <c r="V123" s="263">
        <f ca="1">TblMili[[#This Row],[Non Draft]] * (1 + TblMili[[#This Row],[Mods_Def]])</f>
        <v>450</v>
      </c>
      <c r="W123" s="261">
        <f ca="1">TblMili[[#This Row],[Draft]] * (1 + TblMili[[#This Row],[Mods_Def]])</f>
        <v>1076</v>
      </c>
      <c r="X123" s="261">
        <f ca="1">TblConstr[[#This Row],[Land]]</f>
        <v>250</v>
      </c>
      <c r="Y123" s="264"/>
      <c r="Z123" s="269">
        <f ca="1">IF(TblMili[[#This Row],[Set]]&lt;&gt;"",TblMili[[#This Row],[Set]],OFFSET(TblMili[[#This Row],[Draftrate]],-1,0))</f>
        <v>0.35</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6"/>
      <c r="AC123" s="182">
        <f ca="1">(TblConstr[[#This Row],[Tot Smi]]+TblConstr[[#This Row],[Dest Smi]])/(TblConstr[[#This Row],[Land]]-TblExplore[[#This Row],[Land Bonus]]*20)</f>
        <v>0</v>
      </c>
      <c r="AD123" s="139"/>
      <c r="AE123" s="260">
        <f>TblMili[[#This Row],[Hour]]</f>
        <v>120</v>
      </c>
      <c r="AF123" s="140">
        <f ca="1">TblExplore[[#This Row],[Time]]</f>
        <v>45736.958333333045</v>
      </c>
      <c r="AG123" s="181"/>
      <c r="AH123" s="181"/>
      <c r="AI123" s="181"/>
      <c r="AJ123" s="181"/>
      <c r="AK123" s="181"/>
      <c r="AL123" s="181"/>
      <c r="AM123" s="181"/>
      <c r="AN123" s="181"/>
      <c r="AO123" s="448">
        <f ca="1">ROUND(IF(AND(TblMagic[[#This Row],[Active DnD]]&lt;12,TblMagic[[#This Row],[Active DnD]]&gt;5),OFFSET(TblPop[[#This Row],[Draft Growth]],-1,0)*0.375,0),0)</f>
        <v>0</v>
      </c>
      <c r="AP123" s="144"/>
      <c r="AQ123" s="96">
        <f ca="1">TblProd[[#This Row],[Platinum]]</f>
        <v>773712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45736.958333333045</v>
      </c>
      <c r="AW123" s="96">
        <f ca="1">TblMili[[#This Row],[Draftees]]</f>
        <v>626</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0.44</v>
      </c>
      <c r="BX123" s="159">
        <f ca="1">TblMili[[#This Row],[WG''s]]</f>
        <v>0</v>
      </c>
      <c r="BY123" s="265">
        <f ca="1">IF(mystic_cap="none",TblMili[[#This Row],[Homeland%]]/mystic_bonus,MIN(mystic_cap,TblMili[[#This Row],[Homeland%]]/mystic_bonus))</f>
        <v>2</v>
      </c>
      <c r="BZ123" s="265">
        <f ca="1">IF(druid_op_cap="none",TblMili[[#This Row],[Homeland%]]/druid_op_bonus,MIN(druid_op_cap,TblMili[[#This Row],[Homeland%]]/druid_op_bonus))</f>
        <v>2</v>
      </c>
      <c r="CA123" s="265">
        <f ca="1">IF(druid_dp_cap="none",TblMili[[#This Row],[Homeland%]]/druid_dp_bonus,MIN(druid_dp_cap,TblMili[[#This Row],[Homeland%]]/druid_dp_bonus))</f>
        <v>2</v>
      </c>
      <c r="CB123" s="265">
        <f ca="1">MIN(dryad_cap,TblMili[[#This Row],[Homeland%]]/dryad_bonus)</f>
        <v>2.1999999999999997</v>
      </c>
      <c r="CC123" s="265">
        <f ca="1">MIN(rocka_cap,TblMili[[#This Row],[Homeland%]]/rocka_bonus)</f>
        <v>2</v>
      </c>
      <c r="CD123" s="265">
        <f ca="1">MIN(adept_op_cap,TblMili[[#This Row],[WG]]/adept_op_bonus)</f>
        <v>0</v>
      </c>
      <c r="CE123" s="265">
        <f ca="1">MIN(adept_dp_cap,TblMili[[#This Row],[WG]]/adept_dp_bonus)</f>
        <v>0</v>
      </c>
      <c r="CF123" s="96">
        <f ca="1">MIN(TblMili[[#This Row],[Unit 3]],TblMili[[#This Row],[Unit 2]])*2</f>
        <v>0</v>
      </c>
      <c r="CG123" s="96">
        <f ca="1">MIN(TblMili[[#This Row],[Unit 1]],TblMili[[#This Row],[Unit 4]])*2</f>
        <v>0</v>
      </c>
      <c r="CH123" s="265">
        <f ca="1">MIN(frost_mage_cap,TblMili[[#This Row],[Homeland%]]/frost_mage_bonus)</f>
        <v>2.1999999999999997</v>
      </c>
      <c r="CI123" s="45">
        <f ca="1">MIN(ice_elem_cap,TblMili[[#This Row],[Raw (2)]]*ice_elem_bonus)</f>
        <v>0.1</v>
      </c>
      <c r="CJ123" s="265">
        <f t="shared" si="4"/>
        <v>0.83333333333333337</v>
      </c>
      <c r="CK123" s="265">
        <f ca="1">MIN(nox_nightshade_cap,TblConstr[[#This Row],[Homeland]]/TblConstr[[#This Row],[Land]]/nox_nightshade_swamp_bonus)</f>
        <v>4</v>
      </c>
      <c r="CL123" s="265">
        <f ca="1">MIN(TblConstr[[#This Row],[Tot Tow]]/TblConstr[[#This Row],[Land]]/abyss_enforce_bonus,abyss_enforcer_cap)</f>
        <v>0</v>
      </c>
      <c r="CM123" s="265">
        <f ca="1">IF(TblMagic[[#This Row],[Active Demonic Pact]]&gt;0,MIN(TblMili[[#This Row],[Unit 1]],TblMili[[#This Row],[Unit 4]])*demonic_pact_oppair,0)</f>
        <v>0</v>
      </c>
      <c r="CN123" s="266"/>
      <c r="CO123" s="266"/>
      <c r="CP123" s="266"/>
      <c r="CQ123" s="265">
        <f ca="1">MIN(6,TblMili[[#This Row],[Mystic]]+Races!$F$19)*1.8 +  IF(TblMili[[#This Row],[Mystic]]+Races!$F$19&gt;6,(TblMili[[#This Row],[Mystic]]+Races!$F$19-6)*0.2,0) - Races!$I$19</f>
        <v>1</v>
      </c>
      <c r="CR1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-0.64000000000000057</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4.7099999999999991</v>
      </c>
      <c r="DA123" s="157">
        <f ca="1">1.8 * MIN(MAX(TblMili[[#This Row],[Ice Elemental]]+Races!$E$71,Races!$F$71),6)  +  0.45 * MIN(MIN(TblMili[[#This Row],[Ice Elemental]]+Races!$E$71,Races!$F$71),6)  +  0.2 * ( MAX(TblMili[[#This Row],[Ice Elemental]]+Races!$E$71-6,0) + MAX(Races!$F$71-6,0) )  -  Races!$I$71</f>
        <v>0.92999999999999972</v>
      </c>
      <c r="DB123" s="96">
        <f ca="1">TblMili[[#This Row],[Frost Mage bonus]]*TblMili[[#This Row],[Unit 3]]+TblMili[[#This Row],[Ice Elemental bonus]]*TblMili[[#This Row],[Unit 4]]</f>
        <v>0</v>
      </c>
      <c r="DC123" s="267"/>
      <c r="DD123" s="145">
        <f ca="1">MIN(SUM(TblConstr[[#This Row],[Plain]:[Water]])/TblMili[[#This Row],[Land]]/favorable_terrain_bonus/100,favorable_terrain_max)</f>
        <v>0.1</v>
      </c>
      <c r="DE123" s="267"/>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3" s="144"/>
      <c r="DH123" s="268">
        <f ca="1">(TblMili[[#This Row],[Wizards]]+2*TblMili[[#This Row],[Archmages]])/TblConstr[[#This Row],[Land]]</f>
        <v>0.1</v>
      </c>
      <c r="DI123" s="268">
        <f ca="1">TblMili[[#This Row],[Raw (2)]]*(1+race_wizard_strength+IF(TblMili[[#This Row],[Hour]]&gt;72,tech_magical_weaponry_wiz*TblTech[[#This Row],[3-5]],0))</f>
        <v>0.1</v>
      </c>
    </row>
    <row r="124" spans="1:113" x14ac:dyDescent="0.2">
      <c r="A124" s="139">
        <f>TblRezone[[#This Row],[Hour]]</f>
        <v>121</v>
      </c>
      <c r="B124" s="260">
        <f ca="1">SUM(TblMili[[#This Row],[Unit 1]:[Archmages]])+SUM(OFFSET(TblMili[[#This Row],[Train Unit 1]],-8,0):TblMili[[#This Row],[Train Unit 2]]) + SUM(OFFSET(TblMili[[#This Row],[Train Unit 3]],-11,0):TblMili[[#This Row],[Train AM]]) + TblMili[[#This Row],[Draftees]]</f>
        <v>826</v>
      </c>
      <c r="C124" s="159">
        <f ca="1">TblPop[[#This Row],[Military%]]</f>
        <v>0.35029686174724345</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4"/>
      <c r="N124" s="96">
        <f ca="1">TblProd[[#This Row],[Networth]]</f>
        <v>6450</v>
      </c>
      <c r="O124" s="144"/>
      <c r="P1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1">
        <f ca="1">TblMili[[#This Row],[Raw]]*(1+TblMili[[#This Row],[Mods_Off]])</f>
        <v>0</v>
      </c>
      <c r="S1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4" s="261">
        <f ca="1">TblMili[[#This Row],[Non Draft]]+TblMili[[#This Row],[Draftees]]</f>
        <v>1076</v>
      </c>
      <c r="U124" s="262">
        <f ca="1">race_defense + TblImps[[#This Row],[Walls]] + ROUND( MIN(gt_bonus*TblConstr[[#This Row],[Tot GT]]/TblConstr[[#This Row],[Land]],gt_bonus_cap), 4) + IF(TblMagic[[#This Row],[Active Howling]]&gt;0,howling_dp_bonus,IF(TblMagic[[#This Row],[Active Ares Call]]&gt;0,ares_call_bonus))</f>
        <v>0</v>
      </c>
      <c r="V124" s="263">
        <f ca="1">TblMili[[#This Row],[Non Draft]] * (1 + TblMili[[#This Row],[Mods_Def]])</f>
        <v>450</v>
      </c>
      <c r="W124" s="261">
        <f ca="1">TblMili[[#This Row],[Draft]] * (1 + TblMili[[#This Row],[Mods_Def]])</f>
        <v>1076</v>
      </c>
      <c r="X124" s="261">
        <f ca="1">TblConstr[[#This Row],[Land]]</f>
        <v>250</v>
      </c>
      <c r="Y124" s="264"/>
      <c r="Z124" s="269">
        <f ca="1">IF(TblMili[[#This Row],[Set]]&lt;&gt;"",TblMili[[#This Row],[Set]],OFFSET(TblMili[[#This Row],[Draftrate]],-1,0))</f>
        <v>0.35</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6"/>
      <c r="AC124" s="182">
        <f ca="1">(TblConstr[[#This Row],[Tot Smi]]+TblConstr[[#This Row],[Dest Smi]])/(TblConstr[[#This Row],[Land]]-TblExplore[[#This Row],[Land Bonus]]*20)</f>
        <v>0</v>
      </c>
      <c r="AD124" s="270"/>
      <c r="AE124" s="271">
        <f>TblMili[[#This Row],[Hour]]</f>
        <v>121</v>
      </c>
      <c r="AF124" s="140">
        <f ca="1">TblExplore[[#This Row],[Time]]</f>
        <v>45736.999999999709</v>
      </c>
      <c r="AG124" s="181"/>
      <c r="AH124" s="181"/>
      <c r="AI124" s="181"/>
      <c r="AJ124" s="181"/>
      <c r="AK124" s="181"/>
      <c r="AL124" s="181"/>
      <c r="AM124" s="181"/>
      <c r="AN124" s="181"/>
      <c r="AO124" s="448">
        <f ca="1">ROUND(IF(AND(TblMagic[[#This Row],[Active DnD]]&lt;12,TblMagic[[#This Row],[Active DnD]]&gt;5),OFFSET(TblPop[[#This Row],[Draft Growth]],-1,0)*0.375,0),0)</f>
        <v>0</v>
      </c>
      <c r="AP124" s="144"/>
      <c r="AQ124" s="96">
        <f ca="1">TblProd[[#This Row],[Platinum]]</f>
        <v>779198</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45736.999999999709</v>
      </c>
      <c r="AW124" s="96">
        <f ca="1">TblMili[[#This Row],[Draftees]]</f>
        <v>626</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0.44</v>
      </c>
      <c r="BX124" s="159">
        <f ca="1">TblMili[[#This Row],[WG''s]]</f>
        <v>0</v>
      </c>
      <c r="BY124" s="265">
        <f ca="1">IF(mystic_cap="none",TblMili[[#This Row],[Homeland%]]/mystic_bonus,MIN(mystic_cap,TblMili[[#This Row],[Homeland%]]/mystic_bonus))</f>
        <v>2</v>
      </c>
      <c r="BZ124" s="265">
        <f ca="1">IF(druid_op_cap="none",TblMili[[#This Row],[Homeland%]]/druid_op_bonus,MIN(druid_op_cap,TblMili[[#This Row],[Homeland%]]/druid_op_bonus))</f>
        <v>2</v>
      </c>
      <c r="CA124" s="265">
        <f ca="1">IF(druid_dp_cap="none",TblMili[[#This Row],[Homeland%]]/druid_dp_bonus,MIN(druid_dp_cap,TblMili[[#This Row],[Homeland%]]/druid_dp_bonus))</f>
        <v>2</v>
      </c>
      <c r="CB124" s="265">
        <f ca="1">MIN(dryad_cap,TblMili[[#This Row],[Homeland%]]/dryad_bonus)</f>
        <v>2.1999999999999997</v>
      </c>
      <c r="CC124" s="265">
        <f ca="1">MIN(rocka_cap,TblMili[[#This Row],[Homeland%]]/rocka_bonus)</f>
        <v>2</v>
      </c>
      <c r="CD124" s="265">
        <f ca="1">MIN(adept_op_cap,TblMili[[#This Row],[WG]]/adept_op_bonus)</f>
        <v>0</v>
      </c>
      <c r="CE124" s="265">
        <f ca="1">MIN(adept_dp_cap,TblMili[[#This Row],[WG]]/adept_dp_bonus)</f>
        <v>0</v>
      </c>
      <c r="CF124" s="96">
        <f ca="1">MIN(TblMili[[#This Row],[Unit 3]],TblMili[[#This Row],[Unit 2]])*2</f>
        <v>0</v>
      </c>
      <c r="CG124" s="96">
        <f ca="1">MIN(TblMili[[#This Row],[Unit 1]],TblMili[[#This Row],[Unit 4]])*2</f>
        <v>0</v>
      </c>
      <c r="CH124" s="265">
        <f ca="1">MIN(frost_mage_cap,TblMili[[#This Row],[Homeland%]]/frost_mage_bonus)</f>
        <v>2.1999999999999997</v>
      </c>
      <c r="CI124" s="45">
        <f ca="1">MIN(ice_elem_cap,TblMili[[#This Row],[Raw (2)]]*ice_elem_bonus)</f>
        <v>0.1</v>
      </c>
      <c r="CJ124" s="265">
        <f t="shared" si="4"/>
        <v>0.83333333333333337</v>
      </c>
      <c r="CK124" s="265">
        <f ca="1">MIN(nox_nightshade_cap,TblConstr[[#This Row],[Homeland]]/TblConstr[[#This Row],[Land]]/nox_nightshade_swamp_bonus)</f>
        <v>4</v>
      </c>
      <c r="CL124" s="265">
        <f ca="1">MIN(TblConstr[[#This Row],[Tot Tow]]/TblConstr[[#This Row],[Land]]/abyss_enforce_bonus,abyss_enforcer_cap)</f>
        <v>0</v>
      </c>
      <c r="CM124" s="265">
        <f ca="1">IF(TblMagic[[#This Row],[Active Demonic Pact]]&gt;0,MIN(TblMili[[#This Row],[Unit 1]],TblMili[[#This Row],[Unit 4]])*demonic_pact_oppair,0)</f>
        <v>0</v>
      </c>
      <c r="CN124" s="266"/>
      <c r="CO124" s="266"/>
      <c r="CP124" s="266"/>
      <c r="CQ124" s="265">
        <f ca="1">MIN(6,TblMili[[#This Row],[Mystic]]+Races!$F$19)*1.8 +  IF(TblMili[[#This Row],[Mystic]]+Races!$F$19&gt;6,(TblMili[[#This Row],[Mystic]]+Races!$F$19-6)*0.2,0) - Races!$I$19</f>
        <v>1</v>
      </c>
      <c r="CR1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-0.64000000000000057</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4.7099999999999991</v>
      </c>
      <c r="DA124" s="157">
        <f ca="1">1.8 * MIN(MAX(TblMili[[#This Row],[Ice Elemental]]+Races!$E$71,Races!$F$71),6)  +  0.45 * MIN(MIN(TblMili[[#This Row],[Ice Elemental]]+Races!$E$71,Races!$F$71),6)  +  0.2 * ( MAX(TblMili[[#This Row],[Ice Elemental]]+Races!$E$71-6,0) + MAX(Races!$F$71-6,0) )  -  Races!$I$71</f>
        <v>0.92999999999999972</v>
      </c>
      <c r="DB124" s="96">
        <f ca="1">TblMili[[#This Row],[Frost Mage bonus]]*TblMili[[#This Row],[Unit 3]]+TblMili[[#This Row],[Ice Elemental bonus]]*TblMili[[#This Row],[Unit 4]]</f>
        <v>0</v>
      </c>
      <c r="DC124" s="267"/>
      <c r="DD124" s="145">
        <f ca="1">MIN(SUM(TblConstr[[#This Row],[Plain]:[Water]])/TblMili[[#This Row],[Land]]/favorable_terrain_bonus/100,favorable_terrain_max)</f>
        <v>0.1</v>
      </c>
      <c r="DE124" s="267"/>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4" s="144"/>
      <c r="DH124" s="268">
        <f ca="1">(TblMili[[#This Row],[Wizards]]+2*TblMili[[#This Row],[Archmages]])/TblConstr[[#This Row],[Land]]</f>
        <v>0.1</v>
      </c>
      <c r="DI124" s="268">
        <f ca="1">TblMili[[#This Row],[Raw (2)]]*(1+race_wizard_strength+IF(TblMili[[#This Row],[Hour]]&gt;72,tech_magical_weaponry_wiz*TblTech[[#This Row],[3-5]],0))</f>
        <v>0.1</v>
      </c>
    </row>
    <row r="125" spans="1:113" x14ac:dyDescent="0.2">
      <c r="A125" s="139">
        <f>TblRezone[[#This Row],[Hour]]</f>
        <v>122</v>
      </c>
      <c r="B125" s="260">
        <f ca="1">SUM(TblMili[[#This Row],[Unit 1]:[Archmages]])+SUM(OFFSET(TblMili[[#This Row],[Train Unit 1]],-8,0):TblMili[[#This Row],[Train Unit 2]]) + SUM(OFFSET(TblMili[[#This Row],[Train Unit 3]],-11,0):TblMili[[#This Row],[Train AM]]) + TblMili[[#This Row],[Draftees]]</f>
        <v>826</v>
      </c>
      <c r="C125" s="159">
        <f ca="1">TblPop[[#This Row],[Military%]]</f>
        <v>0.35029686174724345</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4"/>
      <c r="N125" s="96">
        <f ca="1">TblProd[[#This Row],[Networth]]</f>
        <v>6450</v>
      </c>
      <c r="O125" s="144"/>
      <c r="P1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1">
        <f ca="1">TblMili[[#This Row],[Raw]]*(1+TblMili[[#This Row],[Mods_Off]])</f>
        <v>0</v>
      </c>
      <c r="S1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5" s="261">
        <f ca="1">TblMili[[#This Row],[Non Draft]]+TblMili[[#This Row],[Draftees]]</f>
        <v>1076</v>
      </c>
      <c r="U125" s="262">
        <f ca="1">race_defense + TblImps[[#This Row],[Walls]] + ROUND( MIN(gt_bonus*TblConstr[[#This Row],[Tot GT]]/TblConstr[[#This Row],[Land]],gt_bonus_cap), 4) + IF(TblMagic[[#This Row],[Active Howling]]&gt;0,howling_dp_bonus,IF(TblMagic[[#This Row],[Active Ares Call]]&gt;0,ares_call_bonus))</f>
        <v>0</v>
      </c>
      <c r="V125" s="263">
        <f ca="1">TblMili[[#This Row],[Non Draft]] * (1 + TblMili[[#This Row],[Mods_Def]])</f>
        <v>450</v>
      </c>
      <c r="W125" s="261">
        <f ca="1">TblMili[[#This Row],[Draft]] * (1 + TblMili[[#This Row],[Mods_Def]])</f>
        <v>1076</v>
      </c>
      <c r="X125" s="261">
        <f ca="1">TblConstr[[#This Row],[Land]]</f>
        <v>250</v>
      </c>
      <c r="Y125" s="264"/>
      <c r="Z125" s="269">
        <f ca="1">IF(TblMili[[#This Row],[Set]]&lt;&gt;"",TblMili[[#This Row],[Set]],OFFSET(TblMili[[#This Row],[Draftrate]],-1,0))</f>
        <v>0.35</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6"/>
      <c r="AC125" s="182">
        <f ca="1">(TblConstr[[#This Row],[Tot Smi]]+TblConstr[[#This Row],[Dest Smi]])/(TblConstr[[#This Row],[Land]]-TblExplore[[#This Row],[Land Bonus]]*20)</f>
        <v>0</v>
      </c>
      <c r="AD125" s="139"/>
      <c r="AE125" s="260">
        <f>TblMili[[#This Row],[Hour]]</f>
        <v>122</v>
      </c>
      <c r="AF125" s="140">
        <f ca="1">TblExplore[[#This Row],[Time]]</f>
        <v>45737.041666666373</v>
      </c>
      <c r="AG125" s="160"/>
      <c r="AH125" s="181"/>
      <c r="AI125" s="160"/>
      <c r="AJ125" s="181"/>
      <c r="AK125" s="181"/>
      <c r="AL125" s="181"/>
      <c r="AM125" s="181"/>
      <c r="AN125" s="181"/>
      <c r="AO125" s="448">
        <f ca="1">ROUND(IF(AND(TblMagic[[#This Row],[Active DnD]]&lt;12,TblMagic[[#This Row],[Active DnD]]&gt;5),OFFSET(TblPop[[#This Row],[Draft Growth]],-1,0)*0.375,0),0)</f>
        <v>0</v>
      </c>
      <c r="AP125" s="144"/>
      <c r="AQ125" s="96">
        <f ca="1">TblProd[[#This Row],[Platinum]]</f>
        <v>784684</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45737.041666666373</v>
      </c>
      <c r="AW125" s="96">
        <f ca="1">TblMili[[#This Row],[Draftees]]</f>
        <v>626</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0.44</v>
      </c>
      <c r="BX125" s="159">
        <f ca="1">TblMili[[#This Row],[WG''s]]</f>
        <v>0</v>
      </c>
      <c r="BY125" s="265">
        <f ca="1">IF(mystic_cap="none",TblMili[[#This Row],[Homeland%]]/mystic_bonus,MIN(mystic_cap,TblMili[[#This Row],[Homeland%]]/mystic_bonus))</f>
        <v>2</v>
      </c>
      <c r="BZ125" s="265">
        <f ca="1">IF(druid_op_cap="none",TblMili[[#This Row],[Homeland%]]/druid_op_bonus,MIN(druid_op_cap,TblMili[[#This Row],[Homeland%]]/druid_op_bonus))</f>
        <v>2</v>
      </c>
      <c r="CA125" s="265">
        <f ca="1">IF(druid_dp_cap="none",TblMili[[#This Row],[Homeland%]]/druid_dp_bonus,MIN(druid_dp_cap,TblMili[[#This Row],[Homeland%]]/druid_dp_bonus))</f>
        <v>2</v>
      </c>
      <c r="CB125" s="265">
        <f ca="1">MIN(dryad_cap,TblMili[[#This Row],[Homeland%]]/dryad_bonus)</f>
        <v>2.1999999999999997</v>
      </c>
      <c r="CC125" s="265">
        <f ca="1">MIN(rocka_cap,TblMili[[#This Row],[Homeland%]]/rocka_bonus)</f>
        <v>2</v>
      </c>
      <c r="CD125" s="265">
        <f ca="1">MIN(adept_op_cap,TblMili[[#This Row],[WG]]/adept_op_bonus)</f>
        <v>0</v>
      </c>
      <c r="CE125" s="265">
        <f ca="1">MIN(adept_dp_cap,TblMili[[#This Row],[WG]]/adept_dp_bonus)</f>
        <v>0</v>
      </c>
      <c r="CF125" s="96">
        <f ca="1">MIN(TblMili[[#This Row],[Unit 3]],TblMili[[#This Row],[Unit 2]])*2</f>
        <v>0</v>
      </c>
      <c r="CG125" s="96">
        <f ca="1">MIN(TblMili[[#This Row],[Unit 1]],TblMili[[#This Row],[Unit 4]])*2</f>
        <v>0</v>
      </c>
      <c r="CH125" s="265">
        <f ca="1">MIN(frost_mage_cap,TblMili[[#This Row],[Homeland%]]/frost_mage_bonus)</f>
        <v>2.1999999999999997</v>
      </c>
      <c r="CI125" s="45">
        <f ca="1">MIN(ice_elem_cap,TblMili[[#This Row],[Raw (2)]]*ice_elem_bonus)</f>
        <v>0.1</v>
      </c>
      <c r="CJ125" s="265">
        <f t="shared" si="4"/>
        <v>0.83333333333333337</v>
      </c>
      <c r="CK125" s="265">
        <f ca="1">MIN(nox_nightshade_cap,TblConstr[[#This Row],[Homeland]]/TblConstr[[#This Row],[Land]]/nox_nightshade_swamp_bonus)</f>
        <v>4</v>
      </c>
      <c r="CL125" s="265">
        <f ca="1">MIN(TblConstr[[#This Row],[Tot Tow]]/TblConstr[[#This Row],[Land]]/abyss_enforce_bonus,abyss_enforcer_cap)</f>
        <v>0</v>
      </c>
      <c r="CM125" s="265">
        <f ca="1">IF(TblMagic[[#This Row],[Active Demonic Pact]]&gt;0,MIN(TblMili[[#This Row],[Unit 1]],TblMili[[#This Row],[Unit 4]])*demonic_pact_oppair,0)</f>
        <v>0</v>
      </c>
      <c r="CN125" s="266"/>
      <c r="CO125" s="266"/>
      <c r="CP125" s="266"/>
      <c r="CQ125" s="265">
        <f ca="1">MIN(6,TblMili[[#This Row],[Mystic]]+Races!$F$19)*1.8 +  IF(TblMili[[#This Row],[Mystic]]+Races!$F$19&gt;6,(TblMili[[#This Row],[Mystic]]+Races!$F$19-6)*0.2,0) - Races!$I$19</f>
        <v>1</v>
      </c>
      <c r="CR1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-0.64000000000000057</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4.7099999999999991</v>
      </c>
      <c r="DA125" s="157">
        <f ca="1">1.8 * MIN(MAX(TblMili[[#This Row],[Ice Elemental]]+Races!$E$71,Races!$F$71),6)  +  0.45 * MIN(MIN(TblMili[[#This Row],[Ice Elemental]]+Races!$E$71,Races!$F$71),6)  +  0.2 * ( MAX(TblMili[[#This Row],[Ice Elemental]]+Races!$E$71-6,0) + MAX(Races!$F$71-6,0) )  -  Races!$I$71</f>
        <v>0.92999999999999972</v>
      </c>
      <c r="DB125" s="96">
        <f ca="1">TblMili[[#This Row],[Frost Mage bonus]]*TblMili[[#This Row],[Unit 3]]+TblMili[[#This Row],[Ice Elemental bonus]]*TblMili[[#This Row],[Unit 4]]</f>
        <v>0</v>
      </c>
      <c r="DC125" s="267"/>
      <c r="DD125" s="145">
        <f ca="1">MIN(SUM(TblConstr[[#This Row],[Plain]:[Water]])/TblMili[[#This Row],[Land]]/favorable_terrain_bonus/100,favorable_terrain_max)</f>
        <v>0.1</v>
      </c>
      <c r="DE125" s="267"/>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5" s="144"/>
      <c r="DH125" s="268">
        <f ca="1">(TblMili[[#This Row],[Wizards]]+2*TblMili[[#This Row],[Archmages]])/TblConstr[[#This Row],[Land]]</f>
        <v>0.1</v>
      </c>
      <c r="DI125" s="268">
        <f ca="1">TblMili[[#This Row],[Raw (2)]]*(1+race_wizard_strength+IF(TblMili[[#This Row],[Hour]]&gt;72,tech_magical_weaponry_wiz*TblTech[[#This Row],[3-5]],0))</f>
        <v>0.1</v>
      </c>
    </row>
    <row r="126" spans="1:113" x14ac:dyDescent="0.2">
      <c r="A126" s="139">
        <f>TblRezone[[#This Row],[Hour]]</f>
        <v>123</v>
      </c>
      <c r="B126" s="260">
        <f ca="1">SUM(TblMili[[#This Row],[Unit 1]:[Archmages]])+SUM(OFFSET(TblMili[[#This Row],[Train Unit 1]],-8,0):TblMili[[#This Row],[Train Unit 2]]) + SUM(OFFSET(TblMili[[#This Row],[Train Unit 3]],-11,0):TblMili[[#This Row],[Train AM]]) + TblMili[[#This Row],[Draftees]]</f>
        <v>826</v>
      </c>
      <c r="C126" s="159">
        <f ca="1">TblPop[[#This Row],[Military%]]</f>
        <v>0.35029686174724345</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4"/>
      <c r="N126" s="96">
        <f ca="1">TblProd[[#This Row],[Networth]]</f>
        <v>6450</v>
      </c>
      <c r="O126" s="144"/>
      <c r="P1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1">
        <f ca="1">TblMili[[#This Row],[Raw]]*(1+TblMili[[#This Row],[Mods_Off]])</f>
        <v>0</v>
      </c>
      <c r="S1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6" s="261">
        <f ca="1">TblMili[[#This Row],[Non Draft]]+TblMili[[#This Row],[Draftees]]</f>
        <v>1076</v>
      </c>
      <c r="U126" s="262">
        <f ca="1">race_defense + TblImps[[#This Row],[Walls]] + ROUND( MIN(gt_bonus*TblConstr[[#This Row],[Tot GT]]/TblConstr[[#This Row],[Land]],gt_bonus_cap), 4) + IF(TblMagic[[#This Row],[Active Howling]]&gt;0,howling_dp_bonus,IF(TblMagic[[#This Row],[Active Ares Call]]&gt;0,ares_call_bonus))</f>
        <v>0</v>
      </c>
      <c r="V126" s="263">
        <f ca="1">TblMili[[#This Row],[Non Draft]] * (1 + TblMili[[#This Row],[Mods_Def]])</f>
        <v>450</v>
      </c>
      <c r="W126" s="261">
        <f ca="1">TblMili[[#This Row],[Draft]] * (1 + TblMili[[#This Row],[Mods_Def]])</f>
        <v>1076</v>
      </c>
      <c r="X126" s="261">
        <f ca="1">TblConstr[[#This Row],[Land]]</f>
        <v>250</v>
      </c>
      <c r="Y126" s="264"/>
      <c r="Z126" s="269">
        <f ca="1">IF(TblMili[[#This Row],[Set]]&lt;&gt;"",TblMili[[#This Row],[Set]],OFFSET(TblMili[[#This Row],[Draftrate]],-1,0))</f>
        <v>0.35</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6"/>
      <c r="AC126" s="182">
        <f ca="1">(TblConstr[[#This Row],[Tot Smi]]+TblConstr[[#This Row],[Dest Smi]])/(TblConstr[[#This Row],[Land]]-TblExplore[[#This Row],[Land Bonus]]*20)</f>
        <v>0</v>
      </c>
      <c r="AD126" s="139"/>
      <c r="AE126" s="260">
        <f>TblMili[[#This Row],[Hour]]</f>
        <v>123</v>
      </c>
      <c r="AF126" s="140">
        <f ca="1">TblExplore[[#This Row],[Time]]</f>
        <v>45737.083333333037</v>
      </c>
      <c r="AG126" s="181"/>
      <c r="AH126" s="181"/>
      <c r="AI126" s="181"/>
      <c r="AJ126" s="181"/>
      <c r="AK126" s="181"/>
      <c r="AL126" s="181"/>
      <c r="AM126" s="181"/>
      <c r="AN126" s="181"/>
      <c r="AO126" s="448">
        <f ca="1">ROUND(IF(AND(TblMagic[[#This Row],[Active DnD]]&lt;12,TblMagic[[#This Row],[Active DnD]]&gt;5),OFFSET(TblPop[[#This Row],[Draft Growth]],-1,0)*0.375,0),0)</f>
        <v>0</v>
      </c>
      <c r="AP126" s="144"/>
      <c r="AQ126" s="96">
        <f ca="1">TblProd[[#This Row],[Platinum]]</f>
        <v>790170</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45737.083333333037</v>
      </c>
      <c r="AW126" s="96">
        <f ca="1">TblMili[[#This Row],[Draftees]]</f>
        <v>626</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0.44</v>
      </c>
      <c r="BX126" s="159">
        <f ca="1">TblMili[[#This Row],[WG''s]]</f>
        <v>0</v>
      </c>
      <c r="BY126" s="265">
        <f ca="1">IF(mystic_cap="none",TblMili[[#This Row],[Homeland%]]/mystic_bonus,MIN(mystic_cap,TblMili[[#This Row],[Homeland%]]/mystic_bonus))</f>
        <v>2</v>
      </c>
      <c r="BZ126" s="265">
        <f ca="1">IF(druid_op_cap="none",TblMili[[#This Row],[Homeland%]]/druid_op_bonus,MIN(druid_op_cap,TblMili[[#This Row],[Homeland%]]/druid_op_bonus))</f>
        <v>2</v>
      </c>
      <c r="CA126" s="265">
        <f ca="1">IF(druid_dp_cap="none",TblMili[[#This Row],[Homeland%]]/druid_dp_bonus,MIN(druid_dp_cap,TblMili[[#This Row],[Homeland%]]/druid_dp_bonus))</f>
        <v>2</v>
      </c>
      <c r="CB126" s="265">
        <f ca="1">MIN(dryad_cap,TblMili[[#This Row],[Homeland%]]/dryad_bonus)</f>
        <v>2.1999999999999997</v>
      </c>
      <c r="CC126" s="265">
        <f ca="1">MIN(rocka_cap,TblMili[[#This Row],[Homeland%]]/rocka_bonus)</f>
        <v>2</v>
      </c>
      <c r="CD126" s="265">
        <f ca="1">MIN(adept_op_cap,TblMili[[#This Row],[WG]]/adept_op_bonus)</f>
        <v>0</v>
      </c>
      <c r="CE126" s="265">
        <f ca="1">MIN(adept_dp_cap,TblMili[[#This Row],[WG]]/adept_dp_bonus)</f>
        <v>0</v>
      </c>
      <c r="CF126" s="96">
        <f ca="1">MIN(TblMili[[#This Row],[Unit 3]],TblMili[[#This Row],[Unit 2]])*2</f>
        <v>0</v>
      </c>
      <c r="CG126" s="96">
        <f ca="1">MIN(TblMili[[#This Row],[Unit 1]],TblMili[[#This Row],[Unit 4]])*2</f>
        <v>0</v>
      </c>
      <c r="CH126" s="265">
        <f ca="1">MIN(frost_mage_cap,TblMili[[#This Row],[Homeland%]]/frost_mage_bonus)</f>
        <v>2.1999999999999997</v>
      </c>
      <c r="CI126" s="45">
        <f ca="1">MIN(ice_elem_cap,TblMili[[#This Row],[Raw (2)]]*ice_elem_bonus)</f>
        <v>0.1</v>
      </c>
      <c r="CJ126" s="265">
        <f t="shared" si="4"/>
        <v>0.83333333333333337</v>
      </c>
      <c r="CK126" s="265">
        <f ca="1">MIN(nox_nightshade_cap,TblConstr[[#This Row],[Homeland]]/TblConstr[[#This Row],[Land]]/nox_nightshade_swamp_bonus)</f>
        <v>4</v>
      </c>
      <c r="CL126" s="265">
        <f ca="1">MIN(TblConstr[[#This Row],[Tot Tow]]/TblConstr[[#This Row],[Land]]/abyss_enforce_bonus,abyss_enforcer_cap)</f>
        <v>0</v>
      </c>
      <c r="CM126" s="265">
        <f ca="1">IF(TblMagic[[#This Row],[Active Demonic Pact]]&gt;0,MIN(TblMili[[#This Row],[Unit 1]],TblMili[[#This Row],[Unit 4]])*demonic_pact_oppair,0)</f>
        <v>0</v>
      </c>
      <c r="CN126" s="266"/>
      <c r="CO126" s="266"/>
      <c r="CP126" s="266"/>
      <c r="CQ126" s="265">
        <f ca="1">MIN(6,TblMili[[#This Row],[Mystic]]+Races!$F$19)*1.8 +  IF(TblMili[[#This Row],[Mystic]]+Races!$F$19&gt;6,(TblMili[[#This Row],[Mystic]]+Races!$F$19-6)*0.2,0) - Races!$I$19</f>
        <v>1</v>
      </c>
      <c r="CR1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-0.64000000000000057</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4.7099999999999991</v>
      </c>
      <c r="DA126" s="157">
        <f ca="1">1.8 * MIN(MAX(TblMili[[#This Row],[Ice Elemental]]+Races!$E$71,Races!$F$71),6)  +  0.45 * MIN(MIN(TblMili[[#This Row],[Ice Elemental]]+Races!$E$71,Races!$F$71),6)  +  0.2 * ( MAX(TblMili[[#This Row],[Ice Elemental]]+Races!$E$71-6,0) + MAX(Races!$F$71-6,0) )  -  Races!$I$71</f>
        <v>0.92999999999999972</v>
      </c>
      <c r="DB126" s="96">
        <f ca="1">TblMili[[#This Row],[Frost Mage bonus]]*TblMili[[#This Row],[Unit 3]]+TblMili[[#This Row],[Ice Elemental bonus]]*TblMili[[#This Row],[Unit 4]]</f>
        <v>0</v>
      </c>
      <c r="DC126" s="267"/>
      <c r="DD126" s="145">
        <f ca="1">MIN(SUM(TblConstr[[#This Row],[Plain]:[Water]])/TblMili[[#This Row],[Land]]/favorable_terrain_bonus/100,favorable_terrain_max)</f>
        <v>0.1</v>
      </c>
      <c r="DE126" s="267"/>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6" s="144"/>
      <c r="DH126" s="268">
        <f ca="1">(TblMili[[#This Row],[Wizards]]+2*TblMili[[#This Row],[Archmages]])/TblConstr[[#This Row],[Land]]</f>
        <v>0.1</v>
      </c>
      <c r="DI126" s="268">
        <f ca="1">TblMili[[#This Row],[Raw (2)]]*(1+race_wizard_strength+IF(TblMili[[#This Row],[Hour]]&gt;72,tech_magical_weaponry_wiz*TblTech[[#This Row],[3-5]],0))</f>
        <v>0.1</v>
      </c>
    </row>
    <row r="127" spans="1:113" x14ac:dyDescent="0.2">
      <c r="A127" s="139">
        <f>TblRezone[[#This Row],[Hour]]</f>
        <v>124</v>
      </c>
      <c r="B127" s="260">
        <f ca="1">SUM(TblMili[[#This Row],[Unit 1]:[Archmages]])+SUM(OFFSET(TblMili[[#This Row],[Train Unit 1]],-8,0):TblMili[[#This Row],[Train Unit 2]]) + SUM(OFFSET(TblMili[[#This Row],[Train Unit 3]],-11,0):TblMili[[#This Row],[Train AM]]) + TblMili[[#This Row],[Draftees]]</f>
        <v>826</v>
      </c>
      <c r="C127" s="159">
        <f ca="1">TblPop[[#This Row],[Military%]]</f>
        <v>0.35029686174724345</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4"/>
      <c r="N127" s="96">
        <f ca="1">TblProd[[#This Row],[Networth]]</f>
        <v>6450</v>
      </c>
      <c r="O127" s="144"/>
      <c r="P1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1">
        <f ca="1">TblMili[[#This Row],[Raw]]*(1+TblMili[[#This Row],[Mods_Off]])</f>
        <v>0</v>
      </c>
      <c r="S1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7" s="261">
        <f ca="1">TblMili[[#This Row],[Non Draft]]+TblMili[[#This Row],[Draftees]]</f>
        <v>1076</v>
      </c>
      <c r="U127" s="262">
        <f ca="1">race_defense + TblImps[[#This Row],[Walls]] + ROUND( MIN(gt_bonus*TblConstr[[#This Row],[Tot GT]]/TblConstr[[#This Row],[Land]],gt_bonus_cap), 4) + IF(TblMagic[[#This Row],[Active Howling]]&gt;0,howling_dp_bonus,IF(TblMagic[[#This Row],[Active Ares Call]]&gt;0,ares_call_bonus))</f>
        <v>0</v>
      </c>
      <c r="V127" s="263">
        <f ca="1">TblMili[[#This Row],[Non Draft]] * (1 + TblMili[[#This Row],[Mods_Def]])</f>
        <v>450</v>
      </c>
      <c r="W127" s="261">
        <f ca="1">TblMili[[#This Row],[Draft]] * (1 + TblMili[[#This Row],[Mods_Def]])</f>
        <v>1076</v>
      </c>
      <c r="X127" s="261">
        <f ca="1">TblConstr[[#This Row],[Land]]</f>
        <v>250</v>
      </c>
      <c r="Y127" s="264"/>
      <c r="Z127" s="269">
        <f ca="1">IF(TblMili[[#This Row],[Set]]&lt;&gt;"",TblMili[[#This Row],[Set]],OFFSET(TblMili[[#This Row],[Draftrate]],-1,0))</f>
        <v>0.35</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6"/>
      <c r="AC127" s="182">
        <f ca="1">(TblConstr[[#This Row],[Tot Smi]]+TblConstr[[#This Row],[Dest Smi]])/(TblConstr[[#This Row],[Land]]-TblExplore[[#This Row],[Land Bonus]]*20)</f>
        <v>0</v>
      </c>
      <c r="AD127" s="139"/>
      <c r="AE127" s="260">
        <f>TblMili[[#This Row],[Hour]]</f>
        <v>124</v>
      </c>
      <c r="AF127" s="140">
        <f ca="1">TblExplore[[#This Row],[Time]]</f>
        <v>45737.124999999702</v>
      </c>
      <c r="AG127" s="181"/>
      <c r="AH127" s="181"/>
      <c r="AI127" s="181"/>
      <c r="AJ127" s="181"/>
      <c r="AK127" s="181"/>
      <c r="AL127" s="181"/>
      <c r="AM127" s="181"/>
      <c r="AN127" s="181"/>
      <c r="AO127" s="448">
        <f ca="1">ROUND(IF(AND(TblMagic[[#This Row],[Active DnD]]&lt;12,TblMagic[[#This Row],[Active DnD]]&gt;5),OFFSET(TblPop[[#This Row],[Draft Growth]],-1,0)*0.375,0),0)</f>
        <v>0</v>
      </c>
      <c r="AP127" s="144"/>
      <c r="AQ127" s="96">
        <f ca="1">TblProd[[#This Row],[Platinum]]</f>
        <v>795656</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45737.124999999702</v>
      </c>
      <c r="AW127" s="96">
        <f ca="1">TblMili[[#This Row],[Draftees]]</f>
        <v>626</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0.44</v>
      </c>
      <c r="BX127" s="159">
        <f ca="1">TblMili[[#This Row],[WG''s]]</f>
        <v>0</v>
      </c>
      <c r="BY127" s="265">
        <f ca="1">IF(mystic_cap="none",TblMili[[#This Row],[Homeland%]]/mystic_bonus,MIN(mystic_cap,TblMili[[#This Row],[Homeland%]]/mystic_bonus))</f>
        <v>2</v>
      </c>
      <c r="BZ127" s="265">
        <f ca="1">IF(druid_op_cap="none",TblMili[[#This Row],[Homeland%]]/druid_op_bonus,MIN(druid_op_cap,TblMili[[#This Row],[Homeland%]]/druid_op_bonus))</f>
        <v>2</v>
      </c>
      <c r="CA127" s="265">
        <f ca="1">IF(druid_dp_cap="none",TblMili[[#This Row],[Homeland%]]/druid_dp_bonus,MIN(druid_dp_cap,TblMili[[#This Row],[Homeland%]]/druid_dp_bonus))</f>
        <v>2</v>
      </c>
      <c r="CB127" s="265">
        <f ca="1">MIN(dryad_cap,TblMili[[#This Row],[Homeland%]]/dryad_bonus)</f>
        <v>2.1999999999999997</v>
      </c>
      <c r="CC127" s="265">
        <f ca="1">MIN(rocka_cap,TblMili[[#This Row],[Homeland%]]/rocka_bonus)</f>
        <v>2</v>
      </c>
      <c r="CD127" s="265">
        <f ca="1">MIN(adept_op_cap,TblMili[[#This Row],[WG]]/adept_op_bonus)</f>
        <v>0</v>
      </c>
      <c r="CE127" s="265">
        <f ca="1">MIN(adept_dp_cap,TblMili[[#This Row],[WG]]/adept_dp_bonus)</f>
        <v>0</v>
      </c>
      <c r="CF127" s="96">
        <f ca="1">MIN(TblMili[[#This Row],[Unit 3]],TblMili[[#This Row],[Unit 2]])*2</f>
        <v>0</v>
      </c>
      <c r="CG127" s="96">
        <f ca="1">MIN(TblMili[[#This Row],[Unit 1]],TblMili[[#This Row],[Unit 4]])*2</f>
        <v>0</v>
      </c>
      <c r="CH127" s="265">
        <f ca="1">MIN(frost_mage_cap,TblMili[[#This Row],[Homeland%]]/frost_mage_bonus)</f>
        <v>2.1999999999999997</v>
      </c>
      <c r="CI127" s="45">
        <f ca="1">MIN(ice_elem_cap,TblMili[[#This Row],[Raw (2)]]*ice_elem_bonus)</f>
        <v>0.1</v>
      </c>
      <c r="CJ127" s="265">
        <f t="shared" si="4"/>
        <v>0.83333333333333337</v>
      </c>
      <c r="CK127" s="265">
        <f ca="1">MIN(nox_nightshade_cap,TblConstr[[#This Row],[Homeland]]/TblConstr[[#This Row],[Land]]/nox_nightshade_swamp_bonus)</f>
        <v>4</v>
      </c>
      <c r="CL127" s="265">
        <f ca="1">MIN(TblConstr[[#This Row],[Tot Tow]]/TblConstr[[#This Row],[Land]]/abyss_enforce_bonus,abyss_enforcer_cap)</f>
        <v>0</v>
      </c>
      <c r="CM127" s="265">
        <f ca="1">IF(TblMagic[[#This Row],[Active Demonic Pact]]&gt;0,MIN(TblMili[[#This Row],[Unit 1]],TblMili[[#This Row],[Unit 4]])*demonic_pact_oppair,0)</f>
        <v>0</v>
      </c>
      <c r="CN127" s="266"/>
      <c r="CO127" s="266"/>
      <c r="CP127" s="266"/>
      <c r="CQ127" s="265">
        <f ca="1">MIN(6,TblMili[[#This Row],[Mystic]]+Races!$F$19)*1.8 +  IF(TblMili[[#This Row],[Mystic]]+Races!$F$19&gt;6,(TblMili[[#This Row],[Mystic]]+Races!$F$19-6)*0.2,0) - Races!$I$19</f>
        <v>1</v>
      </c>
      <c r="CR1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-0.64000000000000057</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4.7099999999999991</v>
      </c>
      <c r="DA127" s="157">
        <f ca="1">1.8 * MIN(MAX(TblMili[[#This Row],[Ice Elemental]]+Races!$E$71,Races!$F$71),6)  +  0.45 * MIN(MIN(TblMili[[#This Row],[Ice Elemental]]+Races!$E$71,Races!$F$71),6)  +  0.2 * ( MAX(TblMili[[#This Row],[Ice Elemental]]+Races!$E$71-6,0) + MAX(Races!$F$71-6,0) )  -  Races!$I$71</f>
        <v>0.92999999999999972</v>
      </c>
      <c r="DB127" s="96">
        <f ca="1">TblMili[[#This Row],[Frost Mage bonus]]*TblMili[[#This Row],[Unit 3]]+TblMili[[#This Row],[Ice Elemental bonus]]*TblMili[[#This Row],[Unit 4]]</f>
        <v>0</v>
      </c>
      <c r="DC127" s="267"/>
      <c r="DD127" s="145">
        <f ca="1">MIN(SUM(TblConstr[[#This Row],[Plain]:[Water]])/TblMili[[#This Row],[Land]]/favorable_terrain_bonus/100,favorable_terrain_max)</f>
        <v>0.1</v>
      </c>
      <c r="DE127" s="267"/>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7" s="144"/>
      <c r="DH127" s="268">
        <f ca="1">(TblMili[[#This Row],[Wizards]]+2*TblMili[[#This Row],[Archmages]])/TblConstr[[#This Row],[Land]]</f>
        <v>0.1</v>
      </c>
      <c r="DI127" s="268">
        <f ca="1">TblMili[[#This Row],[Raw (2)]]*(1+race_wizard_strength+IF(TblMili[[#This Row],[Hour]]&gt;72,tech_magical_weaponry_wiz*TblTech[[#This Row],[3-5]],0))</f>
        <v>0.1</v>
      </c>
    </row>
    <row r="128" spans="1:113" x14ac:dyDescent="0.2">
      <c r="A128" s="139">
        <f>TblRezone[[#This Row],[Hour]]</f>
        <v>125</v>
      </c>
      <c r="B128" s="260">
        <f ca="1">SUM(TblMili[[#This Row],[Unit 1]:[Archmages]])+SUM(OFFSET(TblMili[[#This Row],[Train Unit 1]],-8,0):TblMili[[#This Row],[Train Unit 2]]) + SUM(OFFSET(TblMili[[#This Row],[Train Unit 3]],-11,0):TblMili[[#This Row],[Train AM]]) + TblMili[[#This Row],[Draftees]]</f>
        <v>826</v>
      </c>
      <c r="C128" s="159">
        <f ca="1">TblPop[[#This Row],[Military%]]</f>
        <v>0.35029686174724345</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4"/>
      <c r="N128" s="96">
        <f ca="1">TblProd[[#This Row],[Networth]]</f>
        <v>6450</v>
      </c>
      <c r="O128" s="144"/>
      <c r="P1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1">
        <f ca="1">TblMili[[#This Row],[Raw]]*(1+TblMili[[#This Row],[Mods_Off]])</f>
        <v>0</v>
      </c>
      <c r="S1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8" s="261">
        <f ca="1">TblMili[[#This Row],[Non Draft]]+TblMili[[#This Row],[Draftees]]</f>
        <v>1076</v>
      </c>
      <c r="U128" s="262">
        <f ca="1">race_defense + TblImps[[#This Row],[Walls]] + ROUND( MIN(gt_bonus*TblConstr[[#This Row],[Tot GT]]/TblConstr[[#This Row],[Land]],gt_bonus_cap), 4) + IF(TblMagic[[#This Row],[Active Howling]]&gt;0,howling_dp_bonus,IF(TblMagic[[#This Row],[Active Ares Call]]&gt;0,ares_call_bonus))</f>
        <v>0</v>
      </c>
      <c r="V128" s="263">
        <f ca="1">TblMili[[#This Row],[Non Draft]] * (1 + TblMili[[#This Row],[Mods_Def]])</f>
        <v>450</v>
      </c>
      <c r="W128" s="261">
        <f ca="1">TblMili[[#This Row],[Draft]] * (1 + TblMili[[#This Row],[Mods_Def]])</f>
        <v>1076</v>
      </c>
      <c r="X128" s="261">
        <f ca="1">TblConstr[[#This Row],[Land]]</f>
        <v>250</v>
      </c>
      <c r="Y128" s="264"/>
      <c r="Z128" s="269">
        <f ca="1">IF(TblMili[[#This Row],[Set]]&lt;&gt;"",TblMili[[#This Row],[Set]],OFFSET(TblMili[[#This Row],[Draftrate]],-1,0))</f>
        <v>0.35</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6"/>
      <c r="AC128" s="182">
        <f ca="1">(TblConstr[[#This Row],[Tot Smi]]+TblConstr[[#This Row],[Dest Smi]])/(TblConstr[[#This Row],[Land]]-TblExplore[[#This Row],[Land Bonus]]*20)</f>
        <v>0</v>
      </c>
      <c r="AD128" s="139"/>
      <c r="AE128" s="260">
        <f>TblMili[[#This Row],[Hour]]</f>
        <v>125</v>
      </c>
      <c r="AF128" s="140">
        <f ca="1">TblExplore[[#This Row],[Time]]</f>
        <v>45737.166666666366</v>
      </c>
      <c r="AG128" s="181"/>
      <c r="AH128" s="181"/>
      <c r="AI128" s="181"/>
      <c r="AJ128" s="181"/>
      <c r="AK128" s="181"/>
      <c r="AL128" s="181"/>
      <c r="AM128" s="181"/>
      <c r="AN128" s="181"/>
      <c r="AO128" s="448">
        <f ca="1">ROUND(IF(AND(TblMagic[[#This Row],[Active DnD]]&lt;12,TblMagic[[#This Row],[Active DnD]]&gt;5),OFFSET(TblPop[[#This Row],[Draft Growth]],-1,0)*0.375,0),0)</f>
        <v>0</v>
      </c>
      <c r="AP128" s="144"/>
      <c r="AQ128" s="96">
        <f ca="1">TblProd[[#This Row],[Platinum]]</f>
        <v>801142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45737.166666666366</v>
      </c>
      <c r="AW128" s="96">
        <f ca="1">TblMili[[#This Row],[Draftees]]</f>
        <v>626</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0.44</v>
      </c>
      <c r="BX128" s="159">
        <f ca="1">TblMili[[#This Row],[WG''s]]</f>
        <v>0</v>
      </c>
      <c r="BY128" s="265">
        <f ca="1">IF(mystic_cap="none",TblMili[[#This Row],[Homeland%]]/mystic_bonus,MIN(mystic_cap,TblMili[[#This Row],[Homeland%]]/mystic_bonus))</f>
        <v>2</v>
      </c>
      <c r="BZ128" s="265">
        <f ca="1">IF(druid_op_cap="none",TblMili[[#This Row],[Homeland%]]/druid_op_bonus,MIN(druid_op_cap,TblMili[[#This Row],[Homeland%]]/druid_op_bonus))</f>
        <v>2</v>
      </c>
      <c r="CA128" s="265">
        <f ca="1">IF(druid_dp_cap="none",TblMili[[#This Row],[Homeland%]]/druid_dp_bonus,MIN(druid_dp_cap,TblMili[[#This Row],[Homeland%]]/druid_dp_bonus))</f>
        <v>2</v>
      </c>
      <c r="CB128" s="265">
        <f ca="1">MIN(dryad_cap,TblMili[[#This Row],[Homeland%]]/dryad_bonus)</f>
        <v>2.1999999999999997</v>
      </c>
      <c r="CC128" s="265">
        <f ca="1">MIN(rocka_cap,TblMili[[#This Row],[Homeland%]]/rocka_bonus)</f>
        <v>2</v>
      </c>
      <c r="CD128" s="265">
        <f ca="1">MIN(adept_op_cap,TblMili[[#This Row],[WG]]/adept_op_bonus)</f>
        <v>0</v>
      </c>
      <c r="CE128" s="265">
        <f ca="1">MIN(adept_dp_cap,TblMili[[#This Row],[WG]]/adept_dp_bonus)</f>
        <v>0</v>
      </c>
      <c r="CF128" s="96">
        <f ca="1">MIN(TblMili[[#This Row],[Unit 3]],TblMili[[#This Row],[Unit 2]])*2</f>
        <v>0</v>
      </c>
      <c r="CG128" s="96">
        <f ca="1">MIN(TblMili[[#This Row],[Unit 1]],TblMili[[#This Row],[Unit 4]])*2</f>
        <v>0</v>
      </c>
      <c r="CH128" s="265">
        <f ca="1">MIN(frost_mage_cap,TblMili[[#This Row],[Homeland%]]/frost_mage_bonus)</f>
        <v>2.1999999999999997</v>
      </c>
      <c r="CI128" s="45">
        <f ca="1">MIN(ice_elem_cap,TblMili[[#This Row],[Raw (2)]]*ice_elem_bonus)</f>
        <v>0.1</v>
      </c>
      <c r="CJ128" s="265">
        <f t="shared" si="4"/>
        <v>0.83333333333333337</v>
      </c>
      <c r="CK128" s="265">
        <f ca="1">MIN(nox_nightshade_cap,TblConstr[[#This Row],[Homeland]]/TblConstr[[#This Row],[Land]]/nox_nightshade_swamp_bonus)</f>
        <v>4</v>
      </c>
      <c r="CL128" s="265">
        <f ca="1">MIN(TblConstr[[#This Row],[Tot Tow]]/TblConstr[[#This Row],[Land]]/abyss_enforce_bonus,abyss_enforcer_cap)</f>
        <v>0</v>
      </c>
      <c r="CM128" s="265">
        <f ca="1">IF(TblMagic[[#This Row],[Active Demonic Pact]]&gt;0,MIN(TblMili[[#This Row],[Unit 1]],TblMili[[#This Row],[Unit 4]])*demonic_pact_oppair,0)</f>
        <v>0</v>
      </c>
      <c r="CN128" s="266"/>
      <c r="CO128" s="266"/>
      <c r="CP128" s="266"/>
      <c r="CQ128" s="265">
        <f ca="1">MIN(6,TblMili[[#This Row],[Mystic]]+Races!$F$19)*1.8 +  IF(TblMili[[#This Row],[Mystic]]+Races!$F$19&gt;6,(TblMili[[#This Row],[Mystic]]+Races!$F$19-6)*0.2,0) - Races!$I$19</f>
        <v>1</v>
      </c>
      <c r="CR1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-0.64000000000000057</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4.7099999999999991</v>
      </c>
      <c r="DA128" s="157">
        <f ca="1">1.8 * MIN(MAX(TblMili[[#This Row],[Ice Elemental]]+Races!$E$71,Races!$F$71),6)  +  0.45 * MIN(MIN(TblMili[[#This Row],[Ice Elemental]]+Races!$E$71,Races!$F$71),6)  +  0.2 * ( MAX(TblMili[[#This Row],[Ice Elemental]]+Races!$E$71-6,0) + MAX(Races!$F$71-6,0) )  -  Races!$I$71</f>
        <v>0.92999999999999972</v>
      </c>
      <c r="DB128" s="96">
        <f ca="1">TblMili[[#This Row],[Frost Mage bonus]]*TblMili[[#This Row],[Unit 3]]+TblMili[[#This Row],[Ice Elemental bonus]]*TblMili[[#This Row],[Unit 4]]</f>
        <v>0</v>
      </c>
      <c r="DC128" s="267"/>
      <c r="DD128" s="145">
        <f ca="1">MIN(SUM(TblConstr[[#This Row],[Plain]:[Water]])/TblMili[[#This Row],[Land]]/favorable_terrain_bonus/100,favorable_terrain_max)</f>
        <v>0.1</v>
      </c>
      <c r="DE128" s="267"/>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8" s="144"/>
      <c r="DH128" s="268">
        <f ca="1">(TblMili[[#This Row],[Wizards]]+2*TblMili[[#This Row],[Archmages]])/TblConstr[[#This Row],[Land]]</f>
        <v>0.1</v>
      </c>
      <c r="DI128" s="268">
        <f ca="1">TblMili[[#This Row],[Raw (2)]]*(1+race_wizard_strength+IF(TblMili[[#This Row],[Hour]]&gt;72,tech_magical_weaponry_wiz*TblTech[[#This Row],[3-5]],0))</f>
        <v>0.1</v>
      </c>
    </row>
    <row r="129" spans="1:113" x14ac:dyDescent="0.2">
      <c r="A129" s="139">
        <f>TblRezone[[#This Row],[Hour]]</f>
        <v>126</v>
      </c>
      <c r="B129" s="260">
        <f ca="1">SUM(TblMili[[#This Row],[Unit 1]:[Archmages]])+SUM(OFFSET(TblMili[[#This Row],[Train Unit 1]],-8,0):TblMili[[#This Row],[Train Unit 2]]) + SUM(OFFSET(TblMili[[#This Row],[Train Unit 3]],-11,0):TblMili[[#This Row],[Train AM]]) + TblMili[[#This Row],[Draftees]]</f>
        <v>826</v>
      </c>
      <c r="C129" s="159">
        <f ca="1">TblPop[[#This Row],[Military%]]</f>
        <v>0.35029686174724345</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4"/>
      <c r="N129" s="96">
        <f ca="1">TblProd[[#This Row],[Networth]]</f>
        <v>6450</v>
      </c>
      <c r="O129" s="144"/>
      <c r="P1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1">
        <f ca="1">TblMili[[#This Row],[Raw]]*(1+TblMili[[#This Row],[Mods_Off]])</f>
        <v>0</v>
      </c>
      <c r="S1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9" s="261">
        <f ca="1">TblMili[[#This Row],[Non Draft]]+TblMili[[#This Row],[Draftees]]</f>
        <v>1076</v>
      </c>
      <c r="U129" s="262">
        <f ca="1">race_defense + TblImps[[#This Row],[Walls]] + ROUND( MIN(gt_bonus*TblConstr[[#This Row],[Tot GT]]/TblConstr[[#This Row],[Land]],gt_bonus_cap), 4) + IF(TblMagic[[#This Row],[Active Howling]]&gt;0,howling_dp_bonus,IF(TblMagic[[#This Row],[Active Ares Call]]&gt;0,ares_call_bonus))</f>
        <v>0</v>
      </c>
      <c r="V129" s="263">
        <f ca="1">TblMili[[#This Row],[Non Draft]] * (1 + TblMili[[#This Row],[Mods_Def]])</f>
        <v>450</v>
      </c>
      <c r="W129" s="261">
        <f ca="1">TblMili[[#This Row],[Draft]] * (1 + TblMili[[#This Row],[Mods_Def]])</f>
        <v>1076</v>
      </c>
      <c r="X129" s="261">
        <f ca="1">TblConstr[[#This Row],[Land]]</f>
        <v>250</v>
      </c>
      <c r="Y129" s="264"/>
      <c r="Z129" s="269">
        <f ca="1">IF(TblMili[[#This Row],[Set]]&lt;&gt;"",TblMili[[#This Row],[Set]],OFFSET(TblMili[[#This Row],[Draftrate]],-1,0))</f>
        <v>0.35</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6"/>
      <c r="AC129" s="182">
        <f ca="1">(TblConstr[[#This Row],[Tot Smi]]+TblConstr[[#This Row],[Dest Smi]])/(TblConstr[[#This Row],[Land]]-TblExplore[[#This Row],[Land Bonus]]*20)</f>
        <v>0</v>
      </c>
      <c r="AD129" s="139"/>
      <c r="AE129" s="260">
        <f>TblMili[[#This Row],[Hour]]</f>
        <v>126</v>
      </c>
      <c r="AF129" s="140">
        <f ca="1">TblExplore[[#This Row],[Time]]</f>
        <v>45737.20833333303</v>
      </c>
      <c r="AG129" s="181"/>
      <c r="AH129" s="181"/>
      <c r="AI129" s="181"/>
      <c r="AJ129" s="181"/>
      <c r="AK129" s="181"/>
      <c r="AL129" s="181"/>
      <c r="AM129" s="181"/>
      <c r="AN129" s="181"/>
      <c r="AO129" s="448">
        <f ca="1">ROUND(IF(AND(TblMagic[[#This Row],[Active DnD]]&lt;12,TblMagic[[#This Row],[Active DnD]]&gt;5),OFFSET(TblPop[[#This Row],[Draft Growth]],-1,0)*0.375,0),0)</f>
        <v>0</v>
      </c>
      <c r="AP129" s="144"/>
      <c r="AQ129" s="96">
        <f ca="1">TblProd[[#This Row],[Platinum]]</f>
        <v>806628</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45737.20833333303</v>
      </c>
      <c r="AW129" s="96">
        <f ca="1">TblMili[[#This Row],[Draftees]]</f>
        <v>626</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0.44</v>
      </c>
      <c r="BX129" s="159">
        <f ca="1">TblMili[[#This Row],[WG''s]]</f>
        <v>0</v>
      </c>
      <c r="BY129" s="265">
        <f ca="1">IF(mystic_cap="none",TblMili[[#This Row],[Homeland%]]/mystic_bonus,MIN(mystic_cap,TblMili[[#This Row],[Homeland%]]/mystic_bonus))</f>
        <v>2</v>
      </c>
      <c r="BZ129" s="265">
        <f ca="1">IF(druid_op_cap="none",TblMili[[#This Row],[Homeland%]]/druid_op_bonus,MIN(druid_op_cap,TblMili[[#This Row],[Homeland%]]/druid_op_bonus))</f>
        <v>2</v>
      </c>
      <c r="CA129" s="265">
        <f ca="1">IF(druid_dp_cap="none",TblMili[[#This Row],[Homeland%]]/druid_dp_bonus,MIN(druid_dp_cap,TblMili[[#This Row],[Homeland%]]/druid_dp_bonus))</f>
        <v>2</v>
      </c>
      <c r="CB129" s="265">
        <f ca="1">MIN(dryad_cap,TblMili[[#This Row],[Homeland%]]/dryad_bonus)</f>
        <v>2.1999999999999997</v>
      </c>
      <c r="CC129" s="265">
        <f ca="1">MIN(rocka_cap,TblMili[[#This Row],[Homeland%]]/rocka_bonus)</f>
        <v>2</v>
      </c>
      <c r="CD129" s="265">
        <f ca="1">MIN(adept_op_cap,TblMili[[#This Row],[WG]]/adept_op_bonus)</f>
        <v>0</v>
      </c>
      <c r="CE129" s="265">
        <f ca="1">MIN(adept_dp_cap,TblMili[[#This Row],[WG]]/adept_dp_bonus)</f>
        <v>0</v>
      </c>
      <c r="CF129" s="96">
        <f ca="1">MIN(TblMili[[#This Row],[Unit 3]],TblMili[[#This Row],[Unit 2]])*2</f>
        <v>0</v>
      </c>
      <c r="CG129" s="96">
        <f ca="1">MIN(TblMili[[#This Row],[Unit 1]],TblMili[[#This Row],[Unit 4]])*2</f>
        <v>0</v>
      </c>
      <c r="CH129" s="265">
        <f ca="1">MIN(frost_mage_cap,TblMili[[#This Row],[Homeland%]]/frost_mage_bonus)</f>
        <v>2.1999999999999997</v>
      </c>
      <c r="CI129" s="45">
        <f ca="1">MIN(ice_elem_cap,TblMili[[#This Row],[Raw (2)]]*ice_elem_bonus)</f>
        <v>0.1</v>
      </c>
      <c r="CJ129" s="265">
        <f t="shared" si="4"/>
        <v>0.83333333333333337</v>
      </c>
      <c r="CK129" s="265">
        <f ca="1">MIN(nox_nightshade_cap,TblConstr[[#This Row],[Homeland]]/TblConstr[[#This Row],[Land]]/nox_nightshade_swamp_bonus)</f>
        <v>4</v>
      </c>
      <c r="CL129" s="265">
        <f ca="1">MIN(TblConstr[[#This Row],[Tot Tow]]/TblConstr[[#This Row],[Land]]/abyss_enforce_bonus,abyss_enforcer_cap)</f>
        <v>0</v>
      </c>
      <c r="CM129" s="265">
        <f ca="1">IF(TblMagic[[#This Row],[Active Demonic Pact]]&gt;0,MIN(TblMili[[#This Row],[Unit 1]],TblMili[[#This Row],[Unit 4]])*demonic_pact_oppair,0)</f>
        <v>0</v>
      </c>
      <c r="CN129" s="266"/>
      <c r="CO129" s="266"/>
      <c r="CP129" s="266"/>
      <c r="CQ129" s="265">
        <f ca="1">MIN(6,TblMili[[#This Row],[Mystic]]+Races!$F$19)*1.8 +  IF(TblMili[[#This Row],[Mystic]]+Races!$F$19&gt;6,(TblMili[[#This Row],[Mystic]]+Races!$F$19-6)*0.2,0) - Races!$I$19</f>
        <v>1</v>
      </c>
      <c r="CR1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-0.64000000000000057</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4.7099999999999991</v>
      </c>
      <c r="DA129" s="157">
        <f ca="1">1.8 * MIN(MAX(TblMili[[#This Row],[Ice Elemental]]+Races!$E$71,Races!$F$71),6)  +  0.45 * MIN(MIN(TblMili[[#This Row],[Ice Elemental]]+Races!$E$71,Races!$F$71),6)  +  0.2 * ( MAX(TblMili[[#This Row],[Ice Elemental]]+Races!$E$71-6,0) + MAX(Races!$F$71-6,0) )  -  Races!$I$71</f>
        <v>0.92999999999999972</v>
      </c>
      <c r="DB129" s="96">
        <f ca="1">TblMili[[#This Row],[Frost Mage bonus]]*TblMili[[#This Row],[Unit 3]]+TblMili[[#This Row],[Ice Elemental bonus]]*TblMili[[#This Row],[Unit 4]]</f>
        <v>0</v>
      </c>
      <c r="DC129" s="267"/>
      <c r="DD129" s="145">
        <f ca="1">MIN(SUM(TblConstr[[#This Row],[Plain]:[Water]])/TblMili[[#This Row],[Land]]/favorable_terrain_bonus/100,favorable_terrain_max)</f>
        <v>0.1</v>
      </c>
      <c r="DE129" s="267"/>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9" s="144"/>
      <c r="DH129" s="268">
        <f ca="1">(TblMili[[#This Row],[Wizards]]+2*TblMili[[#This Row],[Archmages]])/TblConstr[[#This Row],[Land]]</f>
        <v>0.1</v>
      </c>
      <c r="DI129" s="268">
        <f ca="1">TblMili[[#This Row],[Raw (2)]]*(1+race_wizard_strength+IF(TblMili[[#This Row],[Hour]]&gt;72,tech_magical_weaponry_wiz*TblTech[[#This Row],[3-5]],0))</f>
        <v>0.1</v>
      </c>
    </row>
    <row r="130" spans="1:113" x14ac:dyDescent="0.2">
      <c r="A130" s="139">
        <f>TblRezone[[#This Row],[Hour]]</f>
        <v>127</v>
      </c>
      <c r="B130" s="260">
        <f ca="1">SUM(TblMili[[#This Row],[Unit 1]:[Archmages]])+SUM(OFFSET(TblMili[[#This Row],[Train Unit 1]],-8,0):TblMili[[#This Row],[Train Unit 2]]) + SUM(OFFSET(TblMili[[#This Row],[Train Unit 3]],-11,0):TblMili[[#This Row],[Train AM]]) + TblMili[[#This Row],[Draftees]]</f>
        <v>826</v>
      </c>
      <c r="C130" s="159">
        <f ca="1">TblPop[[#This Row],[Military%]]</f>
        <v>0.35029686174724345</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4"/>
      <c r="N130" s="96">
        <f ca="1">TblProd[[#This Row],[Networth]]</f>
        <v>6450</v>
      </c>
      <c r="O130" s="144"/>
      <c r="P1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1">
        <f ca="1">TblMili[[#This Row],[Raw]]*(1+TblMili[[#This Row],[Mods_Off]])</f>
        <v>0</v>
      </c>
      <c r="S1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0" s="261">
        <f ca="1">TblMili[[#This Row],[Non Draft]]+TblMili[[#This Row],[Draftees]]</f>
        <v>1076</v>
      </c>
      <c r="U130" s="262">
        <f ca="1">race_defense + TblImps[[#This Row],[Walls]] + ROUND( MIN(gt_bonus*TblConstr[[#This Row],[Tot GT]]/TblConstr[[#This Row],[Land]],gt_bonus_cap), 4) + IF(TblMagic[[#This Row],[Active Howling]]&gt;0,howling_dp_bonus,IF(TblMagic[[#This Row],[Active Ares Call]]&gt;0,ares_call_bonus))</f>
        <v>0</v>
      </c>
      <c r="V130" s="263">
        <f ca="1">TblMili[[#This Row],[Non Draft]] * (1 + TblMili[[#This Row],[Mods_Def]])</f>
        <v>450</v>
      </c>
      <c r="W130" s="261">
        <f ca="1">TblMili[[#This Row],[Draft]] * (1 + TblMili[[#This Row],[Mods_Def]])</f>
        <v>1076</v>
      </c>
      <c r="X130" s="261">
        <f ca="1">TblConstr[[#This Row],[Land]]</f>
        <v>250</v>
      </c>
      <c r="Y130" s="264"/>
      <c r="Z130" s="269">
        <f ca="1">IF(TblMili[[#This Row],[Set]]&lt;&gt;"",TblMili[[#This Row],[Set]],OFFSET(TblMili[[#This Row],[Draftrate]],-1,0))</f>
        <v>0.35</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6"/>
      <c r="AC130" s="182">
        <f ca="1">(TblConstr[[#This Row],[Tot Smi]]+TblConstr[[#This Row],[Dest Smi]])/(TblConstr[[#This Row],[Land]]-TblExplore[[#This Row],[Land Bonus]]*20)</f>
        <v>0</v>
      </c>
      <c r="AD130" s="139"/>
      <c r="AE130" s="260">
        <f>TblMili[[#This Row],[Hour]]</f>
        <v>127</v>
      </c>
      <c r="AF130" s="140">
        <f ca="1">TblExplore[[#This Row],[Time]]</f>
        <v>45737.249999999694</v>
      </c>
      <c r="AG130" s="181"/>
      <c r="AH130" s="181"/>
      <c r="AI130" s="181"/>
      <c r="AJ130" s="181"/>
      <c r="AK130" s="181"/>
      <c r="AL130" s="181"/>
      <c r="AM130" s="181"/>
      <c r="AN130" s="181"/>
      <c r="AO130" s="448">
        <f ca="1">ROUND(IF(AND(TblMagic[[#This Row],[Active DnD]]&lt;12,TblMagic[[#This Row],[Active DnD]]&gt;5),OFFSET(TblPop[[#This Row],[Draft Growth]],-1,0)*0.375,0),0)</f>
        <v>0</v>
      </c>
      <c r="AP130" s="144"/>
      <c r="AQ130" s="96">
        <f ca="1">TblProd[[#This Row],[Platinum]]</f>
        <v>812114</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45737.249999999694</v>
      </c>
      <c r="AW130" s="96">
        <f ca="1">TblMili[[#This Row],[Draftees]]</f>
        <v>626</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0.44</v>
      </c>
      <c r="BX130" s="159">
        <f ca="1">TblMili[[#This Row],[WG''s]]</f>
        <v>0</v>
      </c>
      <c r="BY130" s="265">
        <f ca="1">IF(mystic_cap="none",TblMili[[#This Row],[Homeland%]]/mystic_bonus,MIN(mystic_cap,TblMili[[#This Row],[Homeland%]]/mystic_bonus))</f>
        <v>2</v>
      </c>
      <c r="BZ130" s="265">
        <f ca="1">IF(druid_op_cap="none",TblMili[[#This Row],[Homeland%]]/druid_op_bonus,MIN(druid_op_cap,TblMili[[#This Row],[Homeland%]]/druid_op_bonus))</f>
        <v>2</v>
      </c>
      <c r="CA130" s="265">
        <f ca="1">IF(druid_dp_cap="none",TblMili[[#This Row],[Homeland%]]/druid_dp_bonus,MIN(druid_dp_cap,TblMili[[#This Row],[Homeland%]]/druid_dp_bonus))</f>
        <v>2</v>
      </c>
      <c r="CB130" s="265">
        <f ca="1">MIN(dryad_cap,TblMili[[#This Row],[Homeland%]]/dryad_bonus)</f>
        <v>2.1999999999999997</v>
      </c>
      <c r="CC130" s="265">
        <f ca="1">MIN(rocka_cap,TblMili[[#This Row],[Homeland%]]/rocka_bonus)</f>
        <v>2</v>
      </c>
      <c r="CD130" s="265">
        <f ca="1">MIN(adept_op_cap,TblMili[[#This Row],[WG]]/adept_op_bonus)</f>
        <v>0</v>
      </c>
      <c r="CE130" s="265">
        <f ca="1">MIN(adept_dp_cap,TblMili[[#This Row],[WG]]/adept_dp_bonus)</f>
        <v>0</v>
      </c>
      <c r="CF130" s="96">
        <f ca="1">MIN(TblMili[[#This Row],[Unit 3]],TblMili[[#This Row],[Unit 2]])*2</f>
        <v>0</v>
      </c>
      <c r="CG130" s="96">
        <f ca="1">MIN(TblMili[[#This Row],[Unit 1]],TblMili[[#This Row],[Unit 4]])*2</f>
        <v>0</v>
      </c>
      <c r="CH130" s="265">
        <f ca="1">MIN(frost_mage_cap,TblMili[[#This Row],[Homeland%]]/frost_mage_bonus)</f>
        <v>2.1999999999999997</v>
      </c>
      <c r="CI130" s="45">
        <f ca="1">MIN(ice_elem_cap,TblMili[[#This Row],[Raw (2)]]*ice_elem_bonus)</f>
        <v>0.1</v>
      </c>
      <c r="CJ130" s="265">
        <f t="shared" si="4"/>
        <v>0.83333333333333337</v>
      </c>
      <c r="CK130" s="265">
        <f ca="1">MIN(nox_nightshade_cap,TblConstr[[#This Row],[Homeland]]/TblConstr[[#This Row],[Land]]/nox_nightshade_swamp_bonus)</f>
        <v>4</v>
      </c>
      <c r="CL130" s="265">
        <f ca="1">MIN(TblConstr[[#This Row],[Tot Tow]]/TblConstr[[#This Row],[Land]]/abyss_enforce_bonus,abyss_enforcer_cap)</f>
        <v>0</v>
      </c>
      <c r="CM130" s="265">
        <f ca="1">IF(TblMagic[[#This Row],[Active Demonic Pact]]&gt;0,MIN(TblMili[[#This Row],[Unit 1]],TblMili[[#This Row],[Unit 4]])*demonic_pact_oppair,0)</f>
        <v>0</v>
      </c>
      <c r="CN130" s="266"/>
      <c r="CO130" s="266"/>
      <c r="CP130" s="266"/>
      <c r="CQ130" s="265">
        <f ca="1">MIN(6,TblMili[[#This Row],[Mystic]]+Races!$F$19)*1.8 +  IF(TblMili[[#This Row],[Mystic]]+Races!$F$19&gt;6,(TblMili[[#This Row],[Mystic]]+Races!$F$19-6)*0.2,0) - Races!$I$19</f>
        <v>1</v>
      </c>
      <c r="CR1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-0.64000000000000057</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4.7099999999999991</v>
      </c>
      <c r="DA130" s="157">
        <f ca="1">1.8 * MIN(MAX(TblMili[[#This Row],[Ice Elemental]]+Races!$E$71,Races!$F$71),6)  +  0.45 * MIN(MIN(TblMili[[#This Row],[Ice Elemental]]+Races!$E$71,Races!$F$71),6)  +  0.2 * ( MAX(TblMili[[#This Row],[Ice Elemental]]+Races!$E$71-6,0) + MAX(Races!$F$71-6,0) )  -  Races!$I$71</f>
        <v>0.92999999999999972</v>
      </c>
      <c r="DB130" s="96">
        <f ca="1">TblMili[[#This Row],[Frost Mage bonus]]*TblMili[[#This Row],[Unit 3]]+TblMili[[#This Row],[Ice Elemental bonus]]*TblMili[[#This Row],[Unit 4]]</f>
        <v>0</v>
      </c>
      <c r="DC130" s="267"/>
      <c r="DD130" s="145">
        <f ca="1">MIN(SUM(TblConstr[[#This Row],[Plain]:[Water]])/TblMili[[#This Row],[Land]]/favorable_terrain_bonus/100,favorable_terrain_max)</f>
        <v>0.1</v>
      </c>
      <c r="DE130" s="267"/>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0" s="144"/>
      <c r="DH130" s="268">
        <f ca="1">(TblMili[[#This Row],[Wizards]]+2*TblMili[[#This Row],[Archmages]])/TblConstr[[#This Row],[Land]]</f>
        <v>0.1</v>
      </c>
      <c r="DI130" s="268">
        <f ca="1">TblMili[[#This Row],[Raw (2)]]*(1+race_wizard_strength+IF(TblMili[[#This Row],[Hour]]&gt;72,tech_magical_weaponry_wiz*TblTech[[#This Row],[3-5]],0))</f>
        <v>0.1</v>
      </c>
    </row>
    <row r="131" spans="1:113" x14ac:dyDescent="0.2">
      <c r="A131" s="139">
        <f>TblRezone[[#This Row],[Hour]]</f>
        <v>128</v>
      </c>
      <c r="B131" s="260">
        <f ca="1">SUM(TblMili[[#This Row],[Unit 1]:[Archmages]])+SUM(OFFSET(TblMili[[#This Row],[Train Unit 1]],-8,0):TblMili[[#This Row],[Train Unit 2]]) + SUM(OFFSET(TblMili[[#This Row],[Train Unit 3]],-11,0):TblMili[[#This Row],[Train AM]]) + TblMili[[#This Row],[Draftees]]</f>
        <v>826</v>
      </c>
      <c r="C131" s="159">
        <f ca="1">TblPop[[#This Row],[Military%]]</f>
        <v>0.35029686174724345</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4"/>
      <c r="N131" s="96">
        <f ca="1">TblProd[[#This Row],[Networth]]</f>
        <v>6450</v>
      </c>
      <c r="O131" s="144"/>
      <c r="P1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1">
        <f ca="1">TblMili[[#This Row],[Raw]]*(1+TblMili[[#This Row],[Mods_Off]])</f>
        <v>0</v>
      </c>
      <c r="S1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1" s="261">
        <f ca="1">TblMili[[#This Row],[Non Draft]]+TblMili[[#This Row],[Draftees]]</f>
        <v>1076</v>
      </c>
      <c r="U131" s="262">
        <f ca="1">race_defense + TblImps[[#This Row],[Walls]] + ROUND( MIN(gt_bonus*TblConstr[[#This Row],[Tot GT]]/TblConstr[[#This Row],[Land]],gt_bonus_cap), 4) + IF(TblMagic[[#This Row],[Active Howling]]&gt;0,howling_dp_bonus,IF(TblMagic[[#This Row],[Active Ares Call]]&gt;0,ares_call_bonus))</f>
        <v>0</v>
      </c>
      <c r="V131" s="263">
        <f ca="1">TblMili[[#This Row],[Non Draft]] * (1 + TblMili[[#This Row],[Mods_Def]])</f>
        <v>450</v>
      </c>
      <c r="W131" s="261">
        <f ca="1">TblMili[[#This Row],[Draft]] * (1 + TblMili[[#This Row],[Mods_Def]])</f>
        <v>1076</v>
      </c>
      <c r="X131" s="261">
        <f ca="1">TblConstr[[#This Row],[Land]]</f>
        <v>250</v>
      </c>
      <c r="Y131" s="264"/>
      <c r="Z131" s="269">
        <f ca="1">IF(TblMili[[#This Row],[Set]]&lt;&gt;"",TblMili[[#This Row],[Set]],OFFSET(TblMili[[#This Row],[Draftrate]],-1,0))</f>
        <v>0.35</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6"/>
      <c r="AC131" s="182">
        <f ca="1">(TblConstr[[#This Row],[Tot Smi]]+TblConstr[[#This Row],[Dest Smi]])/(TblConstr[[#This Row],[Land]]-TblExplore[[#This Row],[Land Bonus]]*20)</f>
        <v>0</v>
      </c>
      <c r="AD131" s="139"/>
      <c r="AE131" s="260">
        <f>TblMili[[#This Row],[Hour]]</f>
        <v>128</v>
      </c>
      <c r="AF131" s="140">
        <f ca="1">TblExplore[[#This Row],[Time]]</f>
        <v>45737.291666666359</v>
      </c>
      <c r="AG131" s="181"/>
      <c r="AH131" s="181"/>
      <c r="AI131" s="181"/>
      <c r="AJ131" s="181"/>
      <c r="AK131" s="181"/>
      <c r="AL131" s="181"/>
      <c r="AM131" s="181"/>
      <c r="AN131" s="181"/>
      <c r="AO131" s="448">
        <f ca="1">ROUND(IF(AND(TblMagic[[#This Row],[Active DnD]]&lt;12,TblMagic[[#This Row],[Active DnD]]&gt;5),OFFSET(TblPop[[#This Row],[Draft Growth]],-1,0)*0.375,0),0)</f>
        <v>0</v>
      </c>
      <c r="AP131" s="144"/>
      <c r="AQ131" s="96">
        <f ca="1">TblProd[[#This Row],[Platinum]]</f>
        <v>817600</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45737.291666666359</v>
      </c>
      <c r="AW131" s="96">
        <f ca="1">TblMili[[#This Row],[Draftees]]</f>
        <v>626</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0.44</v>
      </c>
      <c r="BX131" s="159">
        <f ca="1">TblMili[[#This Row],[WG''s]]</f>
        <v>0</v>
      </c>
      <c r="BY131" s="265">
        <f ca="1">IF(mystic_cap="none",TblMili[[#This Row],[Homeland%]]/mystic_bonus,MIN(mystic_cap,TblMili[[#This Row],[Homeland%]]/mystic_bonus))</f>
        <v>2</v>
      </c>
      <c r="BZ131" s="265">
        <f ca="1">IF(druid_op_cap="none",TblMili[[#This Row],[Homeland%]]/druid_op_bonus,MIN(druid_op_cap,TblMili[[#This Row],[Homeland%]]/druid_op_bonus))</f>
        <v>2</v>
      </c>
      <c r="CA131" s="265">
        <f ca="1">IF(druid_dp_cap="none",TblMili[[#This Row],[Homeland%]]/druid_dp_bonus,MIN(druid_dp_cap,TblMili[[#This Row],[Homeland%]]/druid_dp_bonus))</f>
        <v>2</v>
      </c>
      <c r="CB131" s="265">
        <f ca="1">MIN(dryad_cap,TblMili[[#This Row],[Homeland%]]/dryad_bonus)</f>
        <v>2.1999999999999997</v>
      </c>
      <c r="CC131" s="265">
        <f ca="1">MIN(rocka_cap,TblMili[[#This Row],[Homeland%]]/rocka_bonus)</f>
        <v>2</v>
      </c>
      <c r="CD131" s="265">
        <f ca="1">MIN(adept_op_cap,TblMili[[#This Row],[WG]]/adept_op_bonus)</f>
        <v>0</v>
      </c>
      <c r="CE131" s="265">
        <f ca="1">MIN(adept_dp_cap,TblMili[[#This Row],[WG]]/adept_dp_bonus)</f>
        <v>0</v>
      </c>
      <c r="CF131" s="96">
        <f ca="1">MIN(TblMili[[#This Row],[Unit 3]],TblMili[[#This Row],[Unit 2]])*2</f>
        <v>0</v>
      </c>
      <c r="CG131" s="96">
        <f ca="1">MIN(TblMili[[#This Row],[Unit 1]],TblMili[[#This Row],[Unit 4]])*2</f>
        <v>0</v>
      </c>
      <c r="CH131" s="265">
        <f ca="1">MIN(frost_mage_cap,TblMili[[#This Row],[Homeland%]]/frost_mage_bonus)</f>
        <v>2.1999999999999997</v>
      </c>
      <c r="CI131" s="45">
        <f ca="1">MIN(ice_elem_cap,TblMili[[#This Row],[Raw (2)]]*ice_elem_bonus)</f>
        <v>0.1</v>
      </c>
      <c r="CJ131" s="265">
        <f t="shared" si="4"/>
        <v>0.83333333333333337</v>
      </c>
      <c r="CK131" s="265">
        <f ca="1">MIN(nox_nightshade_cap,TblConstr[[#This Row],[Homeland]]/TblConstr[[#This Row],[Land]]/nox_nightshade_swamp_bonus)</f>
        <v>4</v>
      </c>
      <c r="CL131" s="265">
        <f ca="1">MIN(TblConstr[[#This Row],[Tot Tow]]/TblConstr[[#This Row],[Land]]/abyss_enforce_bonus,abyss_enforcer_cap)</f>
        <v>0</v>
      </c>
      <c r="CM131" s="265">
        <f ca="1">IF(TblMagic[[#This Row],[Active Demonic Pact]]&gt;0,MIN(TblMili[[#This Row],[Unit 1]],TblMili[[#This Row],[Unit 4]])*demonic_pact_oppair,0)</f>
        <v>0</v>
      </c>
      <c r="CN131" s="266"/>
      <c r="CO131" s="266"/>
      <c r="CP131" s="266"/>
      <c r="CQ131" s="265">
        <f ca="1">MIN(6,TblMili[[#This Row],[Mystic]]+Races!$F$19)*1.8 +  IF(TblMili[[#This Row],[Mystic]]+Races!$F$19&gt;6,(TblMili[[#This Row],[Mystic]]+Races!$F$19-6)*0.2,0) - Races!$I$19</f>
        <v>1</v>
      </c>
      <c r="CR1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-0.64000000000000057</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4.7099999999999991</v>
      </c>
      <c r="DA131" s="157">
        <f ca="1">1.8 * MIN(MAX(TblMili[[#This Row],[Ice Elemental]]+Races!$E$71,Races!$F$71),6)  +  0.45 * MIN(MIN(TblMili[[#This Row],[Ice Elemental]]+Races!$E$71,Races!$F$71),6)  +  0.2 * ( MAX(TblMili[[#This Row],[Ice Elemental]]+Races!$E$71-6,0) + MAX(Races!$F$71-6,0) )  -  Races!$I$71</f>
        <v>0.92999999999999972</v>
      </c>
      <c r="DB131" s="96">
        <f ca="1">TblMili[[#This Row],[Frost Mage bonus]]*TblMili[[#This Row],[Unit 3]]+TblMili[[#This Row],[Ice Elemental bonus]]*TblMili[[#This Row],[Unit 4]]</f>
        <v>0</v>
      </c>
      <c r="DC131" s="267"/>
      <c r="DD131" s="145">
        <f ca="1">MIN(SUM(TblConstr[[#This Row],[Plain]:[Water]])/TblMili[[#This Row],[Land]]/favorable_terrain_bonus/100,favorable_terrain_max)</f>
        <v>0.1</v>
      </c>
      <c r="DE131" s="267"/>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1" s="144"/>
      <c r="DH131" s="268">
        <f ca="1">(TblMili[[#This Row],[Wizards]]+2*TblMili[[#This Row],[Archmages]])/TblConstr[[#This Row],[Land]]</f>
        <v>0.1</v>
      </c>
      <c r="DI131" s="268">
        <f ca="1">TblMili[[#This Row],[Raw (2)]]*(1+race_wizard_strength+IF(TblMili[[#This Row],[Hour]]&gt;72,tech_magical_weaponry_wiz*TblTech[[#This Row],[3-5]],0))</f>
        <v>0.1</v>
      </c>
    </row>
    <row r="132" spans="1:113" x14ac:dyDescent="0.2">
      <c r="A132" s="139">
        <f>TblRezone[[#This Row],[Hour]]</f>
        <v>129</v>
      </c>
      <c r="B132" s="260">
        <f ca="1">SUM(TblMili[[#This Row],[Unit 1]:[Archmages]])+SUM(OFFSET(TblMili[[#This Row],[Train Unit 1]],-8,0):TblMili[[#This Row],[Train Unit 2]]) + SUM(OFFSET(TblMili[[#This Row],[Train Unit 3]],-11,0):TblMili[[#This Row],[Train AM]]) + TblMili[[#This Row],[Draftees]]</f>
        <v>826</v>
      </c>
      <c r="C132" s="159">
        <f ca="1">TblPop[[#This Row],[Military%]]</f>
        <v>0.35029686174724345</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4"/>
      <c r="N132" s="96">
        <f ca="1">TblProd[[#This Row],[Networth]]</f>
        <v>6450</v>
      </c>
      <c r="O132" s="144"/>
      <c r="P1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1">
        <f ca="1">TblMili[[#This Row],[Raw]]*(1+TblMili[[#This Row],[Mods_Off]])</f>
        <v>0</v>
      </c>
      <c r="S1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2" s="261">
        <f ca="1">TblMili[[#This Row],[Non Draft]]+TblMili[[#This Row],[Draftees]]</f>
        <v>1076</v>
      </c>
      <c r="U132" s="262">
        <f ca="1">race_defense + TblImps[[#This Row],[Walls]] + ROUND( MIN(gt_bonus*TblConstr[[#This Row],[Tot GT]]/TblConstr[[#This Row],[Land]],gt_bonus_cap), 4) + IF(TblMagic[[#This Row],[Active Howling]]&gt;0,howling_dp_bonus,IF(TblMagic[[#This Row],[Active Ares Call]]&gt;0,ares_call_bonus))</f>
        <v>0</v>
      </c>
      <c r="V132" s="263">
        <f ca="1">TblMili[[#This Row],[Non Draft]] * (1 + TblMili[[#This Row],[Mods_Def]])</f>
        <v>450</v>
      </c>
      <c r="W132" s="261">
        <f ca="1">TblMili[[#This Row],[Draft]] * (1 + TblMili[[#This Row],[Mods_Def]])</f>
        <v>1076</v>
      </c>
      <c r="X132" s="261">
        <f ca="1">TblConstr[[#This Row],[Land]]</f>
        <v>250</v>
      </c>
      <c r="Y132" s="264"/>
      <c r="Z132" s="269">
        <f ca="1">IF(TblMili[[#This Row],[Set]]&lt;&gt;"",TblMili[[#This Row],[Set]],OFFSET(TblMili[[#This Row],[Draftrate]],-1,0))</f>
        <v>0.35</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6"/>
      <c r="AC132" s="182">
        <f ca="1">(TblConstr[[#This Row],[Tot Smi]]+TblConstr[[#This Row],[Dest Smi]])/(TblConstr[[#This Row],[Land]]-TblExplore[[#This Row],[Land Bonus]]*20)</f>
        <v>0</v>
      </c>
      <c r="AD132" s="139"/>
      <c r="AE132" s="260">
        <f>TblMili[[#This Row],[Hour]]</f>
        <v>129</v>
      </c>
      <c r="AF132" s="140">
        <f ca="1">TblExplore[[#This Row],[Time]]</f>
        <v>45737.333333333023</v>
      </c>
      <c r="AG132" s="181"/>
      <c r="AH132" s="181"/>
      <c r="AI132" s="181"/>
      <c r="AJ132" s="181"/>
      <c r="AK132" s="181"/>
      <c r="AL132" s="181"/>
      <c r="AM132" s="181"/>
      <c r="AN132" s="181"/>
      <c r="AO132" s="448">
        <f ca="1">ROUND(IF(AND(TblMagic[[#This Row],[Active DnD]]&lt;12,TblMagic[[#This Row],[Active DnD]]&gt;5),OFFSET(TblPop[[#This Row],[Draft Growth]],-1,0)*0.375,0),0)</f>
        <v>0</v>
      </c>
      <c r="AP132" s="144"/>
      <c r="AQ132" s="96">
        <f ca="1">TblProd[[#This Row],[Platinum]]</f>
        <v>823086</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45737.333333333023</v>
      </c>
      <c r="AW132" s="96">
        <f ca="1">TblMili[[#This Row],[Draftees]]</f>
        <v>626</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0.44</v>
      </c>
      <c r="BX132" s="159">
        <f ca="1">TblMili[[#This Row],[WG''s]]</f>
        <v>0</v>
      </c>
      <c r="BY132" s="265">
        <f ca="1">IF(mystic_cap="none",TblMili[[#This Row],[Homeland%]]/mystic_bonus,MIN(mystic_cap,TblMili[[#This Row],[Homeland%]]/mystic_bonus))</f>
        <v>2</v>
      </c>
      <c r="BZ132" s="265">
        <f ca="1">IF(druid_op_cap="none",TblMili[[#This Row],[Homeland%]]/druid_op_bonus,MIN(druid_op_cap,TblMili[[#This Row],[Homeland%]]/druid_op_bonus))</f>
        <v>2</v>
      </c>
      <c r="CA132" s="265">
        <f ca="1">IF(druid_dp_cap="none",TblMili[[#This Row],[Homeland%]]/druid_dp_bonus,MIN(druid_dp_cap,TblMili[[#This Row],[Homeland%]]/druid_dp_bonus))</f>
        <v>2</v>
      </c>
      <c r="CB132" s="265">
        <f ca="1">MIN(dryad_cap,TblMili[[#This Row],[Homeland%]]/dryad_bonus)</f>
        <v>2.1999999999999997</v>
      </c>
      <c r="CC132" s="265">
        <f ca="1">MIN(rocka_cap,TblMili[[#This Row],[Homeland%]]/rocka_bonus)</f>
        <v>2</v>
      </c>
      <c r="CD132" s="265">
        <f ca="1">MIN(adept_op_cap,TblMili[[#This Row],[WG]]/adept_op_bonus)</f>
        <v>0</v>
      </c>
      <c r="CE132" s="265">
        <f ca="1">MIN(adept_dp_cap,TblMili[[#This Row],[WG]]/adept_dp_bonus)</f>
        <v>0</v>
      </c>
      <c r="CF132" s="96">
        <f ca="1">MIN(TblMili[[#This Row],[Unit 3]],TblMili[[#This Row],[Unit 2]])*2</f>
        <v>0</v>
      </c>
      <c r="CG132" s="96">
        <f ca="1">MIN(TblMili[[#This Row],[Unit 1]],TblMili[[#This Row],[Unit 4]])*2</f>
        <v>0</v>
      </c>
      <c r="CH132" s="265">
        <f ca="1">MIN(frost_mage_cap,TblMili[[#This Row],[Homeland%]]/frost_mage_bonus)</f>
        <v>2.1999999999999997</v>
      </c>
      <c r="CI132" s="45">
        <f ca="1">MIN(ice_elem_cap,TblMili[[#This Row],[Raw (2)]]*ice_elem_bonus)</f>
        <v>0.1</v>
      </c>
      <c r="CJ132" s="265">
        <f t="shared" si="4"/>
        <v>0.83333333333333337</v>
      </c>
      <c r="CK132" s="265">
        <f ca="1">MIN(nox_nightshade_cap,TblConstr[[#This Row],[Homeland]]/TblConstr[[#This Row],[Land]]/nox_nightshade_swamp_bonus)</f>
        <v>4</v>
      </c>
      <c r="CL132" s="265">
        <f ca="1">MIN(TblConstr[[#This Row],[Tot Tow]]/TblConstr[[#This Row],[Land]]/abyss_enforce_bonus,abyss_enforcer_cap)</f>
        <v>0</v>
      </c>
      <c r="CM132" s="265">
        <f ca="1">IF(TblMagic[[#This Row],[Active Demonic Pact]]&gt;0,MIN(TblMili[[#This Row],[Unit 1]],TblMili[[#This Row],[Unit 4]])*demonic_pact_oppair,0)</f>
        <v>0</v>
      </c>
      <c r="CN132" s="266"/>
      <c r="CO132" s="266"/>
      <c r="CP132" s="266"/>
      <c r="CQ132" s="265">
        <f ca="1">MIN(6,TblMili[[#This Row],[Mystic]]+Races!$F$19)*1.8 +  IF(TblMili[[#This Row],[Mystic]]+Races!$F$19&gt;6,(TblMili[[#This Row],[Mystic]]+Races!$F$19-6)*0.2,0) - Races!$I$19</f>
        <v>1</v>
      </c>
      <c r="CR1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-0.64000000000000057</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4.7099999999999991</v>
      </c>
      <c r="DA132" s="157">
        <f ca="1">1.8 * MIN(MAX(TblMili[[#This Row],[Ice Elemental]]+Races!$E$71,Races!$F$71),6)  +  0.45 * MIN(MIN(TblMili[[#This Row],[Ice Elemental]]+Races!$E$71,Races!$F$71),6)  +  0.2 * ( MAX(TblMili[[#This Row],[Ice Elemental]]+Races!$E$71-6,0) + MAX(Races!$F$71-6,0) )  -  Races!$I$71</f>
        <v>0.92999999999999972</v>
      </c>
      <c r="DB132" s="96">
        <f ca="1">TblMili[[#This Row],[Frost Mage bonus]]*TblMili[[#This Row],[Unit 3]]+TblMili[[#This Row],[Ice Elemental bonus]]*TblMili[[#This Row],[Unit 4]]</f>
        <v>0</v>
      </c>
      <c r="DC132" s="267"/>
      <c r="DD132" s="145">
        <f ca="1">MIN(SUM(TblConstr[[#This Row],[Plain]:[Water]])/TblMili[[#This Row],[Land]]/favorable_terrain_bonus/100,favorable_terrain_max)</f>
        <v>0.1</v>
      </c>
      <c r="DE132" s="267"/>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2" s="144"/>
      <c r="DH132" s="268">
        <f ca="1">(TblMili[[#This Row],[Wizards]]+2*TblMili[[#This Row],[Archmages]])/TblConstr[[#This Row],[Land]]</f>
        <v>0.1</v>
      </c>
      <c r="DI132" s="268">
        <f ca="1">TblMili[[#This Row],[Raw (2)]]*(1+race_wizard_strength+IF(TblMili[[#This Row],[Hour]]&gt;72,tech_magical_weaponry_wiz*TblTech[[#This Row],[3-5]],0))</f>
        <v>0.1</v>
      </c>
    </row>
    <row r="133" spans="1:113" x14ac:dyDescent="0.2">
      <c r="A133" s="139">
        <f>TblRezone[[#This Row],[Hour]]</f>
        <v>130</v>
      </c>
      <c r="B133" s="260">
        <f ca="1">SUM(TblMili[[#This Row],[Unit 1]:[Archmages]])+SUM(OFFSET(TblMili[[#This Row],[Train Unit 1]],-8,0):TblMili[[#This Row],[Train Unit 2]]) + SUM(OFFSET(TblMili[[#This Row],[Train Unit 3]],-11,0):TblMili[[#This Row],[Train AM]]) + TblMili[[#This Row],[Draftees]]</f>
        <v>826</v>
      </c>
      <c r="C133" s="159">
        <f ca="1">TblPop[[#This Row],[Military%]]</f>
        <v>0.35029686174724345</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4"/>
      <c r="N133" s="96">
        <f ca="1">TblProd[[#This Row],[Networth]]</f>
        <v>6450</v>
      </c>
      <c r="O133" s="144"/>
      <c r="P1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1">
        <f ca="1">TblMili[[#This Row],[Raw]]*(1+TblMili[[#This Row],[Mods_Off]])</f>
        <v>0</v>
      </c>
      <c r="S1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3" s="261">
        <f ca="1">TblMili[[#This Row],[Non Draft]]+TblMili[[#This Row],[Draftees]]</f>
        <v>1076</v>
      </c>
      <c r="U133" s="262">
        <f ca="1">race_defense + TblImps[[#This Row],[Walls]] + ROUND( MIN(gt_bonus*TblConstr[[#This Row],[Tot GT]]/TblConstr[[#This Row],[Land]],gt_bonus_cap), 4) + IF(TblMagic[[#This Row],[Active Howling]]&gt;0,howling_dp_bonus,IF(TblMagic[[#This Row],[Active Ares Call]]&gt;0,ares_call_bonus))</f>
        <v>0</v>
      </c>
      <c r="V133" s="263">
        <f ca="1">TblMili[[#This Row],[Non Draft]] * (1 + TblMili[[#This Row],[Mods_Def]])</f>
        <v>450</v>
      </c>
      <c r="W133" s="261">
        <f ca="1">TblMili[[#This Row],[Draft]] * (1 + TblMili[[#This Row],[Mods_Def]])</f>
        <v>1076</v>
      </c>
      <c r="X133" s="261">
        <f ca="1">TblConstr[[#This Row],[Land]]</f>
        <v>250</v>
      </c>
      <c r="Y133" s="264"/>
      <c r="Z133" s="269">
        <f ca="1">IF(TblMili[[#This Row],[Set]]&lt;&gt;"",TblMili[[#This Row],[Set]],OFFSET(TblMili[[#This Row],[Draftrate]],-1,0))</f>
        <v>0.35</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6"/>
      <c r="AC133" s="182">
        <f ca="1">(TblConstr[[#This Row],[Tot Smi]]+TblConstr[[#This Row],[Dest Smi]])/(TblConstr[[#This Row],[Land]]-TblExplore[[#This Row],[Land Bonus]]*20)</f>
        <v>0</v>
      </c>
      <c r="AD133" s="139"/>
      <c r="AE133" s="260">
        <f>TblMili[[#This Row],[Hour]]</f>
        <v>130</v>
      </c>
      <c r="AF133" s="140">
        <f ca="1">TblExplore[[#This Row],[Time]]</f>
        <v>45737.374999999687</v>
      </c>
      <c r="AG133" s="181"/>
      <c r="AH133" s="181"/>
      <c r="AI133" s="181"/>
      <c r="AJ133" s="181"/>
      <c r="AK133" s="181"/>
      <c r="AL133" s="181"/>
      <c r="AM133" s="181"/>
      <c r="AN133" s="181"/>
      <c r="AO133" s="448">
        <f ca="1">ROUND(IF(AND(TblMagic[[#This Row],[Active DnD]]&lt;12,TblMagic[[#This Row],[Active DnD]]&gt;5),OFFSET(TblPop[[#This Row],[Draft Growth]],-1,0)*0.375,0),0)</f>
        <v>0</v>
      </c>
      <c r="AP133" s="144"/>
      <c r="AQ133" s="96">
        <f ca="1">TblProd[[#This Row],[Platinum]]</f>
        <v>828572</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45737.374999999687</v>
      </c>
      <c r="AW133" s="96">
        <f ca="1">TblMili[[#This Row],[Draftees]]</f>
        <v>626</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0.44</v>
      </c>
      <c r="BX133" s="159">
        <f ca="1">TblMili[[#This Row],[WG''s]]</f>
        <v>0</v>
      </c>
      <c r="BY133" s="265">
        <f ca="1">IF(mystic_cap="none",TblMili[[#This Row],[Homeland%]]/mystic_bonus,MIN(mystic_cap,TblMili[[#This Row],[Homeland%]]/mystic_bonus))</f>
        <v>2</v>
      </c>
      <c r="BZ133" s="265">
        <f ca="1">IF(druid_op_cap="none",TblMili[[#This Row],[Homeland%]]/druid_op_bonus,MIN(druid_op_cap,TblMili[[#This Row],[Homeland%]]/druid_op_bonus))</f>
        <v>2</v>
      </c>
      <c r="CA133" s="265">
        <f ca="1">IF(druid_dp_cap="none",TblMili[[#This Row],[Homeland%]]/druid_dp_bonus,MIN(druid_dp_cap,TblMili[[#This Row],[Homeland%]]/druid_dp_bonus))</f>
        <v>2</v>
      </c>
      <c r="CB133" s="265">
        <f ca="1">MIN(dryad_cap,TblMili[[#This Row],[Homeland%]]/dryad_bonus)</f>
        <v>2.1999999999999997</v>
      </c>
      <c r="CC133" s="265">
        <f ca="1">MIN(rocka_cap,TblMili[[#This Row],[Homeland%]]/rocka_bonus)</f>
        <v>2</v>
      </c>
      <c r="CD133" s="265">
        <f ca="1">MIN(adept_op_cap,TblMili[[#This Row],[WG]]/adept_op_bonus)</f>
        <v>0</v>
      </c>
      <c r="CE133" s="265">
        <f ca="1">MIN(adept_dp_cap,TblMili[[#This Row],[WG]]/adept_dp_bonus)</f>
        <v>0</v>
      </c>
      <c r="CF133" s="96">
        <f ca="1">MIN(TblMili[[#This Row],[Unit 3]],TblMili[[#This Row],[Unit 2]])*2</f>
        <v>0</v>
      </c>
      <c r="CG133" s="96">
        <f ca="1">MIN(TblMili[[#This Row],[Unit 1]],TblMili[[#This Row],[Unit 4]])*2</f>
        <v>0</v>
      </c>
      <c r="CH133" s="265">
        <f ca="1">MIN(frost_mage_cap,TblMili[[#This Row],[Homeland%]]/frost_mage_bonus)</f>
        <v>2.1999999999999997</v>
      </c>
      <c r="CI133" s="45">
        <f ca="1">MIN(ice_elem_cap,TblMili[[#This Row],[Raw (2)]]*ice_elem_bonus)</f>
        <v>0.1</v>
      </c>
      <c r="CJ133" s="265">
        <f t="shared" si="4"/>
        <v>0.83333333333333337</v>
      </c>
      <c r="CK133" s="265">
        <f ca="1">MIN(nox_nightshade_cap,TblConstr[[#This Row],[Homeland]]/TblConstr[[#This Row],[Land]]/nox_nightshade_swamp_bonus)</f>
        <v>4</v>
      </c>
      <c r="CL133" s="265">
        <f ca="1">MIN(TblConstr[[#This Row],[Tot Tow]]/TblConstr[[#This Row],[Land]]/abyss_enforce_bonus,abyss_enforcer_cap)</f>
        <v>0</v>
      </c>
      <c r="CM133" s="265">
        <f ca="1">IF(TblMagic[[#This Row],[Active Demonic Pact]]&gt;0,MIN(TblMili[[#This Row],[Unit 1]],TblMili[[#This Row],[Unit 4]])*demonic_pact_oppair,0)</f>
        <v>0</v>
      </c>
      <c r="CN133" s="266"/>
      <c r="CO133" s="266"/>
      <c r="CP133" s="266"/>
      <c r="CQ133" s="265">
        <f ca="1">MIN(6,TblMili[[#This Row],[Mystic]]+Races!$F$19)*1.8 +  IF(TblMili[[#This Row],[Mystic]]+Races!$F$19&gt;6,(TblMili[[#This Row],[Mystic]]+Races!$F$19-6)*0.2,0) - Races!$I$19</f>
        <v>1</v>
      </c>
      <c r="CR1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-0.64000000000000057</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4.7099999999999991</v>
      </c>
      <c r="DA133" s="157">
        <f ca="1">1.8 * MIN(MAX(TblMili[[#This Row],[Ice Elemental]]+Races!$E$71,Races!$F$71),6)  +  0.45 * MIN(MIN(TblMili[[#This Row],[Ice Elemental]]+Races!$E$71,Races!$F$71),6)  +  0.2 * ( MAX(TblMili[[#This Row],[Ice Elemental]]+Races!$E$71-6,0) + MAX(Races!$F$71-6,0) )  -  Races!$I$71</f>
        <v>0.92999999999999972</v>
      </c>
      <c r="DB133" s="96">
        <f ca="1">TblMili[[#This Row],[Frost Mage bonus]]*TblMili[[#This Row],[Unit 3]]+TblMili[[#This Row],[Ice Elemental bonus]]*TblMili[[#This Row],[Unit 4]]</f>
        <v>0</v>
      </c>
      <c r="DC133" s="267"/>
      <c r="DD133" s="145">
        <f ca="1">MIN(SUM(TblConstr[[#This Row],[Plain]:[Water]])/TblMili[[#This Row],[Land]]/favorable_terrain_bonus/100,favorable_terrain_max)</f>
        <v>0.1</v>
      </c>
      <c r="DE133" s="267"/>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3" s="144"/>
      <c r="DH133" s="268">
        <f ca="1">(TblMili[[#This Row],[Wizards]]+2*TblMili[[#This Row],[Archmages]])/TblConstr[[#This Row],[Land]]</f>
        <v>0.1</v>
      </c>
      <c r="DI133" s="268">
        <f ca="1">TblMili[[#This Row],[Raw (2)]]*(1+race_wizard_strength+IF(TblMili[[#This Row],[Hour]]&gt;72,tech_magical_weaponry_wiz*TblTech[[#This Row],[3-5]],0))</f>
        <v>0.1</v>
      </c>
    </row>
    <row r="134" spans="1:113" x14ac:dyDescent="0.2">
      <c r="A134" s="139">
        <f>TblRezone[[#This Row],[Hour]]</f>
        <v>131</v>
      </c>
      <c r="B134" s="260">
        <f ca="1">SUM(TblMili[[#This Row],[Unit 1]:[Archmages]])+SUM(OFFSET(TblMili[[#This Row],[Train Unit 1]],-8,0):TblMili[[#This Row],[Train Unit 2]]) + SUM(OFFSET(TblMili[[#This Row],[Train Unit 3]],-11,0):TblMili[[#This Row],[Train AM]]) + TblMili[[#This Row],[Draftees]]</f>
        <v>826</v>
      </c>
      <c r="C134" s="159">
        <f ca="1">TblPop[[#This Row],[Military%]]</f>
        <v>0.35029686174724345</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4"/>
      <c r="N134" s="96">
        <f ca="1">TblProd[[#This Row],[Networth]]</f>
        <v>6450</v>
      </c>
      <c r="O134" s="144"/>
      <c r="P1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1">
        <f ca="1">TblMili[[#This Row],[Raw]]*(1+TblMili[[#This Row],[Mods_Off]])</f>
        <v>0</v>
      </c>
      <c r="S1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4" s="261">
        <f ca="1">TblMili[[#This Row],[Non Draft]]+TblMili[[#This Row],[Draftees]]</f>
        <v>1076</v>
      </c>
      <c r="U134" s="262">
        <f ca="1">race_defense + TblImps[[#This Row],[Walls]] + ROUND( MIN(gt_bonus*TblConstr[[#This Row],[Tot GT]]/TblConstr[[#This Row],[Land]],gt_bonus_cap), 4) + IF(TblMagic[[#This Row],[Active Howling]]&gt;0,howling_dp_bonus,IF(TblMagic[[#This Row],[Active Ares Call]]&gt;0,ares_call_bonus))</f>
        <v>0</v>
      </c>
      <c r="V134" s="263">
        <f ca="1">TblMili[[#This Row],[Non Draft]] * (1 + TblMili[[#This Row],[Mods_Def]])</f>
        <v>450</v>
      </c>
      <c r="W134" s="261">
        <f ca="1">TblMili[[#This Row],[Draft]] * (1 + TblMili[[#This Row],[Mods_Def]])</f>
        <v>1076</v>
      </c>
      <c r="X134" s="261">
        <f ca="1">TblConstr[[#This Row],[Land]]</f>
        <v>250</v>
      </c>
      <c r="Y134" s="264"/>
      <c r="Z134" s="269">
        <f ca="1">IF(TblMili[[#This Row],[Set]]&lt;&gt;"",TblMili[[#This Row],[Set]],OFFSET(TblMili[[#This Row],[Draftrate]],-1,0))</f>
        <v>0.35</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6"/>
      <c r="AC134" s="182">
        <f ca="1">(TblConstr[[#This Row],[Tot Smi]]+TblConstr[[#This Row],[Dest Smi]])/(TblConstr[[#This Row],[Land]]-TblExplore[[#This Row],[Land Bonus]]*20)</f>
        <v>0</v>
      </c>
      <c r="AD134" s="139"/>
      <c r="AE134" s="260">
        <f>TblMili[[#This Row],[Hour]]</f>
        <v>131</v>
      </c>
      <c r="AF134" s="140">
        <f ca="1">TblExplore[[#This Row],[Time]]</f>
        <v>45737.416666666351</v>
      </c>
      <c r="AG134" s="181"/>
      <c r="AH134" s="181"/>
      <c r="AI134" s="181"/>
      <c r="AJ134" s="181"/>
      <c r="AK134" s="181"/>
      <c r="AL134" s="181"/>
      <c r="AM134" s="181"/>
      <c r="AN134" s="181"/>
      <c r="AO134" s="448">
        <f ca="1">ROUND(IF(AND(TblMagic[[#This Row],[Active DnD]]&lt;12,TblMagic[[#This Row],[Active DnD]]&gt;5),OFFSET(TblPop[[#This Row],[Draft Growth]],-1,0)*0.375,0),0)</f>
        <v>0</v>
      </c>
      <c r="AP134" s="144"/>
      <c r="AQ134" s="96">
        <f ca="1">TblProd[[#This Row],[Platinum]]</f>
        <v>834058</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45737.416666666351</v>
      </c>
      <c r="AW134" s="96">
        <f ca="1">TblMili[[#This Row],[Draftees]]</f>
        <v>626</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0.44</v>
      </c>
      <c r="BX134" s="159">
        <f ca="1">TblMili[[#This Row],[WG''s]]</f>
        <v>0</v>
      </c>
      <c r="BY134" s="265">
        <f ca="1">IF(mystic_cap="none",TblMili[[#This Row],[Homeland%]]/mystic_bonus,MIN(mystic_cap,TblMili[[#This Row],[Homeland%]]/mystic_bonus))</f>
        <v>2</v>
      </c>
      <c r="BZ134" s="265">
        <f ca="1">IF(druid_op_cap="none",TblMili[[#This Row],[Homeland%]]/druid_op_bonus,MIN(druid_op_cap,TblMili[[#This Row],[Homeland%]]/druid_op_bonus))</f>
        <v>2</v>
      </c>
      <c r="CA134" s="265">
        <f ca="1">IF(druid_dp_cap="none",TblMili[[#This Row],[Homeland%]]/druid_dp_bonus,MIN(druid_dp_cap,TblMili[[#This Row],[Homeland%]]/druid_dp_bonus))</f>
        <v>2</v>
      </c>
      <c r="CB134" s="265">
        <f ca="1">MIN(dryad_cap,TblMili[[#This Row],[Homeland%]]/dryad_bonus)</f>
        <v>2.1999999999999997</v>
      </c>
      <c r="CC134" s="265">
        <f ca="1">MIN(rocka_cap,TblMili[[#This Row],[Homeland%]]/rocka_bonus)</f>
        <v>2</v>
      </c>
      <c r="CD134" s="265">
        <f ca="1">MIN(adept_op_cap,TblMili[[#This Row],[WG]]/adept_op_bonus)</f>
        <v>0</v>
      </c>
      <c r="CE134" s="265">
        <f ca="1">MIN(adept_dp_cap,TblMili[[#This Row],[WG]]/adept_dp_bonus)</f>
        <v>0</v>
      </c>
      <c r="CF134" s="96">
        <f ca="1">MIN(TblMili[[#This Row],[Unit 3]],TblMili[[#This Row],[Unit 2]])*2</f>
        <v>0</v>
      </c>
      <c r="CG134" s="96">
        <f ca="1">MIN(TblMili[[#This Row],[Unit 1]],TblMili[[#This Row],[Unit 4]])*2</f>
        <v>0</v>
      </c>
      <c r="CH134" s="265">
        <f ca="1">MIN(frost_mage_cap,TblMili[[#This Row],[Homeland%]]/frost_mage_bonus)</f>
        <v>2.1999999999999997</v>
      </c>
      <c r="CI134" s="45">
        <f ca="1">MIN(ice_elem_cap,TblMili[[#This Row],[Raw (2)]]*ice_elem_bonus)</f>
        <v>0.1</v>
      </c>
      <c r="CJ134" s="265">
        <f t="shared" si="4"/>
        <v>0.83333333333333337</v>
      </c>
      <c r="CK134" s="265">
        <f ca="1">MIN(nox_nightshade_cap,TblConstr[[#This Row],[Homeland]]/TblConstr[[#This Row],[Land]]/nox_nightshade_swamp_bonus)</f>
        <v>4</v>
      </c>
      <c r="CL134" s="265">
        <f ca="1">MIN(TblConstr[[#This Row],[Tot Tow]]/TblConstr[[#This Row],[Land]]/abyss_enforce_bonus,abyss_enforcer_cap)</f>
        <v>0</v>
      </c>
      <c r="CM134" s="265">
        <f ca="1">IF(TblMagic[[#This Row],[Active Demonic Pact]]&gt;0,MIN(TblMili[[#This Row],[Unit 1]],TblMili[[#This Row],[Unit 4]])*demonic_pact_oppair,0)</f>
        <v>0</v>
      </c>
      <c r="CN134" s="266"/>
      <c r="CO134" s="266"/>
      <c r="CP134" s="266"/>
      <c r="CQ134" s="265">
        <f ca="1">MIN(6,TblMili[[#This Row],[Mystic]]+Races!$F$19)*1.8 +  IF(TblMili[[#This Row],[Mystic]]+Races!$F$19&gt;6,(TblMili[[#This Row],[Mystic]]+Races!$F$19-6)*0.2,0) - Races!$I$19</f>
        <v>1</v>
      </c>
      <c r="CR1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-0.64000000000000057</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4.7099999999999991</v>
      </c>
      <c r="DA134" s="157">
        <f ca="1">1.8 * MIN(MAX(TblMili[[#This Row],[Ice Elemental]]+Races!$E$71,Races!$F$71),6)  +  0.45 * MIN(MIN(TblMili[[#This Row],[Ice Elemental]]+Races!$E$71,Races!$F$71),6)  +  0.2 * ( MAX(TblMili[[#This Row],[Ice Elemental]]+Races!$E$71-6,0) + MAX(Races!$F$71-6,0) )  -  Races!$I$71</f>
        <v>0.92999999999999972</v>
      </c>
      <c r="DB134" s="96">
        <f ca="1">TblMili[[#This Row],[Frost Mage bonus]]*TblMili[[#This Row],[Unit 3]]+TblMili[[#This Row],[Ice Elemental bonus]]*TblMili[[#This Row],[Unit 4]]</f>
        <v>0</v>
      </c>
      <c r="DC134" s="267"/>
      <c r="DD134" s="145">
        <f ca="1">MIN(SUM(TblConstr[[#This Row],[Plain]:[Water]])/TblMili[[#This Row],[Land]]/favorable_terrain_bonus/100,favorable_terrain_max)</f>
        <v>0.1</v>
      </c>
      <c r="DE134" s="267"/>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4" s="144"/>
      <c r="DH134" s="268">
        <f ca="1">(TblMili[[#This Row],[Wizards]]+2*TblMili[[#This Row],[Archmages]])/TblConstr[[#This Row],[Land]]</f>
        <v>0.1</v>
      </c>
      <c r="DI134" s="268">
        <f ca="1">TblMili[[#This Row],[Raw (2)]]*(1+race_wizard_strength+IF(TblMili[[#This Row],[Hour]]&gt;72,tech_magical_weaponry_wiz*TblTech[[#This Row],[3-5]],0))</f>
        <v>0.1</v>
      </c>
    </row>
    <row r="135" spans="1:113" x14ac:dyDescent="0.2">
      <c r="A135" s="139">
        <f>TblRezone[[#This Row],[Hour]]</f>
        <v>132</v>
      </c>
      <c r="B135" s="260">
        <f ca="1">SUM(TblMili[[#This Row],[Unit 1]:[Archmages]])+SUM(OFFSET(TblMili[[#This Row],[Train Unit 1]],-8,0):TblMili[[#This Row],[Train Unit 2]]) + SUM(OFFSET(TblMili[[#This Row],[Train Unit 3]],-11,0):TblMili[[#This Row],[Train AM]]) + TblMili[[#This Row],[Draftees]]</f>
        <v>826</v>
      </c>
      <c r="C135" s="159">
        <f ca="1">TblPop[[#This Row],[Military%]]</f>
        <v>0.35029686174724345</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4"/>
      <c r="N135" s="96">
        <f ca="1">TblProd[[#This Row],[Networth]]</f>
        <v>6450</v>
      </c>
      <c r="O135" s="144"/>
      <c r="P1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1">
        <f ca="1">TblMili[[#This Row],[Raw]]*(1+TblMili[[#This Row],[Mods_Off]])</f>
        <v>0</v>
      </c>
      <c r="S1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5" s="261">
        <f ca="1">TblMili[[#This Row],[Non Draft]]+TblMili[[#This Row],[Draftees]]</f>
        <v>1076</v>
      </c>
      <c r="U135" s="262">
        <f ca="1">race_defense + TblImps[[#This Row],[Walls]] + ROUND( MIN(gt_bonus*TblConstr[[#This Row],[Tot GT]]/TblConstr[[#This Row],[Land]],gt_bonus_cap), 4) + IF(TblMagic[[#This Row],[Active Howling]]&gt;0,howling_dp_bonus,IF(TblMagic[[#This Row],[Active Ares Call]]&gt;0,ares_call_bonus))</f>
        <v>0</v>
      </c>
      <c r="V135" s="263">
        <f ca="1">TblMili[[#This Row],[Non Draft]] * (1 + TblMili[[#This Row],[Mods_Def]])</f>
        <v>450</v>
      </c>
      <c r="W135" s="261">
        <f ca="1">TblMili[[#This Row],[Draft]] * (1 + TblMili[[#This Row],[Mods_Def]])</f>
        <v>1076</v>
      </c>
      <c r="X135" s="261">
        <f ca="1">TblConstr[[#This Row],[Land]]</f>
        <v>250</v>
      </c>
      <c r="Y135" s="264"/>
      <c r="Z135" s="269">
        <f ca="1">IF(TblMili[[#This Row],[Set]]&lt;&gt;"",TblMili[[#This Row],[Set]],OFFSET(TblMili[[#This Row],[Draftrate]],-1,0))</f>
        <v>0.35</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6"/>
      <c r="AC135" s="182">
        <f ca="1">(TblConstr[[#This Row],[Tot Smi]]+TblConstr[[#This Row],[Dest Smi]])/(TblConstr[[#This Row],[Land]]-TblExplore[[#This Row],[Land Bonus]]*20)</f>
        <v>0</v>
      </c>
      <c r="AD135" s="139"/>
      <c r="AE135" s="260">
        <f>TblMili[[#This Row],[Hour]]</f>
        <v>132</v>
      </c>
      <c r="AF135" s="140">
        <f ca="1">TblExplore[[#This Row],[Time]]</f>
        <v>45737.458333333016</v>
      </c>
      <c r="AG135" s="181"/>
      <c r="AH135" s="181"/>
      <c r="AI135" s="181"/>
      <c r="AJ135" s="181"/>
      <c r="AK135" s="181"/>
      <c r="AL135" s="181"/>
      <c r="AM135" s="181"/>
      <c r="AN135" s="181"/>
      <c r="AO135" s="448">
        <f ca="1">ROUND(IF(AND(TblMagic[[#This Row],[Active DnD]]&lt;12,TblMagic[[#This Row],[Active DnD]]&gt;5),OFFSET(TblPop[[#This Row],[Draft Growth]],-1,0)*0.375,0),0)</f>
        <v>0</v>
      </c>
      <c r="AP135" s="144"/>
      <c r="AQ135" s="96">
        <f ca="1">TblProd[[#This Row],[Platinum]]</f>
        <v>839544</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45737.458333333016</v>
      </c>
      <c r="AW135" s="96">
        <f ca="1">TblMili[[#This Row],[Draftees]]</f>
        <v>626</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0.44</v>
      </c>
      <c r="BX135" s="159">
        <f ca="1">TblMili[[#This Row],[WG''s]]</f>
        <v>0</v>
      </c>
      <c r="BY135" s="265">
        <f ca="1">IF(mystic_cap="none",TblMili[[#This Row],[Homeland%]]/mystic_bonus,MIN(mystic_cap,TblMili[[#This Row],[Homeland%]]/mystic_bonus))</f>
        <v>2</v>
      </c>
      <c r="BZ135" s="265">
        <f ca="1">IF(druid_op_cap="none",TblMili[[#This Row],[Homeland%]]/druid_op_bonus,MIN(druid_op_cap,TblMili[[#This Row],[Homeland%]]/druid_op_bonus))</f>
        <v>2</v>
      </c>
      <c r="CA135" s="265">
        <f ca="1">IF(druid_dp_cap="none",TblMili[[#This Row],[Homeland%]]/druid_dp_bonus,MIN(druid_dp_cap,TblMili[[#This Row],[Homeland%]]/druid_dp_bonus))</f>
        <v>2</v>
      </c>
      <c r="CB135" s="265">
        <f ca="1">MIN(dryad_cap,TblMili[[#This Row],[Homeland%]]/dryad_bonus)</f>
        <v>2.1999999999999997</v>
      </c>
      <c r="CC135" s="265">
        <f ca="1">MIN(rocka_cap,TblMili[[#This Row],[Homeland%]]/rocka_bonus)</f>
        <v>2</v>
      </c>
      <c r="CD135" s="265">
        <f ca="1">MIN(adept_op_cap,TblMili[[#This Row],[WG]]/adept_op_bonus)</f>
        <v>0</v>
      </c>
      <c r="CE135" s="265">
        <f ca="1">MIN(adept_dp_cap,TblMili[[#This Row],[WG]]/adept_dp_bonus)</f>
        <v>0</v>
      </c>
      <c r="CF135" s="96">
        <f ca="1">MIN(TblMili[[#This Row],[Unit 3]],TblMili[[#This Row],[Unit 2]])*2</f>
        <v>0</v>
      </c>
      <c r="CG135" s="96">
        <f ca="1">MIN(TblMili[[#This Row],[Unit 1]],TblMili[[#This Row],[Unit 4]])*2</f>
        <v>0</v>
      </c>
      <c r="CH135" s="265">
        <f ca="1">MIN(frost_mage_cap,TblMili[[#This Row],[Homeland%]]/frost_mage_bonus)</f>
        <v>2.1999999999999997</v>
      </c>
      <c r="CI135" s="45">
        <f ca="1">MIN(ice_elem_cap,TblMili[[#This Row],[Raw (2)]]*ice_elem_bonus)</f>
        <v>0.1</v>
      </c>
      <c r="CJ135" s="265">
        <f t="shared" si="4"/>
        <v>0.83333333333333337</v>
      </c>
      <c r="CK135" s="265">
        <f ca="1">MIN(nox_nightshade_cap,TblConstr[[#This Row],[Homeland]]/TblConstr[[#This Row],[Land]]/nox_nightshade_swamp_bonus)</f>
        <v>4</v>
      </c>
      <c r="CL135" s="265">
        <f ca="1">MIN(TblConstr[[#This Row],[Tot Tow]]/TblConstr[[#This Row],[Land]]/abyss_enforce_bonus,abyss_enforcer_cap)</f>
        <v>0</v>
      </c>
      <c r="CM135" s="265">
        <f ca="1">IF(TblMagic[[#This Row],[Active Demonic Pact]]&gt;0,MIN(TblMili[[#This Row],[Unit 1]],TblMili[[#This Row],[Unit 4]])*demonic_pact_oppair,0)</f>
        <v>0</v>
      </c>
      <c r="CN135" s="266"/>
      <c r="CO135" s="266"/>
      <c r="CP135" s="266"/>
      <c r="CQ135" s="265">
        <f ca="1">MIN(6,TblMili[[#This Row],[Mystic]]+Races!$F$19)*1.8 +  IF(TblMili[[#This Row],[Mystic]]+Races!$F$19&gt;6,(TblMili[[#This Row],[Mystic]]+Races!$F$19-6)*0.2,0) - Races!$I$19</f>
        <v>1</v>
      </c>
      <c r="CR1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-0.64000000000000057</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4.7099999999999991</v>
      </c>
      <c r="DA135" s="157">
        <f ca="1">1.8 * MIN(MAX(TblMili[[#This Row],[Ice Elemental]]+Races!$E$71,Races!$F$71),6)  +  0.45 * MIN(MIN(TblMili[[#This Row],[Ice Elemental]]+Races!$E$71,Races!$F$71),6)  +  0.2 * ( MAX(TblMili[[#This Row],[Ice Elemental]]+Races!$E$71-6,0) + MAX(Races!$F$71-6,0) )  -  Races!$I$71</f>
        <v>0.92999999999999972</v>
      </c>
      <c r="DB135" s="96">
        <f ca="1">TblMili[[#This Row],[Frost Mage bonus]]*TblMili[[#This Row],[Unit 3]]+TblMili[[#This Row],[Ice Elemental bonus]]*TblMili[[#This Row],[Unit 4]]</f>
        <v>0</v>
      </c>
      <c r="DC135" s="267"/>
      <c r="DD135" s="145">
        <f ca="1">MIN(SUM(TblConstr[[#This Row],[Plain]:[Water]])/TblMili[[#This Row],[Land]]/favorable_terrain_bonus/100,favorable_terrain_max)</f>
        <v>0.1</v>
      </c>
      <c r="DE135" s="267"/>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5" s="144"/>
      <c r="DH135" s="268">
        <f ca="1">(TblMili[[#This Row],[Wizards]]+2*TblMili[[#This Row],[Archmages]])/TblConstr[[#This Row],[Land]]</f>
        <v>0.1</v>
      </c>
      <c r="DI135" s="268">
        <f ca="1">TblMili[[#This Row],[Raw (2)]]*(1+race_wizard_strength+IF(TblMili[[#This Row],[Hour]]&gt;72,tech_magical_weaponry_wiz*TblTech[[#This Row],[3-5]],0))</f>
        <v>0.1</v>
      </c>
    </row>
    <row r="136" spans="1:113" x14ac:dyDescent="0.2">
      <c r="A136" s="139">
        <f>TblRezone[[#This Row],[Hour]]</f>
        <v>133</v>
      </c>
      <c r="B136" s="260">
        <f ca="1">SUM(TblMili[[#This Row],[Unit 1]:[Archmages]])+SUM(OFFSET(TblMili[[#This Row],[Train Unit 1]],-8,0):TblMili[[#This Row],[Train Unit 2]]) + SUM(OFFSET(TblMili[[#This Row],[Train Unit 3]],-11,0):TblMili[[#This Row],[Train AM]]) + TblMili[[#This Row],[Draftees]]</f>
        <v>826</v>
      </c>
      <c r="C136" s="159">
        <f ca="1">TblPop[[#This Row],[Military%]]</f>
        <v>0.35029686174724345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4"/>
      <c r="N136" s="96">
        <f ca="1">TblProd[[#This Row],[Networth]]</f>
        <v>6450</v>
      </c>
      <c r="O136" s="144"/>
      <c r="P1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1">
        <f ca="1">TblMili[[#This Row],[Raw]]*(1+TblMili[[#This Row],[Mods_Off]])</f>
        <v>0</v>
      </c>
      <c r="S1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6" s="261">
        <f ca="1">TblMili[[#This Row],[Non Draft]]+TblMili[[#This Row],[Draftees]]</f>
        <v>1076</v>
      </c>
      <c r="U136" s="262">
        <f ca="1">race_defense + TblImps[[#This Row],[Walls]] + ROUND( MIN(gt_bonus*TblConstr[[#This Row],[Tot GT]]/TblConstr[[#This Row],[Land]],gt_bonus_cap), 4) + IF(TblMagic[[#This Row],[Active Howling]]&gt;0,howling_dp_bonus,IF(TblMagic[[#This Row],[Active Ares Call]]&gt;0,ares_call_bonus))</f>
        <v>0</v>
      </c>
      <c r="V136" s="263">
        <f ca="1">TblMili[[#This Row],[Non Draft]] * (1 + TblMili[[#This Row],[Mods_Def]])</f>
        <v>450</v>
      </c>
      <c r="W136" s="261">
        <f ca="1">TblMili[[#This Row],[Draft]] * (1 + TblMili[[#This Row],[Mods_Def]])</f>
        <v>1076</v>
      </c>
      <c r="X136" s="261">
        <f ca="1">TblConstr[[#This Row],[Land]]</f>
        <v>250</v>
      </c>
      <c r="Y136" s="264"/>
      <c r="Z136" s="269">
        <f ca="1">IF(TblMili[[#This Row],[Set]]&lt;&gt;"",TblMili[[#This Row],[Set]],OFFSET(TblMili[[#This Row],[Draftrate]],-1,0))</f>
        <v>0.35</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6"/>
      <c r="AC136" s="182">
        <f ca="1">(TblConstr[[#This Row],[Tot Smi]]+TblConstr[[#This Row],[Dest Smi]])/(TblConstr[[#This Row],[Land]]-TblExplore[[#This Row],[Land Bonus]]*20)</f>
        <v>0</v>
      </c>
      <c r="AD136" s="260"/>
      <c r="AE136" s="260">
        <f>TblMili[[#This Row],[Hour]]</f>
        <v>133</v>
      </c>
      <c r="AF136" s="140">
        <f ca="1">TblExplore[[#This Row],[Time]]</f>
        <v>45737.49999999968</v>
      </c>
      <c r="AG136" s="181"/>
      <c r="AH136" s="160"/>
      <c r="AI136" s="181"/>
      <c r="AJ136" s="160"/>
      <c r="AK136" s="160"/>
      <c r="AL136" s="160"/>
      <c r="AM136" s="160"/>
      <c r="AN136" s="181"/>
      <c r="AO136" s="448">
        <f ca="1">ROUND(IF(AND(TblMagic[[#This Row],[Active DnD]]&lt;12,TblMagic[[#This Row],[Active DnD]]&gt;5),OFFSET(TblPop[[#This Row],[Draft Growth]],-1,0)*0.375,0),0)</f>
        <v>0</v>
      </c>
      <c r="AP136" s="144"/>
      <c r="AQ136" s="96">
        <f ca="1">TblProd[[#This Row],[Platinum]]</f>
        <v>845030</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45737.49999999968</v>
      </c>
      <c r="AW136" s="96">
        <f ca="1">TblMili[[#This Row],[Draftees]]</f>
        <v>626</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0.44</v>
      </c>
      <c r="BX136" s="159">
        <f ca="1">TblMili[[#This Row],[WG''s]]</f>
        <v>0</v>
      </c>
      <c r="BY136" s="265">
        <f ca="1">IF(mystic_cap="none",TblMili[[#This Row],[Homeland%]]/mystic_bonus,MIN(mystic_cap,TblMili[[#This Row],[Homeland%]]/mystic_bonus))</f>
        <v>2</v>
      </c>
      <c r="BZ136" s="265">
        <f ca="1">IF(druid_op_cap="none",TblMili[[#This Row],[Homeland%]]/druid_op_bonus,MIN(druid_op_cap,TblMili[[#This Row],[Homeland%]]/druid_op_bonus))</f>
        <v>2</v>
      </c>
      <c r="CA136" s="265">
        <f ca="1">IF(druid_dp_cap="none",TblMili[[#This Row],[Homeland%]]/druid_dp_bonus,MIN(druid_dp_cap,TblMili[[#This Row],[Homeland%]]/druid_dp_bonus))</f>
        <v>2</v>
      </c>
      <c r="CB136" s="265">
        <f ca="1">MIN(dryad_cap,TblMili[[#This Row],[Homeland%]]/dryad_bonus)</f>
        <v>2.1999999999999997</v>
      </c>
      <c r="CC136" s="265">
        <f ca="1">MIN(rocka_cap,TblMili[[#This Row],[Homeland%]]/rocka_bonus)</f>
        <v>2</v>
      </c>
      <c r="CD136" s="265">
        <f ca="1">MIN(adept_op_cap,TblMili[[#This Row],[WG]]/adept_op_bonus)</f>
        <v>0</v>
      </c>
      <c r="CE136" s="265">
        <f ca="1">MIN(adept_dp_cap,TblMili[[#This Row],[WG]]/adept_dp_bonus)</f>
        <v>0</v>
      </c>
      <c r="CF136" s="96">
        <f ca="1">MIN(TblMili[[#This Row],[Unit 3]],TblMili[[#This Row],[Unit 2]])*2</f>
        <v>0</v>
      </c>
      <c r="CG136" s="96">
        <f ca="1">MIN(TblMili[[#This Row],[Unit 1]],TblMili[[#This Row],[Unit 4]])*2</f>
        <v>0</v>
      </c>
      <c r="CH136" s="265">
        <f ca="1">MIN(frost_mage_cap,TblMili[[#This Row],[Homeland%]]/frost_mage_bonus)</f>
        <v>2.1999999999999997</v>
      </c>
      <c r="CI136" s="45">
        <f ca="1">MIN(ice_elem_cap,TblMili[[#This Row],[Raw (2)]]*ice_elem_bonus)</f>
        <v>0.1</v>
      </c>
      <c r="CJ136" s="265">
        <f t="shared" si="4"/>
        <v>0.83333333333333337</v>
      </c>
      <c r="CK136" s="265">
        <f ca="1">MIN(nox_nightshade_cap,TblConstr[[#This Row],[Homeland]]/TblConstr[[#This Row],[Land]]/nox_nightshade_swamp_bonus)</f>
        <v>4</v>
      </c>
      <c r="CL136" s="265">
        <f ca="1">MIN(TblConstr[[#This Row],[Tot Tow]]/TblConstr[[#This Row],[Land]]/abyss_enforce_bonus,abyss_enforcer_cap)</f>
        <v>0</v>
      </c>
      <c r="CM136" s="265">
        <f ca="1">IF(TblMagic[[#This Row],[Active Demonic Pact]]&gt;0,MIN(TblMili[[#This Row],[Unit 1]],TblMili[[#This Row],[Unit 4]])*demonic_pact_oppair,0)</f>
        <v>0</v>
      </c>
      <c r="CN136" s="266"/>
      <c r="CO136" s="266"/>
      <c r="CP136" s="266"/>
      <c r="CQ136" s="265">
        <f ca="1">MIN(6,TblMili[[#This Row],[Mystic]]+Races!$F$19)*1.8 +  IF(TblMili[[#This Row],[Mystic]]+Races!$F$19&gt;6,(TblMili[[#This Row],[Mystic]]+Races!$F$19-6)*0.2,0) - Races!$I$19</f>
        <v>1</v>
      </c>
      <c r="CR1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-0.64000000000000057</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4.7099999999999991</v>
      </c>
      <c r="DA136" s="157">
        <f ca="1">1.8 * MIN(MAX(TblMili[[#This Row],[Ice Elemental]]+Races!$E$71,Races!$F$71),6)  +  0.45 * MIN(MIN(TblMili[[#This Row],[Ice Elemental]]+Races!$E$71,Races!$F$71),6)  +  0.2 * ( MAX(TblMili[[#This Row],[Ice Elemental]]+Races!$E$71-6,0) + MAX(Races!$F$71-6,0) )  -  Races!$I$71</f>
        <v>0.92999999999999972</v>
      </c>
      <c r="DB136" s="96">
        <f ca="1">TblMili[[#This Row],[Frost Mage bonus]]*TblMili[[#This Row],[Unit 3]]+TblMili[[#This Row],[Ice Elemental bonus]]*TblMili[[#This Row],[Unit 4]]</f>
        <v>0</v>
      </c>
      <c r="DC136" s="267"/>
      <c r="DD136" s="145">
        <f ca="1">MIN(SUM(TblConstr[[#This Row],[Plain]:[Water]])/TblMili[[#This Row],[Land]]/favorable_terrain_bonus/100,favorable_terrain_max)</f>
        <v>0.1</v>
      </c>
      <c r="DE136" s="267"/>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6" s="144"/>
      <c r="DH136" s="268">
        <f ca="1">(TblMili[[#This Row],[Wizards]]+2*TblMili[[#This Row],[Archmages]])/TblConstr[[#This Row],[Land]]</f>
        <v>0.1</v>
      </c>
      <c r="DI136" s="268">
        <f ca="1">TblMili[[#This Row],[Raw (2)]]*(1+race_wizard_strength+IF(TblMili[[#This Row],[Hour]]&gt;72,tech_magical_weaponry_wiz*TblTech[[#This Row],[3-5]],0))</f>
        <v>0.1</v>
      </c>
    </row>
    <row r="137" spans="1:113" x14ac:dyDescent="0.2">
      <c r="AJ137" s="45">
        <v>100</v>
      </c>
    </row>
    <row r="139" spans="1:113" x14ac:dyDescent="0.2">
      <c r="AF139" s="45">
        <f ca="1">SUM(E136:L136)</f>
        <v>200</v>
      </c>
    </row>
    <row r="1269" spans="2:3" x14ac:dyDescent="0.2">
      <c r="B1269" s="500" t="s">
        <v>314</v>
      </c>
      <c r="C1269" s="50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$A4=73</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07" t="s">
        <v>1076</v>
      </c>
      <c r="U1" s="256"/>
      <c r="V1" s="256"/>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56" t="s">
        <v>535</v>
      </c>
      <c r="M2" s="283" t="s">
        <v>94</v>
      </c>
      <c r="N2" s="256" t="s">
        <v>100</v>
      </c>
      <c r="O2" s="507"/>
      <c r="P2" s="256" t="s">
        <v>92</v>
      </c>
      <c r="Q2" s="256" t="s">
        <v>103</v>
      </c>
      <c r="R2" s="256" t="s">
        <v>328</v>
      </c>
      <c r="S2" s="256" t="s">
        <v>342</v>
      </c>
      <c r="T2" s="256" t="s">
        <v>498</v>
      </c>
      <c r="U2" s="256" t="s">
        <v>90</v>
      </c>
      <c r="V2" s="256" t="s">
        <v>1134</v>
      </c>
      <c r="W2" s="256" t="s">
        <v>500</v>
      </c>
    </row>
    <row r="3" spans="1:43" s="285"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30" t="s">
        <v>200</v>
      </c>
      <c r="L3" s="137" t="s">
        <v>262</v>
      </c>
      <c r="M3" s="284" t="s">
        <v>527</v>
      </c>
      <c r="N3" s="137" t="s">
        <v>1115</v>
      </c>
      <c r="O3" s="137" t="s">
        <v>1077</v>
      </c>
      <c r="P3" s="137" t="s">
        <v>297</v>
      </c>
      <c r="Q3" s="137" t="s">
        <v>334</v>
      </c>
      <c r="R3" s="137" t="s">
        <v>1078</v>
      </c>
      <c r="S3" s="137" t="s">
        <v>340</v>
      </c>
      <c r="T3" s="137" t="s">
        <v>424</v>
      </c>
      <c r="U3" s="137" t="s">
        <v>1071</v>
      </c>
      <c r="V3" s="137" t="s">
        <v>1138</v>
      </c>
      <c r="W3" s="137" t="s">
        <v>501</v>
      </c>
      <c r="X3" s="137" t="s">
        <v>769</v>
      </c>
      <c r="Y3" s="137" t="s">
        <v>915</v>
      </c>
      <c r="Z3" s="137" t="s">
        <v>916</v>
      </c>
      <c r="AA3" s="137" t="s">
        <v>770</v>
      </c>
      <c r="AB3" s="137" t="s">
        <v>917</v>
      </c>
      <c r="AC3" s="137" t="s">
        <v>918</v>
      </c>
      <c r="AD3" s="137" t="s">
        <v>919</v>
      </c>
      <c r="AE3" s="137" t="s">
        <v>920</v>
      </c>
      <c r="AF3" s="137" t="s">
        <v>921</v>
      </c>
      <c r="AG3" s="137" t="s">
        <v>924</v>
      </c>
      <c r="AH3" s="137" t="s">
        <v>925</v>
      </c>
      <c r="AI3" s="137" t="s">
        <v>1116</v>
      </c>
      <c r="AJ3" s="137" t="s">
        <v>922</v>
      </c>
      <c r="AK3" s="137" t="s">
        <v>926</v>
      </c>
      <c r="AL3" s="137" t="s">
        <v>927</v>
      </c>
      <c r="AM3" s="137" t="s">
        <v>1087</v>
      </c>
      <c r="AN3" s="137" t="s">
        <v>928</v>
      </c>
      <c r="AO3" s="137" t="s">
        <v>923</v>
      </c>
      <c r="AP3" s="438" t="s">
        <v>1072</v>
      </c>
      <c r="AQ3" s="438" t="s">
        <v>1139</v>
      </c>
    </row>
    <row r="4" spans="1:43" x14ac:dyDescent="0.2">
      <c r="A4" s="139">
        <f>TblRezone[[#This Row],[Hour]]</f>
        <v>1</v>
      </c>
      <c r="B4" s="156">
        <f ca="1">TblConstr[[#This Row],[Land]]</f>
        <v>250</v>
      </c>
      <c r="C4" s="96">
        <f ca="1">TblProd[[#This Row],[Mana]]</f>
        <v>0</v>
      </c>
      <c r="D4" s="423">
        <f>1-TblMagic[[#This Row],[Wiz str cost]]</f>
        <v>1</v>
      </c>
      <c r="E4" s="161">
        <f>Imps!L4</f>
        <v>45732</v>
      </c>
      <c r="F4" s="158">
        <f ca="1">TblImps[[#This Row],[Population]]</f>
        <v>0.67854113655640369</v>
      </c>
      <c r="G4" s="228"/>
      <c r="H4" s="228"/>
      <c r="I4" s="228"/>
      <c r="J4" s="228"/>
      <c r="K4" s="431"/>
      <c r="L4" s="228"/>
      <c r="M4" s="228"/>
      <c r="N4" s="228"/>
      <c r="O4" s="228"/>
      <c r="P4" s="228"/>
      <c r="Q4" s="228"/>
      <c r="R4" s="228"/>
      <c r="S4" s="228"/>
      <c r="T4" s="228"/>
      <c r="U4" s="228"/>
      <c r="V4" s="228"/>
      <c r="W4" s="228"/>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24">
        <f>TblMagic[[#This Row],[Gaia''s Watch]]*12</f>
        <v>0</v>
      </c>
      <c r="AC4" s="424">
        <f>TblMagic[[#This Row],[Mining Strength]]*12</f>
        <v>0</v>
      </c>
      <c r="AD4" s="424">
        <f>TblMagic[[#This Row],[Ares Call]]*12</f>
        <v>0</v>
      </c>
      <c r="AE4" s="424">
        <f>TblMagic[[#This Row],[Midas Touch]]*12</f>
        <v>0</v>
      </c>
      <c r="AF4" s="424">
        <f>TblMagic[[#This Row],[Harmony]]*12</f>
        <v>0</v>
      </c>
      <c r="AG4" s="424">
        <f>TblMagic[[#This Row],[Miner''s Sight]]*12</f>
        <v>0</v>
      </c>
      <c r="AH4" s="424">
        <f>TblMagic[[#This Row],[Mechanical Genius]]*12</f>
        <v>0</v>
      </c>
      <c r="AI4" s="424">
        <f>TblMagic[[#This Row],[Death and Decay]]*12</f>
        <v>0</v>
      </c>
      <c r="AJ4" s="424">
        <f>TblMagic[[#This Row],[Killing Rage / Bloodrage / Crusade]]*12</f>
        <v>0</v>
      </c>
      <c r="AK4" s="424">
        <f>TblMagic[[#This Row],[Gaia''s Blessing]]*12</f>
        <v>0</v>
      </c>
      <c r="AL4" s="424">
        <f>TblMagic[[#This Row],[Howling]]*12</f>
        <v>0</v>
      </c>
      <c r="AM4" s="424">
        <f>TblMagic[[#This Row],[Alchemist Frost]]*12</f>
        <v>0</v>
      </c>
      <c r="AN4" s="424">
        <f>TblMagic[[#This Row],[Alchemists Flame]]*12</f>
        <v>0</v>
      </c>
      <c r="AO4" s="424">
        <f>TblMagic[[#This Row],[Nightfall]]*12</f>
        <v>0</v>
      </c>
      <c r="AP4" s="439">
        <f>TblMagic[[#This Row],[Favorable Terrain]]*12</f>
        <v>0</v>
      </c>
      <c r="AQ4" s="439">
        <f>TblMagic[[#This Row],[Demonic Pact]]*12</f>
        <v>0</v>
      </c>
    </row>
    <row r="5" spans="1:43" x14ac:dyDescent="0.2">
      <c r="A5" s="139">
        <f>TblRezone[[#This Row],[Hour]]</f>
        <v>2</v>
      </c>
      <c r="B5" s="156">
        <f ca="1">TblConstr[[#This Row],[Land]]</f>
        <v>250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45732.041666666664</v>
      </c>
      <c r="F5" s="158">
        <f ca="1">TblImps[[#This Row],[Population]]</f>
        <v>0.69508057675996604</v>
      </c>
      <c r="G5" s="228"/>
      <c r="H5" s="228"/>
      <c r="I5" s="228"/>
      <c r="J5" s="228"/>
      <c r="K5" s="431"/>
      <c r="L5" s="228"/>
      <c r="M5" s="228"/>
      <c r="N5" s="228"/>
      <c r="O5" s="228"/>
      <c r="P5" s="228"/>
      <c r="Q5" s="228"/>
      <c r="R5" s="228"/>
      <c r="S5" s="228"/>
      <c r="T5" s="228"/>
      <c r="U5" s="228"/>
      <c r="V5" s="228"/>
      <c r="W5" s="228"/>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250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45732.083333333328</v>
      </c>
      <c r="F6" s="158">
        <f ca="1">TblImps[[#This Row],[Population]]</f>
        <v>0.71162001696352839</v>
      </c>
      <c r="G6" s="228"/>
      <c r="H6" s="228"/>
      <c r="I6" s="228"/>
      <c r="J6" s="228"/>
      <c r="K6" s="431"/>
      <c r="L6" s="228"/>
      <c r="M6" s="228"/>
      <c r="N6" s="228"/>
      <c r="O6" s="228"/>
      <c r="P6" s="228"/>
      <c r="Q6" s="228"/>
      <c r="R6" s="228"/>
      <c r="S6" s="228"/>
      <c r="T6" s="228"/>
      <c r="U6" s="228"/>
      <c r="V6" s="228"/>
      <c r="W6" s="228"/>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250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45732.124999999993</v>
      </c>
      <c r="F7" s="158">
        <f ca="1">TblImps[[#This Row],[Population]]</f>
        <v>0.72858354537743852</v>
      </c>
      <c r="G7" s="228"/>
      <c r="H7" s="228"/>
      <c r="I7" s="228"/>
      <c r="J7" s="228"/>
      <c r="K7" s="431"/>
      <c r="L7" s="228"/>
      <c r="M7" s="228"/>
      <c r="N7" s="228"/>
      <c r="O7" s="228"/>
      <c r="P7" s="228"/>
      <c r="Q7" s="228"/>
      <c r="R7" s="228"/>
      <c r="S7" s="228"/>
      <c r="T7" s="228"/>
      <c r="U7" s="228"/>
      <c r="V7" s="228"/>
      <c r="W7" s="228"/>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250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45732.166666666657</v>
      </c>
      <c r="F8" s="158">
        <f ca="1">TblImps[[#This Row],[Population]]</f>
        <v>0.74597116200169633</v>
      </c>
      <c r="G8" s="228"/>
      <c r="H8" s="228"/>
      <c r="I8" s="228"/>
      <c r="J8" s="228"/>
      <c r="K8" s="431"/>
      <c r="L8" s="228"/>
      <c r="M8" s="228"/>
      <c r="N8" s="228"/>
      <c r="O8" s="228"/>
      <c r="P8" s="228"/>
      <c r="Q8" s="228"/>
      <c r="R8" s="228"/>
      <c r="S8" s="228"/>
      <c r="T8" s="228"/>
      <c r="U8" s="228"/>
      <c r="V8" s="228"/>
      <c r="W8" s="228"/>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250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45732.208333333321</v>
      </c>
      <c r="F9" s="158">
        <f ca="1">TblImps[[#This Row],[Population]]</f>
        <v>0.76378286683630192</v>
      </c>
      <c r="G9" s="228"/>
      <c r="H9" s="228"/>
      <c r="I9" s="228"/>
      <c r="J9" s="228"/>
      <c r="K9" s="431"/>
      <c r="L9" s="228"/>
      <c r="M9" s="228"/>
      <c r="N9" s="228"/>
      <c r="O9" s="228"/>
      <c r="P9" s="228"/>
      <c r="Q9" s="228"/>
      <c r="R9" s="228"/>
      <c r="S9" s="228"/>
      <c r="T9" s="228"/>
      <c r="U9" s="228"/>
      <c r="V9" s="228"/>
      <c r="W9" s="228"/>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250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45732.249999999985</v>
      </c>
      <c r="F10" s="158">
        <f ca="1">TblImps[[#This Row],[Population]]</f>
        <v>0.7820186598812553</v>
      </c>
      <c r="G10" s="228"/>
      <c r="H10" s="228"/>
      <c r="I10" s="228"/>
      <c r="J10" s="228"/>
      <c r="K10" s="431"/>
      <c r="L10" s="228"/>
      <c r="M10" s="228"/>
      <c r="N10" s="228"/>
      <c r="O10" s="228"/>
      <c r="P10" s="228"/>
      <c r="Q10" s="228"/>
      <c r="R10" s="228"/>
      <c r="S10" s="228"/>
      <c r="T10" s="228"/>
      <c r="U10" s="228"/>
      <c r="V10" s="228"/>
      <c r="W10" s="228"/>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250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45732.29166666665</v>
      </c>
      <c r="F11" s="158">
        <f ca="1">TblImps[[#This Row],[Population]]</f>
        <v>0.80025445292620867</v>
      </c>
      <c r="G11" s="228"/>
      <c r="H11" s="228"/>
      <c r="I11" s="228"/>
      <c r="J11" s="228"/>
      <c r="K11" s="431"/>
      <c r="L11" s="228"/>
      <c r="M11" s="228"/>
      <c r="N11" s="228"/>
      <c r="O11" s="228"/>
      <c r="P11" s="228"/>
      <c r="Q11" s="228"/>
      <c r="R11" s="228"/>
      <c r="S11" s="228"/>
      <c r="T11" s="228"/>
      <c r="U11" s="228"/>
      <c r="V11" s="228"/>
      <c r="W11" s="228"/>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250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45732.333333333314</v>
      </c>
      <c r="F12" s="158">
        <f ca="1">TblImps[[#This Row],[Population]]</f>
        <v>0.81891433418150972</v>
      </c>
      <c r="G12" s="228"/>
      <c r="H12" s="228"/>
      <c r="I12" s="228"/>
      <c r="J12" s="228"/>
      <c r="K12" s="431"/>
      <c r="L12" s="228"/>
      <c r="M12" s="228"/>
      <c r="N12" s="228"/>
      <c r="O12" s="228"/>
      <c r="P12" s="228"/>
      <c r="Q12" s="228"/>
      <c r="R12" s="228"/>
      <c r="S12" s="228"/>
      <c r="T12" s="228"/>
      <c r="U12" s="228"/>
      <c r="V12" s="228"/>
      <c r="W12" s="228"/>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250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45732.374999999978</v>
      </c>
      <c r="F13" s="158">
        <f ca="1">TblImps[[#This Row],[Population]]</f>
        <v>0.83799830364715866</v>
      </c>
      <c r="G13" s="228"/>
      <c r="H13" s="228"/>
      <c r="I13" s="228"/>
      <c r="J13" s="228"/>
      <c r="K13" s="431"/>
      <c r="L13" s="228"/>
      <c r="M13" s="228"/>
      <c r="N13" s="228"/>
      <c r="O13" s="228"/>
      <c r="P13" s="228"/>
      <c r="Q13" s="228"/>
      <c r="R13" s="228"/>
      <c r="S13" s="228"/>
      <c r="T13" s="228"/>
      <c r="U13" s="228"/>
      <c r="V13" s="228"/>
      <c r="W13" s="228"/>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250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45732.416666666642</v>
      </c>
      <c r="F14" s="158">
        <f ca="1">TblImps[[#This Row],[Population]]</f>
        <v>0.85750636132315516</v>
      </c>
      <c r="G14" s="228"/>
      <c r="H14" s="228"/>
      <c r="I14" s="228"/>
      <c r="J14" s="228"/>
      <c r="K14" s="431"/>
      <c r="L14" s="228"/>
      <c r="M14" s="228"/>
      <c r="N14" s="228"/>
      <c r="O14" s="228"/>
      <c r="P14" s="228"/>
      <c r="Q14" s="228"/>
      <c r="R14" s="228"/>
      <c r="S14" s="228"/>
      <c r="T14" s="228"/>
      <c r="U14" s="228"/>
      <c r="V14" s="228"/>
      <c r="W14" s="228"/>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250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45732.458333333307</v>
      </c>
      <c r="F15" s="158">
        <f ca="1">TblImps[[#This Row],[Population]]</f>
        <v>0.87743850720949956</v>
      </c>
      <c r="G15" s="228"/>
      <c r="H15" s="228"/>
      <c r="I15" s="228"/>
      <c r="J15" s="228"/>
      <c r="K15" s="431"/>
      <c r="L15" s="228"/>
      <c r="M15" s="228"/>
      <c r="N15" s="228"/>
      <c r="O15" s="228"/>
      <c r="P15" s="228"/>
      <c r="Q15" s="228"/>
      <c r="R15" s="228"/>
      <c r="S15" s="228"/>
      <c r="T15" s="228"/>
      <c r="U15" s="228"/>
      <c r="V15" s="228"/>
      <c r="W15" s="228"/>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250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45732.499999999971</v>
      </c>
      <c r="F16" s="158">
        <f ca="1">TblImps[[#This Row],[Population]]</f>
        <v>0.89779474130619163</v>
      </c>
      <c r="G16" s="228"/>
      <c r="H16" s="228"/>
      <c r="I16" s="228"/>
      <c r="J16" s="228"/>
      <c r="K16" s="431"/>
      <c r="L16" s="228"/>
      <c r="M16" s="228"/>
      <c r="N16" s="228"/>
      <c r="O16" s="228"/>
      <c r="P16" s="228"/>
      <c r="Q16" s="228"/>
      <c r="R16" s="228"/>
      <c r="S16" s="228"/>
      <c r="T16" s="228"/>
      <c r="U16" s="228"/>
      <c r="V16" s="228"/>
      <c r="W16" s="228"/>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250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45732.541666666635</v>
      </c>
      <c r="F17" s="158">
        <f ca="1">TblImps[[#This Row],[Population]]</f>
        <v>0.9185750636132316</v>
      </c>
      <c r="G17" s="228"/>
      <c r="H17" s="228"/>
      <c r="I17" s="228"/>
      <c r="J17" s="228"/>
      <c r="K17" s="431"/>
      <c r="L17" s="228"/>
      <c r="M17" s="228"/>
      <c r="N17" s="228"/>
      <c r="O17" s="228"/>
      <c r="P17" s="228"/>
      <c r="Q17" s="228"/>
      <c r="R17" s="228"/>
      <c r="S17" s="228"/>
      <c r="T17" s="228"/>
      <c r="U17" s="228"/>
      <c r="V17" s="228"/>
      <c r="W17" s="228"/>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250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45732.583333333299</v>
      </c>
      <c r="F18" s="158">
        <f ca="1">TblImps[[#This Row],[Population]]</f>
        <v>0.93977947413061913</v>
      </c>
      <c r="G18" s="228"/>
      <c r="H18" s="228"/>
      <c r="I18" s="228"/>
      <c r="J18" s="228"/>
      <c r="K18" s="431"/>
      <c r="L18" s="228"/>
      <c r="M18" s="228"/>
      <c r="N18" s="228"/>
      <c r="O18" s="228"/>
      <c r="P18" s="228"/>
      <c r="Q18" s="228"/>
      <c r="R18" s="228"/>
      <c r="S18" s="228"/>
      <c r="T18" s="228"/>
      <c r="U18" s="228"/>
      <c r="V18" s="228"/>
      <c r="W18" s="228"/>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250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45732.624999999964</v>
      </c>
      <c r="F19" s="158">
        <f ca="1">TblImps[[#This Row],[Population]]</f>
        <v>0.96140797285835455</v>
      </c>
      <c r="G19" s="228"/>
      <c r="H19" s="228"/>
      <c r="I19" s="228"/>
      <c r="J19" s="228"/>
      <c r="K19" s="431"/>
      <c r="L19" s="228"/>
      <c r="M19" s="228"/>
      <c r="N19" s="228"/>
      <c r="O19" s="228"/>
      <c r="P19" s="228"/>
      <c r="Q19" s="228"/>
      <c r="R19" s="228"/>
      <c r="S19" s="228"/>
      <c r="T19" s="228"/>
      <c r="U19" s="228"/>
      <c r="V19" s="228"/>
      <c r="W19" s="228"/>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250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45732.666666666628</v>
      </c>
      <c r="F20" s="158">
        <f ca="1">TblImps[[#This Row],[Population]]</f>
        <v>0.98346055979643765</v>
      </c>
      <c r="G20" s="228"/>
      <c r="H20" s="228"/>
      <c r="I20" s="228"/>
      <c r="J20" s="228"/>
      <c r="K20" s="431"/>
      <c r="L20" s="228"/>
      <c r="M20" s="228"/>
      <c r="N20" s="228"/>
      <c r="O20" s="228"/>
      <c r="P20" s="228"/>
      <c r="Q20" s="228"/>
      <c r="R20" s="228"/>
      <c r="S20" s="228"/>
      <c r="T20" s="228"/>
      <c r="U20" s="228"/>
      <c r="V20" s="228"/>
      <c r="W20" s="228"/>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250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45732.708333333292</v>
      </c>
      <c r="F21" s="158">
        <f ca="1">TblImps[[#This Row],[Population]]</f>
        <v>1</v>
      </c>
      <c r="G21" s="228"/>
      <c r="H21" s="228"/>
      <c r="I21" s="228"/>
      <c r="J21" s="228"/>
      <c r="K21" s="431"/>
      <c r="L21" s="228"/>
      <c r="M21" s="228"/>
      <c r="N21" s="228"/>
      <c r="O21" s="228"/>
      <c r="P21" s="228"/>
      <c r="Q21" s="228"/>
      <c r="R21" s="228"/>
      <c r="S21" s="228"/>
      <c r="T21" s="228"/>
      <c r="U21" s="228"/>
      <c r="V21" s="228"/>
      <c r="W21" s="228"/>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250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45732.749999999956</v>
      </c>
      <c r="F22" s="158">
        <f ca="1">TblImps[[#This Row],[Population]]</f>
        <v>1</v>
      </c>
      <c r="G22" s="228"/>
      <c r="H22" s="228"/>
      <c r="I22" s="228"/>
      <c r="J22" s="228"/>
      <c r="K22" s="431"/>
      <c r="L22" s="228"/>
      <c r="M22" s="228"/>
      <c r="N22" s="228"/>
      <c r="O22" s="228"/>
      <c r="P22" s="228"/>
      <c r="Q22" s="228"/>
      <c r="R22" s="228"/>
      <c r="S22" s="228"/>
      <c r="T22" s="228"/>
      <c r="U22" s="228"/>
      <c r="V22" s="228"/>
      <c r="W22" s="228"/>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250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45732.791666666621</v>
      </c>
      <c r="F23" s="158">
        <f ca="1">TblImps[[#This Row],[Population]]</f>
        <v>1</v>
      </c>
      <c r="G23" s="228"/>
      <c r="H23" s="228"/>
      <c r="I23" s="228"/>
      <c r="J23" s="228"/>
      <c r="K23" s="431"/>
      <c r="L23" s="228"/>
      <c r="M23" s="228"/>
      <c r="N23" s="228"/>
      <c r="O23" s="228"/>
      <c r="P23" s="228"/>
      <c r="Q23" s="228"/>
      <c r="R23" s="228"/>
      <c r="S23" s="228"/>
      <c r="T23" s="228"/>
      <c r="U23" s="228"/>
      <c r="V23" s="228"/>
      <c r="W23" s="228"/>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250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45732.833333333285</v>
      </c>
      <c r="F24" s="158">
        <f ca="1">TblImps[[#This Row],[Population]]</f>
        <v>1</v>
      </c>
      <c r="G24" s="228"/>
      <c r="H24" s="228"/>
      <c r="I24" s="228"/>
      <c r="J24" s="228"/>
      <c r="K24" s="431"/>
      <c r="L24" s="228"/>
      <c r="M24" s="228"/>
      <c r="N24" s="228"/>
      <c r="O24" s="228"/>
      <c r="P24" s="228"/>
      <c r="Q24" s="228"/>
      <c r="R24" s="228"/>
      <c r="S24" s="228"/>
      <c r="T24" s="228"/>
      <c r="U24" s="228"/>
      <c r="V24" s="228"/>
      <c r="W24" s="228"/>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250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45732.874999999949</v>
      </c>
      <c r="F25" s="158">
        <f ca="1">TblImps[[#This Row],[Population]]</f>
        <v>1</v>
      </c>
      <c r="G25" s="228"/>
      <c r="H25" s="228"/>
      <c r="I25" s="228"/>
      <c r="J25" s="228"/>
      <c r="K25" s="431"/>
      <c r="L25" s="228"/>
      <c r="M25" s="228"/>
      <c r="N25" s="228"/>
      <c r="O25" s="228"/>
      <c r="P25" s="228"/>
      <c r="Q25" s="228"/>
      <c r="R25" s="228"/>
      <c r="S25" s="228"/>
      <c r="T25" s="228"/>
      <c r="U25" s="228"/>
      <c r="V25" s="228"/>
      <c r="W25" s="228"/>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250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45732.916666666613</v>
      </c>
      <c r="F26" s="158">
        <f ca="1">TblImps[[#This Row],[Population]]</f>
        <v>1</v>
      </c>
      <c r="G26" s="228"/>
      <c r="H26" s="228"/>
      <c r="I26" s="228"/>
      <c r="J26" s="228"/>
      <c r="K26" s="431"/>
      <c r="L26" s="228"/>
      <c r="M26" s="228"/>
      <c r="N26" s="228"/>
      <c r="O26" s="228"/>
      <c r="P26" s="228"/>
      <c r="Q26" s="228"/>
      <c r="R26" s="228"/>
      <c r="S26" s="228"/>
      <c r="T26" s="228"/>
      <c r="U26" s="228"/>
      <c r="V26" s="228"/>
      <c r="W26" s="228"/>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250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45732.958333333278</v>
      </c>
      <c r="F27" s="158">
        <f ca="1">TblImps[[#This Row],[Population]]</f>
        <v>1</v>
      </c>
      <c r="G27" s="228"/>
      <c r="H27" s="228"/>
      <c r="I27" s="228"/>
      <c r="J27" s="228"/>
      <c r="K27" s="431"/>
      <c r="L27" s="228"/>
      <c r="M27" s="228"/>
      <c r="N27" s="228"/>
      <c r="O27" s="228"/>
      <c r="P27" s="228"/>
      <c r="Q27" s="228"/>
      <c r="R27" s="228"/>
      <c r="S27" s="228"/>
      <c r="T27" s="228"/>
      <c r="U27" s="228"/>
      <c r="V27" s="228"/>
      <c r="W27" s="228"/>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250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45732.999999999942</v>
      </c>
      <c r="F28" s="158">
        <f ca="1">TblImps[[#This Row],[Population]]</f>
        <v>1</v>
      </c>
      <c r="G28" s="228"/>
      <c r="H28" s="228"/>
      <c r="I28" s="228"/>
      <c r="J28" s="228"/>
      <c r="K28" s="431"/>
      <c r="L28" s="228"/>
      <c r="M28" s="228"/>
      <c r="N28" s="228"/>
      <c r="O28" s="228"/>
      <c r="P28" s="228"/>
      <c r="Q28" s="228"/>
      <c r="R28" s="228"/>
      <c r="S28" s="228"/>
      <c r="T28" s="228"/>
      <c r="U28" s="228"/>
      <c r="V28" s="228"/>
      <c r="W28" s="228"/>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250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45733.041666666606</v>
      </c>
      <c r="F29" s="158">
        <f ca="1">TblImps[[#This Row],[Population]]</f>
        <v>1</v>
      </c>
      <c r="G29" s="228"/>
      <c r="H29" s="228"/>
      <c r="I29" s="228"/>
      <c r="J29" s="228"/>
      <c r="K29" s="431"/>
      <c r="L29" s="228"/>
      <c r="M29" s="228"/>
      <c r="N29" s="228"/>
      <c r="O29" s="228"/>
      <c r="P29" s="228"/>
      <c r="Q29" s="228"/>
      <c r="R29" s="228"/>
      <c r="S29" s="228"/>
      <c r="T29" s="228"/>
      <c r="U29" s="228"/>
      <c r="V29" s="228"/>
      <c r="W29" s="228"/>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250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45733.08333333327</v>
      </c>
      <c r="F30" s="158">
        <f ca="1">TblImps[[#This Row],[Population]]</f>
        <v>1</v>
      </c>
      <c r="G30" s="228"/>
      <c r="H30" s="228"/>
      <c r="I30" s="228"/>
      <c r="J30" s="228"/>
      <c r="K30" s="431"/>
      <c r="L30" s="228"/>
      <c r="M30" s="228"/>
      <c r="N30" s="228"/>
      <c r="O30" s="228"/>
      <c r="P30" s="228"/>
      <c r="Q30" s="228"/>
      <c r="R30" s="228"/>
      <c r="S30" s="228"/>
      <c r="T30" s="228"/>
      <c r="U30" s="228"/>
      <c r="V30" s="228"/>
      <c r="W30" s="228"/>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250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45733.124999999935</v>
      </c>
      <c r="F31" s="158">
        <f ca="1">TblImps[[#This Row],[Population]]</f>
        <v>1</v>
      </c>
      <c r="G31" s="228"/>
      <c r="H31" s="228"/>
      <c r="I31" s="228"/>
      <c r="J31" s="228"/>
      <c r="K31" s="431"/>
      <c r="L31" s="228"/>
      <c r="M31" s="228"/>
      <c r="N31" s="228"/>
      <c r="O31" s="228"/>
      <c r="P31" s="228"/>
      <c r="Q31" s="228"/>
      <c r="R31" s="228"/>
      <c r="S31" s="228"/>
      <c r="T31" s="228"/>
      <c r="U31" s="228"/>
      <c r="V31" s="228"/>
      <c r="W31" s="228"/>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250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45733.166666666599</v>
      </c>
      <c r="F32" s="158">
        <f ca="1">TblImps[[#This Row],[Population]]</f>
        <v>1</v>
      </c>
      <c r="G32" s="228"/>
      <c r="H32" s="228"/>
      <c r="I32" s="228"/>
      <c r="J32" s="228"/>
      <c r="K32" s="431"/>
      <c r="L32" s="228"/>
      <c r="M32" s="228"/>
      <c r="N32" s="228"/>
      <c r="O32" s="228"/>
      <c r="P32" s="228"/>
      <c r="Q32" s="228"/>
      <c r="R32" s="228"/>
      <c r="S32" s="228"/>
      <c r="T32" s="228"/>
      <c r="U32" s="228"/>
      <c r="V32" s="228"/>
      <c r="W32" s="228"/>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250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45733.208333333263</v>
      </c>
      <c r="F33" s="158">
        <f ca="1">TblImps[[#This Row],[Population]]</f>
        <v>1</v>
      </c>
      <c r="G33" s="228"/>
      <c r="H33" s="228"/>
      <c r="I33" s="228"/>
      <c r="J33" s="228"/>
      <c r="K33" s="431"/>
      <c r="L33" s="228"/>
      <c r="M33" s="228"/>
      <c r="N33" s="228"/>
      <c r="O33" s="228"/>
      <c r="P33" s="228"/>
      <c r="Q33" s="228"/>
      <c r="R33" s="228"/>
      <c r="S33" s="228"/>
      <c r="T33" s="228"/>
      <c r="U33" s="228"/>
      <c r="V33" s="228"/>
      <c r="W33" s="228"/>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250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45733.249999999927</v>
      </c>
      <c r="F34" s="158">
        <f ca="1">TblImps[[#This Row],[Population]]</f>
        <v>1</v>
      </c>
      <c r="G34" s="228"/>
      <c r="H34" s="228"/>
      <c r="I34" s="228"/>
      <c r="J34" s="228"/>
      <c r="K34" s="431"/>
      <c r="L34" s="228"/>
      <c r="M34" s="228"/>
      <c r="N34" s="228"/>
      <c r="O34" s="228"/>
      <c r="P34" s="228"/>
      <c r="Q34" s="228"/>
      <c r="R34" s="228"/>
      <c r="S34" s="228"/>
      <c r="T34" s="228"/>
      <c r="U34" s="228"/>
      <c r="V34" s="228"/>
      <c r="W34" s="228"/>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250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45733.291666666591</v>
      </c>
      <c r="F35" s="158">
        <f ca="1">TblImps[[#This Row],[Population]]</f>
        <v>1</v>
      </c>
      <c r="G35" s="228"/>
      <c r="H35" s="228"/>
      <c r="I35" s="228"/>
      <c r="J35" s="228"/>
      <c r="K35" s="431"/>
      <c r="L35" s="228"/>
      <c r="M35" s="228"/>
      <c r="N35" s="228"/>
      <c r="O35" s="228"/>
      <c r="P35" s="228"/>
      <c r="Q35" s="228"/>
      <c r="R35" s="228"/>
      <c r="S35" s="228"/>
      <c r="T35" s="228"/>
      <c r="U35" s="228"/>
      <c r="V35" s="228"/>
      <c r="W35" s="228"/>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250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45733.333333333256</v>
      </c>
      <c r="F36" s="158">
        <f ca="1">TblImps[[#This Row],[Population]]</f>
        <v>1</v>
      </c>
      <c r="G36" s="228"/>
      <c r="H36" s="228"/>
      <c r="I36" s="228"/>
      <c r="J36" s="228"/>
      <c r="K36" s="431"/>
      <c r="L36" s="228"/>
      <c r="M36" s="228"/>
      <c r="N36" s="228"/>
      <c r="O36" s="228"/>
      <c r="P36" s="228"/>
      <c r="Q36" s="228"/>
      <c r="R36" s="228"/>
      <c r="S36" s="228"/>
      <c r="T36" s="228"/>
      <c r="U36" s="228"/>
      <c r="V36" s="228"/>
      <c r="W36" s="228"/>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250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45733.37499999992</v>
      </c>
      <c r="F37" s="158">
        <f ca="1">TblImps[[#This Row],[Population]]</f>
        <v>1</v>
      </c>
      <c r="G37" s="228"/>
      <c r="H37" s="228"/>
      <c r="I37" s="228"/>
      <c r="J37" s="228"/>
      <c r="K37" s="431"/>
      <c r="L37" s="228"/>
      <c r="M37" s="228"/>
      <c r="N37" s="228"/>
      <c r="O37" s="228"/>
      <c r="P37" s="228"/>
      <c r="Q37" s="228"/>
      <c r="R37" s="228"/>
      <c r="S37" s="228"/>
      <c r="T37" s="228"/>
      <c r="U37" s="228"/>
      <c r="V37" s="228"/>
      <c r="W37" s="228"/>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250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45733.416666666584</v>
      </c>
      <c r="F38" s="158">
        <f ca="1">TblImps[[#This Row],[Population]]</f>
        <v>1</v>
      </c>
      <c r="G38" s="228"/>
      <c r="H38" s="228"/>
      <c r="I38" s="228"/>
      <c r="J38" s="228"/>
      <c r="K38" s="431"/>
      <c r="L38" s="228"/>
      <c r="M38" s="228"/>
      <c r="N38" s="228"/>
      <c r="O38" s="228"/>
      <c r="P38" s="228"/>
      <c r="Q38" s="228"/>
      <c r="R38" s="228"/>
      <c r="S38" s="228"/>
      <c r="T38" s="228"/>
      <c r="U38" s="228"/>
      <c r="V38" s="228"/>
      <c r="W38" s="228"/>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250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45733.458333333248</v>
      </c>
      <c r="F39" s="158">
        <f ca="1">TblImps[[#This Row],[Population]]</f>
        <v>1</v>
      </c>
      <c r="G39" s="228"/>
      <c r="H39" s="228"/>
      <c r="I39" s="228"/>
      <c r="J39" s="228"/>
      <c r="K39" s="431"/>
      <c r="L39" s="228"/>
      <c r="M39" s="228"/>
      <c r="N39" s="228"/>
      <c r="O39" s="228"/>
      <c r="P39" s="228"/>
      <c r="Q39" s="228"/>
      <c r="R39" s="228"/>
      <c r="S39" s="228"/>
      <c r="T39" s="228"/>
      <c r="U39" s="228"/>
      <c r="V39" s="228"/>
      <c r="W39" s="228"/>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250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45733.499999999913</v>
      </c>
      <c r="F40" s="158">
        <f ca="1">TblImps[[#This Row],[Population]]</f>
        <v>1</v>
      </c>
      <c r="G40" s="228"/>
      <c r="H40" s="228"/>
      <c r="I40" s="228"/>
      <c r="J40" s="228"/>
      <c r="K40" s="431"/>
      <c r="L40" s="228"/>
      <c r="M40" s="228"/>
      <c r="N40" s="228"/>
      <c r="O40" s="228"/>
      <c r="P40" s="228"/>
      <c r="Q40" s="228"/>
      <c r="R40" s="228"/>
      <c r="S40" s="228"/>
      <c r="T40" s="228"/>
      <c r="U40" s="228"/>
      <c r="V40" s="228"/>
      <c r="W40" s="228"/>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250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45733.541666666577</v>
      </c>
      <c r="F41" s="158">
        <f ca="1">TblImps[[#This Row],[Population]]</f>
        <v>1</v>
      </c>
      <c r="G41" s="228"/>
      <c r="H41" s="228"/>
      <c r="I41" s="228"/>
      <c r="J41" s="228"/>
      <c r="K41" s="431"/>
      <c r="L41" s="228"/>
      <c r="M41" s="228"/>
      <c r="N41" s="228"/>
      <c r="O41" s="228"/>
      <c r="P41" s="228"/>
      <c r="Q41" s="228"/>
      <c r="R41" s="228"/>
      <c r="S41" s="228"/>
      <c r="T41" s="228"/>
      <c r="U41" s="228"/>
      <c r="V41" s="228"/>
      <c r="W41" s="228"/>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250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45733.583333333241</v>
      </c>
      <c r="F42" s="158">
        <f ca="1">TblImps[[#This Row],[Population]]</f>
        <v>1</v>
      </c>
      <c r="G42" s="228"/>
      <c r="H42" s="228"/>
      <c r="I42" s="228"/>
      <c r="J42" s="228"/>
      <c r="K42" s="431"/>
      <c r="L42" s="228"/>
      <c r="M42" s="228"/>
      <c r="N42" s="228"/>
      <c r="O42" s="228"/>
      <c r="P42" s="228"/>
      <c r="Q42" s="228"/>
      <c r="R42" s="228"/>
      <c r="S42" s="228"/>
      <c r="T42" s="228"/>
      <c r="U42" s="228"/>
      <c r="V42" s="228"/>
      <c r="W42" s="228"/>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250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45733.624999999905</v>
      </c>
      <c r="F43" s="158">
        <f ca="1">TblImps[[#This Row],[Population]]</f>
        <v>1</v>
      </c>
      <c r="G43" s="228"/>
      <c r="H43" s="228"/>
      <c r="I43" s="228"/>
      <c r="J43" s="228"/>
      <c r="K43" s="431"/>
      <c r="L43" s="228"/>
      <c r="M43" s="228"/>
      <c r="N43" s="228"/>
      <c r="O43" s="228"/>
      <c r="P43" s="228"/>
      <c r="Q43" s="228"/>
      <c r="R43" s="228"/>
      <c r="S43" s="228"/>
      <c r="T43" s="228"/>
      <c r="U43" s="228"/>
      <c r="V43" s="228"/>
      <c r="W43" s="228"/>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250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45733.66666666657</v>
      </c>
      <c r="F44" s="158">
        <f ca="1">TblImps[[#This Row],[Population]]</f>
        <v>1</v>
      </c>
      <c r="G44" s="228"/>
      <c r="H44" s="228"/>
      <c r="I44" s="228"/>
      <c r="J44" s="228"/>
      <c r="K44" s="431"/>
      <c r="L44" s="228"/>
      <c r="M44" s="228"/>
      <c r="N44" s="228"/>
      <c r="O44" s="228"/>
      <c r="P44" s="228"/>
      <c r="Q44" s="228"/>
      <c r="R44" s="228"/>
      <c r="S44" s="228"/>
      <c r="T44" s="228"/>
      <c r="U44" s="228"/>
      <c r="V44" s="228"/>
      <c r="W44" s="228"/>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250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45733.708333333234</v>
      </c>
      <c r="F45" s="158">
        <f ca="1">TblImps[[#This Row],[Population]]</f>
        <v>1</v>
      </c>
      <c r="G45" s="228"/>
      <c r="H45" s="228"/>
      <c r="I45" s="228"/>
      <c r="J45" s="228"/>
      <c r="K45" s="431"/>
      <c r="L45" s="228"/>
      <c r="M45" s="228"/>
      <c r="N45" s="228"/>
      <c r="O45" s="228"/>
      <c r="P45" s="228"/>
      <c r="Q45" s="228"/>
      <c r="R45" s="228"/>
      <c r="S45" s="228"/>
      <c r="T45" s="228"/>
      <c r="U45" s="228"/>
      <c r="V45" s="228"/>
      <c r="W45" s="228"/>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250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45733.749999999898</v>
      </c>
      <c r="F46" s="158">
        <f ca="1">TblImps[[#This Row],[Population]]</f>
        <v>1</v>
      </c>
      <c r="G46" s="228"/>
      <c r="H46" s="228"/>
      <c r="I46" s="228"/>
      <c r="J46" s="228"/>
      <c r="K46" s="431"/>
      <c r="L46" s="228"/>
      <c r="M46" s="228"/>
      <c r="N46" s="228"/>
      <c r="O46" s="228"/>
      <c r="P46" s="228"/>
      <c r="Q46" s="228"/>
      <c r="R46" s="228"/>
      <c r="S46" s="228"/>
      <c r="T46" s="228"/>
      <c r="U46" s="228"/>
      <c r="V46" s="228"/>
      <c r="W46" s="228"/>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250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45733.791666666562</v>
      </c>
      <c r="F47" s="158">
        <f ca="1">TblImps[[#This Row],[Population]]</f>
        <v>1</v>
      </c>
      <c r="G47" s="228"/>
      <c r="H47" s="228"/>
      <c r="I47" s="228"/>
      <c r="J47" s="228"/>
      <c r="K47" s="431"/>
      <c r="L47" s="228"/>
      <c r="M47" s="228"/>
      <c r="N47" s="228"/>
      <c r="O47" s="228"/>
      <c r="P47" s="228"/>
      <c r="Q47" s="228"/>
      <c r="R47" s="228"/>
      <c r="S47" s="228"/>
      <c r="T47" s="228"/>
      <c r="U47" s="228"/>
      <c r="V47" s="228"/>
      <c r="W47" s="228"/>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250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45733.833333333227</v>
      </c>
      <c r="F48" s="158">
        <f ca="1">TblImps[[#This Row],[Population]]</f>
        <v>1</v>
      </c>
      <c r="G48" s="228"/>
      <c r="H48" s="228"/>
      <c r="I48" s="228"/>
      <c r="J48" s="228"/>
      <c r="K48" s="431"/>
      <c r="L48" s="228"/>
      <c r="M48" s="228"/>
      <c r="N48" s="228"/>
      <c r="O48" s="228"/>
      <c r="P48" s="228"/>
      <c r="Q48" s="228"/>
      <c r="R48" s="228"/>
      <c r="S48" s="228"/>
      <c r="T48" s="228"/>
      <c r="U48" s="228"/>
      <c r="V48" s="228"/>
      <c r="W48" s="228"/>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250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45733.874999999891</v>
      </c>
      <c r="F49" s="158">
        <f ca="1">TblImps[[#This Row],[Population]]</f>
        <v>1</v>
      </c>
      <c r="G49" s="228"/>
      <c r="H49" s="228"/>
      <c r="I49" s="228"/>
      <c r="J49" s="228"/>
      <c r="K49" s="431"/>
      <c r="L49" s="228"/>
      <c r="M49" s="228"/>
      <c r="N49" s="228"/>
      <c r="O49" s="228"/>
      <c r="P49" s="228"/>
      <c r="Q49" s="228"/>
      <c r="R49" s="228"/>
      <c r="S49" s="228"/>
      <c r="T49" s="228"/>
      <c r="U49" s="228"/>
      <c r="V49" s="228"/>
      <c r="W49" s="228"/>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250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45733.916666666555</v>
      </c>
      <c r="F50" s="158">
        <f ca="1">TblImps[[#This Row],[Population]]</f>
        <v>1</v>
      </c>
      <c r="G50" s="228"/>
      <c r="H50" s="228"/>
      <c r="I50" s="228"/>
      <c r="J50" s="228"/>
      <c r="K50" s="431"/>
      <c r="L50" s="228"/>
      <c r="M50" s="228"/>
      <c r="N50" s="228"/>
      <c r="O50" s="228"/>
      <c r="P50" s="228"/>
      <c r="Q50" s="228"/>
      <c r="R50" s="228"/>
      <c r="S50" s="228"/>
      <c r="T50" s="228"/>
      <c r="U50" s="228"/>
      <c r="V50" s="228"/>
      <c r="W50" s="228"/>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250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45733.958333333219</v>
      </c>
      <c r="F51" s="158">
        <f ca="1">TblImps[[#This Row],[Population]]</f>
        <v>1</v>
      </c>
      <c r="G51" s="228"/>
      <c r="H51" s="228"/>
      <c r="I51" s="228"/>
      <c r="J51" s="228"/>
      <c r="K51" s="431"/>
      <c r="L51" s="228"/>
      <c r="M51" s="228"/>
      <c r="N51" s="228"/>
      <c r="O51" s="228"/>
      <c r="P51" s="228"/>
      <c r="Q51" s="228"/>
      <c r="R51" s="228"/>
      <c r="S51" s="228"/>
      <c r="T51" s="228"/>
      <c r="U51" s="228"/>
      <c r="V51" s="228"/>
      <c r="W51" s="228"/>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9">
        <f>TblRezone[[#This Row],[Hour]]</f>
        <v>49</v>
      </c>
      <c r="B52" s="156">
        <f ca="1">TblConstr[[#This Row],[Land]]</f>
        <v>250</v>
      </c>
      <c r="C52" s="96">
        <f ca="1">TblProd[[#This Row],[Mana]]</f>
        <v>0</v>
      </c>
      <c r="D52" s="158">
        <f ca="1">MIN(1,OFFSET(TblMagic[[#This Row],[Wiz str]],-1,0)+0.04+ROUNDDOWN(10*OFFSET(TblMili[[#This Row],[WG''s]],-1,0),0)+ tech_2_7*OFFSET(TblTech[[#This Row],[2-7]],-1,0) + tech_5_6*OFFSET(TblTech[[#This Row],[5-6]],-1,0) )-TblMagic[[#This Row],[Wiz str cost]]</f>
        <v>1</v>
      </c>
      <c r="E52" s="161">
        <f ca="1">OFFSET(TblMagic[[#This Row],[Time]],-1,0)+1/24</f>
        <v>45733.999999999884</v>
      </c>
      <c r="F52" s="158">
        <f ca="1">TblImps[[#This Row],[Population]]</f>
        <v>1</v>
      </c>
      <c r="G52" s="228"/>
      <c r="H52" s="228"/>
      <c r="I52" s="228"/>
      <c r="J52" s="228"/>
      <c r="K52" s="431"/>
      <c r="L52" s="228"/>
      <c r="M52" s="228"/>
      <c r="N52" s="228"/>
      <c r="O52" s="228"/>
      <c r="P52" s="228"/>
      <c r="Q52" s="228"/>
      <c r="R52" s="228"/>
      <c r="S52" s="228"/>
      <c r="T52" s="228"/>
      <c r="U52" s="228"/>
      <c r="V52" s="228"/>
      <c r="W52" s="228"/>
      <c r="X52" s="144"/>
      <c r="Y5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8">
        <f>SUMIF(TblMagic[[#This Row],[Gaia''s Watch]:[Useless spell]],1)*0.05</f>
        <v>0</v>
      </c>
      <c r="AA52" s="144"/>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9">
        <f>TblRezone[[#This Row],[Hour]]</f>
        <v>50</v>
      </c>
      <c r="B53" s="156">
        <f ca="1">TblConstr[[#This Row],[Land]]</f>
        <v>250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45734.041666666548</v>
      </c>
      <c r="F53" s="158">
        <f ca="1">TblImps[[#This Row],[Population]]</f>
        <v>1</v>
      </c>
      <c r="G53" s="228"/>
      <c r="H53" s="228"/>
      <c r="I53" s="228"/>
      <c r="J53" s="228"/>
      <c r="K53" s="431"/>
      <c r="L53" s="228"/>
      <c r="M53" s="228"/>
      <c r="N53" s="228"/>
      <c r="O53" s="228"/>
      <c r="P53" s="228"/>
      <c r="Q53" s="228"/>
      <c r="R53" s="228"/>
      <c r="S53" s="228"/>
      <c r="T53" s="228"/>
      <c r="U53" s="228"/>
      <c r="V53" s="228"/>
      <c r="W53" s="228"/>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250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45734.083333333212</v>
      </c>
      <c r="F54" s="158">
        <f ca="1">TblImps[[#This Row],[Population]]</f>
        <v>1</v>
      </c>
      <c r="G54" s="228"/>
      <c r="H54" s="228"/>
      <c r="I54" s="228"/>
      <c r="J54" s="228"/>
      <c r="K54" s="431"/>
      <c r="L54" s="228"/>
      <c r="M54" s="228"/>
      <c r="N54" s="228"/>
      <c r="O54" s="228"/>
      <c r="P54" s="228"/>
      <c r="Q54" s="228"/>
      <c r="R54" s="228"/>
      <c r="S54" s="228"/>
      <c r="T54" s="228"/>
      <c r="U54" s="228"/>
      <c r="V54" s="228"/>
      <c r="W54" s="228"/>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250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45734.124999999876</v>
      </c>
      <c r="F55" s="158">
        <f ca="1">TblImps[[#This Row],[Population]]</f>
        <v>1</v>
      </c>
      <c r="G55" s="228"/>
      <c r="H55" s="228"/>
      <c r="I55" s="228"/>
      <c r="J55" s="228"/>
      <c r="K55" s="431"/>
      <c r="L55" s="228"/>
      <c r="M55" s="228"/>
      <c r="N55" s="228"/>
      <c r="O55" s="228"/>
      <c r="P55" s="228"/>
      <c r="Q55" s="228"/>
      <c r="R55" s="228"/>
      <c r="S55" s="228"/>
      <c r="T55" s="228"/>
      <c r="U55" s="228"/>
      <c r="V55" s="228"/>
      <c r="W55" s="228"/>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250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45734.166666666541</v>
      </c>
      <c r="F56" s="158">
        <f ca="1">TblImps[[#This Row],[Population]]</f>
        <v>1</v>
      </c>
      <c r="G56" s="228"/>
      <c r="H56" s="228"/>
      <c r="I56" s="228"/>
      <c r="J56" s="228"/>
      <c r="K56" s="431"/>
      <c r="L56" s="228"/>
      <c r="M56" s="228"/>
      <c r="N56" s="228"/>
      <c r="O56" s="228"/>
      <c r="P56" s="228"/>
      <c r="Q56" s="228"/>
      <c r="R56" s="228"/>
      <c r="S56" s="228"/>
      <c r="T56" s="228"/>
      <c r="U56" s="228"/>
      <c r="V56" s="228"/>
      <c r="W56" s="228"/>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250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45734.208333333205</v>
      </c>
      <c r="F57" s="158">
        <f ca="1">TblImps[[#This Row],[Population]]</f>
        <v>1</v>
      </c>
      <c r="G57" s="228"/>
      <c r="H57" s="228"/>
      <c r="I57" s="228"/>
      <c r="J57" s="228"/>
      <c r="K57" s="431"/>
      <c r="L57" s="228"/>
      <c r="M57" s="228"/>
      <c r="N57" s="228"/>
      <c r="O57" s="228"/>
      <c r="P57" s="228"/>
      <c r="Q57" s="228"/>
      <c r="R57" s="228"/>
      <c r="S57" s="228"/>
      <c r="T57" s="228"/>
      <c r="U57" s="228"/>
      <c r="V57" s="228"/>
      <c r="W57" s="228"/>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250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45734.249999999869</v>
      </c>
      <c r="F58" s="158">
        <f ca="1">TblImps[[#This Row],[Population]]</f>
        <v>1</v>
      </c>
      <c r="G58" s="228"/>
      <c r="H58" s="228"/>
      <c r="I58" s="228"/>
      <c r="J58" s="228"/>
      <c r="K58" s="431"/>
      <c r="L58" s="228"/>
      <c r="M58" s="228"/>
      <c r="N58" s="228"/>
      <c r="O58" s="228"/>
      <c r="P58" s="228"/>
      <c r="Q58" s="228"/>
      <c r="R58" s="228"/>
      <c r="S58" s="228"/>
      <c r="T58" s="228"/>
      <c r="U58" s="228"/>
      <c r="V58" s="228"/>
      <c r="W58" s="228"/>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250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45734.291666666533</v>
      </c>
      <c r="F59" s="158">
        <f ca="1">TblImps[[#This Row],[Population]]</f>
        <v>1</v>
      </c>
      <c r="G59" s="228"/>
      <c r="H59" s="228"/>
      <c r="I59" s="228"/>
      <c r="J59" s="228"/>
      <c r="K59" s="431"/>
      <c r="L59" s="228"/>
      <c r="M59" s="228"/>
      <c r="N59" s="228"/>
      <c r="O59" s="228"/>
      <c r="P59" s="228"/>
      <c r="Q59" s="228"/>
      <c r="R59" s="228"/>
      <c r="S59" s="228"/>
      <c r="T59" s="228"/>
      <c r="U59" s="228"/>
      <c r="V59" s="228"/>
      <c r="W59" s="228"/>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250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45734.333333333198</v>
      </c>
      <c r="F60" s="158">
        <f ca="1">TblImps[[#This Row],[Population]]</f>
        <v>1</v>
      </c>
      <c r="G60" s="228"/>
      <c r="H60" s="228"/>
      <c r="I60" s="228"/>
      <c r="J60" s="228"/>
      <c r="K60" s="431"/>
      <c r="L60" s="228"/>
      <c r="M60" s="228"/>
      <c r="N60" s="228"/>
      <c r="O60" s="228"/>
      <c r="P60" s="228"/>
      <c r="Q60" s="228"/>
      <c r="R60" s="228"/>
      <c r="S60" s="228"/>
      <c r="T60" s="228"/>
      <c r="U60" s="228"/>
      <c r="V60" s="228"/>
      <c r="W60" s="228"/>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250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45734.374999999862</v>
      </c>
      <c r="F61" s="158">
        <f ca="1">TblImps[[#This Row],[Population]]</f>
        <v>1</v>
      </c>
      <c r="G61" s="228"/>
      <c r="H61" s="228"/>
      <c r="I61" s="228"/>
      <c r="J61" s="228"/>
      <c r="K61" s="431"/>
      <c r="L61" s="228"/>
      <c r="M61" s="228"/>
      <c r="N61" s="228"/>
      <c r="O61" s="228"/>
      <c r="P61" s="228"/>
      <c r="Q61" s="228"/>
      <c r="R61" s="228"/>
      <c r="S61" s="228"/>
      <c r="T61" s="228"/>
      <c r="U61" s="228"/>
      <c r="V61" s="228"/>
      <c r="W61" s="228"/>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250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45734.416666666526</v>
      </c>
      <c r="F62" s="158">
        <f ca="1">TblImps[[#This Row],[Population]]</f>
        <v>1</v>
      </c>
      <c r="G62" s="228"/>
      <c r="H62" s="228"/>
      <c r="I62" s="228"/>
      <c r="J62" s="228"/>
      <c r="K62" s="431"/>
      <c r="L62" s="228"/>
      <c r="M62" s="228"/>
      <c r="N62" s="228"/>
      <c r="O62" s="228"/>
      <c r="P62" s="228"/>
      <c r="Q62" s="228"/>
      <c r="R62" s="228"/>
      <c r="S62" s="228"/>
      <c r="T62" s="228"/>
      <c r="U62" s="228"/>
      <c r="V62" s="228"/>
      <c r="W62" s="228"/>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250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45734.45833333319</v>
      </c>
      <c r="F63" s="158">
        <f ca="1">TblImps[[#This Row],[Population]]</f>
        <v>1</v>
      </c>
      <c r="G63" s="228"/>
      <c r="H63" s="228"/>
      <c r="I63" s="228"/>
      <c r="J63" s="228"/>
      <c r="K63" s="431"/>
      <c r="L63" s="228"/>
      <c r="M63" s="228"/>
      <c r="N63" s="228"/>
      <c r="O63" s="228"/>
      <c r="P63" s="228"/>
      <c r="Q63" s="228"/>
      <c r="R63" s="228"/>
      <c r="S63" s="228"/>
      <c r="T63" s="228"/>
      <c r="U63" s="228"/>
      <c r="V63" s="228"/>
      <c r="W63" s="228"/>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250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45734.499999999854</v>
      </c>
      <c r="F64" s="158">
        <f ca="1">TblImps[[#This Row],[Population]]</f>
        <v>1</v>
      </c>
      <c r="G64" s="228"/>
      <c r="H64" s="228"/>
      <c r="I64" s="228"/>
      <c r="J64" s="228"/>
      <c r="K64" s="431"/>
      <c r="L64" s="228"/>
      <c r="M64" s="228"/>
      <c r="N64" s="228"/>
      <c r="O64" s="228"/>
      <c r="P64" s="228"/>
      <c r="Q64" s="228"/>
      <c r="R64" s="228"/>
      <c r="S64" s="228"/>
      <c r="T64" s="228"/>
      <c r="U64" s="228"/>
      <c r="V64" s="228"/>
      <c r="W64" s="228"/>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250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45734.541666666519</v>
      </c>
      <c r="F65" s="158">
        <f ca="1">TblImps[[#This Row],[Population]]</f>
        <v>1</v>
      </c>
      <c r="G65" s="228"/>
      <c r="H65" s="228"/>
      <c r="I65" s="228"/>
      <c r="J65" s="228"/>
      <c r="K65" s="431"/>
      <c r="L65" s="228"/>
      <c r="M65" s="228"/>
      <c r="N65" s="228"/>
      <c r="O65" s="228"/>
      <c r="P65" s="228"/>
      <c r="Q65" s="228"/>
      <c r="R65" s="228"/>
      <c r="S65" s="228"/>
      <c r="T65" s="228"/>
      <c r="U65" s="228"/>
      <c r="V65" s="228"/>
      <c r="W65" s="228"/>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250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45734.583333333183</v>
      </c>
      <c r="F66" s="158">
        <f ca="1">TblImps[[#This Row],[Population]]</f>
        <v>1</v>
      </c>
      <c r="G66" s="228"/>
      <c r="H66" s="228"/>
      <c r="I66" s="228"/>
      <c r="J66" s="228"/>
      <c r="K66" s="431"/>
      <c r="L66" s="228"/>
      <c r="M66" s="228"/>
      <c r="N66" s="228"/>
      <c r="O66" s="228"/>
      <c r="P66" s="228"/>
      <c r="Q66" s="228"/>
      <c r="R66" s="228"/>
      <c r="S66" s="228"/>
      <c r="T66" s="228"/>
      <c r="U66" s="228"/>
      <c r="V66" s="228"/>
      <c r="W66" s="228"/>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250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45734.624999999847</v>
      </c>
      <c r="F67" s="158">
        <f ca="1">TblImps[[#This Row],[Population]]</f>
        <v>1</v>
      </c>
      <c r="G67" s="228"/>
      <c r="H67" s="228"/>
      <c r="I67" s="228"/>
      <c r="J67" s="228"/>
      <c r="K67" s="431"/>
      <c r="L67" s="228"/>
      <c r="M67" s="228"/>
      <c r="N67" s="228"/>
      <c r="O67" s="228"/>
      <c r="P67" s="228"/>
      <c r="Q67" s="228"/>
      <c r="R67" s="228"/>
      <c r="S67" s="228"/>
      <c r="T67" s="228"/>
      <c r="U67" s="228"/>
      <c r="V67" s="228"/>
      <c r="W67" s="228"/>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250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45734.666666666511</v>
      </c>
      <c r="F68" s="158">
        <f ca="1">TblImps[[#This Row],[Population]]</f>
        <v>1</v>
      </c>
      <c r="G68" s="228"/>
      <c r="H68" s="228"/>
      <c r="I68" s="228"/>
      <c r="J68" s="228"/>
      <c r="K68" s="431"/>
      <c r="L68" s="228"/>
      <c r="M68" s="228"/>
      <c r="N68" s="228"/>
      <c r="O68" s="228"/>
      <c r="P68" s="228"/>
      <c r="Q68" s="228"/>
      <c r="R68" s="228"/>
      <c r="S68" s="228"/>
      <c r="T68" s="228"/>
      <c r="U68" s="228"/>
      <c r="V68" s="228"/>
      <c r="W68" s="228"/>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250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45734.708333333176</v>
      </c>
      <c r="F69" s="158">
        <f ca="1">TblImps[[#This Row],[Population]]</f>
        <v>1</v>
      </c>
      <c r="G69" s="228"/>
      <c r="H69" s="228"/>
      <c r="I69" s="228"/>
      <c r="J69" s="228"/>
      <c r="K69" s="431"/>
      <c r="L69" s="228"/>
      <c r="M69" s="228"/>
      <c r="N69" s="228"/>
      <c r="O69" s="228"/>
      <c r="P69" s="228"/>
      <c r="Q69" s="228"/>
      <c r="R69" s="228"/>
      <c r="S69" s="228"/>
      <c r="T69" s="228"/>
      <c r="U69" s="228"/>
      <c r="V69" s="228"/>
      <c r="W69" s="228"/>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250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45734.74999999984</v>
      </c>
      <c r="F70" s="158">
        <f ca="1">TblImps[[#This Row],[Population]]</f>
        <v>1</v>
      </c>
      <c r="G70" s="228"/>
      <c r="H70" s="228"/>
      <c r="I70" s="228"/>
      <c r="J70" s="228"/>
      <c r="K70" s="431"/>
      <c r="L70" s="228"/>
      <c r="M70" s="228"/>
      <c r="N70" s="228"/>
      <c r="O70" s="228"/>
      <c r="P70" s="228"/>
      <c r="Q70" s="228"/>
      <c r="R70" s="228"/>
      <c r="S70" s="228"/>
      <c r="T70" s="228"/>
      <c r="U70" s="228"/>
      <c r="V70" s="228"/>
      <c r="W70" s="228"/>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250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45734.791666666504</v>
      </c>
      <c r="F71" s="158">
        <f ca="1">TblImps[[#This Row],[Population]]</f>
        <v>1</v>
      </c>
      <c r="G71" s="228"/>
      <c r="H71" s="228"/>
      <c r="I71" s="228"/>
      <c r="J71" s="228"/>
      <c r="K71" s="431"/>
      <c r="L71" s="228"/>
      <c r="M71" s="228"/>
      <c r="N71" s="228"/>
      <c r="O71" s="228"/>
      <c r="P71" s="228"/>
      <c r="Q71" s="228"/>
      <c r="R71" s="228"/>
      <c r="S71" s="228"/>
      <c r="T71" s="228"/>
      <c r="U71" s="228"/>
      <c r="V71" s="228"/>
      <c r="W71" s="228"/>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250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45734.833333333168</v>
      </c>
      <c r="F72" s="158">
        <f ca="1">TblImps[[#This Row],[Population]]</f>
        <v>1</v>
      </c>
      <c r="G72" s="228"/>
      <c r="H72" s="228"/>
      <c r="I72" s="228"/>
      <c r="J72" s="228"/>
      <c r="K72" s="431"/>
      <c r="L72" s="228"/>
      <c r="M72" s="228"/>
      <c r="N72" s="228"/>
      <c r="O72" s="228"/>
      <c r="P72" s="228"/>
      <c r="Q72" s="228"/>
      <c r="R72" s="228"/>
      <c r="S72" s="228"/>
      <c r="T72" s="228"/>
      <c r="U72" s="228"/>
      <c r="V72" s="228"/>
      <c r="W72" s="228"/>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250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45734.874999999833</v>
      </c>
      <c r="F73" s="158">
        <f ca="1">TblImps[[#This Row],[Population]]</f>
        <v>1</v>
      </c>
      <c r="G73" s="228"/>
      <c r="H73" s="228"/>
      <c r="I73" s="228"/>
      <c r="J73" s="228"/>
      <c r="K73" s="431"/>
      <c r="L73" s="228"/>
      <c r="M73" s="228"/>
      <c r="N73" s="228"/>
      <c r="O73" s="228"/>
      <c r="P73" s="228"/>
      <c r="Q73" s="228"/>
      <c r="R73" s="228"/>
      <c r="S73" s="228"/>
      <c r="T73" s="228"/>
      <c r="U73" s="228"/>
      <c r="V73" s="228"/>
      <c r="W73" s="228"/>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250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45734.916666666497</v>
      </c>
      <c r="F74" s="158">
        <f ca="1">TblImps[[#This Row],[Population]]</f>
        <v>1</v>
      </c>
      <c r="G74" s="228"/>
      <c r="H74" s="228"/>
      <c r="I74" s="228"/>
      <c r="J74" s="228"/>
      <c r="K74" s="431"/>
      <c r="L74" s="228"/>
      <c r="M74" s="228"/>
      <c r="N74" s="228"/>
      <c r="O74" s="228"/>
      <c r="P74" s="228"/>
      <c r="Q74" s="228"/>
      <c r="R74" s="228"/>
      <c r="S74" s="228"/>
      <c r="T74" s="228"/>
      <c r="U74" s="228"/>
      <c r="V74" s="228"/>
      <c r="W74" s="228"/>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250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45734.958333333161</v>
      </c>
      <c r="F75" s="158">
        <f ca="1">TblImps[[#This Row],[Population]]</f>
        <v>1</v>
      </c>
      <c r="G75" s="228"/>
      <c r="H75" s="228"/>
      <c r="I75" s="228"/>
      <c r="J75" s="228"/>
      <c r="K75" s="431"/>
      <c r="L75" s="228"/>
      <c r="M75" s="228"/>
      <c r="N75" s="228"/>
      <c r="O75" s="228"/>
      <c r="P75" s="228"/>
      <c r="Q75" s="228"/>
      <c r="R75" s="228"/>
      <c r="S75" s="228"/>
      <c r="T75" s="228"/>
      <c r="U75" s="228"/>
      <c r="V75" s="228"/>
      <c r="W75" s="228"/>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210" customFormat="1" x14ac:dyDescent="0.2">
      <c r="A76" s="146">
        <f>TblRezone[[#This Row],[Hour]]</f>
        <v>73</v>
      </c>
      <c r="B76" s="164">
        <f ca="1">TblConstr[[#This Row],[Land]]</f>
        <v>250</v>
      </c>
      <c r="C76" s="209">
        <f ca="1">TblProd[[#This Row],[Mana]]</f>
        <v>0</v>
      </c>
      <c r="D76" s="286">
        <f ca="1">MIN(1,OFFSET(TblMagic[[#This Row],[Wiz str]],-1,0)+0.04+ROUNDDOWN(10*OFFSET(TblMili[[#This Row],[WG''s]],-1,0),0)+ tech_2_7*OFFSET(TblTech[[#This Row],[2-7]],-1,0) + tech_5_6*OFFSET(TblTech[[#This Row],[5-6]],-1,0) )-TblMagic[[#This Row],[Wiz str cost]]</f>
        <v>1</v>
      </c>
      <c r="E76" s="216">
        <f ca="1">OFFSET(TblMagic[[#This Row],[Time]],-1,0)+1/24</f>
        <v>45734.999999999825</v>
      </c>
      <c r="F76" s="286">
        <f ca="1">TblImps[[#This Row],[Population]]</f>
        <v>1</v>
      </c>
      <c r="G76" s="245"/>
      <c r="H76" s="245"/>
      <c r="I76" s="245"/>
      <c r="J76" s="245"/>
      <c r="K76" s="432"/>
      <c r="L76" s="245"/>
      <c r="M76" s="245"/>
      <c r="N76" s="245"/>
      <c r="O76" s="245"/>
      <c r="P76" s="245"/>
      <c r="Q76" s="245"/>
      <c r="R76" s="245"/>
      <c r="S76" s="245"/>
      <c r="T76" s="245"/>
      <c r="U76" s="245"/>
      <c r="V76" s="245"/>
      <c r="W76" s="245"/>
      <c r="X76" s="151"/>
      <c r="Y76" s="209">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286">
        <f>SUMIF(TblMagic[[#This Row],[Gaia''s Watch]:[Useless spell]],1)*0.05</f>
        <v>0</v>
      </c>
      <c r="AA76" s="151"/>
      <c r="AB76" s="211">
        <f ca="1">IF(TblMagic[[#This Row],[Gaia''s Watch]],12,IF(OFFSET(TblMagic[[#This Row],[Active Gaia''s Watch]],-1,0)&gt;0,OFFSET(TblMagic[[#This Row],[Active Gaia''s Watch]],-1,0)-1,0))</f>
        <v>0</v>
      </c>
      <c r="AC76" s="211">
        <f ca="1">IF(TblMagic[[#This Row],[Mining Strength]],12,IF(OFFSET(TblMagic[[#This Row],[Active Mining Strength]],-1,0)&gt;0,OFFSET(TblMagic[[#This Row],[Active Mining Strength]],-1,0)-1,0))</f>
        <v>0</v>
      </c>
      <c r="AD76" s="211">
        <f ca="1">IF(TblMagic[[#This Row],[Ares Call]],12,IF(OFFSET(TblMagic[[#This Row],[Active Ares Call]],-1,0)&gt;0,OFFSET(TblMagic[[#This Row],[Active Ares Call]],-1,0)-1,0))</f>
        <v>0</v>
      </c>
      <c r="AE76" s="211">
        <f ca="1">IF(TblMagic[[#This Row],[Midas Touch]],12,IF(OFFSET(TblMagic[[#This Row],[Active Midas Touch]],-1,0)&gt;0,OFFSET(TblMagic[[#This Row],[Active Midas Touch]],-1,0)-1,0))</f>
        <v>0</v>
      </c>
      <c r="AF76" s="211">
        <f ca="1">IF(TblMagic[[#This Row],[Harmony]],12,IF(OFFSET(TblMagic[[#This Row],[Active Harmony]],-1,0)&gt;0,OFFSET(TblMagic[[#This Row],[Active Harmony]],-1,0)-1,0))</f>
        <v>0</v>
      </c>
      <c r="AG76" s="211">
        <f ca="1">IF(TblMagic[[#This Row],[Miner''s Sight]],12,IF(OFFSET(TblMagic[[#This Row],[Active Miner''s Sight]],-1,0)&gt;0,OFFSET(TblMagic[[#This Row],[Active Miner''s Sight]],-1,0)-1,0))</f>
        <v>0</v>
      </c>
      <c r="AH76" s="211">
        <f ca="1">IF(TblMagic[[#This Row],[Mechanical Genius]],12,IF(OFFSET(TblMagic[[#This Row],[Active Mechanical Genius]],-1,0)&gt;0,OFFSET(TblMagic[[#This Row],[Active Mechanical Genius]],-1,0)-1,0))</f>
        <v>0</v>
      </c>
      <c r="AI76" s="211">
        <f ca="1">IF(TblMagic[[#This Row],[Death and Decay]],12,IF(OFFSET(TblMagic[[#This Row],[Active DnD]],-1,0)&gt;0,OFFSET(TblMagic[[#This Row],[Active DnD]],-1,0)-1,0))</f>
        <v>0</v>
      </c>
      <c r="AJ76" s="211">
        <f ca="1">IF(TblMagic[[#This Row],[Killing Rage / Bloodrage / Crusade]],12,IF(OFFSET(TblMagic[[#This Row],[Active Warsong / Killing Rage / Bloodrage]],-1,0)&gt;0,OFFSET(TblMagic[[#This Row],[Active Warsong / Killing Rage / Bloodrage]],-1,0)-1,0))</f>
        <v>0</v>
      </c>
      <c r="AK76" s="211">
        <f ca="1">IF(TblMagic[[#This Row],[Gaia''s Blessing]],12,IF(OFFSET(TblMagic[[#This Row],[Active Gaia''s Blessing]],-1,0)&gt;0,OFFSET(TblMagic[[#This Row],[Active Gaia''s Blessing]],-1,0)-1,0))</f>
        <v>0</v>
      </c>
      <c r="AL76" s="211">
        <f ca="1">IF(TblMagic[[#This Row],[Howling]],12,IF(OFFSET(TblMagic[[#This Row],[Active Howling]],-1,0)&gt;0,OFFSET(TblMagic[[#This Row],[Active Howling]],-1,0)-1,0))</f>
        <v>0</v>
      </c>
      <c r="AM76" s="211">
        <f ca="1">IF(TblMagic[[#This Row],[Alchemist Frost]],12,IF(OFFSET(TblMagic[[#This Row],[Active Alch Frost]],-1,0)&gt;0,OFFSET(TblMagic[[#This Row],[Active Alch Frost]],-1,0)-1,0))</f>
        <v>0</v>
      </c>
      <c r="AN76" s="211">
        <f ca="1">IF(TblMagic[[#This Row],[Alchemists Flame]],12,IF(OFFSET(TblMagic[[#This Row],[Active Alchemists Flame]],-1,0)&gt;0,OFFSET(TblMagic[[#This Row],[Active Alchemists Flame]],-1,0)-1,0))</f>
        <v>0</v>
      </c>
      <c r="AO76" s="211">
        <f ca="1">IF(TblMagic[[#This Row],[Nightfall]],12,IF(OFFSET(TblMagic[[#This Row],[Active Nightfall]],-1,0)&gt;0,OFFSET(TblMagic[[#This Row],[Active Nightfall]],-1,0)-1,0))</f>
        <v>0</v>
      </c>
      <c r="AP76" s="211">
        <f ca="1">IF(TblMagic[[#This Row],[Favorable Terrain]],12,IF(OFFSET(TblMagic[[#This Row],[Active Favorable Terrain]],-1,0)&gt;0,OFFSET(TblMagic[[#This Row],[Active Favorable Terrain]],-1,0)-1,0))</f>
        <v>0</v>
      </c>
      <c r="AQ76" s="211">
        <f ca="1">IF(TblMagic[[#This Row],[Demonic Pact]],12,IF(OFFSET(TblMagic[[#This Row],[Active Demonic Pact]],-1,0)&gt;0,OFFSET(TblMagic[[#This Row],[Active Demonic Pact]],-1,0)-1,0))</f>
        <v>0</v>
      </c>
    </row>
    <row r="77" spans="1:43" x14ac:dyDescent="0.2">
      <c r="A77" s="139">
        <f>TblRezone[[#This Row],[Hour]]</f>
        <v>74</v>
      </c>
      <c r="B77" s="156">
        <f ca="1">TblConstr[[#This Row],[Land]]</f>
        <v>250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45735.04166666649</v>
      </c>
      <c r="F77" s="158">
        <f ca="1">TblImps[[#This Row],[Population]]</f>
        <v>1</v>
      </c>
      <c r="G77" s="228"/>
      <c r="H77" s="228"/>
      <c r="I77" s="228"/>
      <c r="J77" s="228"/>
      <c r="K77" s="431"/>
      <c r="L77" s="228"/>
      <c r="M77" s="228"/>
      <c r="N77" s="228"/>
      <c r="O77" s="228"/>
      <c r="P77" s="228"/>
      <c r="Q77" s="228"/>
      <c r="R77" s="228"/>
      <c r="S77" s="228"/>
      <c r="T77" s="228"/>
      <c r="U77" s="228"/>
      <c r="V77" s="228"/>
      <c r="W77" s="228"/>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250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45735.083333333154</v>
      </c>
      <c r="F78" s="158">
        <f ca="1">TblImps[[#This Row],[Population]]</f>
        <v>1</v>
      </c>
      <c r="G78" s="228"/>
      <c r="H78" s="228"/>
      <c r="I78" s="228"/>
      <c r="J78" s="228"/>
      <c r="K78" s="431"/>
      <c r="L78" s="228"/>
      <c r="M78" s="228"/>
      <c r="N78" s="228"/>
      <c r="O78" s="228"/>
      <c r="P78" s="228"/>
      <c r="Q78" s="228"/>
      <c r="R78" s="228"/>
      <c r="S78" s="228"/>
      <c r="T78" s="228"/>
      <c r="U78" s="228"/>
      <c r="V78" s="228"/>
      <c r="W78" s="228"/>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250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45735.124999999818</v>
      </c>
      <c r="F79" s="158">
        <f ca="1">TblImps[[#This Row],[Population]]</f>
        <v>1</v>
      </c>
      <c r="G79" s="228"/>
      <c r="H79" s="228"/>
      <c r="I79" s="228"/>
      <c r="J79" s="228"/>
      <c r="K79" s="431"/>
      <c r="L79" s="228"/>
      <c r="M79" s="228"/>
      <c r="N79" s="228"/>
      <c r="O79" s="228"/>
      <c r="P79" s="228"/>
      <c r="Q79" s="228"/>
      <c r="R79" s="228"/>
      <c r="S79" s="228"/>
      <c r="T79" s="228"/>
      <c r="U79" s="228"/>
      <c r="V79" s="228"/>
      <c r="W79" s="228"/>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250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45735.166666666482</v>
      </c>
      <c r="F80" s="158">
        <f ca="1">TblImps[[#This Row],[Population]]</f>
        <v>1</v>
      </c>
      <c r="G80" s="228"/>
      <c r="H80" s="228"/>
      <c r="I80" s="228"/>
      <c r="J80" s="228"/>
      <c r="K80" s="431"/>
      <c r="L80" s="228"/>
      <c r="M80" s="228"/>
      <c r="N80" s="228"/>
      <c r="O80" s="228"/>
      <c r="P80" s="228"/>
      <c r="Q80" s="228"/>
      <c r="R80" s="228"/>
      <c r="S80" s="228"/>
      <c r="T80" s="228"/>
      <c r="U80" s="228"/>
      <c r="V80" s="228"/>
      <c r="W80" s="228"/>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250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45735.208333333147</v>
      </c>
      <c r="F81" s="158">
        <f ca="1">TblImps[[#This Row],[Population]]</f>
        <v>1</v>
      </c>
      <c r="G81" s="228"/>
      <c r="H81" s="228"/>
      <c r="I81" s="228"/>
      <c r="J81" s="228"/>
      <c r="K81" s="431"/>
      <c r="L81" s="228"/>
      <c r="M81" s="228"/>
      <c r="N81" s="228"/>
      <c r="O81" s="228"/>
      <c r="P81" s="228"/>
      <c r="Q81" s="228"/>
      <c r="R81" s="228"/>
      <c r="S81" s="228"/>
      <c r="T81" s="228"/>
      <c r="U81" s="228"/>
      <c r="V81" s="228"/>
      <c r="W81" s="228"/>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250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45735.249999999811</v>
      </c>
      <c r="F82" s="158">
        <f ca="1">TblImps[[#This Row],[Population]]</f>
        <v>1</v>
      </c>
      <c r="G82" s="228"/>
      <c r="H82" s="228"/>
      <c r="I82" s="228"/>
      <c r="J82" s="228"/>
      <c r="K82" s="431"/>
      <c r="L82" s="228"/>
      <c r="M82" s="228"/>
      <c r="N82" s="228"/>
      <c r="O82" s="228"/>
      <c r="P82" s="228"/>
      <c r="Q82" s="228"/>
      <c r="R82" s="228"/>
      <c r="S82" s="228"/>
      <c r="T82" s="228"/>
      <c r="U82" s="228"/>
      <c r="V82" s="228"/>
      <c r="W82" s="228"/>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250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45735.291666666475</v>
      </c>
      <c r="F83" s="158">
        <f ca="1">TblImps[[#This Row],[Population]]</f>
        <v>1</v>
      </c>
      <c r="G83" s="228"/>
      <c r="H83" s="228"/>
      <c r="I83" s="228"/>
      <c r="J83" s="228"/>
      <c r="K83" s="431"/>
      <c r="L83" s="228"/>
      <c r="M83" s="228"/>
      <c r="N83" s="228"/>
      <c r="O83" s="228"/>
      <c r="P83" s="228"/>
      <c r="Q83" s="228"/>
      <c r="R83" s="228"/>
      <c r="S83" s="228"/>
      <c r="T83" s="228"/>
      <c r="U83" s="228"/>
      <c r="V83" s="228"/>
      <c r="W83" s="228"/>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250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45735.333333333139</v>
      </c>
      <c r="F84" s="158">
        <f ca="1">TblImps[[#This Row],[Population]]</f>
        <v>1</v>
      </c>
      <c r="G84" s="228"/>
      <c r="H84" s="228"/>
      <c r="I84" s="228"/>
      <c r="J84" s="228"/>
      <c r="K84" s="431"/>
      <c r="L84" s="228"/>
      <c r="M84" s="228"/>
      <c r="N84" s="228"/>
      <c r="O84" s="228"/>
      <c r="P84" s="228"/>
      <c r="Q84" s="228"/>
      <c r="R84" s="228"/>
      <c r="S84" s="228"/>
      <c r="T84" s="228"/>
      <c r="U84" s="228"/>
      <c r="V84" s="228"/>
      <c r="W84" s="228"/>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250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45735.374999999804</v>
      </c>
      <c r="F85" s="158">
        <f ca="1">TblImps[[#This Row],[Population]]</f>
        <v>1</v>
      </c>
      <c r="G85" s="228"/>
      <c r="H85" s="228"/>
      <c r="I85" s="228"/>
      <c r="J85" s="228"/>
      <c r="K85" s="431"/>
      <c r="L85" s="228"/>
      <c r="M85" s="228"/>
      <c r="N85" s="228"/>
      <c r="O85" s="228"/>
      <c r="P85" s="228"/>
      <c r="Q85" s="228"/>
      <c r="R85" s="228"/>
      <c r="S85" s="228"/>
      <c r="T85" s="228"/>
      <c r="U85" s="228"/>
      <c r="V85" s="228"/>
      <c r="W85" s="228"/>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250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45735.416666666468</v>
      </c>
      <c r="F86" s="158">
        <f ca="1">TblImps[[#This Row],[Population]]</f>
        <v>1</v>
      </c>
      <c r="G86" s="228"/>
      <c r="H86" s="228"/>
      <c r="I86" s="228"/>
      <c r="J86" s="228"/>
      <c r="K86" s="431"/>
      <c r="L86" s="228"/>
      <c r="M86" s="228"/>
      <c r="N86" s="228"/>
      <c r="O86" s="228"/>
      <c r="P86" s="228"/>
      <c r="Q86" s="228"/>
      <c r="R86" s="228"/>
      <c r="S86" s="228"/>
      <c r="T86" s="228"/>
      <c r="U86" s="228"/>
      <c r="V86" s="228"/>
      <c r="W86" s="228"/>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250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45735.458333333132</v>
      </c>
      <c r="F87" s="158">
        <f ca="1">TblImps[[#This Row],[Population]]</f>
        <v>1</v>
      </c>
      <c r="G87" s="228"/>
      <c r="H87" s="228"/>
      <c r="I87" s="228"/>
      <c r="J87" s="228"/>
      <c r="K87" s="431"/>
      <c r="L87" s="228"/>
      <c r="M87" s="228"/>
      <c r="N87" s="228"/>
      <c r="O87" s="228"/>
      <c r="P87" s="228"/>
      <c r="Q87" s="228"/>
      <c r="R87" s="228"/>
      <c r="S87" s="228"/>
      <c r="T87" s="228"/>
      <c r="U87" s="228"/>
      <c r="V87" s="228"/>
      <c r="W87" s="228"/>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250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45735.499999999796</v>
      </c>
      <c r="F88" s="158">
        <f ca="1">TblImps[[#This Row],[Population]]</f>
        <v>1</v>
      </c>
      <c r="G88" s="228"/>
      <c r="H88" s="228"/>
      <c r="I88" s="228"/>
      <c r="J88" s="228"/>
      <c r="K88" s="431"/>
      <c r="L88" s="228"/>
      <c r="M88" s="228"/>
      <c r="N88" s="228"/>
      <c r="O88" s="228"/>
      <c r="P88" s="228"/>
      <c r="Q88" s="228"/>
      <c r="R88" s="228"/>
      <c r="S88" s="228"/>
      <c r="T88" s="228"/>
      <c r="U88" s="228"/>
      <c r="V88" s="228"/>
      <c r="W88" s="228"/>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250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45735.541666666461</v>
      </c>
      <c r="F89" s="158">
        <f ca="1">TblImps[[#This Row],[Population]]</f>
        <v>1</v>
      </c>
      <c r="G89" s="228"/>
      <c r="H89" s="228"/>
      <c r="I89" s="228"/>
      <c r="J89" s="228"/>
      <c r="K89" s="431"/>
      <c r="L89" s="228"/>
      <c r="M89" s="228"/>
      <c r="N89" s="228"/>
      <c r="O89" s="228"/>
      <c r="P89" s="228"/>
      <c r="Q89" s="228"/>
      <c r="R89" s="228"/>
      <c r="S89" s="228"/>
      <c r="T89" s="228"/>
      <c r="U89" s="228"/>
      <c r="V89" s="228"/>
      <c r="W89" s="228"/>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250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45735.583333333125</v>
      </c>
      <c r="F90" s="158">
        <f ca="1">TblImps[[#This Row],[Population]]</f>
        <v>1</v>
      </c>
      <c r="G90" s="228"/>
      <c r="H90" s="228"/>
      <c r="I90" s="228"/>
      <c r="J90" s="228"/>
      <c r="K90" s="431"/>
      <c r="L90" s="228"/>
      <c r="M90" s="228"/>
      <c r="N90" s="228"/>
      <c r="O90" s="228"/>
      <c r="P90" s="228"/>
      <c r="Q90" s="228"/>
      <c r="R90" s="228"/>
      <c r="S90" s="228"/>
      <c r="T90" s="228"/>
      <c r="U90" s="228"/>
      <c r="V90" s="228"/>
      <c r="W90" s="228"/>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250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45735.624999999789</v>
      </c>
      <c r="F91" s="158">
        <f ca="1">TblImps[[#This Row],[Population]]</f>
        <v>1</v>
      </c>
      <c r="G91" s="228"/>
      <c r="H91" s="228"/>
      <c r="I91" s="228"/>
      <c r="J91" s="228"/>
      <c r="K91" s="431"/>
      <c r="L91" s="228"/>
      <c r="M91" s="228"/>
      <c r="N91" s="228"/>
      <c r="O91" s="228"/>
      <c r="P91" s="228"/>
      <c r="Q91" s="228"/>
      <c r="R91" s="228"/>
      <c r="S91" s="228"/>
      <c r="T91" s="228"/>
      <c r="U91" s="228"/>
      <c r="V91" s="228"/>
      <c r="W91" s="228"/>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250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45735.666666666453</v>
      </c>
      <c r="F92" s="158">
        <f ca="1">TblImps[[#This Row],[Population]]</f>
        <v>1</v>
      </c>
      <c r="G92" s="228"/>
      <c r="H92" s="228"/>
      <c r="I92" s="228"/>
      <c r="J92" s="228"/>
      <c r="K92" s="431"/>
      <c r="L92" s="228"/>
      <c r="M92" s="228"/>
      <c r="N92" s="228"/>
      <c r="O92" s="228"/>
      <c r="P92" s="228"/>
      <c r="Q92" s="228"/>
      <c r="R92" s="228"/>
      <c r="S92" s="228"/>
      <c r="T92" s="228"/>
      <c r="U92" s="228"/>
      <c r="V92" s="228"/>
      <c r="W92" s="228"/>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250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45735.708333333117</v>
      </c>
      <c r="F93" s="158">
        <f ca="1">TblImps[[#This Row],[Population]]</f>
        <v>1</v>
      </c>
      <c r="G93" s="228"/>
      <c r="H93" s="228"/>
      <c r="I93" s="228"/>
      <c r="J93" s="228"/>
      <c r="K93" s="431"/>
      <c r="L93" s="228"/>
      <c r="M93" s="228"/>
      <c r="N93" s="228"/>
      <c r="O93" s="228"/>
      <c r="P93" s="228"/>
      <c r="Q93" s="228"/>
      <c r="R93" s="228"/>
      <c r="S93" s="228"/>
      <c r="T93" s="228"/>
      <c r="U93" s="228"/>
      <c r="V93" s="228"/>
      <c r="W93" s="228"/>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250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45735.749999999782</v>
      </c>
      <c r="F94" s="158">
        <f ca="1">TblImps[[#This Row],[Population]]</f>
        <v>1</v>
      </c>
      <c r="G94" s="228"/>
      <c r="H94" s="228"/>
      <c r="I94" s="228"/>
      <c r="J94" s="228"/>
      <c r="K94" s="431"/>
      <c r="L94" s="228"/>
      <c r="M94" s="228"/>
      <c r="N94" s="228"/>
      <c r="O94" s="228"/>
      <c r="P94" s="228"/>
      <c r="Q94" s="228"/>
      <c r="R94" s="228"/>
      <c r="S94" s="228"/>
      <c r="T94" s="228"/>
      <c r="U94" s="228"/>
      <c r="V94" s="228"/>
      <c r="W94" s="228"/>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250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45735.791666666446</v>
      </c>
      <c r="F95" s="158">
        <f ca="1">TblImps[[#This Row],[Population]]</f>
        <v>1</v>
      </c>
      <c r="G95" s="228"/>
      <c r="H95" s="228"/>
      <c r="I95" s="228"/>
      <c r="J95" s="228"/>
      <c r="K95" s="431"/>
      <c r="L95" s="228"/>
      <c r="M95" s="228"/>
      <c r="N95" s="228"/>
      <c r="O95" s="228"/>
      <c r="P95" s="228"/>
      <c r="Q95" s="228"/>
      <c r="R95" s="228"/>
      <c r="S95" s="228"/>
      <c r="T95" s="228"/>
      <c r="U95" s="228"/>
      <c r="V95" s="228"/>
      <c r="W95" s="228"/>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250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45735.83333333311</v>
      </c>
      <c r="F96" s="158">
        <f ca="1">TblImps[[#This Row],[Population]]</f>
        <v>1</v>
      </c>
      <c r="G96" s="228"/>
      <c r="H96" s="228"/>
      <c r="I96" s="228"/>
      <c r="J96" s="228"/>
      <c r="K96" s="431"/>
      <c r="L96" s="228"/>
      <c r="M96" s="228"/>
      <c r="N96" s="228"/>
      <c r="O96" s="228"/>
      <c r="P96" s="228"/>
      <c r="Q96" s="228"/>
      <c r="R96" s="228"/>
      <c r="S96" s="228"/>
      <c r="T96" s="228"/>
      <c r="U96" s="228"/>
      <c r="V96" s="228"/>
      <c r="W96" s="228"/>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250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45735.874999999774</v>
      </c>
      <c r="F97" s="158">
        <f ca="1">TblImps[[#This Row],[Population]]</f>
        <v>1</v>
      </c>
      <c r="G97" s="228"/>
      <c r="H97" s="228"/>
      <c r="I97" s="228"/>
      <c r="J97" s="228"/>
      <c r="K97" s="431"/>
      <c r="L97" s="228"/>
      <c r="M97" s="228"/>
      <c r="N97" s="228"/>
      <c r="O97" s="228"/>
      <c r="P97" s="228"/>
      <c r="Q97" s="228"/>
      <c r="R97" s="228"/>
      <c r="S97" s="228"/>
      <c r="T97" s="228"/>
      <c r="U97" s="228"/>
      <c r="V97" s="228"/>
      <c r="W97" s="228"/>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250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45735.916666666439</v>
      </c>
      <c r="F98" s="158">
        <f ca="1">TblImps[[#This Row],[Population]]</f>
        <v>1</v>
      </c>
      <c r="G98" s="228"/>
      <c r="H98" s="228"/>
      <c r="I98" s="228"/>
      <c r="J98" s="228"/>
      <c r="K98" s="431"/>
      <c r="L98" s="228"/>
      <c r="M98" s="228"/>
      <c r="N98" s="228"/>
      <c r="O98" s="228"/>
      <c r="P98" s="228"/>
      <c r="Q98" s="228"/>
      <c r="R98" s="228"/>
      <c r="S98" s="228"/>
      <c r="T98" s="228"/>
      <c r="U98" s="228"/>
      <c r="V98" s="228"/>
      <c r="W98" s="228"/>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250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45735.958333333103</v>
      </c>
      <c r="F99" s="158">
        <f ca="1">TblImps[[#This Row],[Population]]</f>
        <v>1</v>
      </c>
      <c r="G99" s="228"/>
      <c r="H99" s="228"/>
      <c r="I99" s="228"/>
      <c r="J99" s="228"/>
      <c r="K99" s="431"/>
      <c r="L99" s="228"/>
      <c r="M99" s="228"/>
      <c r="N99" s="228"/>
      <c r="O99" s="228"/>
      <c r="P99" s="228"/>
      <c r="Q99" s="228"/>
      <c r="R99" s="228"/>
      <c r="S99" s="228"/>
      <c r="T99" s="228"/>
      <c r="U99" s="228"/>
      <c r="V99" s="228"/>
      <c r="W99" s="228"/>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250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45735.999999999767</v>
      </c>
      <c r="F100" s="158">
        <f ca="1">TblImps[[#This Row],[Population]]</f>
        <v>1</v>
      </c>
      <c r="G100" s="228"/>
      <c r="H100" s="228"/>
      <c r="I100" s="228"/>
      <c r="J100" s="228"/>
      <c r="K100" s="431"/>
      <c r="L100" s="228"/>
      <c r="M100" s="228"/>
      <c r="N100" s="228"/>
      <c r="O100" s="228"/>
      <c r="P100" s="228"/>
      <c r="Q100" s="228"/>
      <c r="R100" s="228"/>
      <c r="S100" s="228"/>
      <c r="T100" s="228"/>
      <c r="U100" s="228"/>
      <c r="V100" s="228"/>
      <c r="W100" s="228"/>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250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45736.041666666431</v>
      </c>
      <c r="F101" s="158">
        <f ca="1">TblImps[[#This Row],[Population]]</f>
        <v>1</v>
      </c>
      <c r="G101" s="228"/>
      <c r="H101" s="228"/>
      <c r="I101" s="228"/>
      <c r="J101" s="228"/>
      <c r="K101" s="431"/>
      <c r="L101" s="228"/>
      <c r="M101" s="228"/>
      <c r="N101" s="228"/>
      <c r="O101" s="228"/>
      <c r="P101" s="228"/>
      <c r="Q101" s="228"/>
      <c r="R101" s="228"/>
      <c r="S101" s="228"/>
      <c r="T101" s="228"/>
      <c r="U101" s="228"/>
      <c r="V101" s="228"/>
      <c r="W101" s="228"/>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250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45736.083333333096</v>
      </c>
      <c r="F102" s="158">
        <f ca="1">TblImps[[#This Row],[Population]]</f>
        <v>1</v>
      </c>
      <c r="G102" s="228"/>
      <c r="H102" s="228"/>
      <c r="I102" s="228"/>
      <c r="J102" s="228"/>
      <c r="K102" s="431"/>
      <c r="L102" s="228"/>
      <c r="M102" s="228"/>
      <c r="N102" s="228"/>
      <c r="O102" s="228"/>
      <c r="P102" s="228"/>
      <c r="Q102" s="228"/>
      <c r="R102" s="228"/>
      <c r="S102" s="228"/>
      <c r="T102" s="228"/>
      <c r="U102" s="228"/>
      <c r="V102" s="228"/>
      <c r="W102" s="228"/>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250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45736.12499999976</v>
      </c>
      <c r="F103" s="158">
        <f ca="1">TblImps[[#This Row],[Population]]</f>
        <v>1</v>
      </c>
      <c r="G103" s="228"/>
      <c r="H103" s="228"/>
      <c r="I103" s="228"/>
      <c r="J103" s="228"/>
      <c r="K103" s="431"/>
      <c r="L103" s="228"/>
      <c r="M103" s="228"/>
      <c r="N103" s="228"/>
      <c r="O103" s="228"/>
      <c r="P103" s="228"/>
      <c r="Q103" s="228"/>
      <c r="R103" s="228"/>
      <c r="S103" s="228"/>
      <c r="T103" s="228"/>
      <c r="U103" s="228"/>
      <c r="V103" s="228"/>
      <c r="W103" s="228"/>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250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45736.166666666424</v>
      </c>
      <c r="F104" s="158">
        <f ca="1">TblImps[[#This Row],[Population]]</f>
        <v>1</v>
      </c>
      <c r="G104" s="228"/>
      <c r="H104" s="228"/>
      <c r="I104" s="228"/>
      <c r="J104" s="228"/>
      <c r="K104" s="431"/>
      <c r="L104" s="228"/>
      <c r="M104" s="228"/>
      <c r="N104" s="228"/>
      <c r="O104" s="228"/>
      <c r="P104" s="228"/>
      <c r="Q104" s="228"/>
      <c r="R104" s="228"/>
      <c r="S104" s="228"/>
      <c r="T104" s="228"/>
      <c r="U104" s="228"/>
      <c r="V104" s="228"/>
      <c r="W104" s="228"/>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250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45736.208333333088</v>
      </c>
      <c r="F105" s="158">
        <f ca="1">TblImps[[#This Row],[Population]]</f>
        <v>1</v>
      </c>
      <c r="G105" s="228"/>
      <c r="H105" s="228"/>
      <c r="I105" s="228"/>
      <c r="J105" s="228"/>
      <c r="K105" s="431"/>
      <c r="L105" s="228"/>
      <c r="M105" s="228"/>
      <c r="N105" s="228"/>
      <c r="O105" s="228"/>
      <c r="P105" s="228"/>
      <c r="Q105" s="228"/>
      <c r="R105" s="228"/>
      <c r="S105" s="228"/>
      <c r="T105" s="228"/>
      <c r="U105" s="228"/>
      <c r="V105" s="228"/>
      <c r="W105" s="228"/>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250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45736.249999999753</v>
      </c>
      <c r="F106" s="158">
        <f ca="1">TblImps[[#This Row],[Population]]</f>
        <v>1</v>
      </c>
      <c r="G106" s="228"/>
      <c r="H106" s="228"/>
      <c r="I106" s="228"/>
      <c r="J106" s="228"/>
      <c r="K106" s="431"/>
      <c r="L106" s="228"/>
      <c r="M106" s="228"/>
      <c r="N106" s="228"/>
      <c r="O106" s="228"/>
      <c r="P106" s="228"/>
      <c r="Q106" s="228"/>
      <c r="R106" s="228"/>
      <c r="S106" s="228"/>
      <c r="T106" s="228"/>
      <c r="U106" s="228"/>
      <c r="V106" s="228"/>
      <c r="W106" s="228"/>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250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45736.291666666417</v>
      </c>
      <c r="F107" s="158">
        <f ca="1">TblImps[[#This Row],[Population]]</f>
        <v>1</v>
      </c>
      <c r="G107" s="228"/>
      <c r="H107" s="228"/>
      <c r="I107" s="228"/>
      <c r="J107" s="228"/>
      <c r="K107" s="431"/>
      <c r="L107" s="228"/>
      <c r="M107" s="228"/>
      <c r="N107" s="228"/>
      <c r="O107" s="228"/>
      <c r="P107" s="228"/>
      <c r="Q107" s="228"/>
      <c r="R107" s="228"/>
      <c r="S107" s="228"/>
      <c r="T107" s="228"/>
      <c r="U107" s="228"/>
      <c r="V107" s="228"/>
      <c r="W107" s="228"/>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250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45736.333333333081</v>
      </c>
      <c r="F108" s="158">
        <f ca="1">TblImps[[#This Row],[Population]]</f>
        <v>1</v>
      </c>
      <c r="G108" s="228"/>
      <c r="H108" s="228"/>
      <c r="I108" s="228"/>
      <c r="J108" s="228"/>
      <c r="K108" s="431"/>
      <c r="L108" s="228"/>
      <c r="M108" s="228"/>
      <c r="N108" s="228"/>
      <c r="O108" s="228"/>
      <c r="P108" s="228"/>
      <c r="Q108" s="228"/>
      <c r="R108" s="228"/>
      <c r="S108" s="228"/>
      <c r="T108" s="228"/>
      <c r="U108" s="228"/>
      <c r="V108" s="228"/>
      <c r="W108" s="228"/>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250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45736.374999999745</v>
      </c>
      <c r="F109" s="158">
        <f ca="1">TblImps[[#This Row],[Population]]</f>
        <v>1</v>
      </c>
      <c r="G109" s="228"/>
      <c r="H109" s="228"/>
      <c r="I109" s="228"/>
      <c r="J109" s="228"/>
      <c r="K109" s="431"/>
      <c r="L109" s="228"/>
      <c r="M109" s="228"/>
      <c r="N109" s="228"/>
      <c r="O109" s="228"/>
      <c r="P109" s="228"/>
      <c r="Q109" s="228"/>
      <c r="R109" s="228"/>
      <c r="S109" s="228"/>
      <c r="T109" s="228"/>
      <c r="U109" s="228"/>
      <c r="V109" s="228"/>
      <c r="W109" s="228"/>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250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45736.41666666641</v>
      </c>
      <c r="F110" s="158">
        <f ca="1">TblImps[[#This Row],[Population]]</f>
        <v>1</v>
      </c>
      <c r="G110" s="228"/>
      <c r="H110" s="228"/>
      <c r="I110" s="228"/>
      <c r="J110" s="228"/>
      <c r="K110" s="431"/>
      <c r="L110" s="228"/>
      <c r="M110" s="228"/>
      <c r="N110" s="228"/>
      <c r="O110" s="228"/>
      <c r="P110" s="228"/>
      <c r="Q110" s="228"/>
      <c r="R110" s="228"/>
      <c r="S110" s="228"/>
      <c r="T110" s="228"/>
      <c r="U110" s="228"/>
      <c r="V110" s="228"/>
      <c r="W110" s="228"/>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250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45736.458333333074</v>
      </c>
      <c r="F111" s="158">
        <f ca="1">TblImps[[#This Row],[Population]]</f>
        <v>1</v>
      </c>
      <c r="G111" s="228"/>
      <c r="H111" s="228"/>
      <c r="I111" s="228"/>
      <c r="J111" s="228"/>
      <c r="K111" s="431"/>
      <c r="L111" s="228"/>
      <c r="M111" s="228"/>
      <c r="N111" s="228"/>
      <c r="O111" s="228"/>
      <c r="P111" s="228"/>
      <c r="Q111" s="228"/>
      <c r="R111" s="228"/>
      <c r="S111" s="228"/>
      <c r="T111" s="228"/>
      <c r="U111" s="228"/>
      <c r="V111" s="228"/>
      <c r="W111" s="228"/>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250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45736.499999999738</v>
      </c>
      <c r="F112" s="158">
        <f ca="1">TblImps[[#This Row],[Population]]</f>
        <v>1</v>
      </c>
      <c r="G112" s="228"/>
      <c r="H112" s="228"/>
      <c r="I112" s="228"/>
      <c r="J112" s="228"/>
      <c r="K112" s="431"/>
      <c r="L112" s="228"/>
      <c r="M112" s="228"/>
      <c r="N112" s="228"/>
      <c r="O112" s="228"/>
      <c r="P112" s="228"/>
      <c r="Q112" s="228"/>
      <c r="R112" s="228"/>
      <c r="S112" s="228"/>
      <c r="T112" s="228"/>
      <c r="U112" s="228"/>
      <c r="V112" s="228"/>
      <c r="W112" s="228"/>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250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45736.541666666402</v>
      </c>
      <c r="F113" s="158">
        <f ca="1">TblImps[[#This Row],[Population]]</f>
        <v>1</v>
      </c>
      <c r="G113" s="228"/>
      <c r="H113" s="228"/>
      <c r="I113" s="228"/>
      <c r="J113" s="228"/>
      <c r="K113" s="431"/>
      <c r="L113" s="228"/>
      <c r="M113" s="228"/>
      <c r="N113" s="228"/>
      <c r="O113" s="228"/>
      <c r="P113" s="228"/>
      <c r="Q113" s="228"/>
      <c r="R113" s="228"/>
      <c r="S113" s="228"/>
      <c r="T113" s="228"/>
      <c r="U113" s="228"/>
      <c r="V113" s="228"/>
      <c r="W113" s="228"/>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250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45736.583333333067</v>
      </c>
      <c r="F114" s="158">
        <f ca="1">TblImps[[#This Row],[Population]]</f>
        <v>1</v>
      </c>
      <c r="G114" s="228"/>
      <c r="H114" s="228"/>
      <c r="I114" s="228"/>
      <c r="J114" s="228"/>
      <c r="K114" s="431"/>
      <c r="L114" s="228"/>
      <c r="M114" s="228"/>
      <c r="N114" s="228"/>
      <c r="O114" s="228"/>
      <c r="P114" s="228"/>
      <c r="Q114" s="228"/>
      <c r="R114" s="228"/>
      <c r="S114" s="228"/>
      <c r="T114" s="228"/>
      <c r="U114" s="228"/>
      <c r="V114" s="228"/>
      <c r="W114" s="228"/>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250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45736.624999999731</v>
      </c>
      <c r="F115" s="158">
        <f ca="1">TblImps[[#This Row],[Population]]</f>
        <v>1</v>
      </c>
      <c r="G115" s="228"/>
      <c r="H115" s="228"/>
      <c r="I115" s="228"/>
      <c r="J115" s="228"/>
      <c r="K115" s="431"/>
      <c r="L115" s="228"/>
      <c r="M115" s="228"/>
      <c r="N115" s="228"/>
      <c r="O115" s="228"/>
      <c r="P115" s="228"/>
      <c r="Q115" s="228"/>
      <c r="R115" s="228"/>
      <c r="S115" s="228"/>
      <c r="T115" s="228"/>
      <c r="U115" s="228"/>
      <c r="V115" s="228"/>
      <c r="W115" s="228"/>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250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45736.666666666395</v>
      </c>
      <c r="F116" s="158">
        <f ca="1">TblImps[[#This Row],[Population]]</f>
        <v>1</v>
      </c>
      <c r="G116" s="228"/>
      <c r="H116" s="228"/>
      <c r="I116" s="228"/>
      <c r="J116" s="228"/>
      <c r="K116" s="431"/>
      <c r="L116" s="228"/>
      <c r="M116" s="228"/>
      <c r="N116" s="228"/>
      <c r="O116" s="228"/>
      <c r="P116" s="228"/>
      <c r="Q116" s="228"/>
      <c r="R116" s="228"/>
      <c r="S116" s="228"/>
      <c r="T116" s="228"/>
      <c r="U116" s="228"/>
      <c r="V116" s="228"/>
      <c r="W116" s="228"/>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250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45736.708333333059</v>
      </c>
      <c r="F117" s="158">
        <f ca="1">TblImps[[#This Row],[Population]]</f>
        <v>1</v>
      </c>
      <c r="G117" s="228"/>
      <c r="H117" s="228"/>
      <c r="I117" s="228"/>
      <c r="J117" s="228"/>
      <c r="K117" s="431"/>
      <c r="L117" s="228"/>
      <c r="M117" s="228"/>
      <c r="N117" s="228"/>
      <c r="O117" s="228"/>
      <c r="P117" s="228"/>
      <c r="Q117" s="228"/>
      <c r="R117" s="228"/>
      <c r="S117" s="228"/>
      <c r="T117" s="228"/>
      <c r="U117" s="228"/>
      <c r="V117" s="228"/>
      <c r="W117" s="228"/>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250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45736.749999999724</v>
      </c>
      <c r="F118" s="158">
        <f ca="1">TblImps[[#This Row],[Population]]</f>
        <v>1</v>
      </c>
      <c r="G118" s="228"/>
      <c r="H118" s="228"/>
      <c r="I118" s="228"/>
      <c r="J118" s="228"/>
      <c r="K118" s="431"/>
      <c r="L118" s="228"/>
      <c r="M118" s="228"/>
      <c r="N118" s="228"/>
      <c r="O118" s="228"/>
      <c r="P118" s="228"/>
      <c r="Q118" s="228"/>
      <c r="R118" s="228"/>
      <c r="S118" s="228"/>
      <c r="T118" s="228"/>
      <c r="U118" s="228"/>
      <c r="V118" s="228"/>
      <c r="W118" s="228"/>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250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45736.791666666388</v>
      </c>
      <c r="F119" s="158">
        <f ca="1">TblImps[[#This Row],[Population]]</f>
        <v>1</v>
      </c>
      <c r="G119" s="228"/>
      <c r="H119" s="228"/>
      <c r="I119" s="228"/>
      <c r="J119" s="228"/>
      <c r="K119" s="431"/>
      <c r="L119" s="228"/>
      <c r="M119" s="228"/>
      <c r="N119" s="228"/>
      <c r="O119" s="228"/>
      <c r="P119" s="228"/>
      <c r="Q119" s="228"/>
      <c r="R119" s="228"/>
      <c r="S119" s="228"/>
      <c r="T119" s="228"/>
      <c r="U119" s="228"/>
      <c r="V119" s="228"/>
      <c r="W119" s="228"/>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250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45736.833333333052</v>
      </c>
      <c r="F120" s="158">
        <f ca="1">TblImps[[#This Row],[Population]]</f>
        <v>1</v>
      </c>
      <c r="G120" s="228"/>
      <c r="H120" s="228"/>
      <c r="I120" s="228"/>
      <c r="J120" s="228"/>
      <c r="K120" s="431"/>
      <c r="L120" s="228"/>
      <c r="M120" s="228"/>
      <c r="N120" s="228"/>
      <c r="O120" s="228"/>
      <c r="P120" s="228"/>
      <c r="Q120" s="228"/>
      <c r="R120" s="228"/>
      <c r="S120" s="228"/>
      <c r="T120" s="228"/>
      <c r="U120" s="228"/>
      <c r="V120" s="228"/>
      <c r="W120" s="228"/>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250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45736.874999999716</v>
      </c>
      <c r="F121" s="158">
        <f ca="1">TblImps[[#This Row],[Population]]</f>
        <v>1</v>
      </c>
      <c r="G121" s="228"/>
      <c r="H121" s="228"/>
      <c r="I121" s="228"/>
      <c r="J121" s="228"/>
      <c r="K121" s="431"/>
      <c r="L121" s="228"/>
      <c r="M121" s="228"/>
      <c r="N121" s="228"/>
      <c r="O121" s="228"/>
      <c r="P121" s="228"/>
      <c r="Q121" s="228"/>
      <c r="R121" s="228"/>
      <c r="S121" s="228"/>
      <c r="T121" s="228"/>
      <c r="U121" s="228"/>
      <c r="V121" s="228"/>
      <c r="W121" s="228"/>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250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45736.91666666638</v>
      </c>
      <c r="F122" s="158">
        <f ca="1">TblImps[[#This Row],[Population]]</f>
        <v>1</v>
      </c>
      <c r="G122" s="228"/>
      <c r="H122" s="228"/>
      <c r="I122" s="228"/>
      <c r="J122" s="228"/>
      <c r="K122" s="431"/>
      <c r="L122" s="228"/>
      <c r="M122" s="228"/>
      <c r="N122" s="228"/>
      <c r="O122" s="228"/>
      <c r="P122" s="228"/>
      <c r="Q122" s="228"/>
      <c r="R122" s="228"/>
      <c r="S122" s="228"/>
      <c r="T122" s="228"/>
      <c r="U122" s="228"/>
      <c r="V122" s="228"/>
      <c r="W122" s="228"/>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250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45736.958333333045</v>
      </c>
      <c r="F123" s="158">
        <f ca="1">TblImps[[#This Row],[Population]]</f>
        <v>1</v>
      </c>
      <c r="G123" s="228"/>
      <c r="H123" s="228"/>
      <c r="I123" s="228"/>
      <c r="J123" s="228"/>
      <c r="K123" s="431"/>
      <c r="L123" s="228"/>
      <c r="M123" s="228"/>
      <c r="N123" s="228"/>
      <c r="O123" s="228"/>
      <c r="P123" s="228"/>
      <c r="Q123" s="228"/>
      <c r="R123" s="228"/>
      <c r="S123" s="228"/>
      <c r="T123" s="228"/>
      <c r="U123" s="228"/>
      <c r="V123" s="228"/>
      <c r="W123" s="228"/>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250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45736.999999999709</v>
      </c>
      <c r="F124" s="158">
        <f ca="1">TblImps[[#This Row],[Population]]</f>
        <v>1</v>
      </c>
      <c r="G124" s="228"/>
      <c r="H124" s="228"/>
      <c r="I124" s="228"/>
      <c r="J124" s="228"/>
      <c r="K124" s="431"/>
      <c r="L124" s="228"/>
      <c r="M124" s="228"/>
      <c r="N124" s="228"/>
      <c r="O124" s="228"/>
      <c r="P124" s="228"/>
      <c r="Q124" s="228"/>
      <c r="R124" s="228"/>
      <c r="S124" s="228"/>
      <c r="T124" s="228"/>
      <c r="U124" s="228"/>
      <c r="V124" s="228"/>
      <c r="W124" s="228"/>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250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45737.041666666373</v>
      </c>
      <c r="F125" s="158">
        <f ca="1">TblImps[[#This Row],[Population]]</f>
        <v>1</v>
      </c>
      <c r="G125" s="228"/>
      <c r="H125" s="228"/>
      <c r="I125" s="228"/>
      <c r="J125" s="228"/>
      <c r="K125" s="431"/>
      <c r="L125" s="228"/>
      <c r="M125" s="228"/>
      <c r="N125" s="228"/>
      <c r="O125" s="228"/>
      <c r="P125" s="228"/>
      <c r="Q125" s="228"/>
      <c r="R125" s="228"/>
      <c r="S125" s="228"/>
      <c r="T125" s="228"/>
      <c r="U125" s="228"/>
      <c r="V125" s="228"/>
      <c r="W125" s="228"/>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250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45737.083333333037</v>
      </c>
      <c r="F126" s="158">
        <f ca="1">TblImps[[#This Row],[Population]]</f>
        <v>1</v>
      </c>
      <c r="G126" s="228"/>
      <c r="H126" s="228"/>
      <c r="I126" s="228"/>
      <c r="J126" s="228"/>
      <c r="K126" s="431"/>
      <c r="L126" s="228"/>
      <c r="M126" s="228"/>
      <c r="N126" s="228"/>
      <c r="O126" s="228"/>
      <c r="P126" s="228"/>
      <c r="Q126" s="228"/>
      <c r="R126" s="228"/>
      <c r="S126" s="228"/>
      <c r="T126" s="228"/>
      <c r="U126" s="228"/>
      <c r="V126" s="228"/>
      <c r="W126" s="228"/>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250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45737.124999999702</v>
      </c>
      <c r="F127" s="158">
        <f ca="1">TblImps[[#This Row],[Population]]</f>
        <v>1</v>
      </c>
      <c r="G127" s="228"/>
      <c r="H127" s="228"/>
      <c r="I127" s="228"/>
      <c r="J127" s="228"/>
      <c r="K127" s="431"/>
      <c r="L127" s="228"/>
      <c r="M127" s="228"/>
      <c r="N127" s="228"/>
      <c r="O127" s="228"/>
      <c r="P127" s="228"/>
      <c r="Q127" s="228"/>
      <c r="R127" s="228"/>
      <c r="S127" s="228"/>
      <c r="T127" s="228"/>
      <c r="U127" s="228"/>
      <c r="V127" s="228"/>
      <c r="W127" s="228"/>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250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45737.166666666366</v>
      </c>
      <c r="F128" s="158">
        <f ca="1">TblImps[[#This Row],[Population]]</f>
        <v>1</v>
      </c>
      <c r="G128" s="228"/>
      <c r="H128" s="228"/>
      <c r="I128" s="228"/>
      <c r="J128" s="228"/>
      <c r="K128" s="431"/>
      <c r="L128" s="228"/>
      <c r="M128" s="228"/>
      <c r="N128" s="228"/>
      <c r="O128" s="228"/>
      <c r="P128" s="228"/>
      <c r="Q128" s="228"/>
      <c r="R128" s="228"/>
      <c r="S128" s="228"/>
      <c r="T128" s="228"/>
      <c r="U128" s="228"/>
      <c r="V128" s="228"/>
      <c r="W128" s="228"/>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250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45737.20833333303</v>
      </c>
      <c r="F129" s="158">
        <f ca="1">TblImps[[#This Row],[Population]]</f>
        <v>1</v>
      </c>
      <c r="G129" s="228"/>
      <c r="H129" s="228"/>
      <c r="I129" s="228"/>
      <c r="J129" s="228"/>
      <c r="K129" s="431"/>
      <c r="L129" s="228"/>
      <c r="M129" s="228"/>
      <c r="N129" s="228"/>
      <c r="O129" s="228"/>
      <c r="P129" s="228"/>
      <c r="Q129" s="228"/>
      <c r="R129" s="228"/>
      <c r="S129" s="228"/>
      <c r="T129" s="228"/>
      <c r="U129" s="228"/>
      <c r="V129" s="228"/>
      <c r="W129" s="228"/>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250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45737.249999999694</v>
      </c>
      <c r="F130" s="158">
        <f ca="1">TblImps[[#This Row],[Population]]</f>
        <v>1</v>
      </c>
      <c r="G130" s="228"/>
      <c r="H130" s="228"/>
      <c r="I130" s="228"/>
      <c r="J130" s="228"/>
      <c r="K130" s="431"/>
      <c r="L130" s="228"/>
      <c r="M130" s="228"/>
      <c r="N130" s="228"/>
      <c r="O130" s="228"/>
      <c r="P130" s="228"/>
      <c r="Q130" s="228"/>
      <c r="R130" s="228"/>
      <c r="S130" s="228"/>
      <c r="T130" s="228"/>
      <c r="U130" s="228"/>
      <c r="V130" s="228"/>
      <c r="W130" s="228"/>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250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45737.291666666359</v>
      </c>
      <c r="F131" s="158">
        <f ca="1">TblImps[[#This Row],[Population]]</f>
        <v>1</v>
      </c>
      <c r="G131" s="228"/>
      <c r="H131" s="228"/>
      <c r="I131" s="228"/>
      <c r="J131" s="228"/>
      <c r="K131" s="431"/>
      <c r="L131" s="228"/>
      <c r="M131" s="228"/>
      <c r="N131" s="228"/>
      <c r="O131" s="228"/>
      <c r="P131" s="228"/>
      <c r="Q131" s="228"/>
      <c r="R131" s="228"/>
      <c r="S131" s="228"/>
      <c r="T131" s="228"/>
      <c r="U131" s="228"/>
      <c r="V131" s="228"/>
      <c r="W131" s="228"/>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250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45737.333333333023</v>
      </c>
      <c r="F132" s="158">
        <f ca="1">TblImps[[#This Row],[Population]]</f>
        <v>1</v>
      </c>
      <c r="G132" s="228"/>
      <c r="H132" s="228"/>
      <c r="I132" s="228"/>
      <c r="J132" s="228"/>
      <c r="K132" s="431"/>
      <c r="L132" s="228"/>
      <c r="M132" s="228"/>
      <c r="N132" s="228"/>
      <c r="O132" s="228"/>
      <c r="P132" s="228"/>
      <c r="Q132" s="228"/>
      <c r="R132" s="228"/>
      <c r="S132" s="228"/>
      <c r="T132" s="228"/>
      <c r="U132" s="228"/>
      <c r="V132" s="228"/>
      <c r="W132" s="228"/>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250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45737.374999999687</v>
      </c>
      <c r="F133" s="158">
        <f ca="1">TblImps[[#This Row],[Population]]</f>
        <v>1</v>
      </c>
      <c r="G133" s="228"/>
      <c r="H133" s="228"/>
      <c r="I133" s="228"/>
      <c r="J133" s="228"/>
      <c r="K133" s="431"/>
      <c r="L133" s="228"/>
      <c r="M133" s="228"/>
      <c r="N133" s="228"/>
      <c r="O133" s="228"/>
      <c r="P133" s="228"/>
      <c r="Q133" s="228"/>
      <c r="R133" s="228"/>
      <c r="S133" s="228"/>
      <c r="T133" s="228"/>
      <c r="U133" s="228"/>
      <c r="V133" s="228"/>
      <c r="W133" s="228"/>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250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45737.416666666351</v>
      </c>
      <c r="F134" s="158">
        <f ca="1">TblImps[[#This Row],[Population]]</f>
        <v>1</v>
      </c>
      <c r="G134" s="228"/>
      <c r="H134" s="228"/>
      <c r="I134" s="228"/>
      <c r="J134" s="228"/>
      <c r="K134" s="431"/>
      <c r="L134" s="228"/>
      <c r="M134" s="228"/>
      <c r="N134" s="228"/>
      <c r="O134" s="228"/>
      <c r="P134" s="228"/>
      <c r="Q134" s="228"/>
      <c r="R134" s="228"/>
      <c r="S134" s="228"/>
      <c r="T134" s="228"/>
      <c r="U134" s="228"/>
      <c r="V134" s="228"/>
      <c r="W134" s="228"/>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250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45737.458333333016</v>
      </c>
      <c r="F135" s="158">
        <f ca="1">TblImps[[#This Row],[Population]]</f>
        <v>1</v>
      </c>
      <c r="G135" s="228"/>
      <c r="H135" s="228"/>
      <c r="I135" s="228"/>
      <c r="J135" s="228"/>
      <c r="K135" s="431"/>
      <c r="L135" s="228"/>
      <c r="M135" s="228"/>
      <c r="N135" s="228"/>
      <c r="O135" s="228"/>
      <c r="P135" s="228"/>
      <c r="Q135" s="228"/>
      <c r="R135" s="228"/>
      <c r="S135" s="228"/>
      <c r="T135" s="228"/>
      <c r="U135" s="228"/>
      <c r="V135" s="228"/>
      <c r="W135" s="228"/>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250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45737.49999999968</v>
      </c>
      <c r="F136" s="158">
        <f ca="1">TblImps[[#This Row],[Population]]</f>
        <v>1</v>
      </c>
      <c r="G136" s="228"/>
      <c r="H136" s="228"/>
      <c r="I136" s="228"/>
      <c r="J136" s="228"/>
      <c r="K136" s="431"/>
      <c r="L136" s="228"/>
      <c r="M136" s="228"/>
      <c r="N136" s="228"/>
      <c r="O136" s="228"/>
      <c r="P136" s="228"/>
      <c r="Q136" s="228"/>
      <c r="R136" s="228"/>
      <c r="S136" s="228"/>
      <c r="T136" s="228"/>
      <c r="U136" s="228"/>
      <c r="V136" s="228"/>
      <c r="W136" s="228"/>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00" t="s">
        <v>314</v>
      </c>
      <c r="D1269" s="453"/>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W136">
    <cfRule type="expression" dxfId="263" priority="12">
      <formula>COUNTA(G5:G16)&gt;0</formula>
    </cfRule>
  </conditionalFormatting>
  <conditionalFormatting sqref="A2:N2 A1:S1 U1:XFD1 P2:XFD2 A3:XFD3">
    <cfRule type="expression" dxfId="262"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7">
        <f ca="1">(INDIRECT("D" &amp; (INDIRECT("A4")+2)) &gt;= INDIRECT("E" &amp; (INDIRECT("A5")+2)))*1</f>
        <v>1</v>
      </c>
    </row>
    <row r="2" spans="1:79" ht="15.75" x14ac:dyDescent="0.25">
      <c r="E2" s="179" t="s">
        <v>999</v>
      </c>
      <c r="F2" s="303">
        <f>IFERROR(SMALL(TblTech[Activate @ hour],1),0)</f>
        <v>0</v>
      </c>
      <c r="G2" s="45" t="s">
        <v>1062</v>
      </c>
      <c r="M2" s="288">
        <f>INDEX(TblTech[[Activate @ hour]:[Number]],MATCH(TblTech[[#Headers],[1-1]],TblTech[[Number]:[Number]],0),1)</f>
        <v>0</v>
      </c>
      <c r="N2" s="288">
        <f>INDEX(TblTech[[Activate @ hour]:[Number]],MATCH(TblTech[[#Headers],[1-2]],TblTech[[Number]:[Number]],0),1)</f>
        <v>0</v>
      </c>
      <c r="O2" s="288">
        <f>INDEX(TblTech[[Activate @ hour]:[Number]],MATCH(TblTech[[#Headers],[1-3]],TblTech[[Number]:[Number]],0),1)</f>
        <v>0</v>
      </c>
      <c r="P2" s="288">
        <f>INDEX(TblTech[[Activate @ hour]:[Number]],MATCH(TblTech[[#Headers],[1-4]],TblTech[[Number]:[Number]],0),1)</f>
        <v>0</v>
      </c>
      <c r="Q2" s="288">
        <f>INDEX(TblTech[[Activate @ hour]:[Number]],MATCH(TblTech[[#Headers],[1-5]],TblTech[[Number]:[Number]],0),1)</f>
        <v>0</v>
      </c>
      <c r="R2" s="288">
        <f>INDEX(TblTech[[Activate @ hour]:[Number]],MATCH(TblTech[[#Headers],[1-6]],TblTech[[Number]:[Number]],0),1)</f>
        <v>0</v>
      </c>
      <c r="S2" s="288">
        <f>INDEX(TblTech[[Activate @ hour]:[Number]],MATCH(TblTech[[#Headers],[1-7]],TblTech[[Number]:[Number]],0),1)</f>
        <v>0</v>
      </c>
      <c r="T2" s="288">
        <f>INDEX(TblTech[[Activate @ hour]:[Number]],MATCH(TblTech[[#Headers],[1-8]],TblTech[[Number]:[Number]],0),1)</f>
        <v>0</v>
      </c>
      <c r="U2" s="288">
        <f>INDEX(TblTech[[Activate @ hour]:[Number]],MATCH(TblTech[[#Headers],[1-9]],TblTech[[Number]:[Number]],0),1)</f>
        <v>0</v>
      </c>
      <c r="V2" s="288">
        <f>INDEX(TblTech[[Activate @ hour]:[Number]],MATCH(TblTech[[#Headers],[1-10]],TblTech[[Number]:[Number]],0),1)</f>
        <v>0</v>
      </c>
      <c r="W2" s="288">
        <f>INDEX(TblTech[[Activate @ hour]:[Number]],MATCH(TblTech[[#Headers],[1-11]],TblTech[[Number]:[Number]],0),1)</f>
        <v>0</v>
      </c>
      <c r="X2" s="288">
        <f>INDEX(TblTech[[Activate @ hour]:[Number]],MATCH(TblTech[[#Headers],[2-1]],TblTech[[Number]:[Number]],0),1)</f>
        <v>0</v>
      </c>
      <c r="Y2" s="288">
        <f>INDEX(TblTech[[Activate @ hour]:[Number]],MATCH(TblTech[[#Headers],[2-2]],TblTech[[Number]:[Number]],0),1)</f>
        <v>0</v>
      </c>
      <c r="Z2" s="288">
        <f>INDEX(TblTech[[Activate @ hour]:[Number]],MATCH(TblTech[[#Headers],[2-3]],TblTech[[Number]:[Number]],0),1)</f>
        <v>0</v>
      </c>
      <c r="AA2" s="288">
        <f>INDEX(TblTech[[Activate @ hour]:[Number]],MATCH(TblTech[[#Headers],[2-4]],TblTech[[Number]:[Number]],0),1)</f>
        <v>0</v>
      </c>
      <c r="AB2" s="288">
        <f>INDEX(TblTech[[Activate @ hour]:[Number]],MATCH(TblTech[[#Headers],[2-5]],TblTech[[Number]:[Number]],0),1)</f>
        <v>0</v>
      </c>
      <c r="AC2" s="288">
        <f>INDEX(TblTech[[Activate @ hour]:[Number]],MATCH(TblTech[[#Headers],[2-6]],TblTech[[Number]:[Number]],0),1)</f>
        <v>0</v>
      </c>
      <c r="AD2" s="288">
        <f>INDEX(TblTech[[Activate @ hour]:[Number]],MATCH(TblTech[[#Headers],[2-7]],TblTech[[Number]:[Number]],0),1)</f>
        <v>0</v>
      </c>
      <c r="AE2" s="288">
        <f>INDEX(TblTech[[Activate @ hour]:[Number]],MATCH(TblTech[[#Headers],[2-8]],TblTech[[Number]:[Number]],0),1)</f>
        <v>0</v>
      </c>
      <c r="AF2" s="288">
        <f>INDEX(TblTech[[Activate @ hour]:[Number]],MATCH(TblTech[[#Headers],[2-9]],TblTech[[Number]:[Number]],0),1)</f>
        <v>0</v>
      </c>
      <c r="AG2" s="288">
        <f>INDEX(TblTech[[Activate @ hour]:[Number]],MATCH(TblTech[[#Headers],[2-10]],TblTech[[Number]:[Number]],0),1)</f>
        <v>0</v>
      </c>
      <c r="AH2" s="288">
        <f>INDEX(TblTech[[Activate @ hour]:[Number]],MATCH(TblTech[[#Headers],[3-1]],TblTech[[Number]:[Number]],0),1)</f>
        <v>0</v>
      </c>
      <c r="AI2" s="288">
        <f>INDEX(TblTech[[Activate @ hour]:[Number]],MATCH(TblTech[[#Headers],[3-2]],TblTech[[Number]:[Number]],0),1)</f>
        <v>0</v>
      </c>
      <c r="AJ2" s="288">
        <f>INDEX(TblTech[[Activate @ hour]:[Number]],MATCH(TblTech[[#Headers],[3-3]],TblTech[[Number]:[Number]],0),1)</f>
        <v>0</v>
      </c>
      <c r="AK2" s="288">
        <f>INDEX(TblTech[[Activate @ hour]:[Number]],MATCH(TblTech[[#Headers],[3-4]],TblTech[[Number]:[Number]],0),1)</f>
        <v>0</v>
      </c>
      <c r="AL2" s="288">
        <f>INDEX(TblTech[[Activate @ hour]:[Number]],MATCH(TblTech[[#Headers],[3-5]],TblTech[[Number]:[Number]],0),1)</f>
        <v>0</v>
      </c>
      <c r="AM2" s="288">
        <f>INDEX(TblTech[[Activate @ hour]:[Number]],MATCH(TblTech[[#Headers],[3-6]],TblTech[[Number]:[Number]],0),1)</f>
        <v>0</v>
      </c>
      <c r="AN2" s="288">
        <f>INDEX(TblTech[[Activate @ hour]:[Number]],MATCH(TblTech[[#Headers],[3-7]],TblTech[[Number]:[Number]],0),1)</f>
        <v>0</v>
      </c>
      <c r="AO2" s="288">
        <f>INDEX(TblTech[[Activate @ hour]:[Number]],MATCH(TblTech[[#Headers],[3-8]],TblTech[[Number]:[Number]],0),1)</f>
        <v>0</v>
      </c>
      <c r="AP2" s="288">
        <f>INDEX(TblTech[[Activate @ hour]:[Number]],MATCH(TblTech[[#Headers],[3-9]],TblTech[[Number]:[Number]],0),1)</f>
        <v>0</v>
      </c>
      <c r="AQ2" s="288">
        <f>INDEX(TblTech[[Activate @ hour]:[Number]],MATCH(TblTech[[#Headers],[4-1]],TblTech[[Number]:[Number]],0),1)</f>
        <v>0</v>
      </c>
      <c r="AR2" s="288">
        <f>INDEX(TblTech[[Activate @ hour]:[Number]],MATCH(TblTech[[#Headers],[4-2]],TblTech[[Number]:[Number]],0),1)</f>
        <v>0</v>
      </c>
      <c r="AS2" s="288">
        <f>INDEX(TblTech[[Activate @ hour]:[Number]],MATCH(TblTech[[#Headers],[4-3]],TblTech[[Number]:[Number]],0),1)</f>
        <v>0</v>
      </c>
      <c r="AT2" s="288">
        <f>INDEX(TblTech[[Activate @ hour]:[Number]],MATCH(TblTech[[#Headers],[4-4]],TblTech[[Number]:[Number]],0),1)</f>
        <v>0</v>
      </c>
      <c r="AU2" s="288">
        <f>INDEX(TblTech[[Activate @ hour]:[Number]],MATCH(TblTech[[#Headers],[4-5]],TblTech[[Number]:[Number]],0),1)</f>
        <v>0</v>
      </c>
      <c r="AV2" s="288">
        <f>INDEX(TblTech[[Activate @ hour]:[Number]],MATCH(TblTech[[#Headers],[4-6]],TblTech[[Number]:[Number]],0),1)</f>
        <v>0</v>
      </c>
      <c r="AW2" s="288">
        <f>INDEX(TblTech[[Activate @ hour]:[Number]],MATCH(TblTech[[#Headers],[4-7]],TblTech[[Number]:[Number]],0),1)</f>
        <v>0</v>
      </c>
      <c r="AX2" s="288">
        <f>INDEX(TblTech[[Activate @ hour]:[Number]],MATCH(TblTech[[#Headers],[4-8]],TblTech[[Number]:[Number]],0),1)</f>
        <v>0</v>
      </c>
      <c r="AY2" s="288">
        <f>INDEX(TblTech[[Activate @ hour]:[Number]],MATCH(TblTech[[#Headers],[5-1]],TblTech[[Number]:[Number]],0),1)</f>
        <v>0</v>
      </c>
      <c r="AZ2" s="288">
        <f>INDEX(TblTech[[Activate @ hour]:[Number]],MATCH(TblTech[[#Headers],[5-2]],TblTech[[Number]:[Number]],0),1)</f>
        <v>0</v>
      </c>
      <c r="BA2" s="288">
        <f>INDEX(TblTech[[Activate @ hour]:[Number]],MATCH(TblTech[[#Headers],[5-3]],TblTech[[Number]:[Number]],0),1)</f>
        <v>0</v>
      </c>
      <c r="BB2" s="288">
        <f>INDEX(TblTech[[Activate @ hour]:[Number]],MATCH(TblTech[[#Headers],[5-4]],TblTech[[Number]:[Number]],0),1)</f>
        <v>0</v>
      </c>
      <c r="BC2" s="288">
        <f>INDEX(TblTech[[Activate @ hour]:[Number]],MATCH(TblTech[[#Headers],[5-5]],TblTech[[Number]:[Number]],0),1)</f>
        <v>0</v>
      </c>
      <c r="BD2" s="288">
        <f>INDEX(TblTech[[Activate @ hour]:[Number]],MATCH(TblTech[[#Headers],[5-6]],TblTech[[Number]:[Number]],0),1)</f>
        <v>0</v>
      </c>
      <c r="BE2" s="288">
        <f>INDEX(TblTech[[Activate @ hour]:[Number]],MATCH(TblTech[[#Headers],[5-7]],TblTech[[Number]:[Number]],0),1)</f>
        <v>0</v>
      </c>
      <c r="BF2" s="288">
        <f>INDEX(TblTech[[Activate @ hour]:[Number]],MATCH(TblTech[[#Headers],[6-1]],TblTech[[Number]:[Number]],0),1)</f>
        <v>0</v>
      </c>
      <c r="BG2" s="288">
        <f>INDEX(TblTech[[Activate @ hour]:[Number]],MATCH(TblTech[[#Headers],[6-2]],TblTech[[Number]:[Number]],0),1)</f>
        <v>0</v>
      </c>
      <c r="BH2" s="288">
        <f>INDEX(TblTech[[Activate @ hour]:[Number]],MATCH(TblTech[[#Headers],[6-3]],TblTech[[Number]:[Number]],0),1)</f>
        <v>0</v>
      </c>
      <c r="BI2" s="288">
        <f>INDEX(TblTech[[Activate @ hour]:[Number]],MATCH(TblTech[[#Headers],[6-4]],TblTech[[Number]:[Number]],0),1)</f>
        <v>0</v>
      </c>
      <c r="BJ2" s="288">
        <f>INDEX(TblTech[[Activate @ hour]:[Number]],MATCH(TblTech[[#Headers],[6-5]],TblTech[[Number]:[Number]],0),1)</f>
        <v>0</v>
      </c>
      <c r="BK2" s="288">
        <f>INDEX(TblTech[[Activate @ hour]:[Number]],MATCH(TblTech[[#Headers],[6-6]],TblTech[[Number]:[Number]],0),1)</f>
        <v>0</v>
      </c>
      <c r="BL2" s="288">
        <f>INDEX(TblTech[[Activate @ hour]:[Number]],MATCH(TblTech[[#Headers],[7-1]],TblTech[[Number]:[Number]],0),1)</f>
        <v>0</v>
      </c>
      <c r="BM2" s="288">
        <f>INDEX(TblTech[[Activate @ hour]:[Number]],MATCH(TblTech[[#Headers],[7-2]],TblTech[[Number]:[Number]],0),1)</f>
        <v>0</v>
      </c>
      <c r="BN2" s="288">
        <f>INDEX(TblTech[[Activate @ hour]:[Number]],MATCH(TblTech[[#Headers],[7-3]],TblTech[[Number]:[Number]],0),1)</f>
        <v>0</v>
      </c>
      <c r="BO2" s="288">
        <f>INDEX(TblTech[[Activate @ hour]:[Number]],MATCH(TblTech[[#Headers],[7-4]],TblTech[[Number]:[Number]],0),1)</f>
        <v>0</v>
      </c>
      <c r="BP2" s="288">
        <f>INDEX(TblTech[[Activate @ hour]:[Number]],MATCH(TblTech[[#Headers],[7-5]],TblTech[[Number]:[Number]],0),1)</f>
        <v>0</v>
      </c>
      <c r="BQ2" s="288">
        <f>INDEX(TblTech[[Activate @ hour]:[Number]],MATCH(TblTech[[#Headers],[8-1]],TblTech[[Number]:[Number]],0),1)</f>
        <v>0</v>
      </c>
      <c r="BR2" s="288">
        <f>INDEX(TblTech[[Activate @ hour]:[Number]],MATCH(TblTech[[#Headers],[8-2]],TblTech[[Number]:[Number]],0),1)</f>
        <v>0</v>
      </c>
      <c r="BS2" s="288">
        <f>INDEX(TblTech[[Activate @ hour]:[Number]],MATCH(TblTech[[#Headers],[8-3]],TblTech[[Number]:[Number]],0),1)</f>
        <v>0</v>
      </c>
      <c r="BT2" s="288">
        <f>INDEX(TblTech[[Activate @ hour]:[Number]],MATCH(TblTech[[#Headers],[8-4]],TblTech[[Number]:[Number]],0),1)</f>
        <v>0</v>
      </c>
      <c r="BU2" s="288">
        <f>INDEX(TblTech[[Activate @ hour]:[Number]],MATCH(TblTech[[#Headers],[9-1]],TblTech[[Number]:[Number]],0),1)</f>
        <v>0</v>
      </c>
      <c r="BV2" s="288">
        <f>INDEX(TblTech[[Activate @ hour]:[Number]],MATCH(TblTech[[#Headers],[9-2]],TblTech[[Number]:[Number]],0),1)</f>
        <v>0</v>
      </c>
      <c r="BW2" s="288">
        <f>INDEX(TblTech[[Activate @ hour]:[Number]],MATCH(TblTech[[#Headers],[9-3]],TblTech[[Number]:[Number]],0),1)</f>
        <v>0</v>
      </c>
      <c r="BX2" s="288">
        <f>INDEX(TblTech[[Activate @ hour]:[Number]],MATCH(TblTech[[#Headers],[10-1]],TblTech[[Number]:[Number]],0),1)</f>
        <v>0</v>
      </c>
      <c r="BY2" s="288">
        <f>INDEX(TblTech[[Activate @ hour]:[Number]],MATCH(TblTech[[#Headers],[10-2]],TblTech[[Number]:[Number]],0),1)</f>
        <v>0</v>
      </c>
      <c r="BZ2" s="288">
        <f>INDEX(TblTech[[Activate @ hour]:[Number]],MATCH(TblTech[[#Headers],[11-1]],TblTech[[Number]:[Number]],0),1)</f>
        <v>0</v>
      </c>
    </row>
    <row r="3" spans="1:79" s="289" customFormat="1" ht="33.75" customHeight="1" x14ac:dyDescent="0.2">
      <c r="A3" s="289" t="s">
        <v>0</v>
      </c>
      <c r="B3" s="289" t="s">
        <v>1</v>
      </c>
      <c r="C3" s="289" t="s">
        <v>370</v>
      </c>
      <c r="D3" s="289" t="s">
        <v>33</v>
      </c>
      <c r="E3" s="289" t="s">
        <v>769</v>
      </c>
      <c r="F3" s="289" t="s">
        <v>1000</v>
      </c>
      <c r="G3" s="289" t="s">
        <v>929</v>
      </c>
      <c r="H3" s="289" t="s">
        <v>971</v>
      </c>
      <c r="I3" s="289" t="s">
        <v>972</v>
      </c>
      <c r="J3" s="289" t="s">
        <v>770</v>
      </c>
      <c r="K3" s="257" t="s">
        <v>771</v>
      </c>
      <c r="L3" s="289" t="s">
        <v>930</v>
      </c>
      <c r="M3" s="223" t="s">
        <v>536</v>
      </c>
      <c r="N3" s="223" t="s">
        <v>538</v>
      </c>
      <c r="O3" s="223" t="s">
        <v>539</v>
      </c>
      <c r="P3" s="223" t="s">
        <v>541</v>
      </c>
      <c r="Q3" s="223" t="s">
        <v>543</v>
      </c>
      <c r="R3" s="223" t="s">
        <v>544</v>
      </c>
      <c r="S3" s="223" t="s">
        <v>545</v>
      </c>
      <c r="T3" s="223" t="s">
        <v>546</v>
      </c>
      <c r="U3" s="223" t="s">
        <v>547</v>
      </c>
      <c r="V3" s="223" t="s">
        <v>549</v>
      </c>
      <c r="W3" s="223" t="s">
        <v>551</v>
      </c>
      <c r="X3" s="223" t="s">
        <v>552</v>
      </c>
      <c r="Y3" s="223" t="s">
        <v>553</v>
      </c>
      <c r="Z3" s="223" t="s">
        <v>554</v>
      </c>
      <c r="AA3" s="223" t="s">
        <v>556</v>
      </c>
      <c r="AB3" s="223" t="s">
        <v>557</v>
      </c>
      <c r="AC3" s="223" t="s">
        <v>558</v>
      </c>
      <c r="AD3" s="223" t="s">
        <v>560</v>
      </c>
      <c r="AE3" s="223" t="s">
        <v>562</v>
      </c>
      <c r="AF3" s="223" t="s">
        <v>563</v>
      </c>
      <c r="AG3" s="223" t="s">
        <v>564</v>
      </c>
      <c r="AH3" s="223" t="s">
        <v>566</v>
      </c>
      <c r="AI3" s="223" t="s">
        <v>568</v>
      </c>
      <c r="AJ3" s="223" t="s">
        <v>570</v>
      </c>
      <c r="AK3" s="223" t="s">
        <v>571</v>
      </c>
      <c r="AL3" s="223" t="s">
        <v>572</v>
      </c>
      <c r="AM3" s="223" t="s">
        <v>573</v>
      </c>
      <c r="AN3" s="223" t="s">
        <v>574</v>
      </c>
      <c r="AO3" s="223" t="s">
        <v>575</v>
      </c>
      <c r="AP3" s="223" t="s">
        <v>576</v>
      </c>
      <c r="AQ3" s="223" t="s">
        <v>578</v>
      </c>
      <c r="AR3" s="223" t="s">
        <v>579</v>
      </c>
      <c r="AS3" s="223" t="s">
        <v>580</v>
      </c>
      <c r="AT3" s="223" t="s">
        <v>581</v>
      </c>
      <c r="AU3" s="223" t="s">
        <v>582</v>
      </c>
      <c r="AV3" s="223" t="s">
        <v>583</v>
      </c>
      <c r="AW3" s="223" t="s">
        <v>585</v>
      </c>
      <c r="AX3" s="223" t="s">
        <v>586</v>
      </c>
      <c r="AY3" s="223" t="s">
        <v>587</v>
      </c>
      <c r="AZ3" s="223" t="s">
        <v>588</v>
      </c>
      <c r="BA3" s="223" t="s">
        <v>589</v>
      </c>
      <c r="BB3" s="223" t="s">
        <v>590</v>
      </c>
      <c r="BC3" s="223" t="s">
        <v>591</v>
      </c>
      <c r="BD3" s="223" t="s">
        <v>592</v>
      </c>
      <c r="BE3" s="223" t="s">
        <v>593</v>
      </c>
      <c r="BF3" s="223" t="s">
        <v>594</v>
      </c>
      <c r="BG3" s="223" t="s">
        <v>595</v>
      </c>
      <c r="BH3" s="223" t="s">
        <v>597</v>
      </c>
      <c r="BI3" s="223" t="s">
        <v>598</v>
      </c>
      <c r="BJ3" s="223" t="s">
        <v>600</v>
      </c>
      <c r="BK3" s="223" t="s">
        <v>601</v>
      </c>
      <c r="BL3" s="223" t="s">
        <v>602</v>
      </c>
      <c r="BM3" s="223" t="s">
        <v>604</v>
      </c>
      <c r="BN3" s="223" t="s">
        <v>606</v>
      </c>
      <c r="BO3" s="223" t="s">
        <v>607</v>
      </c>
      <c r="BP3" s="223" t="s">
        <v>608</v>
      </c>
      <c r="BQ3" s="223" t="s">
        <v>610</v>
      </c>
      <c r="BR3" s="223" t="s">
        <v>611</v>
      </c>
      <c r="BS3" s="223" t="s">
        <v>613</v>
      </c>
      <c r="BT3" s="223" t="s">
        <v>615</v>
      </c>
      <c r="BU3" s="223" t="s">
        <v>616</v>
      </c>
      <c r="BV3" s="223" t="s">
        <v>618</v>
      </c>
      <c r="BW3" s="223" t="s">
        <v>619</v>
      </c>
      <c r="BX3" s="223" t="s">
        <v>620</v>
      </c>
      <c r="BY3" s="223" t="s">
        <v>622</v>
      </c>
      <c r="BZ3" s="223" t="s">
        <v>623</v>
      </c>
      <c r="CA3" s="223" t="s">
        <v>677</v>
      </c>
    </row>
    <row r="4" spans="1:79" x14ac:dyDescent="0.2">
      <c r="A4" s="290">
        <f>TblRezone[[#This Row],[Hour]]</f>
        <v>1</v>
      </c>
      <c r="B4" s="291">
        <f ca="1">TblExplore[[#This Row],[Land-DB]]</f>
        <v>250</v>
      </c>
      <c r="C4" s="292">
        <f ca="1">TblProd[[#This Row],[Techpoints]]</f>
        <v>0</v>
      </c>
      <c r="D4" s="292">
        <f ca="1">TblProd[[#This Row],[Required]]</f>
        <v>3750</v>
      </c>
      <c r="E4" s="293"/>
      <c r="F4" s="294"/>
      <c r="G4" s="295" t="s">
        <v>536</v>
      </c>
      <c r="H4" s="296" t="s">
        <v>678</v>
      </c>
      <c r="I4" s="295" t="s">
        <v>537</v>
      </c>
      <c r="J4" s="291"/>
      <c r="K4" s="95">
        <f>TblTech[[#This Row],[Sum of tech]]</f>
        <v>0</v>
      </c>
      <c r="L4" s="297">
        <f>COUNTIF(TblTech[[#This Row],[1-1]:[11-1]],1)</f>
        <v>0</v>
      </c>
      <c r="M4" s="298" cm="1">
        <f t="array" ref="M4">IF(AND(M$2&lt;&gt;0,TblTech[[#This Row],[Hour]:[Hour]]&gt;=M$2),1,0)</f>
        <v>0</v>
      </c>
      <c r="N4" s="298" cm="1">
        <f t="array" ref="N4">IF(AND(N$2&lt;&gt;0,TblTech[[#This Row],[Hour]:[Hour]]&gt;=N$2),1,0)</f>
        <v>0</v>
      </c>
      <c r="O4" s="298" cm="1">
        <f t="array" ref="O4">IF(AND(O$2&lt;&gt;0,TblTech[[#This Row],[Hour]:[Hour]]&gt;=O$2),1,0)</f>
        <v>0</v>
      </c>
      <c r="P4" s="298" cm="1">
        <f t="array" ref="P4">IF(AND(P$2&lt;&gt;0,TblTech[[#This Row],[Hour]:[Hour]]&gt;=P$2),1,0)</f>
        <v>0</v>
      </c>
      <c r="Q4" s="298" cm="1">
        <f t="array" ref="Q4">IF(AND(Q$2&lt;&gt;0,TblTech[[#This Row],[Hour]:[Hour]]&gt;=Q$2),1,0)</f>
        <v>0</v>
      </c>
      <c r="R4" s="298" cm="1">
        <f t="array" ref="R4">IF(AND(R$2&lt;&gt;0,TblTech[[#This Row],[Hour]:[Hour]]&gt;=R$2),1,0)</f>
        <v>0</v>
      </c>
      <c r="S4" s="298" cm="1">
        <f t="array" ref="S4">IF(AND(S$2&lt;&gt;0,TblTech[[#This Row],[Hour]:[Hour]]&gt;=S$2),1,0)</f>
        <v>0</v>
      </c>
      <c r="T4" s="298" cm="1">
        <f t="array" ref="T4">IF(AND(T$2&lt;&gt;0,TblTech[[#This Row],[Hour]:[Hour]]&gt;=T$2),1,0)</f>
        <v>0</v>
      </c>
      <c r="U4" s="298" cm="1">
        <f t="array" ref="U4">IF(AND(U$2&lt;&gt;0,TblTech[[#This Row],[Hour]:[Hour]]&gt;=U$2),1,0)</f>
        <v>0</v>
      </c>
      <c r="V4" s="298" cm="1">
        <f t="array" ref="V4">IF(AND(V$2&lt;&gt;0,TblTech[[#This Row],[Hour]:[Hour]]&gt;=V$2),1,0)</f>
        <v>0</v>
      </c>
      <c r="W4" s="298" cm="1">
        <f t="array" ref="W4">IF(AND(W$2&lt;&gt;0,TblTech[[#This Row],[Hour]:[Hour]]&gt;=W$2),1,0)</f>
        <v>0</v>
      </c>
      <c r="X4" s="298" cm="1">
        <f t="array" ref="X4">IF(AND(X$2&lt;&gt;0,TblTech[[#This Row],[Hour]:[Hour]]&gt;=X$2),1,0)</f>
        <v>0</v>
      </c>
      <c r="Y4" s="298" cm="1">
        <f t="array" ref="Y4">IF(AND(Y$2&lt;&gt;0,TblTech[[#This Row],[Hour]:[Hour]]&gt;=Y$2),1,0)</f>
        <v>0</v>
      </c>
      <c r="Z4" s="298" cm="1">
        <f t="array" ref="Z4">IF(AND(Z$2&lt;&gt;0,TblTech[[#This Row],[Hour]:[Hour]]&gt;=Z$2),1,0)</f>
        <v>0</v>
      </c>
      <c r="AA4" s="298" cm="1">
        <f t="array" ref="AA4">IF(AND(AA$2&lt;&gt;0,TblTech[[#This Row],[Hour]:[Hour]]&gt;=AA$2),1,0)</f>
        <v>0</v>
      </c>
      <c r="AB4" s="298" cm="1">
        <f t="array" ref="AB4">IF(AND(AB$2&lt;&gt;0,TblTech[[#This Row],[Hour]:[Hour]]&gt;=AB$2),1,0)</f>
        <v>0</v>
      </c>
      <c r="AC4" s="298" cm="1">
        <f t="array" ref="AC4">IF(AND(AC$2&lt;&gt;0,TblTech[[#This Row],[Hour]:[Hour]]&gt;=AC$2),1,0)</f>
        <v>0</v>
      </c>
      <c r="AD4" s="298" cm="1">
        <f t="array" ref="AD4">IF(AND(AD$2&lt;&gt;0,TblTech[[#This Row],[Hour]:[Hour]]&gt;=AD$2),1,0)</f>
        <v>0</v>
      </c>
      <c r="AE4" s="298" cm="1">
        <f t="array" ref="AE4">IF(AND(AE$2&lt;&gt;0,TblTech[[#This Row],[Hour]:[Hour]]&gt;=AE$2),1,0)</f>
        <v>0</v>
      </c>
      <c r="AF4" s="298" cm="1">
        <f t="array" ref="AF4">IF(AND(AF$2&lt;&gt;0,TblTech[[#This Row],[Hour]:[Hour]]&gt;=AF$2),1,0)</f>
        <v>0</v>
      </c>
      <c r="AG4" s="298" cm="1">
        <f t="array" ref="AG4">IF(AND(AG$2&lt;&gt;0,TblTech[[#This Row],[Hour]:[Hour]]&gt;=AG$2),1,0)</f>
        <v>0</v>
      </c>
      <c r="AH4" s="298" cm="1">
        <f t="array" ref="AH4">IF(AND(AH$2&lt;&gt;0,TblTech[[#This Row],[Hour]:[Hour]]&gt;=AH$2),1,0)</f>
        <v>0</v>
      </c>
      <c r="AI4" s="298" cm="1">
        <f t="array" ref="AI4">IF(AND(AI$2&lt;&gt;0,TblTech[[#This Row],[Hour]:[Hour]]&gt;=AI$2),1,0)</f>
        <v>0</v>
      </c>
      <c r="AJ4" s="298" cm="1">
        <f t="array" ref="AJ4">IF(AND(AJ$2&lt;&gt;0,TblTech[[#This Row],[Hour]:[Hour]]&gt;=AJ$2),1,0)</f>
        <v>0</v>
      </c>
      <c r="AK4" s="298" cm="1">
        <f t="array" ref="AK4">IF(AND(AK$2&lt;&gt;0,TblTech[[#This Row],[Hour]:[Hour]]&gt;=AK$2),1,0)</f>
        <v>0</v>
      </c>
      <c r="AL4" s="298" cm="1">
        <f t="array" ref="AL4">IF(AND(AL$2&lt;&gt;0,TblTech[[#This Row],[Hour]:[Hour]]&gt;=AL$2),1,0)</f>
        <v>0</v>
      </c>
      <c r="AM4" s="298" cm="1">
        <f t="array" ref="AM4">IF(AND(AM$2&lt;&gt;0,TblTech[[#This Row],[Hour]:[Hour]]&gt;=AM$2),1,0)</f>
        <v>0</v>
      </c>
      <c r="AN4" s="298" cm="1">
        <f t="array" ref="AN4">IF(AND(AN$2&lt;&gt;0,TblTech[[#This Row],[Hour]:[Hour]]&gt;=AN$2),1,0)</f>
        <v>0</v>
      </c>
      <c r="AO4" s="298" cm="1">
        <f t="array" ref="AO4">IF(AND(AO$2&lt;&gt;0,TblTech[[#This Row],[Hour]:[Hour]]&gt;=AO$2),1,0)</f>
        <v>0</v>
      </c>
      <c r="AP4" s="298" cm="1">
        <f t="array" ref="AP4">IF(AND(AP$2&lt;&gt;0,TblTech[[#This Row],[Hour]:[Hour]]&gt;=AP$2),1,0)</f>
        <v>0</v>
      </c>
      <c r="AQ4" s="298" cm="1">
        <f t="array" ref="AQ4">IF(AND(AQ$2&lt;&gt;0,TblTech[[#This Row],[Hour]:[Hour]]&gt;=AQ$2),1,0)</f>
        <v>0</v>
      </c>
      <c r="AR4" s="298" cm="1">
        <f t="array" ref="AR4">IF(AND(AR$2&lt;&gt;0,TblTech[[#This Row],[Hour]:[Hour]]&gt;=AR$2),1,0)</f>
        <v>0</v>
      </c>
      <c r="AS4" s="298" cm="1">
        <f t="array" ref="AS4">IF(AND(AS$2&lt;&gt;0,TblTech[[#This Row],[Hour]:[Hour]]&gt;=AS$2),1,0)</f>
        <v>0</v>
      </c>
      <c r="AT4" s="298" cm="1">
        <f t="array" ref="AT4">IF(AND(AT$2&lt;&gt;0,TblTech[[#This Row],[Hour]:[Hour]]&gt;=AT$2),1,0)</f>
        <v>0</v>
      </c>
      <c r="AU4" s="298" cm="1">
        <f t="array" ref="AU4">IF(AND(AU$2&lt;&gt;0,TblTech[[#This Row],[Hour]:[Hour]]&gt;=AU$2),1,0)</f>
        <v>0</v>
      </c>
      <c r="AV4" s="298" cm="1">
        <f t="array" ref="AV4">IF(AND(AV$2&lt;&gt;0,TblTech[[#This Row],[Hour]:[Hour]]&gt;=AV$2),1,0)</f>
        <v>0</v>
      </c>
      <c r="AW4" s="298" cm="1">
        <f t="array" ref="AW4">IF(AND(AW$2&lt;&gt;0,TblTech[[#This Row],[Hour]:[Hour]]&gt;=AW$2),1,0)</f>
        <v>0</v>
      </c>
      <c r="AX4" s="298" cm="1">
        <f t="array" ref="AX4">IF(AND(AX$2&lt;&gt;0,TblTech[[#This Row],[Hour]:[Hour]]&gt;=AX$2),1,0)</f>
        <v>0</v>
      </c>
      <c r="AY4" s="298" cm="1">
        <f t="array" ref="AY4">IF(AND(AY$2&lt;&gt;0,TblTech[[#This Row],[Hour]:[Hour]]&gt;=AY$2),1,0)</f>
        <v>0</v>
      </c>
      <c r="AZ4" s="298" cm="1">
        <f t="array" ref="AZ4">IF(AND(AZ$2&lt;&gt;0,TblTech[[#This Row],[Hour]:[Hour]]&gt;=AZ$2),1,0)</f>
        <v>0</v>
      </c>
      <c r="BA4" s="298" cm="1">
        <f t="array" ref="BA4">IF(AND(BA$2&lt;&gt;0,TblTech[[#This Row],[Hour]:[Hour]]&gt;=BA$2),1,0)</f>
        <v>0</v>
      </c>
      <c r="BB4" s="298" cm="1">
        <f t="array" ref="BB4">IF(AND(BB$2&lt;&gt;0,TblTech[[#This Row],[Hour]:[Hour]]&gt;=BB$2),1,0)</f>
        <v>0</v>
      </c>
      <c r="BC4" s="298" cm="1">
        <f t="array" ref="BC4">IF(AND(BC$2&lt;&gt;0,TblTech[[#This Row],[Hour]:[Hour]]&gt;=BC$2),1,0)</f>
        <v>0</v>
      </c>
      <c r="BD4" s="298" cm="1">
        <f t="array" ref="BD4">IF(AND(BD$2&lt;&gt;0,TblTech[[#This Row],[Hour]:[Hour]]&gt;=BD$2),1,0)</f>
        <v>0</v>
      </c>
      <c r="BE4" s="298" cm="1">
        <f t="array" ref="BE4">IF(AND(BE$2&lt;&gt;0,TblTech[[#This Row],[Hour]:[Hour]]&gt;=BE$2),1,0)</f>
        <v>0</v>
      </c>
      <c r="BF4" s="298" cm="1">
        <f t="array" ref="BF4">IF(AND(BF$2&lt;&gt;0,TblTech[[#This Row],[Hour]:[Hour]]&gt;=BF$2),1,0)</f>
        <v>0</v>
      </c>
      <c r="BG4" s="298" cm="1">
        <f t="array" ref="BG4">IF(AND(BG$2&lt;&gt;0,TblTech[[#This Row],[Hour]:[Hour]]&gt;=BG$2),1,0)</f>
        <v>0</v>
      </c>
      <c r="BH4" s="298" cm="1">
        <f t="array" ref="BH4">IF(AND(BH$2&lt;&gt;0,TblTech[[#This Row],[Hour]:[Hour]]&gt;=BH$2),1,0)</f>
        <v>0</v>
      </c>
      <c r="BI4" s="298" cm="1">
        <f t="array" ref="BI4">IF(AND(BI$2&lt;&gt;0,TblTech[[#This Row],[Hour]:[Hour]]&gt;=BI$2),1,0)</f>
        <v>0</v>
      </c>
      <c r="BJ4" s="298" cm="1">
        <f t="array" ref="BJ4">IF(AND(BJ$2&lt;&gt;0,TblTech[[#This Row],[Hour]:[Hour]]&gt;=BJ$2),1,0)</f>
        <v>0</v>
      </c>
      <c r="BK4" s="298" cm="1">
        <f t="array" ref="BK4">IF(AND(BK$2&lt;&gt;0,TblTech[[#This Row],[Hour]:[Hour]]&gt;=BK$2),1,0)</f>
        <v>0</v>
      </c>
      <c r="BL4" s="298" cm="1">
        <f t="array" ref="BL4">IF(AND(BL$2&lt;&gt;0,TblTech[[#This Row],[Hour]:[Hour]]&gt;=BL$2),1,0)</f>
        <v>0</v>
      </c>
      <c r="BM4" s="298" cm="1">
        <f t="array" ref="BM4">IF(AND(BM$2&lt;&gt;0,TblTech[[#This Row],[Hour]:[Hour]]&gt;=BM$2),1,0)</f>
        <v>0</v>
      </c>
      <c r="BN4" s="298" cm="1">
        <f t="array" ref="BN4">IF(AND(BN$2&lt;&gt;0,TblTech[[#This Row],[Hour]:[Hour]]&gt;=BN$2),1,0)</f>
        <v>0</v>
      </c>
      <c r="BO4" s="298" cm="1">
        <f t="array" ref="BO4">IF(AND(BO$2&lt;&gt;0,TblTech[[#This Row],[Hour]:[Hour]]&gt;=BO$2),1,0)</f>
        <v>0</v>
      </c>
      <c r="BP4" s="298" cm="1">
        <f t="array" ref="BP4">IF(AND(BP$2&lt;&gt;0,TblTech[[#This Row],[Hour]:[Hour]]&gt;=BP$2),1,0)</f>
        <v>0</v>
      </c>
      <c r="BQ4" s="298" cm="1">
        <f t="array" ref="BQ4">IF(AND(BQ$2&lt;&gt;0,TblTech[[#This Row],[Hour]:[Hour]]&gt;=BQ$2),1,0)</f>
        <v>0</v>
      </c>
      <c r="BR4" s="298" cm="1">
        <f t="array" ref="BR4">IF(AND(BR$2&lt;&gt;0,TblTech[[#This Row],[Hour]:[Hour]]&gt;=BR$2),1,0)</f>
        <v>0</v>
      </c>
      <c r="BS4" s="298" cm="1">
        <f t="array" ref="BS4">IF(AND(BS$2&lt;&gt;0,TblTech[[#This Row],[Hour]:[Hour]]&gt;=BS$2),1,0)</f>
        <v>0</v>
      </c>
      <c r="BT4" s="298" cm="1">
        <f t="array" ref="BT4">IF(AND(BT$2&lt;&gt;0,TblTech[[#This Row],[Hour]:[Hour]]&gt;=BT$2),1,0)</f>
        <v>0</v>
      </c>
      <c r="BU4" s="298" cm="1">
        <f t="array" ref="BU4">IF(AND(BU$2&lt;&gt;0,TblTech[[#This Row],[Hour]:[Hour]]&gt;=BU$2),1,0)</f>
        <v>0</v>
      </c>
      <c r="BV4" s="298" cm="1">
        <f t="array" ref="BV4">IF(AND(BV$2&lt;&gt;0,TblTech[[#This Row],[Hour]:[Hour]]&gt;=BV$2),1,0)</f>
        <v>0</v>
      </c>
      <c r="BW4" s="298" cm="1">
        <f t="array" ref="BW4">IF(AND(BW$2&lt;&gt;0,TblTech[[#This Row],[Hour]:[Hour]]&gt;=BW$2),1,0)</f>
        <v>0</v>
      </c>
      <c r="BX4" s="298" cm="1">
        <f t="array" ref="BX4">IF(AND(BX$2&lt;&gt;0,TblTech[[#This Row],[Hour]:[Hour]]&gt;=BX$2),1,0)</f>
        <v>0</v>
      </c>
      <c r="BY4" s="298" cm="1">
        <f t="array" ref="BY4">IF(AND(BY$2&lt;&gt;0,TblTech[[#This Row],[Hour]:[Hour]]&gt;=BY$2),1,0)</f>
        <v>0</v>
      </c>
      <c r="BZ4" s="298" cm="1">
        <f t="array" ref="BZ4">IF(AND(BZ$2&lt;&gt;0,TblTech[[#This Row],[Hour]:[Hour]]&gt;=BZ$2),1,0)</f>
        <v>0</v>
      </c>
      <c r="CA4" s="402">
        <f>IFERROR(INDEX($H$4:$H$79,MATCH(INDEX(TblTech[[#Headers],[1-1]:[11-1]],1,MATCH(TblTech[[#This Row],[Hour]],$M$2:$BZ$2,0)),$G$4:$G$79,0)),)</f>
        <v>0</v>
      </c>
    </row>
    <row r="5" spans="1:79" x14ac:dyDescent="0.2">
      <c r="A5" s="290">
        <f>TblRezone[[#This Row],[Hour]]</f>
        <v>2</v>
      </c>
      <c r="B5" s="291">
        <f ca="1">TblExplore[[#This Row],[Land-DB]]</f>
        <v>250</v>
      </c>
      <c r="C5" s="292">
        <f ca="1">TblProd[[#This Row],[Techpoints]]</f>
        <v>0</v>
      </c>
      <c r="D5" s="292">
        <f ca="1">TblProd[[#This Row],[Required]]</f>
        <v>3750</v>
      </c>
      <c r="E5" s="293"/>
      <c r="F5" s="294"/>
      <c r="G5" s="295" t="s">
        <v>538</v>
      </c>
      <c r="H5" s="296" t="s">
        <v>679</v>
      </c>
      <c r="I5" s="295" t="s">
        <v>1097</v>
      </c>
      <c r="J5" s="291"/>
      <c r="K5" s="95">
        <f ca="1">IF(TblTech[[#This Row],[Sum of tech]]&lt;&gt;OFFSET(TblTech[[#This Row],[Sum of tech]],-1,0),1,0)</f>
        <v>0</v>
      </c>
      <c r="L5" s="297">
        <f>COUNTIF(TblTech[[#This Row],[1-1]:[11-1]],1)</f>
        <v>0</v>
      </c>
      <c r="M5" s="298" cm="1">
        <f t="array" ref="M5">IF(AND(M$2&lt;&gt;0,TblTech[[#This Row],[Hour]:[Hour]]&gt;=M$2),1,0)</f>
        <v>0</v>
      </c>
      <c r="N5" s="298" cm="1">
        <f t="array" ref="N5">IF(AND(N$2&lt;&gt;0,TblTech[[#This Row],[Hour]:[Hour]]&gt;=N$2),1,0)</f>
        <v>0</v>
      </c>
      <c r="O5" s="298" cm="1">
        <f t="array" ref="O5">IF(AND(O$2&lt;&gt;0,TblTech[[#This Row],[Hour]:[Hour]]&gt;=O$2),1,0)</f>
        <v>0</v>
      </c>
      <c r="P5" s="298" cm="1">
        <f t="array" ref="P5">IF(AND(P$2&lt;&gt;0,TblTech[[#This Row],[Hour]:[Hour]]&gt;=P$2),1,0)</f>
        <v>0</v>
      </c>
      <c r="Q5" s="298" cm="1">
        <f t="array" ref="Q5">IF(AND(Q$2&lt;&gt;0,TblTech[[#This Row],[Hour]:[Hour]]&gt;=Q$2),1,0)</f>
        <v>0</v>
      </c>
      <c r="R5" s="298" cm="1">
        <f t="array" ref="R5">IF(AND(R$2&lt;&gt;0,TblTech[[#This Row],[Hour]:[Hour]]&gt;=R$2),1,0)</f>
        <v>0</v>
      </c>
      <c r="S5" s="298" cm="1">
        <f t="array" ref="S5">IF(AND(S$2&lt;&gt;0,TblTech[[#This Row],[Hour]:[Hour]]&gt;=S$2),1,0)</f>
        <v>0</v>
      </c>
      <c r="T5" s="298" cm="1">
        <f t="array" ref="T5">IF(AND(T$2&lt;&gt;0,TblTech[[#This Row],[Hour]:[Hour]]&gt;=T$2),1,0)</f>
        <v>0</v>
      </c>
      <c r="U5" s="298" cm="1">
        <f t="array" ref="U5">IF(AND(U$2&lt;&gt;0,TblTech[[#This Row],[Hour]:[Hour]]&gt;=U$2),1,0)</f>
        <v>0</v>
      </c>
      <c r="V5" s="298" cm="1">
        <f t="array" ref="V5">IF(AND(V$2&lt;&gt;0,TblTech[[#This Row],[Hour]:[Hour]]&gt;=V$2),1,0)</f>
        <v>0</v>
      </c>
      <c r="W5" s="298" cm="1">
        <f t="array" ref="W5">IF(AND(W$2&lt;&gt;0,TblTech[[#This Row],[Hour]:[Hour]]&gt;=W$2),1,0)</f>
        <v>0</v>
      </c>
      <c r="X5" s="298" cm="1">
        <f t="array" ref="X5">IF(AND(X$2&lt;&gt;0,TblTech[[#This Row],[Hour]:[Hour]]&gt;=X$2),1,0)</f>
        <v>0</v>
      </c>
      <c r="Y5" s="298" cm="1">
        <f t="array" ref="Y5">IF(AND(Y$2&lt;&gt;0,TblTech[[#This Row],[Hour]:[Hour]]&gt;=Y$2),1,0)</f>
        <v>0</v>
      </c>
      <c r="Z5" s="298" cm="1">
        <f t="array" ref="Z5">IF(AND(Z$2&lt;&gt;0,TblTech[[#This Row],[Hour]:[Hour]]&gt;=Z$2),1,0)</f>
        <v>0</v>
      </c>
      <c r="AA5" s="298" cm="1">
        <f t="array" ref="AA5">IF(AND(AA$2&lt;&gt;0,TblTech[[#This Row],[Hour]:[Hour]]&gt;=AA$2),1,0)</f>
        <v>0</v>
      </c>
      <c r="AB5" s="298" cm="1">
        <f t="array" ref="AB5">IF(AND(AB$2&lt;&gt;0,TblTech[[#This Row],[Hour]:[Hour]]&gt;=AB$2),1,0)</f>
        <v>0</v>
      </c>
      <c r="AC5" s="298" cm="1">
        <f t="array" ref="AC5">IF(AND(AC$2&lt;&gt;0,TblTech[[#This Row],[Hour]:[Hour]]&gt;=AC$2),1,0)</f>
        <v>0</v>
      </c>
      <c r="AD5" s="298" cm="1">
        <f t="array" ref="AD5">IF(AND(AD$2&lt;&gt;0,TblTech[[#This Row],[Hour]:[Hour]]&gt;=AD$2),1,0)</f>
        <v>0</v>
      </c>
      <c r="AE5" s="298" cm="1">
        <f t="array" ref="AE5">IF(AND(AE$2&lt;&gt;0,TblTech[[#This Row],[Hour]:[Hour]]&gt;=AE$2),1,0)</f>
        <v>0</v>
      </c>
      <c r="AF5" s="298" cm="1">
        <f t="array" ref="AF5">IF(AND(AF$2&lt;&gt;0,TblTech[[#This Row],[Hour]:[Hour]]&gt;=AF$2),1,0)</f>
        <v>0</v>
      </c>
      <c r="AG5" s="298" cm="1">
        <f t="array" ref="AG5">IF(AND(AG$2&lt;&gt;0,TblTech[[#This Row],[Hour]:[Hour]]&gt;=AG$2),1,0)</f>
        <v>0</v>
      </c>
      <c r="AH5" s="298" cm="1">
        <f t="array" ref="AH5">IF(AND(AH$2&lt;&gt;0,TblTech[[#This Row],[Hour]:[Hour]]&gt;=AH$2),1,0)</f>
        <v>0</v>
      </c>
      <c r="AI5" s="298" cm="1">
        <f t="array" ref="AI5">IF(AND(AI$2&lt;&gt;0,TblTech[[#This Row],[Hour]:[Hour]]&gt;=AI$2),1,0)</f>
        <v>0</v>
      </c>
      <c r="AJ5" s="298" cm="1">
        <f t="array" ref="AJ5">IF(AND(AJ$2&lt;&gt;0,TblTech[[#This Row],[Hour]:[Hour]]&gt;=AJ$2),1,0)</f>
        <v>0</v>
      </c>
      <c r="AK5" s="298" cm="1">
        <f t="array" ref="AK5">IF(AND(AK$2&lt;&gt;0,TblTech[[#This Row],[Hour]:[Hour]]&gt;=AK$2),1,0)</f>
        <v>0</v>
      </c>
      <c r="AL5" s="298" cm="1">
        <f t="array" ref="AL5">IF(AND(AL$2&lt;&gt;0,TblTech[[#This Row],[Hour]:[Hour]]&gt;=AL$2),1,0)</f>
        <v>0</v>
      </c>
      <c r="AM5" s="298" cm="1">
        <f t="array" ref="AM5">IF(AND(AM$2&lt;&gt;0,TblTech[[#This Row],[Hour]:[Hour]]&gt;=AM$2),1,0)</f>
        <v>0</v>
      </c>
      <c r="AN5" s="298" cm="1">
        <f t="array" ref="AN5">IF(AND(AN$2&lt;&gt;0,TblTech[[#This Row],[Hour]:[Hour]]&gt;=AN$2),1,0)</f>
        <v>0</v>
      </c>
      <c r="AO5" s="298" cm="1">
        <f t="array" ref="AO5">IF(AND(AO$2&lt;&gt;0,TblTech[[#This Row],[Hour]:[Hour]]&gt;=AO$2),1,0)</f>
        <v>0</v>
      </c>
      <c r="AP5" s="298" cm="1">
        <f t="array" ref="AP5">IF(AND(AP$2&lt;&gt;0,TblTech[[#This Row],[Hour]:[Hour]]&gt;=AP$2),1,0)</f>
        <v>0</v>
      </c>
      <c r="AQ5" s="298" cm="1">
        <f t="array" ref="AQ5">IF(AND(AQ$2&lt;&gt;0,TblTech[[#This Row],[Hour]:[Hour]]&gt;=AQ$2),1,0)</f>
        <v>0</v>
      </c>
      <c r="AR5" s="298" cm="1">
        <f t="array" ref="AR5">IF(AND(AR$2&lt;&gt;0,TblTech[[#This Row],[Hour]:[Hour]]&gt;=AR$2),1,0)</f>
        <v>0</v>
      </c>
      <c r="AS5" s="298" cm="1">
        <f t="array" ref="AS5">IF(AND(AS$2&lt;&gt;0,TblTech[[#This Row],[Hour]:[Hour]]&gt;=AS$2),1,0)</f>
        <v>0</v>
      </c>
      <c r="AT5" s="298" cm="1">
        <f t="array" ref="AT5">IF(AND(AT$2&lt;&gt;0,TblTech[[#This Row],[Hour]:[Hour]]&gt;=AT$2),1,0)</f>
        <v>0</v>
      </c>
      <c r="AU5" s="298" cm="1">
        <f t="array" ref="AU5">IF(AND(AU$2&lt;&gt;0,TblTech[[#This Row],[Hour]:[Hour]]&gt;=AU$2),1,0)</f>
        <v>0</v>
      </c>
      <c r="AV5" s="298" cm="1">
        <f t="array" ref="AV5">IF(AND(AV$2&lt;&gt;0,TblTech[[#This Row],[Hour]:[Hour]]&gt;=AV$2),1,0)</f>
        <v>0</v>
      </c>
      <c r="AW5" s="298" cm="1">
        <f t="array" ref="AW5">IF(AND(AW$2&lt;&gt;0,TblTech[[#This Row],[Hour]:[Hour]]&gt;=AW$2),1,0)</f>
        <v>0</v>
      </c>
      <c r="AX5" s="298" cm="1">
        <f t="array" ref="AX5">IF(AND(AX$2&lt;&gt;0,TblTech[[#This Row],[Hour]:[Hour]]&gt;=AX$2),1,0)</f>
        <v>0</v>
      </c>
      <c r="AY5" s="298" cm="1">
        <f t="array" ref="AY5">IF(AND(AY$2&lt;&gt;0,TblTech[[#This Row],[Hour]:[Hour]]&gt;=AY$2),1,0)</f>
        <v>0</v>
      </c>
      <c r="AZ5" s="298" cm="1">
        <f t="array" ref="AZ5">IF(AND(AZ$2&lt;&gt;0,TblTech[[#This Row],[Hour]:[Hour]]&gt;=AZ$2),1,0)</f>
        <v>0</v>
      </c>
      <c r="BA5" s="298" cm="1">
        <f t="array" ref="BA5">IF(AND(BA$2&lt;&gt;0,TblTech[[#This Row],[Hour]:[Hour]]&gt;=BA$2),1,0)</f>
        <v>0</v>
      </c>
      <c r="BB5" s="298" cm="1">
        <f t="array" ref="BB5">IF(AND(BB$2&lt;&gt;0,TblTech[[#This Row],[Hour]:[Hour]]&gt;=BB$2),1,0)</f>
        <v>0</v>
      </c>
      <c r="BC5" s="298" cm="1">
        <f t="array" ref="BC5">IF(AND(BC$2&lt;&gt;0,TblTech[[#This Row],[Hour]:[Hour]]&gt;=BC$2),1,0)</f>
        <v>0</v>
      </c>
      <c r="BD5" s="298" cm="1">
        <f t="array" ref="BD5">IF(AND(BD$2&lt;&gt;0,TblTech[[#This Row],[Hour]:[Hour]]&gt;=BD$2),1,0)</f>
        <v>0</v>
      </c>
      <c r="BE5" s="298" cm="1">
        <f t="array" ref="BE5">IF(AND(BE$2&lt;&gt;0,TblTech[[#This Row],[Hour]:[Hour]]&gt;=BE$2),1,0)</f>
        <v>0</v>
      </c>
      <c r="BF5" s="298" cm="1">
        <f t="array" ref="BF5">IF(AND(BF$2&lt;&gt;0,TblTech[[#This Row],[Hour]:[Hour]]&gt;=BF$2),1,0)</f>
        <v>0</v>
      </c>
      <c r="BG5" s="298" cm="1">
        <f t="array" ref="BG5">IF(AND(BG$2&lt;&gt;0,TblTech[[#This Row],[Hour]:[Hour]]&gt;=BG$2),1,0)</f>
        <v>0</v>
      </c>
      <c r="BH5" s="298" cm="1">
        <f t="array" ref="BH5">IF(AND(BH$2&lt;&gt;0,TblTech[[#This Row],[Hour]:[Hour]]&gt;=BH$2),1,0)</f>
        <v>0</v>
      </c>
      <c r="BI5" s="298" cm="1">
        <f t="array" ref="BI5">IF(AND(BI$2&lt;&gt;0,TblTech[[#This Row],[Hour]:[Hour]]&gt;=BI$2),1,0)</f>
        <v>0</v>
      </c>
      <c r="BJ5" s="298" cm="1">
        <f t="array" ref="BJ5">IF(AND(BJ$2&lt;&gt;0,TblTech[[#This Row],[Hour]:[Hour]]&gt;=BJ$2),1,0)</f>
        <v>0</v>
      </c>
      <c r="BK5" s="298" cm="1">
        <f t="array" ref="BK5">IF(AND(BK$2&lt;&gt;0,TblTech[[#This Row],[Hour]:[Hour]]&gt;=BK$2),1,0)</f>
        <v>0</v>
      </c>
      <c r="BL5" s="298" cm="1">
        <f t="array" ref="BL5">IF(AND(BL$2&lt;&gt;0,TblTech[[#This Row],[Hour]:[Hour]]&gt;=BL$2),1,0)</f>
        <v>0</v>
      </c>
      <c r="BM5" s="298" cm="1">
        <f t="array" ref="BM5">IF(AND(BM$2&lt;&gt;0,TblTech[[#This Row],[Hour]:[Hour]]&gt;=BM$2),1,0)</f>
        <v>0</v>
      </c>
      <c r="BN5" s="298" cm="1">
        <f t="array" ref="BN5">IF(AND(BN$2&lt;&gt;0,TblTech[[#This Row],[Hour]:[Hour]]&gt;=BN$2),1,0)</f>
        <v>0</v>
      </c>
      <c r="BO5" s="298" cm="1">
        <f t="array" ref="BO5">IF(AND(BO$2&lt;&gt;0,TblTech[[#This Row],[Hour]:[Hour]]&gt;=BO$2),1,0)</f>
        <v>0</v>
      </c>
      <c r="BP5" s="298" cm="1">
        <f t="array" ref="BP5">IF(AND(BP$2&lt;&gt;0,TblTech[[#This Row],[Hour]:[Hour]]&gt;=BP$2),1,0)</f>
        <v>0</v>
      </c>
      <c r="BQ5" s="298" cm="1">
        <f t="array" ref="BQ5">IF(AND(BQ$2&lt;&gt;0,TblTech[[#This Row],[Hour]:[Hour]]&gt;=BQ$2),1,0)</f>
        <v>0</v>
      </c>
      <c r="BR5" s="298" cm="1">
        <f t="array" ref="BR5">IF(AND(BR$2&lt;&gt;0,TblTech[[#This Row],[Hour]:[Hour]]&gt;=BR$2),1,0)</f>
        <v>0</v>
      </c>
      <c r="BS5" s="298" cm="1">
        <f t="array" ref="BS5">IF(AND(BS$2&lt;&gt;0,TblTech[[#This Row],[Hour]:[Hour]]&gt;=BS$2),1,0)</f>
        <v>0</v>
      </c>
      <c r="BT5" s="298" cm="1">
        <f t="array" ref="BT5">IF(AND(BT$2&lt;&gt;0,TblTech[[#This Row],[Hour]:[Hour]]&gt;=BT$2),1,0)</f>
        <v>0</v>
      </c>
      <c r="BU5" s="298" cm="1">
        <f t="array" ref="BU5">IF(AND(BU$2&lt;&gt;0,TblTech[[#This Row],[Hour]:[Hour]]&gt;=BU$2),1,0)</f>
        <v>0</v>
      </c>
      <c r="BV5" s="298" cm="1">
        <f t="array" ref="BV5">IF(AND(BV$2&lt;&gt;0,TblTech[[#This Row],[Hour]:[Hour]]&gt;=BV$2),1,0)</f>
        <v>0</v>
      </c>
      <c r="BW5" s="298" cm="1">
        <f t="array" ref="BW5">IF(AND(BW$2&lt;&gt;0,TblTech[[#This Row],[Hour]:[Hour]]&gt;=BW$2),1,0)</f>
        <v>0</v>
      </c>
      <c r="BX5" s="298" cm="1">
        <f t="array" ref="BX5">IF(AND(BX$2&lt;&gt;0,TblTech[[#This Row],[Hour]:[Hour]]&gt;=BX$2),1,0)</f>
        <v>0</v>
      </c>
      <c r="BY5" s="298" cm="1">
        <f t="array" ref="BY5">IF(AND(BY$2&lt;&gt;0,TblTech[[#This Row],[Hour]:[Hour]]&gt;=BY$2),1,0)</f>
        <v>0</v>
      </c>
      <c r="BZ5" s="298" cm="1">
        <f t="array" ref="BZ5">IF(AND(BZ$2&lt;&gt;0,TblTech[[#This Row],[Hour]:[Hour]]&gt;=BZ$2),1,0)</f>
        <v>0</v>
      </c>
      <c r="CA5" s="402">
        <f>IFERROR(INDEX($H$4:$H$79,MATCH(INDEX(TblTech[[#Headers],[1-1]:[11-1]],1,MATCH(TblTech[[#This Row],[Hour]],$M$2:$BZ$2,0)),$G$4:$G$79,0)),)</f>
        <v>0</v>
      </c>
    </row>
    <row r="6" spans="1:79" x14ac:dyDescent="0.2">
      <c r="A6" s="290">
        <f>TblRezone[[#This Row],[Hour]]</f>
        <v>3</v>
      </c>
      <c r="B6" s="291">
        <f ca="1">TblExplore[[#This Row],[Land-DB]]</f>
        <v>250</v>
      </c>
      <c r="C6" s="292">
        <f ca="1">TblProd[[#This Row],[Techpoints]]</f>
        <v>0</v>
      </c>
      <c r="D6" s="292">
        <f ca="1">TblProd[[#This Row],[Required]]</f>
        <v>3750</v>
      </c>
      <c r="E6" s="293"/>
      <c r="F6" s="294"/>
      <c r="G6" s="295" t="s">
        <v>539</v>
      </c>
      <c r="H6" s="296" t="s">
        <v>680</v>
      </c>
      <c r="I6" s="295" t="s">
        <v>540</v>
      </c>
      <c r="J6" s="291"/>
      <c r="K6" s="95">
        <f ca="1">IF(TblTech[[#This Row],[Sum of tech]]&lt;&gt;OFFSET(TblTech[[#This Row],[Sum of tech]],-1,0),1,0)</f>
        <v>0</v>
      </c>
      <c r="L6" s="297">
        <f>COUNTIF(TblTech[[#This Row],[1-1]:[11-1]],1)</f>
        <v>0</v>
      </c>
      <c r="M6" s="298" cm="1">
        <f t="array" ref="M6">IF(AND(M$2&lt;&gt;0,TblTech[[#This Row],[Hour]:[Hour]]&gt;=M$2),1,0)</f>
        <v>0</v>
      </c>
      <c r="N6" s="298" cm="1">
        <f t="array" ref="N6">IF(AND(N$2&lt;&gt;0,TblTech[[#This Row],[Hour]:[Hour]]&gt;=N$2),1,0)</f>
        <v>0</v>
      </c>
      <c r="O6" s="298" cm="1">
        <f t="array" ref="O6">IF(AND(O$2&lt;&gt;0,TblTech[[#This Row],[Hour]:[Hour]]&gt;=O$2),1,0)</f>
        <v>0</v>
      </c>
      <c r="P6" s="298" cm="1">
        <f t="array" ref="P6">IF(AND(P$2&lt;&gt;0,TblTech[[#This Row],[Hour]:[Hour]]&gt;=P$2),1,0)</f>
        <v>0</v>
      </c>
      <c r="Q6" s="298" cm="1">
        <f t="array" ref="Q6">IF(AND(Q$2&lt;&gt;0,TblTech[[#This Row],[Hour]:[Hour]]&gt;=Q$2),1,0)</f>
        <v>0</v>
      </c>
      <c r="R6" s="298" cm="1">
        <f t="array" ref="R6">IF(AND(R$2&lt;&gt;0,TblTech[[#This Row],[Hour]:[Hour]]&gt;=R$2),1,0)</f>
        <v>0</v>
      </c>
      <c r="S6" s="298" cm="1">
        <f t="array" ref="S6">IF(AND(S$2&lt;&gt;0,TblTech[[#This Row],[Hour]:[Hour]]&gt;=S$2),1,0)</f>
        <v>0</v>
      </c>
      <c r="T6" s="298" cm="1">
        <f t="array" ref="T6">IF(AND(T$2&lt;&gt;0,TblTech[[#This Row],[Hour]:[Hour]]&gt;=T$2),1,0)</f>
        <v>0</v>
      </c>
      <c r="U6" s="298" cm="1">
        <f t="array" ref="U6">IF(AND(U$2&lt;&gt;0,TblTech[[#This Row],[Hour]:[Hour]]&gt;=U$2),1,0)</f>
        <v>0</v>
      </c>
      <c r="V6" s="298" cm="1">
        <f t="array" ref="V6">IF(AND(V$2&lt;&gt;0,TblTech[[#This Row],[Hour]:[Hour]]&gt;=V$2),1,0)</f>
        <v>0</v>
      </c>
      <c r="W6" s="298" cm="1">
        <f t="array" ref="W6">IF(AND(W$2&lt;&gt;0,TblTech[[#This Row],[Hour]:[Hour]]&gt;=W$2),1,0)</f>
        <v>0</v>
      </c>
      <c r="X6" s="298" cm="1">
        <f t="array" ref="X6">IF(AND(X$2&lt;&gt;0,TblTech[[#This Row],[Hour]:[Hour]]&gt;=X$2),1,0)</f>
        <v>0</v>
      </c>
      <c r="Y6" s="298" cm="1">
        <f t="array" ref="Y6">IF(AND(Y$2&lt;&gt;0,TblTech[[#This Row],[Hour]:[Hour]]&gt;=Y$2),1,0)</f>
        <v>0</v>
      </c>
      <c r="Z6" s="298" cm="1">
        <f t="array" ref="Z6">IF(AND(Z$2&lt;&gt;0,TblTech[[#This Row],[Hour]:[Hour]]&gt;=Z$2),1,0)</f>
        <v>0</v>
      </c>
      <c r="AA6" s="298" cm="1">
        <f t="array" ref="AA6">IF(AND(AA$2&lt;&gt;0,TblTech[[#This Row],[Hour]:[Hour]]&gt;=AA$2),1,0)</f>
        <v>0</v>
      </c>
      <c r="AB6" s="298" cm="1">
        <f t="array" ref="AB6">IF(AND(AB$2&lt;&gt;0,TblTech[[#This Row],[Hour]:[Hour]]&gt;=AB$2),1,0)</f>
        <v>0</v>
      </c>
      <c r="AC6" s="298" cm="1">
        <f t="array" ref="AC6">IF(AND(AC$2&lt;&gt;0,TblTech[[#This Row],[Hour]:[Hour]]&gt;=AC$2),1,0)</f>
        <v>0</v>
      </c>
      <c r="AD6" s="298" cm="1">
        <f t="array" ref="AD6">IF(AND(AD$2&lt;&gt;0,TblTech[[#This Row],[Hour]:[Hour]]&gt;=AD$2),1,0)</f>
        <v>0</v>
      </c>
      <c r="AE6" s="298" cm="1">
        <f t="array" ref="AE6">IF(AND(AE$2&lt;&gt;0,TblTech[[#This Row],[Hour]:[Hour]]&gt;=AE$2),1,0)</f>
        <v>0</v>
      </c>
      <c r="AF6" s="298" cm="1">
        <f t="array" ref="AF6">IF(AND(AF$2&lt;&gt;0,TblTech[[#This Row],[Hour]:[Hour]]&gt;=AF$2),1,0)</f>
        <v>0</v>
      </c>
      <c r="AG6" s="298" cm="1">
        <f t="array" ref="AG6">IF(AND(AG$2&lt;&gt;0,TblTech[[#This Row],[Hour]:[Hour]]&gt;=AG$2),1,0)</f>
        <v>0</v>
      </c>
      <c r="AH6" s="298" cm="1">
        <f t="array" ref="AH6">IF(AND(AH$2&lt;&gt;0,TblTech[[#This Row],[Hour]:[Hour]]&gt;=AH$2),1,0)</f>
        <v>0</v>
      </c>
      <c r="AI6" s="298" cm="1">
        <f t="array" ref="AI6">IF(AND(AI$2&lt;&gt;0,TblTech[[#This Row],[Hour]:[Hour]]&gt;=AI$2),1,0)</f>
        <v>0</v>
      </c>
      <c r="AJ6" s="298" cm="1">
        <f t="array" ref="AJ6">IF(AND(AJ$2&lt;&gt;0,TblTech[[#This Row],[Hour]:[Hour]]&gt;=AJ$2),1,0)</f>
        <v>0</v>
      </c>
      <c r="AK6" s="298" cm="1">
        <f t="array" ref="AK6">IF(AND(AK$2&lt;&gt;0,TblTech[[#This Row],[Hour]:[Hour]]&gt;=AK$2),1,0)</f>
        <v>0</v>
      </c>
      <c r="AL6" s="298" cm="1">
        <f t="array" ref="AL6">IF(AND(AL$2&lt;&gt;0,TblTech[[#This Row],[Hour]:[Hour]]&gt;=AL$2),1,0)</f>
        <v>0</v>
      </c>
      <c r="AM6" s="298" cm="1">
        <f t="array" ref="AM6">IF(AND(AM$2&lt;&gt;0,TblTech[[#This Row],[Hour]:[Hour]]&gt;=AM$2),1,0)</f>
        <v>0</v>
      </c>
      <c r="AN6" s="298" cm="1">
        <f t="array" ref="AN6">IF(AND(AN$2&lt;&gt;0,TblTech[[#This Row],[Hour]:[Hour]]&gt;=AN$2),1,0)</f>
        <v>0</v>
      </c>
      <c r="AO6" s="298" cm="1">
        <f t="array" ref="AO6">IF(AND(AO$2&lt;&gt;0,TblTech[[#This Row],[Hour]:[Hour]]&gt;=AO$2),1,0)</f>
        <v>0</v>
      </c>
      <c r="AP6" s="298" cm="1">
        <f t="array" ref="AP6">IF(AND(AP$2&lt;&gt;0,TblTech[[#This Row],[Hour]:[Hour]]&gt;=AP$2),1,0)</f>
        <v>0</v>
      </c>
      <c r="AQ6" s="298" cm="1">
        <f t="array" ref="AQ6">IF(AND(AQ$2&lt;&gt;0,TblTech[[#This Row],[Hour]:[Hour]]&gt;=AQ$2),1,0)</f>
        <v>0</v>
      </c>
      <c r="AR6" s="298" cm="1">
        <f t="array" ref="AR6">IF(AND(AR$2&lt;&gt;0,TblTech[[#This Row],[Hour]:[Hour]]&gt;=AR$2),1,0)</f>
        <v>0</v>
      </c>
      <c r="AS6" s="298" cm="1">
        <f t="array" ref="AS6">IF(AND(AS$2&lt;&gt;0,TblTech[[#This Row],[Hour]:[Hour]]&gt;=AS$2),1,0)</f>
        <v>0</v>
      </c>
      <c r="AT6" s="298" cm="1">
        <f t="array" ref="AT6">IF(AND(AT$2&lt;&gt;0,TblTech[[#This Row],[Hour]:[Hour]]&gt;=AT$2),1,0)</f>
        <v>0</v>
      </c>
      <c r="AU6" s="298" cm="1">
        <f t="array" ref="AU6">IF(AND(AU$2&lt;&gt;0,TblTech[[#This Row],[Hour]:[Hour]]&gt;=AU$2),1,0)</f>
        <v>0</v>
      </c>
      <c r="AV6" s="298" cm="1">
        <f t="array" ref="AV6">IF(AND(AV$2&lt;&gt;0,TblTech[[#This Row],[Hour]:[Hour]]&gt;=AV$2),1,0)</f>
        <v>0</v>
      </c>
      <c r="AW6" s="298" cm="1">
        <f t="array" ref="AW6">IF(AND(AW$2&lt;&gt;0,TblTech[[#This Row],[Hour]:[Hour]]&gt;=AW$2),1,0)</f>
        <v>0</v>
      </c>
      <c r="AX6" s="298" cm="1">
        <f t="array" ref="AX6">IF(AND(AX$2&lt;&gt;0,TblTech[[#This Row],[Hour]:[Hour]]&gt;=AX$2),1,0)</f>
        <v>0</v>
      </c>
      <c r="AY6" s="298" cm="1">
        <f t="array" ref="AY6">IF(AND(AY$2&lt;&gt;0,TblTech[[#This Row],[Hour]:[Hour]]&gt;=AY$2),1,0)</f>
        <v>0</v>
      </c>
      <c r="AZ6" s="298" cm="1">
        <f t="array" ref="AZ6">IF(AND(AZ$2&lt;&gt;0,TblTech[[#This Row],[Hour]:[Hour]]&gt;=AZ$2),1,0)</f>
        <v>0</v>
      </c>
      <c r="BA6" s="298" cm="1">
        <f t="array" ref="BA6">IF(AND(BA$2&lt;&gt;0,TblTech[[#This Row],[Hour]:[Hour]]&gt;=BA$2),1,0)</f>
        <v>0</v>
      </c>
      <c r="BB6" s="298" cm="1">
        <f t="array" ref="BB6">IF(AND(BB$2&lt;&gt;0,TblTech[[#This Row],[Hour]:[Hour]]&gt;=BB$2),1,0)</f>
        <v>0</v>
      </c>
      <c r="BC6" s="298" cm="1">
        <f t="array" ref="BC6">IF(AND(BC$2&lt;&gt;0,TblTech[[#This Row],[Hour]:[Hour]]&gt;=BC$2),1,0)</f>
        <v>0</v>
      </c>
      <c r="BD6" s="298" cm="1">
        <f t="array" ref="BD6">IF(AND(BD$2&lt;&gt;0,TblTech[[#This Row],[Hour]:[Hour]]&gt;=BD$2),1,0)</f>
        <v>0</v>
      </c>
      <c r="BE6" s="298" cm="1">
        <f t="array" ref="BE6">IF(AND(BE$2&lt;&gt;0,TblTech[[#This Row],[Hour]:[Hour]]&gt;=BE$2),1,0)</f>
        <v>0</v>
      </c>
      <c r="BF6" s="298" cm="1">
        <f t="array" ref="BF6">IF(AND(BF$2&lt;&gt;0,TblTech[[#This Row],[Hour]:[Hour]]&gt;=BF$2),1,0)</f>
        <v>0</v>
      </c>
      <c r="BG6" s="298" cm="1">
        <f t="array" ref="BG6">IF(AND(BG$2&lt;&gt;0,TblTech[[#This Row],[Hour]:[Hour]]&gt;=BG$2),1,0)</f>
        <v>0</v>
      </c>
      <c r="BH6" s="298" cm="1">
        <f t="array" ref="BH6">IF(AND(BH$2&lt;&gt;0,TblTech[[#This Row],[Hour]:[Hour]]&gt;=BH$2),1,0)</f>
        <v>0</v>
      </c>
      <c r="BI6" s="298" cm="1">
        <f t="array" ref="BI6">IF(AND(BI$2&lt;&gt;0,TblTech[[#This Row],[Hour]:[Hour]]&gt;=BI$2),1,0)</f>
        <v>0</v>
      </c>
      <c r="BJ6" s="298" cm="1">
        <f t="array" ref="BJ6">IF(AND(BJ$2&lt;&gt;0,TblTech[[#This Row],[Hour]:[Hour]]&gt;=BJ$2),1,0)</f>
        <v>0</v>
      </c>
      <c r="BK6" s="298" cm="1">
        <f t="array" ref="BK6">IF(AND(BK$2&lt;&gt;0,TblTech[[#This Row],[Hour]:[Hour]]&gt;=BK$2),1,0)</f>
        <v>0</v>
      </c>
      <c r="BL6" s="298" cm="1">
        <f t="array" ref="BL6">IF(AND(BL$2&lt;&gt;0,TblTech[[#This Row],[Hour]:[Hour]]&gt;=BL$2),1,0)</f>
        <v>0</v>
      </c>
      <c r="BM6" s="298" cm="1">
        <f t="array" ref="BM6">IF(AND(BM$2&lt;&gt;0,TblTech[[#This Row],[Hour]:[Hour]]&gt;=BM$2),1,0)</f>
        <v>0</v>
      </c>
      <c r="BN6" s="298" cm="1">
        <f t="array" ref="BN6">IF(AND(BN$2&lt;&gt;0,TblTech[[#This Row],[Hour]:[Hour]]&gt;=BN$2),1,0)</f>
        <v>0</v>
      </c>
      <c r="BO6" s="298" cm="1">
        <f t="array" ref="BO6">IF(AND(BO$2&lt;&gt;0,TblTech[[#This Row],[Hour]:[Hour]]&gt;=BO$2),1,0)</f>
        <v>0</v>
      </c>
      <c r="BP6" s="298" cm="1">
        <f t="array" ref="BP6">IF(AND(BP$2&lt;&gt;0,TblTech[[#This Row],[Hour]:[Hour]]&gt;=BP$2),1,0)</f>
        <v>0</v>
      </c>
      <c r="BQ6" s="298" cm="1">
        <f t="array" ref="BQ6">IF(AND(BQ$2&lt;&gt;0,TblTech[[#This Row],[Hour]:[Hour]]&gt;=BQ$2),1,0)</f>
        <v>0</v>
      </c>
      <c r="BR6" s="298" cm="1">
        <f t="array" ref="BR6">IF(AND(BR$2&lt;&gt;0,TblTech[[#This Row],[Hour]:[Hour]]&gt;=BR$2),1,0)</f>
        <v>0</v>
      </c>
      <c r="BS6" s="298" cm="1">
        <f t="array" ref="BS6">IF(AND(BS$2&lt;&gt;0,TblTech[[#This Row],[Hour]:[Hour]]&gt;=BS$2),1,0)</f>
        <v>0</v>
      </c>
      <c r="BT6" s="298" cm="1">
        <f t="array" ref="BT6">IF(AND(BT$2&lt;&gt;0,TblTech[[#This Row],[Hour]:[Hour]]&gt;=BT$2),1,0)</f>
        <v>0</v>
      </c>
      <c r="BU6" s="298" cm="1">
        <f t="array" ref="BU6">IF(AND(BU$2&lt;&gt;0,TblTech[[#This Row],[Hour]:[Hour]]&gt;=BU$2),1,0)</f>
        <v>0</v>
      </c>
      <c r="BV6" s="298" cm="1">
        <f t="array" ref="BV6">IF(AND(BV$2&lt;&gt;0,TblTech[[#This Row],[Hour]:[Hour]]&gt;=BV$2),1,0)</f>
        <v>0</v>
      </c>
      <c r="BW6" s="298" cm="1">
        <f t="array" ref="BW6">IF(AND(BW$2&lt;&gt;0,TblTech[[#This Row],[Hour]:[Hour]]&gt;=BW$2),1,0)</f>
        <v>0</v>
      </c>
      <c r="BX6" s="298" cm="1">
        <f t="array" ref="BX6">IF(AND(BX$2&lt;&gt;0,TblTech[[#This Row],[Hour]:[Hour]]&gt;=BX$2),1,0)</f>
        <v>0</v>
      </c>
      <c r="BY6" s="298" cm="1">
        <f t="array" ref="BY6">IF(AND(BY$2&lt;&gt;0,TblTech[[#This Row],[Hour]:[Hour]]&gt;=BY$2),1,0)</f>
        <v>0</v>
      </c>
      <c r="BZ6" s="298" cm="1">
        <f t="array" ref="BZ6">IF(AND(BZ$2&lt;&gt;0,TblTech[[#This Row],[Hour]:[Hour]]&gt;=BZ$2),1,0)</f>
        <v>0</v>
      </c>
      <c r="CA6" s="402">
        <f>IFERROR(INDEX($H$4:$H$79,MATCH(INDEX(TblTech[[#Headers],[1-1]:[11-1]],1,MATCH(TblTech[[#This Row],[Hour]],$M$2:$BZ$2,0)),$G$4:$G$79,0)),)</f>
        <v>0</v>
      </c>
    </row>
    <row r="7" spans="1:79" x14ac:dyDescent="0.2">
      <c r="A7" s="290">
        <f>TblRezone[[#This Row],[Hour]]</f>
        <v>4</v>
      </c>
      <c r="B7" s="291">
        <f ca="1">TblExplore[[#This Row],[Land-DB]]</f>
        <v>250</v>
      </c>
      <c r="C7" s="292">
        <f ca="1">TblProd[[#This Row],[Techpoints]]</f>
        <v>0</v>
      </c>
      <c r="D7" s="292">
        <f ca="1">TblProd[[#This Row],[Required]]</f>
        <v>3750</v>
      </c>
      <c r="E7" s="293"/>
      <c r="F7" s="294"/>
      <c r="G7" s="295" t="s">
        <v>541</v>
      </c>
      <c r="H7" s="296" t="s">
        <v>681</v>
      </c>
      <c r="I7" s="295" t="s">
        <v>542</v>
      </c>
      <c r="J7" s="291"/>
      <c r="K7" s="95">
        <f ca="1">IF(TblTech[[#This Row],[Sum of tech]]&lt;&gt;OFFSET(TblTech[[#This Row],[Sum of tech]],-1,0),1,0)</f>
        <v>0</v>
      </c>
      <c r="L7" s="297">
        <f>COUNTIF(TblTech[[#This Row],[1-1]:[11-1]],1)</f>
        <v>0</v>
      </c>
      <c r="M7" s="298" cm="1">
        <f t="array" ref="M7">IF(AND(M$2&lt;&gt;0,TblTech[[#This Row],[Hour]:[Hour]]&gt;=M$2),1,0)</f>
        <v>0</v>
      </c>
      <c r="N7" s="298" cm="1">
        <f t="array" ref="N7">IF(AND(N$2&lt;&gt;0,TblTech[[#This Row],[Hour]:[Hour]]&gt;=N$2),1,0)</f>
        <v>0</v>
      </c>
      <c r="O7" s="298" cm="1">
        <f t="array" ref="O7">IF(AND(O$2&lt;&gt;0,TblTech[[#This Row],[Hour]:[Hour]]&gt;=O$2),1,0)</f>
        <v>0</v>
      </c>
      <c r="P7" s="298" cm="1">
        <f t="array" ref="P7">IF(AND(P$2&lt;&gt;0,TblTech[[#This Row],[Hour]:[Hour]]&gt;=P$2),1,0)</f>
        <v>0</v>
      </c>
      <c r="Q7" s="298" cm="1">
        <f t="array" ref="Q7">IF(AND(Q$2&lt;&gt;0,TblTech[[#This Row],[Hour]:[Hour]]&gt;=Q$2),1,0)</f>
        <v>0</v>
      </c>
      <c r="R7" s="298" cm="1">
        <f t="array" ref="R7">IF(AND(R$2&lt;&gt;0,TblTech[[#This Row],[Hour]:[Hour]]&gt;=R$2),1,0)</f>
        <v>0</v>
      </c>
      <c r="S7" s="298" cm="1">
        <f t="array" ref="S7">IF(AND(S$2&lt;&gt;0,TblTech[[#This Row],[Hour]:[Hour]]&gt;=S$2),1,0)</f>
        <v>0</v>
      </c>
      <c r="T7" s="298" cm="1">
        <f t="array" ref="T7">IF(AND(T$2&lt;&gt;0,TblTech[[#This Row],[Hour]:[Hour]]&gt;=T$2),1,0)</f>
        <v>0</v>
      </c>
      <c r="U7" s="298" cm="1">
        <f t="array" ref="U7">IF(AND(U$2&lt;&gt;0,TblTech[[#This Row],[Hour]:[Hour]]&gt;=U$2),1,0)</f>
        <v>0</v>
      </c>
      <c r="V7" s="298" cm="1">
        <f t="array" ref="V7">IF(AND(V$2&lt;&gt;0,TblTech[[#This Row],[Hour]:[Hour]]&gt;=V$2),1,0)</f>
        <v>0</v>
      </c>
      <c r="W7" s="298" cm="1">
        <f t="array" ref="W7">IF(AND(W$2&lt;&gt;0,TblTech[[#This Row],[Hour]:[Hour]]&gt;=W$2),1,0)</f>
        <v>0</v>
      </c>
      <c r="X7" s="298" cm="1">
        <f t="array" ref="X7">IF(AND(X$2&lt;&gt;0,TblTech[[#This Row],[Hour]:[Hour]]&gt;=X$2),1,0)</f>
        <v>0</v>
      </c>
      <c r="Y7" s="298" cm="1">
        <f t="array" ref="Y7">IF(AND(Y$2&lt;&gt;0,TblTech[[#This Row],[Hour]:[Hour]]&gt;=Y$2),1,0)</f>
        <v>0</v>
      </c>
      <c r="Z7" s="298" cm="1">
        <f t="array" ref="Z7">IF(AND(Z$2&lt;&gt;0,TblTech[[#This Row],[Hour]:[Hour]]&gt;=Z$2),1,0)</f>
        <v>0</v>
      </c>
      <c r="AA7" s="298" cm="1">
        <f t="array" ref="AA7">IF(AND(AA$2&lt;&gt;0,TblTech[[#This Row],[Hour]:[Hour]]&gt;=AA$2),1,0)</f>
        <v>0</v>
      </c>
      <c r="AB7" s="298" cm="1">
        <f t="array" ref="AB7">IF(AND(AB$2&lt;&gt;0,TblTech[[#This Row],[Hour]:[Hour]]&gt;=AB$2),1,0)</f>
        <v>0</v>
      </c>
      <c r="AC7" s="298" cm="1">
        <f t="array" ref="AC7">IF(AND(AC$2&lt;&gt;0,TblTech[[#This Row],[Hour]:[Hour]]&gt;=AC$2),1,0)</f>
        <v>0</v>
      </c>
      <c r="AD7" s="298" cm="1">
        <f t="array" ref="AD7">IF(AND(AD$2&lt;&gt;0,TblTech[[#This Row],[Hour]:[Hour]]&gt;=AD$2),1,0)</f>
        <v>0</v>
      </c>
      <c r="AE7" s="298" cm="1">
        <f t="array" ref="AE7">IF(AND(AE$2&lt;&gt;0,TblTech[[#This Row],[Hour]:[Hour]]&gt;=AE$2),1,0)</f>
        <v>0</v>
      </c>
      <c r="AF7" s="298" cm="1">
        <f t="array" ref="AF7">IF(AND(AF$2&lt;&gt;0,TblTech[[#This Row],[Hour]:[Hour]]&gt;=AF$2),1,0)</f>
        <v>0</v>
      </c>
      <c r="AG7" s="298" cm="1">
        <f t="array" ref="AG7">IF(AND(AG$2&lt;&gt;0,TblTech[[#This Row],[Hour]:[Hour]]&gt;=AG$2),1,0)</f>
        <v>0</v>
      </c>
      <c r="AH7" s="298" cm="1">
        <f t="array" ref="AH7">IF(AND(AH$2&lt;&gt;0,TblTech[[#This Row],[Hour]:[Hour]]&gt;=AH$2),1,0)</f>
        <v>0</v>
      </c>
      <c r="AI7" s="298" cm="1">
        <f t="array" ref="AI7">IF(AND(AI$2&lt;&gt;0,TblTech[[#This Row],[Hour]:[Hour]]&gt;=AI$2),1,0)</f>
        <v>0</v>
      </c>
      <c r="AJ7" s="298" cm="1">
        <f t="array" ref="AJ7">IF(AND(AJ$2&lt;&gt;0,TblTech[[#This Row],[Hour]:[Hour]]&gt;=AJ$2),1,0)</f>
        <v>0</v>
      </c>
      <c r="AK7" s="298" cm="1">
        <f t="array" ref="AK7">IF(AND(AK$2&lt;&gt;0,TblTech[[#This Row],[Hour]:[Hour]]&gt;=AK$2),1,0)</f>
        <v>0</v>
      </c>
      <c r="AL7" s="298" cm="1">
        <f t="array" ref="AL7">IF(AND(AL$2&lt;&gt;0,TblTech[[#This Row],[Hour]:[Hour]]&gt;=AL$2),1,0)</f>
        <v>0</v>
      </c>
      <c r="AM7" s="298" cm="1">
        <f t="array" ref="AM7">IF(AND(AM$2&lt;&gt;0,TblTech[[#This Row],[Hour]:[Hour]]&gt;=AM$2),1,0)</f>
        <v>0</v>
      </c>
      <c r="AN7" s="298" cm="1">
        <f t="array" ref="AN7">IF(AND(AN$2&lt;&gt;0,TblTech[[#This Row],[Hour]:[Hour]]&gt;=AN$2),1,0)</f>
        <v>0</v>
      </c>
      <c r="AO7" s="298" cm="1">
        <f t="array" ref="AO7">IF(AND(AO$2&lt;&gt;0,TblTech[[#This Row],[Hour]:[Hour]]&gt;=AO$2),1,0)</f>
        <v>0</v>
      </c>
      <c r="AP7" s="298" cm="1">
        <f t="array" ref="AP7">IF(AND(AP$2&lt;&gt;0,TblTech[[#This Row],[Hour]:[Hour]]&gt;=AP$2),1,0)</f>
        <v>0</v>
      </c>
      <c r="AQ7" s="298" cm="1">
        <f t="array" ref="AQ7">IF(AND(AQ$2&lt;&gt;0,TblTech[[#This Row],[Hour]:[Hour]]&gt;=AQ$2),1,0)</f>
        <v>0</v>
      </c>
      <c r="AR7" s="298" cm="1">
        <f t="array" ref="AR7">IF(AND(AR$2&lt;&gt;0,TblTech[[#This Row],[Hour]:[Hour]]&gt;=AR$2),1,0)</f>
        <v>0</v>
      </c>
      <c r="AS7" s="298" cm="1">
        <f t="array" ref="AS7">IF(AND(AS$2&lt;&gt;0,TblTech[[#This Row],[Hour]:[Hour]]&gt;=AS$2),1,0)</f>
        <v>0</v>
      </c>
      <c r="AT7" s="298" cm="1">
        <f t="array" ref="AT7">IF(AND(AT$2&lt;&gt;0,TblTech[[#This Row],[Hour]:[Hour]]&gt;=AT$2),1,0)</f>
        <v>0</v>
      </c>
      <c r="AU7" s="298" cm="1">
        <f t="array" ref="AU7">IF(AND(AU$2&lt;&gt;0,TblTech[[#This Row],[Hour]:[Hour]]&gt;=AU$2),1,0)</f>
        <v>0</v>
      </c>
      <c r="AV7" s="298" cm="1">
        <f t="array" ref="AV7">IF(AND(AV$2&lt;&gt;0,TblTech[[#This Row],[Hour]:[Hour]]&gt;=AV$2),1,0)</f>
        <v>0</v>
      </c>
      <c r="AW7" s="298" cm="1">
        <f t="array" ref="AW7">IF(AND(AW$2&lt;&gt;0,TblTech[[#This Row],[Hour]:[Hour]]&gt;=AW$2),1,0)</f>
        <v>0</v>
      </c>
      <c r="AX7" s="298" cm="1">
        <f t="array" ref="AX7">IF(AND(AX$2&lt;&gt;0,TblTech[[#This Row],[Hour]:[Hour]]&gt;=AX$2),1,0)</f>
        <v>0</v>
      </c>
      <c r="AY7" s="298" cm="1">
        <f t="array" ref="AY7">IF(AND(AY$2&lt;&gt;0,TblTech[[#This Row],[Hour]:[Hour]]&gt;=AY$2),1,0)</f>
        <v>0</v>
      </c>
      <c r="AZ7" s="298" cm="1">
        <f t="array" ref="AZ7">IF(AND(AZ$2&lt;&gt;0,TblTech[[#This Row],[Hour]:[Hour]]&gt;=AZ$2),1,0)</f>
        <v>0</v>
      </c>
      <c r="BA7" s="298" cm="1">
        <f t="array" ref="BA7">IF(AND(BA$2&lt;&gt;0,TblTech[[#This Row],[Hour]:[Hour]]&gt;=BA$2),1,0)</f>
        <v>0</v>
      </c>
      <c r="BB7" s="298" cm="1">
        <f t="array" ref="BB7">IF(AND(BB$2&lt;&gt;0,TblTech[[#This Row],[Hour]:[Hour]]&gt;=BB$2),1,0)</f>
        <v>0</v>
      </c>
      <c r="BC7" s="298" cm="1">
        <f t="array" ref="BC7">IF(AND(BC$2&lt;&gt;0,TblTech[[#This Row],[Hour]:[Hour]]&gt;=BC$2),1,0)</f>
        <v>0</v>
      </c>
      <c r="BD7" s="298" cm="1">
        <f t="array" ref="BD7">IF(AND(BD$2&lt;&gt;0,TblTech[[#This Row],[Hour]:[Hour]]&gt;=BD$2),1,0)</f>
        <v>0</v>
      </c>
      <c r="BE7" s="298" cm="1">
        <f t="array" ref="BE7">IF(AND(BE$2&lt;&gt;0,TblTech[[#This Row],[Hour]:[Hour]]&gt;=BE$2),1,0)</f>
        <v>0</v>
      </c>
      <c r="BF7" s="298" cm="1">
        <f t="array" ref="BF7">IF(AND(BF$2&lt;&gt;0,TblTech[[#This Row],[Hour]:[Hour]]&gt;=BF$2),1,0)</f>
        <v>0</v>
      </c>
      <c r="BG7" s="298" cm="1">
        <f t="array" ref="BG7">IF(AND(BG$2&lt;&gt;0,TblTech[[#This Row],[Hour]:[Hour]]&gt;=BG$2),1,0)</f>
        <v>0</v>
      </c>
      <c r="BH7" s="298" cm="1">
        <f t="array" ref="BH7">IF(AND(BH$2&lt;&gt;0,TblTech[[#This Row],[Hour]:[Hour]]&gt;=BH$2),1,0)</f>
        <v>0</v>
      </c>
      <c r="BI7" s="298" cm="1">
        <f t="array" ref="BI7">IF(AND(BI$2&lt;&gt;0,TblTech[[#This Row],[Hour]:[Hour]]&gt;=BI$2),1,0)</f>
        <v>0</v>
      </c>
      <c r="BJ7" s="298" cm="1">
        <f t="array" ref="BJ7">IF(AND(BJ$2&lt;&gt;0,TblTech[[#This Row],[Hour]:[Hour]]&gt;=BJ$2),1,0)</f>
        <v>0</v>
      </c>
      <c r="BK7" s="298" cm="1">
        <f t="array" ref="BK7">IF(AND(BK$2&lt;&gt;0,TblTech[[#This Row],[Hour]:[Hour]]&gt;=BK$2),1,0)</f>
        <v>0</v>
      </c>
      <c r="BL7" s="298" cm="1">
        <f t="array" ref="BL7">IF(AND(BL$2&lt;&gt;0,TblTech[[#This Row],[Hour]:[Hour]]&gt;=BL$2),1,0)</f>
        <v>0</v>
      </c>
      <c r="BM7" s="298" cm="1">
        <f t="array" ref="BM7">IF(AND(BM$2&lt;&gt;0,TblTech[[#This Row],[Hour]:[Hour]]&gt;=BM$2),1,0)</f>
        <v>0</v>
      </c>
      <c r="BN7" s="298" cm="1">
        <f t="array" ref="BN7">IF(AND(BN$2&lt;&gt;0,TblTech[[#This Row],[Hour]:[Hour]]&gt;=BN$2),1,0)</f>
        <v>0</v>
      </c>
      <c r="BO7" s="298" cm="1">
        <f t="array" ref="BO7">IF(AND(BO$2&lt;&gt;0,TblTech[[#This Row],[Hour]:[Hour]]&gt;=BO$2),1,0)</f>
        <v>0</v>
      </c>
      <c r="BP7" s="298" cm="1">
        <f t="array" ref="BP7">IF(AND(BP$2&lt;&gt;0,TblTech[[#This Row],[Hour]:[Hour]]&gt;=BP$2),1,0)</f>
        <v>0</v>
      </c>
      <c r="BQ7" s="298" cm="1">
        <f t="array" ref="BQ7">IF(AND(BQ$2&lt;&gt;0,TblTech[[#This Row],[Hour]:[Hour]]&gt;=BQ$2),1,0)</f>
        <v>0</v>
      </c>
      <c r="BR7" s="298" cm="1">
        <f t="array" ref="BR7">IF(AND(BR$2&lt;&gt;0,TblTech[[#This Row],[Hour]:[Hour]]&gt;=BR$2),1,0)</f>
        <v>0</v>
      </c>
      <c r="BS7" s="298" cm="1">
        <f t="array" ref="BS7">IF(AND(BS$2&lt;&gt;0,TblTech[[#This Row],[Hour]:[Hour]]&gt;=BS$2),1,0)</f>
        <v>0</v>
      </c>
      <c r="BT7" s="298" cm="1">
        <f t="array" ref="BT7">IF(AND(BT$2&lt;&gt;0,TblTech[[#This Row],[Hour]:[Hour]]&gt;=BT$2),1,0)</f>
        <v>0</v>
      </c>
      <c r="BU7" s="298" cm="1">
        <f t="array" ref="BU7">IF(AND(BU$2&lt;&gt;0,TblTech[[#This Row],[Hour]:[Hour]]&gt;=BU$2),1,0)</f>
        <v>0</v>
      </c>
      <c r="BV7" s="298" cm="1">
        <f t="array" ref="BV7">IF(AND(BV$2&lt;&gt;0,TblTech[[#This Row],[Hour]:[Hour]]&gt;=BV$2),1,0)</f>
        <v>0</v>
      </c>
      <c r="BW7" s="298" cm="1">
        <f t="array" ref="BW7">IF(AND(BW$2&lt;&gt;0,TblTech[[#This Row],[Hour]:[Hour]]&gt;=BW$2),1,0)</f>
        <v>0</v>
      </c>
      <c r="BX7" s="298" cm="1">
        <f t="array" ref="BX7">IF(AND(BX$2&lt;&gt;0,TblTech[[#This Row],[Hour]:[Hour]]&gt;=BX$2),1,0)</f>
        <v>0</v>
      </c>
      <c r="BY7" s="298" cm="1">
        <f t="array" ref="BY7">IF(AND(BY$2&lt;&gt;0,TblTech[[#This Row],[Hour]:[Hour]]&gt;=BY$2),1,0)</f>
        <v>0</v>
      </c>
      <c r="BZ7" s="298" cm="1">
        <f t="array" ref="BZ7">IF(AND(BZ$2&lt;&gt;0,TblTech[[#This Row],[Hour]:[Hour]]&gt;=BZ$2),1,0)</f>
        <v>0</v>
      </c>
      <c r="CA7" s="402">
        <f>IFERROR(INDEX($H$4:$H$79,MATCH(INDEX(TblTech[[#Headers],[1-1]:[11-1]],1,MATCH(TblTech[[#This Row],[Hour]],$M$2:$BZ$2,0)),$G$4:$G$79,0)),)</f>
        <v>0</v>
      </c>
    </row>
    <row r="8" spans="1:79" x14ac:dyDescent="0.2">
      <c r="A8" s="290">
        <f>TblRezone[[#This Row],[Hour]]</f>
        <v>5</v>
      </c>
      <c r="B8" s="291">
        <f ca="1">TblExplore[[#This Row],[Land-DB]]</f>
        <v>250</v>
      </c>
      <c r="C8" s="292">
        <f ca="1">TblProd[[#This Row],[Techpoints]]</f>
        <v>0</v>
      </c>
      <c r="D8" s="292">
        <f ca="1">TblProd[[#This Row],[Required]]</f>
        <v>3750</v>
      </c>
      <c r="E8" s="293"/>
      <c r="F8" s="294"/>
      <c r="G8" s="295" t="s">
        <v>543</v>
      </c>
      <c r="H8" s="296" t="s">
        <v>682</v>
      </c>
      <c r="I8" s="295" t="s">
        <v>1094</v>
      </c>
      <c r="J8" s="291"/>
      <c r="K8" s="95">
        <f ca="1">IF(TblTech[[#This Row],[Sum of tech]]&lt;&gt;OFFSET(TblTech[[#This Row],[Sum of tech]],-1,0),1,0)</f>
        <v>0</v>
      </c>
      <c r="L8" s="297">
        <f>COUNTIF(TblTech[[#This Row],[1-1]:[11-1]],1)</f>
        <v>0</v>
      </c>
      <c r="M8" s="298" cm="1">
        <f t="array" ref="M8">IF(AND(M$2&lt;&gt;0,TblTech[[#This Row],[Hour]:[Hour]]&gt;=M$2),1,0)</f>
        <v>0</v>
      </c>
      <c r="N8" s="298" cm="1">
        <f t="array" ref="N8">IF(AND(N$2&lt;&gt;0,TblTech[[#This Row],[Hour]:[Hour]]&gt;=N$2),1,0)</f>
        <v>0</v>
      </c>
      <c r="O8" s="298" cm="1">
        <f t="array" ref="O8">IF(AND(O$2&lt;&gt;0,TblTech[[#This Row],[Hour]:[Hour]]&gt;=O$2),1,0)</f>
        <v>0</v>
      </c>
      <c r="P8" s="298" cm="1">
        <f t="array" ref="P8">IF(AND(P$2&lt;&gt;0,TblTech[[#This Row],[Hour]:[Hour]]&gt;=P$2),1,0)</f>
        <v>0</v>
      </c>
      <c r="Q8" s="298" cm="1">
        <f t="array" ref="Q8">IF(AND(Q$2&lt;&gt;0,TblTech[[#This Row],[Hour]:[Hour]]&gt;=Q$2),1,0)</f>
        <v>0</v>
      </c>
      <c r="R8" s="298" cm="1">
        <f t="array" ref="R8">IF(AND(R$2&lt;&gt;0,TblTech[[#This Row],[Hour]:[Hour]]&gt;=R$2),1,0)</f>
        <v>0</v>
      </c>
      <c r="S8" s="298" cm="1">
        <f t="array" ref="S8">IF(AND(S$2&lt;&gt;0,TblTech[[#This Row],[Hour]:[Hour]]&gt;=S$2),1,0)</f>
        <v>0</v>
      </c>
      <c r="T8" s="298" cm="1">
        <f t="array" ref="T8">IF(AND(T$2&lt;&gt;0,TblTech[[#This Row],[Hour]:[Hour]]&gt;=T$2),1,0)</f>
        <v>0</v>
      </c>
      <c r="U8" s="298" cm="1">
        <f t="array" ref="U8">IF(AND(U$2&lt;&gt;0,TblTech[[#This Row],[Hour]:[Hour]]&gt;=U$2),1,0)</f>
        <v>0</v>
      </c>
      <c r="V8" s="298" cm="1">
        <f t="array" ref="V8">IF(AND(V$2&lt;&gt;0,TblTech[[#This Row],[Hour]:[Hour]]&gt;=V$2),1,0)</f>
        <v>0</v>
      </c>
      <c r="W8" s="298" cm="1">
        <f t="array" ref="W8">IF(AND(W$2&lt;&gt;0,TblTech[[#This Row],[Hour]:[Hour]]&gt;=W$2),1,0)</f>
        <v>0</v>
      </c>
      <c r="X8" s="298" cm="1">
        <f t="array" ref="X8">IF(AND(X$2&lt;&gt;0,TblTech[[#This Row],[Hour]:[Hour]]&gt;=X$2),1,0)</f>
        <v>0</v>
      </c>
      <c r="Y8" s="298" cm="1">
        <f t="array" ref="Y8">IF(AND(Y$2&lt;&gt;0,TblTech[[#This Row],[Hour]:[Hour]]&gt;=Y$2),1,0)</f>
        <v>0</v>
      </c>
      <c r="Z8" s="298" cm="1">
        <f t="array" ref="Z8">IF(AND(Z$2&lt;&gt;0,TblTech[[#This Row],[Hour]:[Hour]]&gt;=Z$2),1,0)</f>
        <v>0</v>
      </c>
      <c r="AA8" s="298" cm="1">
        <f t="array" ref="AA8">IF(AND(AA$2&lt;&gt;0,TblTech[[#This Row],[Hour]:[Hour]]&gt;=AA$2),1,0)</f>
        <v>0</v>
      </c>
      <c r="AB8" s="298" cm="1">
        <f t="array" ref="AB8">IF(AND(AB$2&lt;&gt;0,TblTech[[#This Row],[Hour]:[Hour]]&gt;=AB$2),1,0)</f>
        <v>0</v>
      </c>
      <c r="AC8" s="298" cm="1">
        <f t="array" ref="AC8">IF(AND(AC$2&lt;&gt;0,TblTech[[#This Row],[Hour]:[Hour]]&gt;=AC$2),1,0)</f>
        <v>0</v>
      </c>
      <c r="AD8" s="298" cm="1">
        <f t="array" ref="AD8">IF(AND(AD$2&lt;&gt;0,TblTech[[#This Row],[Hour]:[Hour]]&gt;=AD$2),1,0)</f>
        <v>0</v>
      </c>
      <c r="AE8" s="298" cm="1">
        <f t="array" ref="AE8">IF(AND(AE$2&lt;&gt;0,TblTech[[#This Row],[Hour]:[Hour]]&gt;=AE$2),1,0)</f>
        <v>0</v>
      </c>
      <c r="AF8" s="298" cm="1">
        <f t="array" ref="AF8">IF(AND(AF$2&lt;&gt;0,TblTech[[#This Row],[Hour]:[Hour]]&gt;=AF$2),1,0)</f>
        <v>0</v>
      </c>
      <c r="AG8" s="298" cm="1">
        <f t="array" ref="AG8">IF(AND(AG$2&lt;&gt;0,TblTech[[#This Row],[Hour]:[Hour]]&gt;=AG$2),1,0)</f>
        <v>0</v>
      </c>
      <c r="AH8" s="298" cm="1">
        <f t="array" ref="AH8">IF(AND(AH$2&lt;&gt;0,TblTech[[#This Row],[Hour]:[Hour]]&gt;=AH$2),1,0)</f>
        <v>0</v>
      </c>
      <c r="AI8" s="298" cm="1">
        <f t="array" ref="AI8">IF(AND(AI$2&lt;&gt;0,TblTech[[#This Row],[Hour]:[Hour]]&gt;=AI$2),1,0)</f>
        <v>0</v>
      </c>
      <c r="AJ8" s="298" cm="1">
        <f t="array" ref="AJ8">IF(AND(AJ$2&lt;&gt;0,TblTech[[#This Row],[Hour]:[Hour]]&gt;=AJ$2),1,0)</f>
        <v>0</v>
      </c>
      <c r="AK8" s="298" cm="1">
        <f t="array" ref="AK8">IF(AND(AK$2&lt;&gt;0,TblTech[[#This Row],[Hour]:[Hour]]&gt;=AK$2),1,0)</f>
        <v>0</v>
      </c>
      <c r="AL8" s="298" cm="1">
        <f t="array" ref="AL8">IF(AND(AL$2&lt;&gt;0,TblTech[[#This Row],[Hour]:[Hour]]&gt;=AL$2),1,0)</f>
        <v>0</v>
      </c>
      <c r="AM8" s="298" cm="1">
        <f t="array" ref="AM8">IF(AND(AM$2&lt;&gt;0,TblTech[[#This Row],[Hour]:[Hour]]&gt;=AM$2),1,0)</f>
        <v>0</v>
      </c>
      <c r="AN8" s="298" cm="1">
        <f t="array" ref="AN8">IF(AND(AN$2&lt;&gt;0,TblTech[[#This Row],[Hour]:[Hour]]&gt;=AN$2),1,0)</f>
        <v>0</v>
      </c>
      <c r="AO8" s="298" cm="1">
        <f t="array" ref="AO8">IF(AND(AO$2&lt;&gt;0,TblTech[[#This Row],[Hour]:[Hour]]&gt;=AO$2),1,0)</f>
        <v>0</v>
      </c>
      <c r="AP8" s="298" cm="1">
        <f t="array" ref="AP8">IF(AND(AP$2&lt;&gt;0,TblTech[[#This Row],[Hour]:[Hour]]&gt;=AP$2),1,0)</f>
        <v>0</v>
      </c>
      <c r="AQ8" s="298" cm="1">
        <f t="array" ref="AQ8">IF(AND(AQ$2&lt;&gt;0,TblTech[[#This Row],[Hour]:[Hour]]&gt;=AQ$2),1,0)</f>
        <v>0</v>
      </c>
      <c r="AR8" s="298" cm="1">
        <f t="array" ref="AR8">IF(AND(AR$2&lt;&gt;0,TblTech[[#This Row],[Hour]:[Hour]]&gt;=AR$2),1,0)</f>
        <v>0</v>
      </c>
      <c r="AS8" s="298" cm="1">
        <f t="array" ref="AS8">IF(AND(AS$2&lt;&gt;0,TblTech[[#This Row],[Hour]:[Hour]]&gt;=AS$2),1,0)</f>
        <v>0</v>
      </c>
      <c r="AT8" s="298" cm="1">
        <f t="array" ref="AT8">IF(AND(AT$2&lt;&gt;0,TblTech[[#This Row],[Hour]:[Hour]]&gt;=AT$2),1,0)</f>
        <v>0</v>
      </c>
      <c r="AU8" s="298" cm="1">
        <f t="array" ref="AU8">IF(AND(AU$2&lt;&gt;0,TblTech[[#This Row],[Hour]:[Hour]]&gt;=AU$2),1,0)</f>
        <v>0</v>
      </c>
      <c r="AV8" s="298" cm="1">
        <f t="array" ref="AV8">IF(AND(AV$2&lt;&gt;0,TblTech[[#This Row],[Hour]:[Hour]]&gt;=AV$2),1,0)</f>
        <v>0</v>
      </c>
      <c r="AW8" s="298" cm="1">
        <f t="array" ref="AW8">IF(AND(AW$2&lt;&gt;0,TblTech[[#This Row],[Hour]:[Hour]]&gt;=AW$2),1,0)</f>
        <v>0</v>
      </c>
      <c r="AX8" s="298" cm="1">
        <f t="array" ref="AX8">IF(AND(AX$2&lt;&gt;0,TblTech[[#This Row],[Hour]:[Hour]]&gt;=AX$2),1,0)</f>
        <v>0</v>
      </c>
      <c r="AY8" s="298" cm="1">
        <f t="array" ref="AY8">IF(AND(AY$2&lt;&gt;0,TblTech[[#This Row],[Hour]:[Hour]]&gt;=AY$2),1,0)</f>
        <v>0</v>
      </c>
      <c r="AZ8" s="298" cm="1">
        <f t="array" ref="AZ8">IF(AND(AZ$2&lt;&gt;0,TblTech[[#This Row],[Hour]:[Hour]]&gt;=AZ$2),1,0)</f>
        <v>0</v>
      </c>
      <c r="BA8" s="298" cm="1">
        <f t="array" ref="BA8">IF(AND(BA$2&lt;&gt;0,TblTech[[#This Row],[Hour]:[Hour]]&gt;=BA$2),1,0)</f>
        <v>0</v>
      </c>
      <c r="BB8" s="298" cm="1">
        <f t="array" ref="BB8">IF(AND(BB$2&lt;&gt;0,TblTech[[#This Row],[Hour]:[Hour]]&gt;=BB$2),1,0)</f>
        <v>0</v>
      </c>
      <c r="BC8" s="298" cm="1">
        <f t="array" ref="BC8">IF(AND(BC$2&lt;&gt;0,TblTech[[#This Row],[Hour]:[Hour]]&gt;=BC$2),1,0)</f>
        <v>0</v>
      </c>
      <c r="BD8" s="298" cm="1">
        <f t="array" ref="BD8">IF(AND(BD$2&lt;&gt;0,TblTech[[#This Row],[Hour]:[Hour]]&gt;=BD$2),1,0)</f>
        <v>0</v>
      </c>
      <c r="BE8" s="298" cm="1">
        <f t="array" ref="BE8">IF(AND(BE$2&lt;&gt;0,TblTech[[#This Row],[Hour]:[Hour]]&gt;=BE$2),1,0)</f>
        <v>0</v>
      </c>
      <c r="BF8" s="298" cm="1">
        <f t="array" ref="BF8">IF(AND(BF$2&lt;&gt;0,TblTech[[#This Row],[Hour]:[Hour]]&gt;=BF$2),1,0)</f>
        <v>0</v>
      </c>
      <c r="BG8" s="298" cm="1">
        <f t="array" ref="BG8">IF(AND(BG$2&lt;&gt;0,TblTech[[#This Row],[Hour]:[Hour]]&gt;=BG$2),1,0)</f>
        <v>0</v>
      </c>
      <c r="BH8" s="298" cm="1">
        <f t="array" ref="BH8">IF(AND(BH$2&lt;&gt;0,TblTech[[#This Row],[Hour]:[Hour]]&gt;=BH$2),1,0)</f>
        <v>0</v>
      </c>
      <c r="BI8" s="298" cm="1">
        <f t="array" ref="BI8">IF(AND(BI$2&lt;&gt;0,TblTech[[#This Row],[Hour]:[Hour]]&gt;=BI$2),1,0)</f>
        <v>0</v>
      </c>
      <c r="BJ8" s="298" cm="1">
        <f t="array" ref="BJ8">IF(AND(BJ$2&lt;&gt;0,TblTech[[#This Row],[Hour]:[Hour]]&gt;=BJ$2),1,0)</f>
        <v>0</v>
      </c>
      <c r="BK8" s="298" cm="1">
        <f t="array" ref="BK8">IF(AND(BK$2&lt;&gt;0,TblTech[[#This Row],[Hour]:[Hour]]&gt;=BK$2),1,0)</f>
        <v>0</v>
      </c>
      <c r="BL8" s="298" cm="1">
        <f t="array" ref="BL8">IF(AND(BL$2&lt;&gt;0,TblTech[[#This Row],[Hour]:[Hour]]&gt;=BL$2),1,0)</f>
        <v>0</v>
      </c>
      <c r="BM8" s="298" cm="1">
        <f t="array" ref="BM8">IF(AND(BM$2&lt;&gt;0,TblTech[[#This Row],[Hour]:[Hour]]&gt;=BM$2),1,0)</f>
        <v>0</v>
      </c>
      <c r="BN8" s="298" cm="1">
        <f t="array" ref="BN8">IF(AND(BN$2&lt;&gt;0,TblTech[[#This Row],[Hour]:[Hour]]&gt;=BN$2),1,0)</f>
        <v>0</v>
      </c>
      <c r="BO8" s="298" cm="1">
        <f t="array" ref="BO8">IF(AND(BO$2&lt;&gt;0,TblTech[[#This Row],[Hour]:[Hour]]&gt;=BO$2),1,0)</f>
        <v>0</v>
      </c>
      <c r="BP8" s="298" cm="1">
        <f t="array" ref="BP8">IF(AND(BP$2&lt;&gt;0,TblTech[[#This Row],[Hour]:[Hour]]&gt;=BP$2),1,0)</f>
        <v>0</v>
      </c>
      <c r="BQ8" s="298" cm="1">
        <f t="array" ref="BQ8">IF(AND(BQ$2&lt;&gt;0,TblTech[[#This Row],[Hour]:[Hour]]&gt;=BQ$2),1,0)</f>
        <v>0</v>
      </c>
      <c r="BR8" s="298" cm="1">
        <f t="array" ref="BR8">IF(AND(BR$2&lt;&gt;0,TblTech[[#This Row],[Hour]:[Hour]]&gt;=BR$2),1,0)</f>
        <v>0</v>
      </c>
      <c r="BS8" s="298" cm="1">
        <f t="array" ref="BS8">IF(AND(BS$2&lt;&gt;0,TblTech[[#This Row],[Hour]:[Hour]]&gt;=BS$2),1,0)</f>
        <v>0</v>
      </c>
      <c r="BT8" s="298" cm="1">
        <f t="array" ref="BT8">IF(AND(BT$2&lt;&gt;0,TblTech[[#This Row],[Hour]:[Hour]]&gt;=BT$2),1,0)</f>
        <v>0</v>
      </c>
      <c r="BU8" s="298" cm="1">
        <f t="array" ref="BU8">IF(AND(BU$2&lt;&gt;0,TblTech[[#This Row],[Hour]:[Hour]]&gt;=BU$2),1,0)</f>
        <v>0</v>
      </c>
      <c r="BV8" s="298" cm="1">
        <f t="array" ref="BV8">IF(AND(BV$2&lt;&gt;0,TblTech[[#This Row],[Hour]:[Hour]]&gt;=BV$2),1,0)</f>
        <v>0</v>
      </c>
      <c r="BW8" s="298" cm="1">
        <f t="array" ref="BW8">IF(AND(BW$2&lt;&gt;0,TblTech[[#This Row],[Hour]:[Hour]]&gt;=BW$2),1,0)</f>
        <v>0</v>
      </c>
      <c r="BX8" s="298" cm="1">
        <f t="array" ref="BX8">IF(AND(BX$2&lt;&gt;0,TblTech[[#This Row],[Hour]:[Hour]]&gt;=BX$2),1,0)</f>
        <v>0</v>
      </c>
      <c r="BY8" s="298" cm="1">
        <f t="array" ref="BY8">IF(AND(BY$2&lt;&gt;0,TblTech[[#This Row],[Hour]:[Hour]]&gt;=BY$2),1,0)</f>
        <v>0</v>
      </c>
      <c r="BZ8" s="298" cm="1">
        <f t="array" ref="BZ8">IF(AND(BZ$2&lt;&gt;0,TblTech[[#This Row],[Hour]:[Hour]]&gt;=BZ$2),1,0)</f>
        <v>0</v>
      </c>
      <c r="CA8" s="402">
        <f>IFERROR(INDEX($H$4:$H$79,MATCH(INDEX(TblTech[[#Headers],[1-1]:[11-1]],1,MATCH(TblTech[[#This Row],[Hour]],$M$2:$BZ$2,0)),$G$4:$G$79,0)),)</f>
        <v>0</v>
      </c>
    </row>
    <row r="9" spans="1:79" x14ac:dyDescent="0.2">
      <c r="A9" s="290">
        <f>TblRezone[[#This Row],[Hour]]</f>
        <v>6</v>
      </c>
      <c r="B9" s="291">
        <f ca="1">TblExplore[[#This Row],[Land-DB]]</f>
        <v>250</v>
      </c>
      <c r="C9" s="292">
        <f ca="1">TblProd[[#This Row],[Techpoints]]</f>
        <v>0</v>
      </c>
      <c r="D9" s="292">
        <f ca="1">TblProd[[#This Row],[Required]]</f>
        <v>3750</v>
      </c>
      <c r="E9" s="293"/>
      <c r="F9" s="294"/>
      <c r="G9" s="295" t="s">
        <v>544</v>
      </c>
      <c r="H9" s="296" t="s">
        <v>693</v>
      </c>
      <c r="I9" s="295" t="s">
        <v>559</v>
      </c>
      <c r="J9" s="291"/>
      <c r="K9" s="95">
        <f ca="1">IF(TblTech[[#This Row],[Sum of tech]]&lt;&gt;OFFSET(TblTech[[#This Row],[Sum of tech]],-1,0),1,0)</f>
        <v>0</v>
      </c>
      <c r="L9" s="297">
        <f>COUNTIF(TblTech[[#This Row],[1-1]:[11-1]],1)</f>
        <v>0</v>
      </c>
      <c r="M9" s="298" cm="1">
        <f t="array" ref="M9">IF(AND(M$2&lt;&gt;0,TblTech[[#This Row],[Hour]:[Hour]]&gt;=M$2),1,0)</f>
        <v>0</v>
      </c>
      <c r="N9" s="298" cm="1">
        <f t="array" ref="N9">IF(AND(N$2&lt;&gt;0,TblTech[[#This Row],[Hour]:[Hour]]&gt;=N$2),1,0)</f>
        <v>0</v>
      </c>
      <c r="O9" s="298" cm="1">
        <f t="array" ref="O9">IF(AND(O$2&lt;&gt;0,TblTech[[#This Row],[Hour]:[Hour]]&gt;=O$2),1,0)</f>
        <v>0</v>
      </c>
      <c r="P9" s="298" cm="1">
        <f t="array" ref="P9">IF(AND(P$2&lt;&gt;0,TblTech[[#This Row],[Hour]:[Hour]]&gt;=P$2),1,0)</f>
        <v>0</v>
      </c>
      <c r="Q9" s="298" cm="1">
        <f t="array" ref="Q9">IF(AND(Q$2&lt;&gt;0,TblTech[[#This Row],[Hour]:[Hour]]&gt;=Q$2),1,0)</f>
        <v>0</v>
      </c>
      <c r="R9" s="298" cm="1">
        <f t="array" ref="R9">IF(AND(R$2&lt;&gt;0,TblTech[[#This Row],[Hour]:[Hour]]&gt;=R$2),1,0)</f>
        <v>0</v>
      </c>
      <c r="S9" s="298" cm="1">
        <f t="array" ref="S9">IF(AND(S$2&lt;&gt;0,TblTech[[#This Row],[Hour]:[Hour]]&gt;=S$2),1,0)</f>
        <v>0</v>
      </c>
      <c r="T9" s="298" cm="1">
        <f t="array" ref="T9">IF(AND(T$2&lt;&gt;0,TblTech[[#This Row],[Hour]:[Hour]]&gt;=T$2),1,0)</f>
        <v>0</v>
      </c>
      <c r="U9" s="298" cm="1">
        <f t="array" ref="U9">IF(AND(U$2&lt;&gt;0,TblTech[[#This Row],[Hour]:[Hour]]&gt;=U$2),1,0)</f>
        <v>0</v>
      </c>
      <c r="V9" s="298" cm="1">
        <f t="array" ref="V9">IF(AND(V$2&lt;&gt;0,TblTech[[#This Row],[Hour]:[Hour]]&gt;=V$2),1,0)</f>
        <v>0</v>
      </c>
      <c r="W9" s="298" cm="1">
        <f t="array" ref="W9">IF(AND(W$2&lt;&gt;0,TblTech[[#This Row],[Hour]:[Hour]]&gt;=W$2),1,0)</f>
        <v>0</v>
      </c>
      <c r="X9" s="298" cm="1">
        <f t="array" ref="X9">IF(AND(X$2&lt;&gt;0,TblTech[[#This Row],[Hour]:[Hour]]&gt;=X$2),1,0)</f>
        <v>0</v>
      </c>
      <c r="Y9" s="298" cm="1">
        <f t="array" ref="Y9">IF(AND(Y$2&lt;&gt;0,TblTech[[#This Row],[Hour]:[Hour]]&gt;=Y$2),1,0)</f>
        <v>0</v>
      </c>
      <c r="Z9" s="298" cm="1">
        <f t="array" ref="Z9">IF(AND(Z$2&lt;&gt;0,TblTech[[#This Row],[Hour]:[Hour]]&gt;=Z$2),1,0)</f>
        <v>0</v>
      </c>
      <c r="AA9" s="298" cm="1">
        <f t="array" ref="AA9">IF(AND(AA$2&lt;&gt;0,TblTech[[#This Row],[Hour]:[Hour]]&gt;=AA$2),1,0)</f>
        <v>0</v>
      </c>
      <c r="AB9" s="298" cm="1">
        <f t="array" ref="AB9">IF(AND(AB$2&lt;&gt;0,TblTech[[#This Row],[Hour]:[Hour]]&gt;=AB$2),1,0)</f>
        <v>0</v>
      </c>
      <c r="AC9" s="298" cm="1">
        <f t="array" ref="AC9">IF(AND(AC$2&lt;&gt;0,TblTech[[#This Row],[Hour]:[Hour]]&gt;=AC$2),1,0)</f>
        <v>0</v>
      </c>
      <c r="AD9" s="298" cm="1">
        <f t="array" ref="AD9">IF(AND(AD$2&lt;&gt;0,TblTech[[#This Row],[Hour]:[Hour]]&gt;=AD$2),1,0)</f>
        <v>0</v>
      </c>
      <c r="AE9" s="298" cm="1">
        <f t="array" ref="AE9">IF(AND(AE$2&lt;&gt;0,TblTech[[#This Row],[Hour]:[Hour]]&gt;=AE$2),1,0)</f>
        <v>0</v>
      </c>
      <c r="AF9" s="298" cm="1">
        <f t="array" ref="AF9">IF(AND(AF$2&lt;&gt;0,TblTech[[#This Row],[Hour]:[Hour]]&gt;=AF$2),1,0)</f>
        <v>0</v>
      </c>
      <c r="AG9" s="298" cm="1">
        <f t="array" ref="AG9">IF(AND(AG$2&lt;&gt;0,TblTech[[#This Row],[Hour]:[Hour]]&gt;=AG$2),1,0)</f>
        <v>0</v>
      </c>
      <c r="AH9" s="298" cm="1">
        <f t="array" ref="AH9">IF(AND(AH$2&lt;&gt;0,TblTech[[#This Row],[Hour]:[Hour]]&gt;=AH$2),1,0)</f>
        <v>0</v>
      </c>
      <c r="AI9" s="298" cm="1">
        <f t="array" ref="AI9">IF(AND(AI$2&lt;&gt;0,TblTech[[#This Row],[Hour]:[Hour]]&gt;=AI$2),1,0)</f>
        <v>0</v>
      </c>
      <c r="AJ9" s="298" cm="1">
        <f t="array" ref="AJ9">IF(AND(AJ$2&lt;&gt;0,TblTech[[#This Row],[Hour]:[Hour]]&gt;=AJ$2),1,0)</f>
        <v>0</v>
      </c>
      <c r="AK9" s="298" cm="1">
        <f t="array" ref="AK9">IF(AND(AK$2&lt;&gt;0,TblTech[[#This Row],[Hour]:[Hour]]&gt;=AK$2),1,0)</f>
        <v>0</v>
      </c>
      <c r="AL9" s="298" cm="1">
        <f t="array" ref="AL9">IF(AND(AL$2&lt;&gt;0,TblTech[[#This Row],[Hour]:[Hour]]&gt;=AL$2),1,0)</f>
        <v>0</v>
      </c>
      <c r="AM9" s="298" cm="1">
        <f t="array" ref="AM9">IF(AND(AM$2&lt;&gt;0,TblTech[[#This Row],[Hour]:[Hour]]&gt;=AM$2),1,0)</f>
        <v>0</v>
      </c>
      <c r="AN9" s="298" cm="1">
        <f t="array" ref="AN9">IF(AND(AN$2&lt;&gt;0,TblTech[[#This Row],[Hour]:[Hour]]&gt;=AN$2),1,0)</f>
        <v>0</v>
      </c>
      <c r="AO9" s="298" cm="1">
        <f t="array" ref="AO9">IF(AND(AO$2&lt;&gt;0,TblTech[[#This Row],[Hour]:[Hour]]&gt;=AO$2),1,0)</f>
        <v>0</v>
      </c>
      <c r="AP9" s="298" cm="1">
        <f t="array" ref="AP9">IF(AND(AP$2&lt;&gt;0,TblTech[[#This Row],[Hour]:[Hour]]&gt;=AP$2),1,0)</f>
        <v>0</v>
      </c>
      <c r="AQ9" s="298" cm="1">
        <f t="array" ref="AQ9">IF(AND(AQ$2&lt;&gt;0,TblTech[[#This Row],[Hour]:[Hour]]&gt;=AQ$2),1,0)</f>
        <v>0</v>
      </c>
      <c r="AR9" s="298" cm="1">
        <f t="array" ref="AR9">IF(AND(AR$2&lt;&gt;0,TblTech[[#This Row],[Hour]:[Hour]]&gt;=AR$2),1,0)</f>
        <v>0</v>
      </c>
      <c r="AS9" s="298" cm="1">
        <f t="array" ref="AS9">IF(AND(AS$2&lt;&gt;0,TblTech[[#This Row],[Hour]:[Hour]]&gt;=AS$2),1,0)</f>
        <v>0</v>
      </c>
      <c r="AT9" s="298" cm="1">
        <f t="array" ref="AT9">IF(AND(AT$2&lt;&gt;0,TblTech[[#This Row],[Hour]:[Hour]]&gt;=AT$2),1,0)</f>
        <v>0</v>
      </c>
      <c r="AU9" s="298" cm="1">
        <f t="array" ref="AU9">IF(AND(AU$2&lt;&gt;0,TblTech[[#This Row],[Hour]:[Hour]]&gt;=AU$2),1,0)</f>
        <v>0</v>
      </c>
      <c r="AV9" s="298" cm="1">
        <f t="array" ref="AV9">IF(AND(AV$2&lt;&gt;0,TblTech[[#This Row],[Hour]:[Hour]]&gt;=AV$2),1,0)</f>
        <v>0</v>
      </c>
      <c r="AW9" s="298" cm="1">
        <f t="array" ref="AW9">IF(AND(AW$2&lt;&gt;0,TblTech[[#This Row],[Hour]:[Hour]]&gt;=AW$2),1,0)</f>
        <v>0</v>
      </c>
      <c r="AX9" s="298" cm="1">
        <f t="array" ref="AX9">IF(AND(AX$2&lt;&gt;0,TblTech[[#This Row],[Hour]:[Hour]]&gt;=AX$2),1,0)</f>
        <v>0</v>
      </c>
      <c r="AY9" s="298" cm="1">
        <f t="array" ref="AY9">IF(AND(AY$2&lt;&gt;0,TblTech[[#This Row],[Hour]:[Hour]]&gt;=AY$2),1,0)</f>
        <v>0</v>
      </c>
      <c r="AZ9" s="298" cm="1">
        <f t="array" ref="AZ9">IF(AND(AZ$2&lt;&gt;0,TblTech[[#This Row],[Hour]:[Hour]]&gt;=AZ$2),1,0)</f>
        <v>0</v>
      </c>
      <c r="BA9" s="298" cm="1">
        <f t="array" ref="BA9">IF(AND(BA$2&lt;&gt;0,TblTech[[#This Row],[Hour]:[Hour]]&gt;=BA$2),1,0)</f>
        <v>0</v>
      </c>
      <c r="BB9" s="298" cm="1">
        <f t="array" ref="BB9">IF(AND(BB$2&lt;&gt;0,TblTech[[#This Row],[Hour]:[Hour]]&gt;=BB$2),1,0)</f>
        <v>0</v>
      </c>
      <c r="BC9" s="298" cm="1">
        <f t="array" ref="BC9">IF(AND(BC$2&lt;&gt;0,TblTech[[#This Row],[Hour]:[Hour]]&gt;=BC$2),1,0)</f>
        <v>0</v>
      </c>
      <c r="BD9" s="298" cm="1">
        <f t="array" ref="BD9">IF(AND(BD$2&lt;&gt;0,TblTech[[#This Row],[Hour]:[Hour]]&gt;=BD$2),1,0)</f>
        <v>0</v>
      </c>
      <c r="BE9" s="298" cm="1">
        <f t="array" ref="BE9">IF(AND(BE$2&lt;&gt;0,TblTech[[#This Row],[Hour]:[Hour]]&gt;=BE$2),1,0)</f>
        <v>0</v>
      </c>
      <c r="BF9" s="298" cm="1">
        <f t="array" ref="BF9">IF(AND(BF$2&lt;&gt;0,TblTech[[#This Row],[Hour]:[Hour]]&gt;=BF$2),1,0)</f>
        <v>0</v>
      </c>
      <c r="BG9" s="298" cm="1">
        <f t="array" ref="BG9">IF(AND(BG$2&lt;&gt;0,TblTech[[#This Row],[Hour]:[Hour]]&gt;=BG$2),1,0)</f>
        <v>0</v>
      </c>
      <c r="BH9" s="298" cm="1">
        <f t="array" ref="BH9">IF(AND(BH$2&lt;&gt;0,TblTech[[#This Row],[Hour]:[Hour]]&gt;=BH$2),1,0)</f>
        <v>0</v>
      </c>
      <c r="BI9" s="298" cm="1">
        <f t="array" ref="BI9">IF(AND(BI$2&lt;&gt;0,TblTech[[#This Row],[Hour]:[Hour]]&gt;=BI$2),1,0)</f>
        <v>0</v>
      </c>
      <c r="BJ9" s="298" cm="1">
        <f t="array" ref="BJ9">IF(AND(BJ$2&lt;&gt;0,TblTech[[#This Row],[Hour]:[Hour]]&gt;=BJ$2),1,0)</f>
        <v>0</v>
      </c>
      <c r="BK9" s="298" cm="1">
        <f t="array" ref="BK9">IF(AND(BK$2&lt;&gt;0,TblTech[[#This Row],[Hour]:[Hour]]&gt;=BK$2),1,0)</f>
        <v>0</v>
      </c>
      <c r="BL9" s="298" cm="1">
        <f t="array" ref="BL9">IF(AND(BL$2&lt;&gt;0,TblTech[[#This Row],[Hour]:[Hour]]&gt;=BL$2),1,0)</f>
        <v>0</v>
      </c>
      <c r="BM9" s="298" cm="1">
        <f t="array" ref="BM9">IF(AND(BM$2&lt;&gt;0,TblTech[[#This Row],[Hour]:[Hour]]&gt;=BM$2),1,0)</f>
        <v>0</v>
      </c>
      <c r="BN9" s="298" cm="1">
        <f t="array" ref="BN9">IF(AND(BN$2&lt;&gt;0,TblTech[[#This Row],[Hour]:[Hour]]&gt;=BN$2),1,0)</f>
        <v>0</v>
      </c>
      <c r="BO9" s="298" cm="1">
        <f t="array" ref="BO9">IF(AND(BO$2&lt;&gt;0,TblTech[[#This Row],[Hour]:[Hour]]&gt;=BO$2),1,0)</f>
        <v>0</v>
      </c>
      <c r="BP9" s="298" cm="1">
        <f t="array" ref="BP9">IF(AND(BP$2&lt;&gt;0,TblTech[[#This Row],[Hour]:[Hour]]&gt;=BP$2),1,0)</f>
        <v>0</v>
      </c>
      <c r="BQ9" s="298" cm="1">
        <f t="array" ref="BQ9">IF(AND(BQ$2&lt;&gt;0,TblTech[[#This Row],[Hour]:[Hour]]&gt;=BQ$2),1,0)</f>
        <v>0</v>
      </c>
      <c r="BR9" s="298" cm="1">
        <f t="array" ref="BR9">IF(AND(BR$2&lt;&gt;0,TblTech[[#This Row],[Hour]:[Hour]]&gt;=BR$2),1,0)</f>
        <v>0</v>
      </c>
      <c r="BS9" s="298" cm="1">
        <f t="array" ref="BS9">IF(AND(BS$2&lt;&gt;0,TblTech[[#This Row],[Hour]:[Hour]]&gt;=BS$2),1,0)</f>
        <v>0</v>
      </c>
      <c r="BT9" s="298" cm="1">
        <f t="array" ref="BT9">IF(AND(BT$2&lt;&gt;0,TblTech[[#This Row],[Hour]:[Hour]]&gt;=BT$2),1,0)</f>
        <v>0</v>
      </c>
      <c r="BU9" s="298" cm="1">
        <f t="array" ref="BU9">IF(AND(BU$2&lt;&gt;0,TblTech[[#This Row],[Hour]:[Hour]]&gt;=BU$2),1,0)</f>
        <v>0</v>
      </c>
      <c r="BV9" s="298" cm="1">
        <f t="array" ref="BV9">IF(AND(BV$2&lt;&gt;0,TblTech[[#This Row],[Hour]:[Hour]]&gt;=BV$2),1,0)</f>
        <v>0</v>
      </c>
      <c r="BW9" s="298" cm="1">
        <f t="array" ref="BW9">IF(AND(BW$2&lt;&gt;0,TblTech[[#This Row],[Hour]:[Hour]]&gt;=BW$2),1,0)</f>
        <v>0</v>
      </c>
      <c r="BX9" s="298" cm="1">
        <f t="array" ref="BX9">IF(AND(BX$2&lt;&gt;0,TblTech[[#This Row],[Hour]:[Hour]]&gt;=BX$2),1,0)</f>
        <v>0</v>
      </c>
      <c r="BY9" s="298" cm="1">
        <f t="array" ref="BY9">IF(AND(BY$2&lt;&gt;0,TblTech[[#This Row],[Hour]:[Hour]]&gt;=BY$2),1,0)</f>
        <v>0</v>
      </c>
      <c r="BZ9" s="298" cm="1">
        <f t="array" ref="BZ9">IF(AND(BZ$2&lt;&gt;0,TblTech[[#This Row],[Hour]:[Hour]]&gt;=BZ$2),1,0)</f>
        <v>0</v>
      </c>
      <c r="CA9" s="402">
        <f>IFERROR(INDEX($H$4:$H$79,MATCH(INDEX(TblTech[[#Headers],[1-1]:[11-1]],1,MATCH(TblTech[[#This Row],[Hour]],$M$2:$BZ$2,0)),$G$4:$G$79,0)),)</f>
        <v>0</v>
      </c>
    </row>
    <row r="10" spans="1:79" x14ac:dyDescent="0.2">
      <c r="A10" s="290">
        <f>TblRezone[[#This Row],[Hour]]</f>
        <v>7</v>
      </c>
      <c r="B10" s="291">
        <f ca="1">TblExplore[[#This Row],[Land-DB]]</f>
        <v>250</v>
      </c>
      <c r="C10" s="292">
        <f ca="1">TblProd[[#This Row],[Techpoints]]</f>
        <v>0</v>
      </c>
      <c r="D10" s="292">
        <f ca="1">TblProd[[#This Row],[Required]]</f>
        <v>3750</v>
      </c>
      <c r="E10" s="293"/>
      <c r="F10" s="294"/>
      <c r="G10" s="295" t="s">
        <v>545</v>
      </c>
      <c r="H10" s="296" t="s">
        <v>721</v>
      </c>
      <c r="I10" s="295" t="s">
        <v>736</v>
      </c>
      <c r="J10" s="291"/>
      <c r="K10" s="95">
        <f ca="1">IF(TblTech[[#This Row],[Sum of tech]]&lt;&gt;OFFSET(TblTech[[#This Row],[Sum of tech]],-1,0),1,0)</f>
        <v>0</v>
      </c>
      <c r="L10" s="297">
        <f>COUNTIF(TblTech[[#This Row],[1-1]:[11-1]],1)</f>
        <v>0</v>
      </c>
      <c r="M10" s="298" cm="1">
        <f t="array" ref="M10">IF(AND(M$2&lt;&gt;0,TblTech[[#This Row],[Hour]:[Hour]]&gt;=M$2),1,0)</f>
        <v>0</v>
      </c>
      <c r="N10" s="298" cm="1">
        <f t="array" ref="N10">IF(AND(N$2&lt;&gt;0,TblTech[[#This Row],[Hour]:[Hour]]&gt;=N$2),1,0)</f>
        <v>0</v>
      </c>
      <c r="O10" s="298" cm="1">
        <f t="array" ref="O10">IF(AND(O$2&lt;&gt;0,TblTech[[#This Row],[Hour]:[Hour]]&gt;=O$2),1,0)</f>
        <v>0</v>
      </c>
      <c r="P10" s="298" cm="1">
        <f t="array" ref="P10">IF(AND(P$2&lt;&gt;0,TblTech[[#This Row],[Hour]:[Hour]]&gt;=P$2),1,0)</f>
        <v>0</v>
      </c>
      <c r="Q10" s="298" cm="1">
        <f t="array" ref="Q10">IF(AND(Q$2&lt;&gt;0,TblTech[[#This Row],[Hour]:[Hour]]&gt;=Q$2),1,0)</f>
        <v>0</v>
      </c>
      <c r="R10" s="298" cm="1">
        <f t="array" ref="R10">IF(AND(R$2&lt;&gt;0,TblTech[[#This Row],[Hour]:[Hour]]&gt;=R$2),1,0)</f>
        <v>0</v>
      </c>
      <c r="S10" s="298" cm="1">
        <f t="array" ref="S10">IF(AND(S$2&lt;&gt;0,TblTech[[#This Row],[Hour]:[Hour]]&gt;=S$2),1,0)</f>
        <v>0</v>
      </c>
      <c r="T10" s="298" cm="1">
        <f t="array" ref="T10">IF(AND(T$2&lt;&gt;0,TblTech[[#This Row],[Hour]:[Hour]]&gt;=T$2),1,0)</f>
        <v>0</v>
      </c>
      <c r="U10" s="298" cm="1">
        <f t="array" ref="U10">IF(AND(U$2&lt;&gt;0,TblTech[[#This Row],[Hour]:[Hour]]&gt;=U$2),1,0)</f>
        <v>0</v>
      </c>
      <c r="V10" s="298" cm="1">
        <f t="array" ref="V10">IF(AND(V$2&lt;&gt;0,TblTech[[#This Row],[Hour]:[Hour]]&gt;=V$2),1,0)</f>
        <v>0</v>
      </c>
      <c r="W10" s="298" cm="1">
        <f t="array" ref="W10">IF(AND(W$2&lt;&gt;0,TblTech[[#This Row],[Hour]:[Hour]]&gt;=W$2),1,0)</f>
        <v>0</v>
      </c>
      <c r="X10" s="298" cm="1">
        <f t="array" ref="X10">IF(AND(X$2&lt;&gt;0,TblTech[[#This Row],[Hour]:[Hour]]&gt;=X$2),1,0)</f>
        <v>0</v>
      </c>
      <c r="Y10" s="298" cm="1">
        <f t="array" ref="Y10">IF(AND(Y$2&lt;&gt;0,TblTech[[#This Row],[Hour]:[Hour]]&gt;=Y$2),1,0)</f>
        <v>0</v>
      </c>
      <c r="Z10" s="298" cm="1">
        <f t="array" ref="Z10">IF(AND(Z$2&lt;&gt;0,TblTech[[#This Row],[Hour]:[Hour]]&gt;=Z$2),1,0)</f>
        <v>0</v>
      </c>
      <c r="AA10" s="298" cm="1">
        <f t="array" ref="AA10">IF(AND(AA$2&lt;&gt;0,TblTech[[#This Row],[Hour]:[Hour]]&gt;=AA$2),1,0)</f>
        <v>0</v>
      </c>
      <c r="AB10" s="298" cm="1">
        <f t="array" ref="AB10">IF(AND(AB$2&lt;&gt;0,TblTech[[#This Row],[Hour]:[Hour]]&gt;=AB$2),1,0)</f>
        <v>0</v>
      </c>
      <c r="AC10" s="298" cm="1">
        <f t="array" ref="AC10">IF(AND(AC$2&lt;&gt;0,TblTech[[#This Row],[Hour]:[Hour]]&gt;=AC$2),1,0)</f>
        <v>0</v>
      </c>
      <c r="AD10" s="298" cm="1">
        <f t="array" ref="AD10">IF(AND(AD$2&lt;&gt;0,TblTech[[#This Row],[Hour]:[Hour]]&gt;=AD$2),1,0)</f>
        <v>0</v>
      </c>
      <c r="AE10" s="298" cm="1">
        <f t="array" ref="AE10">IF(AND(AE$2&lt;&gt;0,TblTech[[#This Row],[Hour]:[Hour]]&gt;=AE$2),1,0)</f>
        <v>0</v>
      </c>
      <c r="AF10" s="298" cm="1">
        <f t="array" ref="AF10">IF(AND(AF$2&lt;&gt;0,TblTech[[#This Row],[Hour]:[Hour]]&gt;=AF$2),1,0)</f>
        <v>0</v>
      </c>
      <c r="AG10" s="298" cm="1">
        <f t="array" ref="AG10">IF(AND(AG$2&lt;&gt;0,TblTech[[#This Row],[Hour]:[Hour]]&gt;=AG$2),1,0)</f>
        <v>0</v>
      </c>
      <c r="AH10" s="298" cm="1">
        <f t="array" ref="AH10">IF(AND(AH$2&lt;&gt;0,TblTech[[#This Row],[Hour]:[Hour]]&gt;=AH$2),1,0)</f>
        <v>0</v>
      </c>
      <c r="AI10" s="298" cm="1">
        <f t="array" ref="AI10">IF(AND(AI$2&lt;&gt;0,TblTech[[#This Row],[Hour]:[Hour]]&gt;=AI$2),1,0)</f>
        <v>0</v>
      </c>
      <c r="AJ10" s="298" cm="1">
        <f t="array" ref="AJ10">IF(AND(AJ$2&lt;&gt;0,TblTech[[#This Row],[Hour]:[Hour]]&gt;=AJ$2),1,0)</f>
        <v>0</v>
      </c>
      <c r="AK10" s="298" cm="1">
        <f t="array" ref="AK10">IF(AND(AK$2&lt;&gt;0,TblTech[[#This Row],[Hour]:[Hour]]&gt;=AK$2),1,0)</f>
        <v>0</v>
      </c>
      <c r="AL10" s="298" cm="1">
        <f t="array" ref="AL10">IF(AND(AL$2&lt;&gt;0,TblTech[[#This Row],[Hour]:[Hour]]&gt;=AL$2),1,0)</f>
        <v>0</v>
      </c>
      <c r="AM10" s="298" cm="1">
        <f t="array" ref="AM10">IF(AND(AM$2&lt;&gt;0,TblTech[[#This Row],[Hour]:[Hour]]&gt;=AM$2),1,0)</f>
        <v>0</v>
      </c>
      <c r="AN10" s="298" cm="1">
        <f t="array" ref="AN10">IF(AND(AN$2&lt;&gt;0,TblTech[[#This Row],[Hour]:[Hour]]&gt;=AN$2),1,0)</f>
        <v>0</v>
      </c>
      <c r="AO10" s="298" cm="1">
        <f t="array" ref="AO10">IF(AND(AO$2&lt;&gt;0,TblTech[[#This Row],[Hour]:[Hour]]&gt;=AO$2),1,0)</f>
        <v>0</v>
      </c>
      <c r="AP10" s="298" cm="1">
        <f t="array" ref="AP10">IF(AND(AP$2&lt;&gt;0,TblTech[[#This Row],[Hour]:[Hour]]&gt;=AP$2),1,0)</f>
        <v>0</v>
      </c>
      <c r="AQ10" s="298" cm="1">
        <f t="array" ref="AQ10">IF(AND(AQ$2&lt;&gt;0,TblTech[[#This Row],[Hour]:[Hour]]&gt;=AQ$2),1,0)</f>
        <v>0</v>
      </c>
      <c r="AR10" s="298" cm="1">
        <f t="array" ref="AR10">IF(AND(AR$2&lt;&gt;0,TblTech[[#This Row],[Hour]:[Hour]]&gt;=AR$2),1,0)</f>
        <v>0</v>
      </c>
      <c r="AS10" s="298" cm="1">
        <f t="array" ref="AS10">IF(AND(AS$2&lt;&gt;0,TblTech[[#This Row],[Hour]:[Hour]]&gt;=AS$2),1,0)</f>
        <v>0</v>
      </c>
      <c r="AT10" s="298" cm="1">
        <f t="array" ref="AT10">IF(AND(AT$2&lt;&gt;0,TblTech[[#This Row],[Hour]:[Hour]]&gt;=AT$2),1,0)</f>
        <v>0</v>
      </c>
      <c r="AU10" s="298" cm="1">
        <f t="array" ref="AU10">IF(AND(AU$2&lt;&gt;0,TblTech[[#This Row],[Hour]:[Hour]]&gt;=AU$2),1,0)</f>
        <v>0</v>
      </c>
      <c r="AV10" s="298" cm="1">
        <f t="array" ref="AV10">IF(AND(AV$2&lt;&gt;0,TblTech[[#This Row],[Hour]:[Hour]]&gt;=AV$2),1,0)</f>
        <v>0</v>
      </c>
      <c r="AW10" s="298" cm="1">
        <f t="array" ref="AW10">IF(AND(AW$2&lt;&gt;0,TblTech[[#This Row],[Hour]:[Hour]]&gt;=AW$2),1,0)</f>
        <v>0</v>
      </c>
      <c r="AX10" s="298" cm="1">
        <f t="array" ref="AX10">IF(AND(AX$2&lt;&gt;0,TblTech[[#This Row],[Hour]:[Hour]]&gt;=AX$2),1,0)</f>
        <v>0</v>
      </c>
      <c r="AY10" s="298" cm="1">
        <f t="array" ref="AY10">IF(AND(AY$2&lt;&gt;0,TblTech[[#This Row],[Hour]:[Hour]]&gt;=AY$2),1,0)</f>
        <v>0</v>
      </c>
      <c r="AZ10" s="298" cm="1">
        <f t="array" ref="AZ10">IF(AND(AZ$2&lt;&gt;0,TblTech[[#This Row],[Hour]:[Hour]]&gt;=AZ$2),1,0)</f>
        <v>0</v>
      </c>
      <c r="BA10" s="298" cm="1">
        <f t="array" ref="BA10">IF(AND(BA$2&lt;&gt;0,TblTech[[#This Row],[Hour]:[Hour]]&gt;=BA$2),1,0)</f>
        <v>0</v>
      </c>
      <c r="BB10" s="298" cm="1">
        <f t="array" ref="BB10">IF(AND(BB$2&lt;&gt;0,TblTech[[#This Row],[Hour]:[Hour]]&gt;=BB$2),1,0)</f>
        <v>0</v>
      </c>
      <c r="BC10" s="298" cm="1">
        <f t="array" ref="BC10">IF(AND(BC$2&lt;&gt;0,TblTech[[#This Row],[Hour]:[Hour]]&gt;=BC$2),1,0)</f>
        <v>0</v>
      </c>
      <c r="BD10" s="298" cm="1">
        <f t="array" ref="BD10">IF(AND(BD$2&lt;&gt;0,TblTech[[#This Row],[Hour]:[Hour]]&gt;=BD$2),1,0)</f>
        <v>0</v>
      </c>
      <c r="BE10" s="298" cm="1">
        <f t="array" ref="BE10">IF(AND(BE$2&lt;&gt;0,TblTech[[#This Row],[Hour]:[Hour]]&gt;=BE$2),1,0)</f>
        <v>0</v>
      </c>
      <c r="BF10" s="298" cm="1">
        <f t="array" ref="BF10">IF(AND(BF$2&lt;&gt;0,TblTech[[#This Row],[Hour]:[Hour]]&gt;=BF$2),1,0)</f>
        <v>0</v>
      </c>
      <c r="BG10" s="298" cm="1">
        <f t="array" ref="BG10">IF(AND(BG$2&lt;&gt;0,TblTech[[#This Row],[Hour]:[Hour]]&gt;=BG$2),1,0)</f>
        <v>0</v>
      </c>
      <c r="BH10" s="298" cm="1">
        <f t="array" ref="BH10">IF(AND(BH$2&lt;&gt;0,TblTech[[#This Row],[Hour]:[Hour]]&gt;=BH$2),1,0)</f>
        <v>0</v>
      </c>
      <c r="BI10" s="298" cm="1">
        <f t="array" ref="BI10">IF(AND(BI$2&lt;&gt;0,TblTech[[#This Row],[Hour]:[Hour]]&gt;=BI$2),1,0)</f>
        <v>0</v>
      </c>
      <c r="BJ10" s="298" cm="1">
        <f t="array" ref="BJ10">IF(AND(BJ$2&lt;&gt;0,TblTech[[#This Row],[Hour]:[Hour]]&gt;=BJ$2),1,0)</f>
        <v>0</v>
      </c>
      <c r="BK10" s="298" cm="1">
        <f t="array" ref="BK10">IF(AND(BK$2&lt;&gt;0,TblTech[[#This Row],[Hour]:[Hour]]&gt;=BK$2),1,0)</f>
        <v>0</v>
      </c>
      <c r="BL10" s="298" cm="1">
        <f t="array" ref="BL10">IF(AND(BL$2&lt;&gt;0,TblTech[[#This Row],[Hour]:[Hour]]&gt;=BL$2),1,0)</f>
        <v>0</v>
      </c>
      <c r="BM10" s="298" cm="1">
        <f t="array" ref="BM10">IF(AND(BM$2&lt;&gt;0,TblTech[[#This Row],[Hour]:[Hour]]&gt;=BM$2),1,0)</f>
        <v>0</v>
      </c>
      <c r="BN10" s="298" cm="1">
        <f t="array" ref="BN10">IF(AND(BN$2&lt;&gt;0,TblTech[[#This Row],[Hour]:[Hour]]&gt;=BN$2),1,0)</f>
        <v>0</v>
      </c>
      <c r="BO10" s="298" cm="1">
        <f t="array" ref="BO10">IF(AND(BO$2&lt;&gt;0,TblTech[[#This Row],[Hour]:[Hour]]&gt;=BO$2),1,0)</f>
        <v>0</v>
      </c>
      <c r="BP10" s="298" cm="1">
        <f t="array" ref="BP10">IF(AND(BP$2&lt;&gt;0,TblTech[[#This Row],[Hour]:[Hour]]&gt;=BP$2),1,0)</f>
        <v>0</v>
      </c>
      <c r="BQ10" s="298" cm="1">
        <f t="array" ref="BQ10">IF(AND(BQ$2&lt;&gt;0,TblTech[[#This Row],[Hour]:[Hour]]&gt;=BQ$2),1,0)</f>
        <v>0</v>
      </c>
      <c r="BR10" s="298" cm="1">
        <f t="array" ref="BR10">IF(AND(BR$2&lt;&gt;0,TblTech[[#This Row],[Hour]:[Hour]]&gt;=BR$2),1,0)</f>
        <v>0</v>
      </c>
      <c r="BS10" s="298" cm="1">
        <f t="array" ref="BS10">IF(AND(BS$2&lt;&gt;0,TblTech[[#This Row],[Hour]:[Hour]]&gt;=BS$2),1,0)</f>
        <v>0</v>
      </c>
      <c r="BT10" s="298" cm="1">
        <f t="array" ref="BT10">IF(AND(BT$2&lt;&gt;0,TblTech[[#This Row],[Hour]:[Hour]]&gt;=BT$2),1,0)</f>
        <v>0</v>
      </c>
      <c r="BU10" s="298" cm="1">
        <f t="array" ref="BU10">IF(AND(BU$2&lt;&gt;0,TblTech[[#This Row],[Hour]:[Hour]]&gt;=BU$2),1,0)</f>
        <v>0</v>
      </c>
      <c r="BV10" s="298" cm="1">
        <f t="array" ref="BV10">IF(AND(BV$2&lt;&gt;0,TblTech[[#This Row],[Hour]:[Hour]]&gt;=BV$2),1,0)</f>
        <v>0</v>
      </c>
      <c r="BW10" s="298" cm="1">
        <f t="array" ref="BW10">IF(AND(BW$2&lt;&gt;0,TblTech[[#This Row],[Hour]:[Hour]]&gt;=BW$2),1,0)</f>
        <v>0</v>
      </c>
      <c r="BX10" s="298" cm="1">
        <f t="array" ref="BX10">IF(AND(BX$2&lt;&gt;0,TblTech[[#This Row],[Hour]:[Hour]]&gt;=BX$2),1,0)</f>
        <v>0</v>
      </c>
      <c r="BY10" s="298" cm="1">
        <f t="array" ref="BY10">IF(AND(BY$2&lt;&gt;0,TblTech[[#This Row],[Hour]:[Hour]]&gt;=BY$2),1,0)</f>
        <v>0</v>
      </c>
      <c r="BZ10" s="298" cm="1">
        <f t="array" ref="BZ10">IF(AND(BZ$2&lt;&gt;0,TblTech[[#This Row],[Hour]:[Hour]]&gt;=BZ$2),1,0)</f>
        <v>0</v>
      </c>
      <c r="CA10" s="402">
        <f>IFERROR(INDEX($H$4:$H$79,MATCH(INDEX(TblTech[[#Headers],[1-1]:[11-1]],1,MATCH(TblTech[[#This Row],[Hour]],$M$2:$BZ$2,0)),$G$4:$G$79,0)),)</f>
        <v>0</v>
      </c>
    </row>
    <row r="11" spans="1:79" x14ac:dyDescent="0.2">
      <c r="A11" s="290">
        <f>TblRezone[[#This Row],[Hour]]</f>
        <v>8</v>
      </c>
      <c r="B11" s="291">
        <f ca="1">TblExplore[[#This Row],[Land-DB]]</f>
        <v>250</v>
      </c>
      <c r="C11" s="292">
        <f ca="1">TblProd[[#This Row],[Techpoints]]</f>
        <v>0</v>
      </c>
      <c r="D11" s="292">
        <f ca="1">TblProd[[#This Row],[Required]]</f>
        <v>3750</v>
      </c>
      <c r="E11" s="293"/>
      <c r="F11" s="294"/>
      <c r="G11" s="295" t="s">
        <v>546</v>
      </c>
      <c r="H11" s="296" t="s">
        <v>685</v>
      </c>
      <c r="I11" s="295" t="s">
        <v>1046</v>
      </c>
      <c r="J11" s="291"/>
      <c r="K11" s="95">
        <f ca="1">IF(TblTech[[#This Row],[Sum of tech]]&lt;&gt;OFFSET(TblTech[[#This Row],[Sum of tech]],-1,0),1,0)</f>
        <v>0</v>
      </c>
      <c r="L11" s="297">
        <f>COUNTIF(TblTech[[#This Row],[1-1]:[11-1]],1)</f>
        <v>0</v>
      </c>
      <c r="M11" s="298" cm="1">
        <f t="array" ref="M11">IF(AND(M$2&lt;&gt;0,TblTech[[#This Row],[Hour]:[Hour]]&gt;=M$2),1,0)</f>
        <v>0</v>
      </c>
      <c r="N11" s="298" cm="1">
        <f t="array" ref="N11">IF(AND(N$2&lt;&gt;0,TblTech[[#This Row],[Hour]:[Hour]]&gt;=N$2),1,0)</f>
        <v>0</v>
      </c>
      <c r="O11" s="298" cm="1">
        <f t="array" ref="O11">IF(AND(O$2&lt;&gt;0,TblTech[[#This Row],[Hour]:[Hour]]&gt;=O$2),1,0)</f>
        <v>0</v>
      </c>
      <c r="P11" s="298" cm="1">
        <f t="array" ref="P11">IF(AND(P$2&lt;&gt;0,TblTech[[#This Row],[Hour]:[Hour]]&gt;=P$2),1,0)</f>
        <v>0</v>
      </c>
      <c r="Q11" s="298" cm="1">
        <f t="array" ref="Q11">IF(AND(Q$2&lt;&gt;0,TblTech[[#This Row],[Hour]:[Hour]]&gt;=Q$2),1,0)</f>
        <v>0</v>
      </c>
      <c r="R11" s="298" cm="1">
        <f t="array" ref="R11">IF(AND(R$2&lt;&gt;0,TblTech[[#This Row],[Hour]:[Hour]]&gt;=R$2),1,0)</f>
        <v>0</v>
      </c>
      <c r="S11" s="298" cm="1">
        <f t="array" ref="S11">IF(AND(S$2&lt;&gt;0,TblTech[[#This Row],[Hour]:[Hour]]&gt;=S$2),1,0)</f>
        <v>0</v>
      </c>
      <c r="T11" s="298" cm="1">
        <f t="array" ref="T11">IF(AND(T$2&lt;&gt;0,TblTech[[#This Row],[Hour]:[Hour]]&gt;=T$2),1,0)</f>
        <v>0</v>
      </c>
      <c r="U11" s="298" cm="1">
        <f t="array" ref="U11">IF(AND(U$2&lt;&gt;0,TblTech[[#This Row],[Hour]:[Hour]]&gt;=U$2),1,0)</f>
        <v>0</v>
      </c>
      <c r="V11" s="298" cm="1">
        <f t="array" ref="V11">IF(AND(V$2&lt;&gt;0,TblTech[[#This Row],[Hour]:[Hour]]&gt;=V$2),1,0)</f>
        <v>0</v>
      </c>
      <c r="W11" s="298" cm="1">
        <f t="array" ref="W11">IF(AND(W$2&lt;&gt;0,TblTech[[#This Row],[Hour]:[Hour]]&gt;=W$2),1,0)</f>
        <v>0</v>
      </c>
      <c r="X11" s="298" cm="1">
        <f t="array" ref="X11">IF(AND(X$2&lt;&gt;0,TblTech[[#This Row],[Hour]:[Hour]]&gt;=X$2),1,0)</f>
        <v>0</v>
      </c>
      <c r="Y11" s="298" cm="1">
        <f t="array" ref="Y11">IF(AND(Y$2&lt;&gt;0,TblTech[[#This Row],[Hour]:[Hour]]&gt;=Y$2),1,0)</f>
        <v>0</v>
      </c>
      <c r="Z11" s="298" cm="1">
        <f t="array" ref="Z11">IF(AND(Z$2&lt;&gt;0,TblTech[[#This Row],[Hour]:[Hour]]&gt;=Z$2),1,0)</f>
        <v>0</v>
      </c>
      <c r="AA11" s="298" cm="1">
        <f t="array" ref="AA11">IF(AND(AA$2&lt;&gt;0,TblTech[[#This Row],[Hour]:[Hour]]&gt;=AA$2),1,0)</f>
        <v>0</v>
      </c>
      <c r="AB11" s="298" cm="1">
        <f t="array" ref="AB11">IF(AND(AB$2&lt;&gt;0,TblTech[[#This Row],[Hour]:[Hour]]&gt;=AB$2),1,0)</f>
        <v>0</v>
      </c>
      <c r="AC11" s="298" cm="1">
        <f t="array" ref="AC11">IF(AND(AC$2&lt;&gt;0,TblTech[[#This Row],[Hour]:[Hour]]&gt;=AC$2),1,0)</f>
        <v>0</v>
      </c>
      <c r="AD11" s="298" cm="1">
        <f t="array" ref="AD11">IF(AND(AD$2&lt;&gt;0,TblTech[[#This Row],[Hour]:[Hour]]&gt;=AD$2),1,0)</f>
        <v>0</v>
      </c>
      <c r="AE11" s="298" cm="1">
        <f t="array" ref="AE11">IF(AND(AE$2&lt;&gt;0,TblTech[[#This Row],[Hour]:[Hour]]&gt;=AE$2),1,0)</f>
        <v>0</v>
      </c>
      <c r="AF11" s="298" cm="1">
        <f t="array" ref="AF11">IF(AND(AF$2&lt;&gt;0,TblTech[[#This Row],[Hour]:[Hour]]&gt;=AF$2),1,0)</f>
        <v>0</v>
      </c>
      <c r="AG11" s="298" cm="1">
        <f t="array" ref="AG11">IF(AND(AG$2&lt;&gt;0,TblTech[[#This Row],[Hour]:[Hour]]&gt;=AG$2),1,0)</f>
        <v>0</v>
      </c>
      <c r="AH11" s="298" cm="1">
        <f t="array" ref="AH11">IF(AND(AH$2&lt;&gt;0,TblTech[[#This Row],[Hour]:[Hour]]&gt;=AH$2),1,0)</f>
        <v>0</v>
      </c>
      <c r="AI11" s="298" cm="1">
        <f t="array" ref="AI11">IF(AND(AI$2&lt;&gt;0,TblTech[[#This Row],[Hour]:[Hour]]&gt;=AI$2),1,0)</f>
        <v>0</v>
      </c>
      <c r="AJ11" s="298" cm="1">
        <f t="array" ref="AJ11">IF(AND(AJ$2&lt;&gt;0,TblTech[[#This Row],[Hour]:[Hour]]&gt;=AJ$2),1,0)</f>
        <v>0</v>
      </c>
      <c r="AK11" s="298" cm="1">
        <f t="array" ref="AK11">IF(AND(AK$2&lt;&gt;0,TblTech[[#This Row],[Hour]:[Hour]]&gt;=AK$2),1,0)</f>
        <v>0</v>
      </c>
      <c r="AL11" s="298" cm="1">
        <f t="array" ref="AL11">IF(AND(AL$2&lt;&gt;0,TblTech[[#This Row],[Hour]:[Hour]]&gt;=AL$2),1,0)</f>
        <v>0</v>
      </c>
      <c r="AM11" s="298" cm="1">
        <f t="array" ref="AM11">IF(AND(AM$2&lt;&gt;0,TblTech[[#This Row],[Hour]:[Hour]]&gt;=AM$2),1,0)</f>
        <v>0</v>
      </c>
      <c r="AN11" s="298" cm="1">
        <f t="array" ref="AN11">IF(AND(AN$2&lt;&gt;0,TblTech[[#This Row],[Hour]:[Hour]]&gt;=AN$2),1,0)</f>
        <v>0</v>
      </c>
      <c r="AO11" s="298" cm="1">
        <f t="array" ref="AO11">IF(AND(AO$2&lt;&gt;0,TblTech[[#This Row],[Hour]:[Hour]]&gt;=AO$2),1,0)</f>
        <v>0</v>
      </c>
      <c r="AP11" s="298" cm="1">
        <f t="array" ref="AP11">IF(AND(AP$2&lt;&gt;0,TblTech[[#This Row],[Hour]:[Hour]]&gt;=AP$2),1,0)</f>
        <v>0</v>
      </c>
      <c r="AQ11" s="298" cm="1">
        <f t="array" ref="AQ11">IF(AND(AQ$2&lt;&gt;0,TblTech[[#This Row],[Hour]:[Hour]]&gt;=AQ$2),1,0)</f>
        <v>0</v>
      </c>
      <c r="AR11" s="298" cm="1">
        <f t="array" ref="AR11">IF(AND(AR$2&lt;&gt;0,TblTech[[#This Row],[Hour]:[Hour]]&gt;=AR$2),1,0)</f>
        <v>0</v>
      </c>
      <c r="AS11" s="298" cm="1">
        <f t="array" ref="AS11">IF(AND(AS$2&lt;&gt;0,TblTech[[#This Row],[Hour]:[Hour]]&gt;=AS$2),1,0)</f>
        <v>0</v>
      </c>
      <c r="AT11" s="298" cm="1">
        <f t="array" ref="AT11">IF(AND(AT$2&lt;&gt;0,TblTech[[#This Row],[Hour]:[Hour]]&gt;=AT$2),1,0)</f>
        <v>0</v>
      </c>
      <c r="AU11" s="298" cm="1">
        <f t="array" ref="AU11">IF(AND(AU$2&lt;&gt;0,TblTech[[#This Row],[Hour]:[Hour]]&gt;=AU$2),1,0)</f>
        <v>0</v>
      </c>
      <c r="AV11" s="298" cm="1">
        <f t="array" ref="AV11">IF(AND(AV$2&lt;&gt;0,TblTech[[#This Row],[Hour]:[Hour]]&gt;=AV$2),1,0)</f>
        <v>0</v>
      </c>
      <c r="AW11" s="298" cm="1">
        <f t="array" ref="AW11">IF(AND(AW$2&lt;&gt;0,TblTech[[#This Row],[Hour]:[Hour]]&gt;=AW$2),1,0)</f>
        <v>0</v>
      </c>
      <c r="AX11" s="298" cm="1">
        <f t="array" ref="AX11">IF(AND(AX$2&lt;&gt;0,TblTech[[#This Row],[Hour]:[Hour]]&gt;=AX$2),1,0)</f>
        <v>0</v>
      </c>
      <c r="AY11" s="298" cm="1">
        <f t="array" ref="AY11">IF(AND(AY$2&lt;&gt;0,TblTech[[#This Row],[Hour]:[Hour]]&gt;=AY$2),1,0)</f>
        <v>0</v>
      </c>
      <c r="AZ11" s="298" cm="1">
        <f t="array" ref="AZ11">IF(AND(AZ$2&lt;&gt;0,TblTech[[#This Row],[Hour]:[Hour]]&gt;=AZ$2),1,0)</f>
        <v>0</v>
      </c>
      <c r="BA11" s="298" cm="1">
        <f t="array" ref="BA11">IF(AND(BA$2&lt;&gt;0,TblTech[[#This Row],[Hour]:[Hour]]&gt;=BA$2),1,0)</f>
        <v>0</v>
      </c>
      <c r="BB11" s="298" cm="1">
        <f t="array" ref="BB11">IF(AND(BB$2&lt;&gt;0,TblTech[[#This Row],[Hour]:[Hour]]&gt;=BB$2),1,0)</f>
        <v>0</v>
      </c>
      <c r="BC11" s="298" cm="1">
        <f t="array" ref="BC11">IF(AND(BC$2&lt;&gt;0,TblTech[[#This Row],[Hour]:[Hour]]&gt;=BC$2),1,0)</f>
        <v>0</v>
      </c>
      <c r="BD11" s="298" cm="1">
        <f t="array" ref="BD11">IF(AND(BD$2&lt;&gt;0,TblTech[[#This Row],[Hour]:[Hour]]&gt;=BD$2),1,0)</f>
        <v>0</v>
      </c>
      <c r="BE11" s="298" cm="1">
        <f t="array" ref="BE11">IF(AND(BE$2&lt;&gt;0,TblTech[[#This Row],[Hour]:[Hour]]&gt;=BE$2),1,0)</f>
        <v>0</v>
      </c>
      <c r="BF11" s="298" cm="1">
        <f t="array" ref="BF11">IF(AND(BF$2&lt;&gt;0,TblTech[[#This Row],[Hour]:[Hour]]&gt;=BF$2),1,0)</f>
        <v>0</v>
      </c>
      <c r="BG11" s="298" cm="1">
        <f t="array" ref="BG11">IF(AND(BG$2&lt;&gt;0,TblTech[[#This Row],[Hour]:[Hour]]&gt;=BG$2),1,0)</f>
        <v>0</v>
      </c>
      <c r="BH11" s="298" cm="1">
        <f t="array" ref="BH11">IF(AND(BH$2&lt;&gt;0,TblTech[[#This Row],[Hour]:[Hour]]&gt;=BH$2),1,0)</f>
        <v>0</v>
      </c>
      <c r="BI11" s="298" cm="1">
        <f t="array" ref="BI11">IF(AND(BI$2&lt;&gt;0,TblTech[[#This Row],[Hour]:[Hour]]&gt;=BI$2),1,0)</f>
        <v>0</v>
      </c>
      <c r="BJ11" s="298" cm="1">
        <f t="array" ref="BJ11">IF(AND(BJ$2&lt;&gt;0,TblTech[[#This Row],[Hour]:[Hour]]&gt;=BJ$2),1,0)</f>
        <v>0</v>
      </c>
      <c r="BK11" s="298" cm="1">
        <f t="array" ref="BK11">IF(AND(BK$2&lt;&gt;0,TblTech[[#This Row],[Hour]:[Hour]]&gt;=BK$2),1,0)</f>
        <v>0</v>
      </c>
      <c r="BL11" s="298" cm="1">
        <f t="array" ref="BL11">IF(AND(BL$2&lt;&gt;0,TblTech[[#This Row],[Hour]:[Hour]]&gt;=BL$2),1,0)</f>
        <v>0</v>
      </c>
      <c r="BM11" s="298" cm="1">
        <f t="array" ref="BM11">IF(AND(BM$2&lt;&gt;0,TblTech[[#This Row],[Hour]:[Hour]]&gt;=BM$2),1,0)</f>
        <v>0</v>
      </c>
      <c r="BN11" s="298" cm="1">
        <f t="array" ref="BN11">IF(AND(BN$2&lt;&gt;0,TblTech[[#This Row],[Hour]:[Hour]]&gt;=BN$2),1,0)</f>
        <v>0</v>
      </c>
      <c r="BO11" s="298" cm="1">
        <f t="array" ref="BO11">IF(AND(BO$2&lt;&gt;0,TblTech[[#This Row],[Hour]:[Hour]]&gt;=BO$2),1,0)</f>
        <v>0</v>
      </c>
      <c r="BP11" s="298" cm="1">
        <f t="array" ref="BP11">IF(AND(BP$2&lt;&gt;0,TblTech[[#This Row],[Hour]:[Hour]]&gt;=BP$2),1,0)</f>
        <v>0</v>
      </c>
      <c r="BQ11" s="298" cm="1">
        <f t="array" ref="BQ11">IF(AND(BQ$2&lt;&gt;0,TblTech[[#This Row],[Hour]:[Hour]]&gt;=BQ$2),1,0)</f>
        <v>0</v>
      </c>
      <c r="BR11" s="298" cm="1">
        <f t="array" ref="BR11">IF(AND(BR$2&lt;&gt;0,TblTech[[#This Row],[Hour]:[Hour]]&gt;=BR$2),1,0)</f>
        <v>0</v>
      </c>
      <c r="BS11" s="298" cm="1">
        <f t="array" ref="BS11">IF(AND(BS$2&lt;&gt;0,TblTech[[#This Row],[Hour]:[Hour]]&gt;=BS$2),1,0)</f>
        <v>0</v>
      </c>
      <c r="BT11" s="298" cm="1">
        <f t="array" ref="BT11">IF(AND(BT$2&lt;&gt;0,TblTech[[#This Row],[Hour]:[Hour]]&gt;=BT$2),1,0)</f>
        <v>0</v>
      </c>
      <c r="BU11" s="298" cm="1">
        <f t="array" ref="BU11">IF(AND(BU$2&lt;&gt;0,TblTech[[#This Row],[Hour]:[Hour]]&gt;=BU$2),1,0)</f>
        <v>0</v>
      </c>
      <c r="BV11" s="298" cm="1">
        <f t="array" ref="BV11">IF(AND(BV$2&lt;&gt;0,TblTech[[#This Row],[Hour]:[Hour]]&gt;=BV$2),1,0)</f>
        <v>0</v>
      </c>
      <c r="BW11" s="298" cm="1">
        <f t="array" ref="BW11">IF(AND(BW$2&lt;&gt;0,TblTech[[#This Row],[Hour]:[Hour]]&gt;=BW$2),1,0)</f>
        <v>0</v>
      </c>
      <c r="BX11" s="298" cm="1">
        <f t="array" ref="BX11">IF(AND(BX$2&lt;&gt;0,TblTech[[#This Row],[Hour]:[Hour]]&gt;=BX$2),1,0)</f>
        <v>0</v>
      </c>
      <c r="BY11" s="298" cm="1">
        <f t="array" ref="BY11">IF(AND(BY$2&lt;&gt;0,TblTech[[#This Row],[Hour]:[Hour]]&gt;=BY$2),1,0)</f>
        <v>0</v>
      </c>
      <c r="BZ11" s="298" cm="1">
        <f t="array" ref="BZ11">IF(AND(BZ$2&lt;&gt;0,TblTech[[#This Row],[Hour]:[Hour]]&gt;=BZ$2),1,0)</f>
        <v>0</v>
      </c>
      <c r="CA11" s="402">
        <f>IFERROR(INDEX($H$4:$H$79,MATCH(INDEX(TblTech[[#Headers],[1-1]:[11-1]],1,MATCH(TblTech[[#This Row],[Hour]],$M$2:$BZ$2,0)),$G$4:$G$79,0)),)</f>
        <v>0</v>
      </c>
    </row>
    <row r="12" spans="1:79" x14ac:dyDescent="0.2">
      <c r="A12" s="290">
        <f>TblRezone[[#This Row],[Hour]]</f>
        <v>9</v>
      </c>
      <c r="B12" s="291">
        <f ca="1">TblExplore[[#This Row],[Land-DB]]</f>
        <v>250</v>
      </c>
      <c r="C12" s="292">
        <f ca="1">TblProd[[#This Row],[Techpoints]]</f>
        <v>0</v>
      </c>
      <c r="D12" s="292">
        <f ca="1">TblProd[[#This Row],[Required]]</f>
        <v>3750</v>
      </c>
      <c r="E12" s="293"/>
      <c r="F12" s="294"/>
      <c r="G12" s="295" t="s">
        <v>547</v>
      </c>
      <c r="H12" s="296" t="s">
        <v>703</v>
      </c>
      <c r="I12" s="295" t="s">
        <v>577</v>
      </c>
      <c r="J12" s="291"/>
      <c r="K12" s="95">
        <f ca="1">IF(TblTech[[#This Row],[Sum of tech]]&lt;&gt;OFFSET(TblTech[[#This Row],[Sum of tech]],-1,0),1,0)</f>
        <v>0</v>
      </c>
      <c r="L12" s="297">
        <f>COUNTIF(TblTech[[#This Row],[1-1]:[11-1]],1)</f>
        <v>0</v>
      </c>
      <c r="M12" s="298" cm="1">
        <f t="array" ref="M12">IF(AND(M$2&lt;&gt;0,TblTech[[#This Row],[Hour]:[Hour]]&gt;=M$2),1,0)</f>
        <v>0</v>
      </c>
      <c r="N12" s="298" cm="1">
        <f t="array" ref="N12">IF(AND(N$2&lt;&gt;0,TblTech[[#This Row],[Hour]:[Hour]]&gt;=N$2),1,0)</f>
        <v>0</v>
      </c>
      <c r="O12" s="298" cm="1">
        <f t="array" ref="O12">IF(AND(O$2&lt;&gt;0,TblTech[[#This Row],[Hour]:[Hour]]&gt;=O$2),1,0)</f>
        <v>0</v>
      </c>
      <c r="P12" s="298" cm="1">
        <f t="array" ref="P12">IF(AND(P$2&lt;&gt;0,TblTech[[#This Row],[Hour]:[Hour]]&gt;=P$2),1,0)</f>
        <v>0</v>
      </c>
      <c r="Q12" s="298" cm="1">
        <f t="array" ref="Q12">IF(AND(Q$2&lt;&gt;0,TblTech[[#This Row],[Hour]:[Hour]]&gt;=Q$2),1,0)</f>
        <v>0</v>
      </c>
      <c r="R12" s="298" cm="1">
        <f t="array" ref="R12">IF(AND(R$2&lt;&gt;0,TblTech[[#This Row],[Hour]:[Hour]]&gt;=R$2),1,0)</f>
        <v>0</v>
      </c>
      <c r="S12" s="298" cm="1">
        <f t="array" ref="S12">IF(AND(S$2&lt;&gt;0,TblTech[[#This Row],[Hour]:[Hour]]&gt;=S$2),1,0)</f>
        <v>0</v>
      </c>
      <c r="T12" s="298" cm="1">
        <f t="array" ref="T12">IF(AND(T$2&lt;&gt;0,TblTech[[#This Row],[Hour]:[Hour]]&gt;=T$2),1,0)</f>
        <v>0</v>
      </c>
      <c r="U12" s="298" cm="1">
        <f t="array" ref="U12">IF(AND(U$2&lt;&gt;0,TblTech[[#This Row],[Hour]:[Hour]]&gt;=U$2),1,0)</f>
        <v>0</v>
      </c>
      <c r="V12" s="298" cm="1">
        <f t="array" ref="V12">IF(AND(V$2&lt;&gt;0,TblTech[[#This Row],[Hour]:[Hour]]&gt;=V$2),1,0)</f>
        <v>0</v>
      </c>
      <c r="W12" s="298" cm="1">
        <f t="array" ref="W12">IF(AND(W$2&lt;&gt;0,TblTech[[#This Row],[Hour]:[Hour]]&gt;=W$2),1,0)</f>
        <v>0</v>
      </c>
      <c r="X12" s="298" cm="1">
        <f t="array" ref="X12">IF(AND(X$2&lt;&gt;0,TblTech[[#This Row],[Hour]:[Hour]]&gt;=X$2),1,0)</f>
        <v>0</v>
      </c>
      <c r="Y12" s="298" cm="1">
        <f t="array" ref="Y12">IF(AND(Y$2&lt;&gt;0,TblTech[[#This Row],[Hour]:[Hour]]&gt;=Y$2),1,0)</f>
        <v>0</v>
      </c>
      <c r="Z12" s="298" cm="1">
        <f t="array" ref="Z12">IF(AND(Z$2&lt;&gt;0,TblTech[[#This Row],[Hour]:[Hour]]&gt;=Z$2),1,0)</f>
        <v>0</v>
      </c>
      <c r="AA12" s="298" cm="1">
        <f t="array" ref="AA12">IF(AND(AA$2&lt;&gt;0,TblTech[[#This Row],[Hour]:[Hour]]&gt;=AA$2),1,0)</f>
        <v>0</v>
      </c>
      <c r="AB12" s="298" cm="1">
        <f t="array" ref="AB12">IF(AND(AB$2&lt;&gt;0,TblTech[[#This Row],[Hour]:[Hour]]&gt;=AB$2),1,0)</f>
        <v>0</v>
      </c>
      <c r="AC12" s="298" cm="1">
        <f t="array" ref="AC12">IF(AND(AC$2&lt;&gt;0,TblTech[[#This Row],[Hour]:[Hour]]&gt;=AC$2),1,0)</f>
        <v>0</v>
      </c>
      <c r="AD12" s="298" cm="1">
        <f t="array" ref="AD12">IF(AND(AD$2&lt;&gt;0,TblTech[[#This Row],[Hour]:[Hour]]&gt;=AD$2),1,0)</f>
        <v>0</v>
      </c>
      <c r="AE12" s="298" cm="1">
        <f t="array" ref="AE12">IF(AND(AE$2&lt;&gt;0,TblTech[[#This Row],[Hour]:[Hour]]&gt;=AE$2),1,0)</f>
        <v>0</v>
      </c>
      <c r="AF12" s="298" cm="1">
        <f t="array" ref="AF12">IF(AND(AF$2&lt;&gt;0,TblTech[[#This Row],[Hour]:[Hour]]&gt;=AF$2),1,0)</f>
        <v>0</v>
      </c>
      <c r="AG12" s="298" cm="1">
        <f t="array" ref="AG12">IF(AND(AG$2&lt;&gt;0,TblTech[[#This Row],[Hour]:[Hour]]&gt;=AG$2),1,0)</f>
        <v>0</v>
      </c>
      <c r="AH12" s="298" cm="1">
        <f t="array" ref="AH12">IF(AND(AH$2&lt;&gt;0,TblTech[[#This Row],[Hour]:[Hour]]&gt;=AH$2),1,0)</f>
        <v>0</v>
      </c>
      <c r="AI12" s="298" cm="1">
        <f t="array" ref="AI12">IF(AND(AI$2&lt;&gt;0,TblTech[[#This Row],[Hour]:[Hour]]&gt;=AI$2),1,0)</f>
        <v>0</v>
      </c>
      <c r="AJ12" s="298" cm="1">
        <f t="array" ref="AJ12">IF(AND(AJ$2&lt;&gt;0,TblTech[[#This Row],[Hour]:[Hour]]&gt;=AJ$2),1,0)</f>
        <v>0</v>
      </c>
      <c r="AK12" s="298" cm="1">
        <f t="array" ref="AK12">IF(AND(AK$2&lt;&gt;0,TblTech[[#This Row],[Hour]:[Hour]]&gt;=AK$2),1,0)</f>
        <v>0</v>
      </c>
      <c r="AL12" s="298" cm="1">
        <f t="array" ref="AL12">IF(AND(AL$2&lt;&gt;0,TblTech[[#This Row],[Hour]:[Hour]]&gt;=AL$2),1,0)</f>
        <v>0</v>
      </c>
      <c r="AM12" s="298" cm="1">
        <f t="array" ref="AM12">IF(AND(AM$2&lt;&gt;0,TblTech[[#This Row],[Hour]:[Hour]]&gt;=AM$2),1,0)</f>
        <v>0</v>
      </c>
      <c r="AN12" s="298" cm="1">
        <f t="array" ref="AN12">IF(AND(AN$2&lt;&gt;0,TblTech[[#This Row],[Hour]:[Hour]]&gt;=AN$2),1,0)</f>
        <v>0</v>
      </c>
      <c r="AO12" s="298" cm="1">
        <f t="array" ref="AO12">IF(AND(AO$2&lt;&gt;0,TblTech[[#This Row],[Hour]:[Hour]]&gt;=AO$2),1,0)</f>
        <v>0</v>
      </c>
      <c r="AP12" s="298" cm="1">
        <f t="array" ref="AP12">IF(AND(AP$2&lt;&gt;0,TblTech[[#This Row],[Hour]:[Hour]]&gt;=AP$2),1,0)</f>
        <v>0</v>
      </c>
      <c r="AQ12" s="298" cm="1">
        <f t="array" ref="AQ12">IF(AND(AQ$2&lt;&gt;0,TblTech[[#This Row],[Hour]:[Hour]]&gt;=AQ$2),1,0)</f>
        <v>0</v>
      </c>
      <c r="AR12" s="298" cm="1">
        <f t="array" ref="AR12">IF(AND(AR$2&lt;&gt;0,TblTech[[#This Row],[Hour]:[Hour]]&gt;=AR$2),1,0)</f>
        <v>0</v>
      </c>
      <c r="AS12" s="298" cm="1">
        <f t="array" ref="AS12">IF(AND(AS$2&lt;&gt;0,TblTech[[#This Row],[Hour]:[Hour]]&gt;=AS$2),1,0)</f>
        <v>0</v>
      </c>
      <c r="AT12" s="298" cm="1">
        <f t="array" ref="AT12">IF(AND(AT$2&lt;&gt;0,TblTech[[#This Row],[Hour]:[Hour]]&gt;=AT$2),1,0)</f>
        <v>0</v>
      </c>
      <c r="AU12" s="298" cm="1">
        <f t="array" ref="AU12">IF(AND(AU$2&lt;&gt;0,TblTech[[#This Row],[Hour]:[Hour]]&gt;=AU$2),1,0)</f>
        <v>0</v>
      </c>
      <c r="AV12" s="298" cm="1">
        <f t="array" ref="AV12">IF(AND(AV$2&lt;&gt;0,TblTech[[#This Row],[Hour]:[Hour]]&gt;=AV$2),1,0)</f>
        <v>0</v>
      </c>
      <c r="AW12" s="298" cm="1">
        <f t="array" ref="AW12">IF(AND(AW$2&lt;&gt;0,TblTech[[#This Row],[Hour]:[Hour]]&gt;=AW$2),1,0)</f>
        <v>0</v>
      </c>
      <c r="AX12" s="298" cm="1">
        <f t="array" ref="AX12">IF(AND(AX$2&lt;&gt;0,TblTech[[#This Row],[Hour]:[Hour]]&gt;=AX$2),1,0)</f>
        <v>0</v>
      </c>
      <c r="AY12" s="298" cm="1">
        <f t="array" ref="AY12">IF(AND(AY$2&lt;&gt;0,TblTech[[#This Row],[Hour]:[Hour]]&gt;=AY$2),1,0)</f>
        <v>0</v>
      </c>
      <c r="AZ12" s="298" cm="1">
        <f t="array" ref="AZ12">IF(AND(AZ$2&lt;&gt;0,TblTech[[#This Row],[Hour]:[Hour]]&gt;=AZ$2),1,0)</f>
        <v>0</v>
      </c>
      <c r="BA12" s="298" cm="1">
        <f t="array" ref="BA12">IF(AND(BA$2&lt;&gt;0,TblTech[[#This Row],[Hour]:[Hour]]&gt;=BA$2),1,0)</f>
        <v>0</v>
      </c>
      <c r="BB12" s="298" cm="1">
        <f t="array" ref="BB12">IF(AND(BB$2&lt;&gt;0,TblTech[[#This Row],[Hour]:[Hour]]&gt;=BB$2),1,0)</f>
        <v>0</v>
      </c>
      <c r="BC12" s="298" cm="1">
        <f t="array" ref="BC12">IF(AND(BC$2&lt;&gt;0,TblTech[[#This Row],[Hour]:[Hour]]&gt;=BC$2),1,0)</f>
        <v>0</v>
      </c>
      <c r="BD12" s="298" cm="1">
        <f t="array" ref="BD12">IF(AND(BD$2&lt;&gt;0,TblTech[[#This Row],[Hour]:[Hour]]&gt;=BD$2),1,0)</f>
        <v>0</v>
      </c>
      <c r="BE12" s="298" cm="1">
        <f t="array" ref="BE12">IF(AND(BE$2&lt;&gt;0,TblTech[[#This Row],[Hour]:[Hour]]&gt;=BE$2),1,0)</f>
        <v>0</v>
      </c>
      <c r="BF12" s="298" cm="1">
        <f t="array" ref="BF12">IF(AND(BF$2&lt;&gt;0,TblTech[[#This Row],[Hour]:[Hour]]&gt;=BF$2),1,0)</f>
        <v>0</v>
      </c>
      <c r="BG12" s="298" cm="1">
        <f t="array" ref="BG12">IF(AND(BG$2&lt;&gt;0,TblTech[[#This Row],[Hour]:[Hour]]&gt;=BG$2),1,0)</f>
        <v>0</v>
      </c>
      <c r="BH12" s="298" cm="1">
        <f t="array" ref="BH12">IF(AND(BH$2&lt;&gt;0,TblTech[[#This Row],[Hour]:[Hour]]&gt;=BH$2),1,0)</f>
        <v>0</v>
      </c>
      <c r="BI12" s="298" cm="1">
        <f t="array" ref="BI12">IF(AND(BI$2&lt;&gt;0,TblTech[[#This Row],[Hour]:[Hour]]&gt;=BI$2),1,0)</f>
        <v>0</v>
      </c>
      <c r="BJ12" s="298" cm="1">
        <f t="array" ref="BJ12">IF(AND(BJ$2&lt;&gt;0,TblTech[[#This Row],[Hour]:[Hour]]&gt;=BJ$2),1,0)</f>
        <v>0</v>
      </c>
      <c r="BK12" s="298" cm="1">
        <f t="array" ref="BK12">IF(AND(BK$2&lt;&gt;0,TblTech[[#This Row],[Hour]:[Hour]]&gt;=BK$2),1,0)</f>
        <v>0</v>
      </c>
      <c r="BL12" s="298" cm="1">
        <f t="array" ref="BL12">IF(AND(BL$2&lt;&gt;0,TblTech[[#This Row],[Hour]:[Hour]]&gt;=BL$2),1,0)</f>
        <v>0</v>
      </c>
      <c r="BM12" s="298" cm="1">
        <f t="array" ref="BM12">IF(AND(BM$2&lt;&gt;0,TblTech[[#This Row],[Hour]:[Hour]]&gt;=BM$2),1,0)</f>
        <v>0</v>
      </c>
      <c r="BN12" s="298" cm="1">
        <f t="array" ref="BN12">IF(AND(BN$2&lt;&gt;0,TblTech[[#This Row],[Hour]:[Hour]]&gt;=BN$2),1,0)</f>
        <v>0</v>
      </c>
      <c r="BO12" s="298" cm="1">
        <f t="array" ref="BO12">IF(AND(BO$2&lt;&gt;0,TblTech[[#This Row],[Hour]:[Hour]]&gt;=BO$2),1,0)</f>
        <v>0</v>
      </c>
      <c r="BP12" s="298" cm="1">
        <f t="array" ref="BP12">IF(AND(BP$2&lt;&gt;0,TblTech[[#This Row],[Hour]:[Hour]]&gt;=BP$2),1,0)</f>
        <v>0</v>
      </c>
      <c r="BQ12" s="298" cm="1">
        <f t="array" ref="BQ12">IF(AND(BQ$2&lt;&gt;0,TblTech[[#This Row],[Hour]:[Hour]]&gt;=BQ$2),1,0)</f>
        <v>0</v>
      </c>
      <c r="BR12" s="298" cm="1">
        <f t="array" ref="BR12">IF(AND(BR$2&lt;&gt;0,TblTech[[#This Row],[Hour]:[Hour]]&gt;=BR$2),1,0)</f>
        <v>0</v>
      </c>
      <c r="BS12" s="298" cm="1">
        <f t="array" ref="BS12">IF(AND(BS$2&lt;&gt;0,TblTech[[#This Row],[Hour]:[Hour]]&gt;=BS$2),1,0)</f>
        <v>0</v>
      </c>
      <c r="BT12" s="298" cm="1">
        <f t="array" ref="BT12">IF(AND(BT$2&lt;&gt;0,TblTech[[#This Row],[Hour]:[Hour]]&gt;=BT$2),1,0)</f>
        <v>0</v>
      </c>
      <c r="BU12" s="298" cm="1">
        <f t="array" ref="BU12">IF(AND(BU$2&lt;&gt;0,TblTech[[#This Row],[Hour]:[Hour]]&gt;=BU$2),1,0)</f>
        <v>0</v>
      </c>
      <c r="BV12" s="298" cm="1">
        <f t="array" ref="BV12">IF(AND(BV$2&lt;&gt;0,TblTech[[#This Row],[Hour]:[Hour]]&gt;=BV$2),1,0)</f>
        <v>0</v>
      </c>
      <c r="BW12" s="298" cm="1">
        <f t="array" ref="BW12">IF(AND(BW$2&lt;&gt;0,TblTech[[#This Row],[Hour]:[Hour]]&gt;=BW$2),1,0)</f>
        <v>0</v>
      </c>
      <c r="BX12" s="298" cm="1">
        <f t="array" ref="BX12">IF(AND(BX$2&lt;&gt;0,TblTech[[#This Row],[Hour]:[Hour]]&gt;=BX$2),1,0)</f>
        <v>0</v>
      </c>
      <c r="BY12" s="298" cm="1">
        <f t="array" ref="BY12">IF(AND(BY$2&lt;&gt;0,TblTech[[#This Row],[Hour]:[Hour]]&gt;=BY$2),1,0)</f>
        <v>0</v>
      </c>
      <c r="BZ12" s="298" cm="1">
        <f t="array" ref="BZ12">IF(AND(BZ$2&lt;&gt;0,TblTech[[#This Row],[Hour]:[Hour]]&gt;=BZ$2),1,0)</f>
        <v>0</v>
      </c>
      <c r="CA12" s="402">
        <f>IFERROR(INDEX($H$4:$H$79,MATCH(INDEX(TblTech[[#Headers],[1-1]:[11-1]],1,MATCH(TblTech[[#This Row],[Hour]],$M$2:$BZ$2,0)),$G$4:$G$79,0)),)</f>
        <v>0</v>
      </c>
    </row>
    <row r="13" spans="1:79" x14ac:dyDescent="0.2">
      <c r="A13" s="290">
        <f>TblRezone[[#This Row],[Hour]]</f>
        <v>10</v>
      </c>
      <c r="B13" s="291">
        <f ca="1">TblExplore[[#This Row],[Land-DB]]</f>
        <v>250</v>
      </c>
      <c r="C13" s="292">
        <f ca="1">TblProd[[#This Row],[Techpoints]]</f>
        <v>0</v>
      </c>
      <c r="D13" s="292">
        <f ca="1">TblProd[[#This Row],[Required]]</f>
        <v>3750</v>
      </c>
      <c r="E13" s="293"/>
      <c r="F13" s="294"/>
      <c r="G13" s="295" t="s">
        <v>549</v>
      </c>
      <c r="H13" s="296" t="s">
        <v>686</v>
      </c>
      <c r="I13" s="295" t="s">
        <v>548</v>
      </c>
      <c r="J13" s="291"/>
      <c r="K13" s="95">
        <f ca="1">IF(TblTech[[#This Row],[Sum of tech]]&lt;&gt;OFFSET(TblTech[[#This Row],[Sum of tech]],-1,0),1,0)</f>
        <v>0</v>
      </c>
      <c r="L13" s="297">
        <f>COUNTIF(TblTech[[#This Row],[1-1]:[11-1]],1)</f>
        <v>0</v>
      </c>
      <c r="M13" s="298" cm="1">
        <f t="array" ref="M13">IF(AND(M$2&lt;&gt;0,TblTech[[#This Row],[Hour]:[Hour]]&gt;=M$2),1,0)</f>
        <v>0</v>
      </c>
      <c r="N13" s="298" cm="1">
        <f t="array" ref="N13">IF(AND(N$2&lt;&gt;0,TblTech[[#This Row],[Hour]:[Hour]]&gt;=N$2),1,0)</f>
        <v>0</v>
      </c>
      <c r="O13" s="298" cm="1">
        <f t="array" ref="O13">IF(AND(O$2&lt;&gt;0,TblTech[[#This Row],[Hour]:[Hour]]&gt;=O$2),1,0)</f>
        <v>0</v>
      </c>
      <c r="P13" s="298" cm="1">
        <f t="array" ref="P13">IF(AND(P$2&lt;&gt;0,TblTech[[#This Row],[Hour]:[Hour]]&gt;=P$2),1,0)</f>
        <v>0</v>
      </c>
      <c r="Q13" s="298" cm="1">
        <f t="array" ref="Q13">IF(AND(Q$2&lt;&gt;0,TblTech[[#This Row],[Hour]:[Hour]]&gt;=Q$2),1,0)</f>
        <v>0</v>
      </c>
      <c r="R13" s="298" cm="1">
        <f t="array" ref="R13">IF(AND(R$2&lt;&gt;0,TblTech[[#This Row],[Hour]:[Hour]]&gt;=R$2),1,0)</f>
        <v>0</v>
      </c>
      <c r="S13" s="298" cm="1">
        <f t="array" ref="S13">IF(AND(S$2&lt;&gt;0,TblTech[[#This Row],[Hour]:[Hour]]&gt;=S$2),1,0)</f>
        <v>0</v>
      </c>
      <c r="T13" s="298" cm="1">
        <f t="array" ref="T13">IF(AND(T$2&lt;&gt;0,TblTech[[#This Row],[Hour]:[Hour]]&gt;=T$2),1,0)</f>
        <v>0</v>
      </c>
      <c r="U13" s="298" cm="1">
        <f t="array" ref="U13">IF(AND(U$2&lt;&gt;0,TblTech[[#This Row],[Hour]:[Hour]]&gt;=U$2),1,0)</f>
        <v>0</v>
      </c>
      <c r="V13" s="298" cm="1">
        <f t="array" ref="V13">IF(AND(V$2&lt;&gt;0,TblTech[[#This Row],[Hour]:[Hour]]&gt;=V$2),1,0)</f>
        <v>0</v>
      </c>
      <c r="W13" s="298" cm="1">
        <f t="array" ref="W13">IF(AND(W$2&lt;&gt;0,TblTech[[#This Row],[Hour]:[Hour]]&gt;=W$2),1,0)</f>
        <v>0</v>
      </c>
      <c r="X13" s="298" cm="1">
        <f t="array" ref="X13">IF(AND(X$2&lt;&gt;0,TblTech[[#This Row],[Hour]:[Hour]]&gt;=X$2),1,0)</f>
        <v>0</v>
      </c>
      <c r="Y13" s="298" cm="1">
        <f t="array" ref="Y13">IF(AND(Y$2&lt;&gt;0,TblTech[[#This Row],[Hour]:[Hour]]&gt;=Y$2),1,0)</f>
        <v>0</v>
      </c>
      <c r="Z13" s="298" cm="1">
        <f t="array" ref="Z13">IF(AND(Z$2&lt;&gt;0,TblTech[[#This Row],[Hour]:[Hour]]&gt;=Z$2),1,0)</f>
        <v>0</v>
      </c>
      <c r="AA13" s="298" cm="1">
        <f t="array" ref="AA13">IF(AND(AA$2&lt;&gt;0,TblTech[[#This Row],[Hour]:[Hour]]&gt;=AA$2),1,0)</f>
        <v>0</v>
      </c>
      <c r="AB13" s="298" cm="1">
        <f t="array" ref="AB13">IF(AND(AB$2&lt;&gt;0,TblTech[[#This Row],[Hour]:[Hour]]&gt;=AB$2),1,0)</f>
        <v>0</v>
      </c>
      <c r="AC13" s="298" cm="1">
        <f t="array" ref="AC13">IF(AND(AC$2&lt;&gt;0,TblTech[[#This Row],[Hour]:[Hour]]&gt;=AC$2),1,0)</f>
        <v>0</v>
      </c>
      <c r="AD13" s="298" cm="1">
        <f t="array" ref="AD13">IF(AND(AD$2&lt;&gt;0,TblTech[[#This Row],[Hour]:[Hour]]&gt;=AD$2),1,0)</f>
        <v>0</v>
      </c>
      <c r="AE13" s="298" cm="1">
        <f t="array" ref="AE13">IF(AND(AE$2&lt;&gt;0,TblTech[[#This Row],[Hour]:[Hour]]&gt;=AE$2),1,0)</f>
        <v>0</v>
      </c>
      <c r="AF13" s="298" cm="1">
        <f t="array" ref="AF13">IF(AND(AF$2&lt;&gt;0,TblTech[[#This Row],[Hour]:[Hour]]&gt;=AF$2),1,0)</f>
        <v>0</v>
      </c>
      <c r="AG13" s="298" cm="1">
        <f t="array" ref="AG13">IF(AND(AG$2&lt;&gt;0,TblTech[[#This Row],[Hour]:[Hour]]&gt;=AG$2),1,0)</f>
        <v>0</v>
      </c>
      <c r="AH13" s="298" cm="1">
        <f t="array" ref="AH13">IF(AND(AH$2&lt;&gt;0,TblTech[[#This Row],[Hour]:[Hour]]&gt;=AH$2),1,0)</f>
        <v>0</v>
      </c>
      <c r="AI13" s="298" cm="1">
        <f t="array" ref="AI13">IF(AND(AI$2&lt;&gt;0,TblTech[[#This Row],[Hour]:[Hour]]&gt;=AI$2),1,0)</f>
        <v>0</v>
      </c>
      <c r="AJ13" s="298" cm="1">
        <f t="array" ref="AJ13">IF(AND(AJ$2&lt;&gt;0,TblTech[[#This Row],[Hour]:[Hour]]&gt;=AJ$2),1,0)</f>
        <v>0</v>
      </c>
      <c r="AK13" s="298" cm="1">
        <f t="array" ref="AK13">IF(AND(AK$2&lt;&gt;0,TblTech[[#This Row],[Hour]:[Hour]]&gt;=AK$2),1,0)</f>
        <v>0</v>
      </c>
      <c r="AL13" s="298" cm="1">
        <f t="array" ref="AL13">IF(AND(AL$2&lt;&gt;0,TblTech[[#This Row],[Hour]:[Hour]]&gt;=AL$2),1,0)</f>
        <v>0</v>
      </c>
      <c r="AM13" s="298" cm="1">
        <f t="array" ref="AM13">IF(AND(AM$2&lt;&gt;0,TblTech[[#This Row],[Hour]:[Hour]]&gt;=AM$2),1,0)</f>
        <v>0</v>
      </c>
      <c r="AN13" s="298" cm="1">
        <f t="array" ref="AN13">IF(AND(AN$2&lt;&gt;0,TblTech[[#This Row],[Hour]:[Hour]]&gt;=AN$2),1,0)</f>
        <v>0</v>
      </c>
      <c r="AO13" s="298" cm="1">
        <f t="array" ref="AO13">IF(AND(AO$2&lt;&gt;0,TblTech[[#This Row],[Hour]:[Hour]]&gt;=AO$2),1,0)</f>
        <v>0</v>
      </c>
      <c r="AP13" s="298" cm="1">
        <f t="array" ref="AP13">IF(AND(AP$2&lt;&gt;0,TblTech[[#This Row],[Hour]:[Hour]]&gt;=AP$2),1,0)</f>
        <v>0</v>
      </c>
      <c r="AQ13" s="298" cm="1">
        <f t="array" ref="AQ13">IF(AND(AQ$2&lt;&gt;0,TblTech[[#This Row],[Hour]:[Hour]]&gt;=AQ$2),1,0)</f>
        <v>0</v>
      </c>
      <c r="AR13" s="298" cm="1">
        <f t="array" ref="AR13">IF(AND(AR$2&lt;&gt;0,TblTech[[#This Row],[Hour]:[Hour]]&gt;=AR$2),1,0)</f>
        <v>0</v>
      </c>
      <c r="AS13" s="298" cm="1">
        <f t="array" ref="AS13">IF(AND(AS$2&lt;&gt;0,TblTech[[#This Row],[Hour]:[Hour]]&gt;=AS$2),1,0)</f>
        <v>0</v>
      </c>
      <c r="AT13" s="298" cm="1">
        <f t="array" ref="AT13">IF(AND(AT$2&lt;&gt;0,TblTech[[#This Row],[Hour]:[Hour]]&gt;=AT$2),1,0)</f>
        <v>0</v>
      </c>
      <c r="AU13" s="298" cm="1">
        <f t="array" ref="AU13">IF(AND(AU$2&lt;&gt;0,TblTech[[#This Row],[Hour]:[Hour]]&gt;=AU$2),1,0)</f>
        <v>0</v>
      </c>
      <c r="AV13" s="298" cm="1">
        <f t="array" ref="AV13">IF(AND(AV$2&lt;&gt;0,TblTech[[#This Row],[Hour]:[Hour]]&gt;=AV$2),1,0)</f>
        <v>0</v>
      </c>
      <c r="AW13" s="298" cm="1">
        <f t="array" ref="AW13">IF(AND(AW$2&lt;&gt;0,TblTech[[#This Row],[Hour]:[Hour]]&gt;=AW$2),1,0)</f>
        <v>0</v>
      </c>
      <c r="AX13" s="298" cm="1">
        <f t="array" ref="AX13">IF(AND(AX$2&lt;&gt;0,TblTech[[#This Row],[Hour]:[Hour]]&gt;=AX$2),1,0)</f>
        <v>0</v>
      </c>
      <c r="AY13" s="298" cm="1">
        <f t="array" ref="AY13">IF(AND(AY$2&lt;&gt;0,TblTech[[#This Row],[Hour]:[Hour]]&gt;=AY$2),1,0)</f>
        <v>0</v>
      </c>
      <c r="AZ13" s="298" cm="1">
        <f t="array" ref="AZ13">IF(AND(AZ$2&lt;&gt;0,TblTech[[#This Row],[Hour]:[Hour]]&gt;=AZ$2),1,0)</f>
        <v>0</v>
      </c>
      <c r="BA13" s="298" cm="1">
        <f t="array" ref="BA13">IF(AND(BA$2&lt;&gt;0,TblTech[[#This Row],[Hour]:[Hour]]&gt;=BA$2),1,0)</f>
        <v>0</v>
      </c>
      <c r="BB13" s="298" cm="1">
        <f t="array" ref="BB13">IF(AND(BB$2&lt;&gt;0,TblTech[[#This Row],[Hour]:[Hour]]&gt;=BB$2),1,0)</f>
        <v>0</v>
      </c>
      <c r="BC13" s="298" cm="1">
        <f t="array" ref="BC13">IF(AND(BC$2&lt;&gt;0,TblTech[[#This Row],[Hour]:[Hour]]&gt;=BC$2),1,0)</f>
        <v>0</v>
      </c>
      <c r="BD13" s="298" cm="1">
        <f t="array" ref="BD13">IF(AND(BD$2&lt;&gt;0,TblTech[[#This Row],[Hour]:[Hour]]&gt;=BD$2),1,0)</f>
        <v>0</v>
      </c>
      <c r="BE13" s="298" cm="1">
        <f t="array" ref="BE13">IF(AND(BE$2&lt;&gt;0,TblTech[[#This Row],[Hour]:[Hour]]&gt;=BE$2),1,0)</f>
        <v>0</v>
      </c>
      <c r="BF13" s="298" cm="1">
        <f t="array" ref="BF13">IF(AND(BF$2&lt;&gt;0,TblTech[[#This Row],[Hour]:[Hour]]&gt;=BF$2),1,0)</f>
        <v>0</v>
      </c>
      <c r="BG13" s="298" cm="1">
        <f t="array" ref="BG13">IF(AND(BG$2&lt;&gt;0,TblTech[[#This Row],[Hour]:[Hour]]&gt;=BG$2),1,0)</f>
        <v>0</v>
      </c>
      <c r="BH13" s="298" cm="1">
        <f t="array" ref="BH13">IF(AND(BH$2&lt;&gt;0,TblTech[[#This Row],[Hour]:[Hour]]&gt;=BH$2),1,0)</f>
        <v>0</v>
      </c>
      <c r="BI13" s="298" cm="1">
        <f t="array" ref="BI13">IF(AND(BI$2&lt;&gt;0,TblTech[[#This Row],[Hour]:[Hour]]&gt;=BI$2),1,0)</f>
        <v>0</v>
      </c>
      <c r="BJ13" s="298" cm="1">
        <f t="array" ref="BJ13">IF(AND(BJ$2&lt;&gt;0,TblTech[[#This Row],[Hour]:[Hour]]&gt;=BJ$2),1,0)</f>
        <v>0</v>
      </c>
      <c r="BK13" s="298" cm="1">
        <f t="array" ref="BK13">IF(AND(BK$2&lt;&gt;0,TblTech[[#This Row],[Hour]:[Hour]]&gt;=BK$2),1,0)</f>
        <v>0</v>
      </c>
      <c r="BL13" s="298" cm="1">
        <f t="array" ref="BL13">IF(AND(BL$2&lt;&gt;0,TblTech[[#This Row],[Hour]:[Hour]]&gt;=BL$2),1,0)</f>
        <v>0</v>
      </c>
      <c r="BM13" s="298" cm="1">
        <f t="array" ref="BM13">IF(AND(BM$2&lt;&gt;0,TblTech[[#This Row],[Hour]:[Hour]]&gt;=BM$2),1,0)</f>
        <v>0</v>
      </c>
      <c r="BN13" s="298" cm="1">
        <f t="array" ref="BN13">IF(AND(BN$2&lt;&gt;0,TblTech[[#This Row],[Hour]:[Hour]]&gt;=BN$2),1,0)</f>
        <v>0</v>
      </c>
      <c r="BO13" s="298" cm="1">
        <f t="array" ref="BO13">IF(AND(BO$2&lt;&gt;0,TblTech[[#This Row],[Hour]:[Hour]]&gt;=BO$2),1,0)</f>
        <v>0</v>
      </c>
      <c r="BP13" s="298" cm="1">
        <f t="array" ref="BP13">IF(AND(BP$2&lt;&gt;0,TblTech[[#This Row],[Hour]:[Hour]]&gt;=BP$2),1,0)</f>
        <v>0</v>
      </c>
      <c r="BQ13" s="298" cm="1">
        <f t="array" ref="BQ13">IF(AND(BQ$2&lt;&gt;0,TblTech[[#This Row],[Hour]:[Hour]]&gt;=BQ$2),1,0)</f>
        <v>0</v>
      </c>
      <c r="BR13" s="298" cm="1">
        <f t="array" ref="BR13">IF(AND(BR$2&lt;&gt;0,TblTech[[#This Row],[Hour]:[Hour]]&gt;=BR$2),1,0)</f>
        <v>0</v>
      </c>
      <c r="BS13" s="298" cm="1">
        <f t="array" ref="BS13">IF(AND(BS$2&lt;&gt;0,TblTech[[#This Row],[Hour]:[Hour]]&gt;=BS$2),1,0)</f>
        <v>0</v>
      </c>
      <c r="BT13" s="298" cm="1">
        <f t="array" ref="BT13">IF(AND(BT$2&lt;&gt;0,TblTech[[#This Row],[Hour]:[Hour]]&gt;=BT$2),1,0)</f>
        <v>0</v>
      </c>
      <c r="BU13" s="298" cm="1">
        <f t="array" ref="BU13">IF(AND(BU$2&lt;&gt;0,TblTech[[#This Row],[Hour]:[Hour]]&gt;=BU$2),1,0)</f>
        <v>0</v>
      </c>
      <c r="BV13" s="298" cm="1">
        <f t="array" ref="BV13">IF(AND(BV$2&lt;&gt;0,TblTech[[#This Row],[Hour]:[Hour]]&gt;=BV$2),1,0)</f>
        <v>0</v>
      </c>
      <c r="BW13" s="298" cm="1">
        <f t="array" ref="BW13">IF(AND(BW$2&lt;&gt;0,TblTech[[#This Row],[Hour]:[Hour]]&gt;=BW$2),1,0)</f>
        <v>0</v>
      </c>
      <c r="BX13" s="298" cm="1">
        <f t="array" ref="BX13">IF(AND(BX$2&lt;&gt;0,TblTech[[#This Row],[Hour]:[Hour]]&gt;=BX$2),1,0)</f>
        <v>0</v>
      </c>
      <c r="BY13" s="298" cm="1">
        <f t="array" ref="BY13">IF(AND(BY$2&lt;&gt;0,TblTech[[#This Row],[Hour]:[Hour]]&gt;=BY$2),1,0)</f>
        <v>0</v>
      </c>
      <c r="BZ13" s="298" cm="1">
        <f t="array" ref="BZ13">IF(AND(BZ$2&lt;&gt;0,TblTech[[#This Row],[Hour]:[Hour]]&gt;=BZ$2),1,0)</f>
        <v>0</v>
      </c>
      <c r="CA13" s="402">
        <f>IFERROR(INDEX($H$4:$H$79,MATCH(INDEX(TblTech[[#Headers],[1-1]:[11-1]],1,MATCH(TblTech[[#This Row],[Hour]],$M$2:$BZ$2,0)),$G$4:$G$79,0)),)</f>
        <v>0</v>
      </c>
    </row>
    <row r="14" spans="1:79" x14ac:dyDescent="0.2">
      <c r="A14" s="290">
        <f>TblRezone[[#This Row],[Hour]]</f>
        <v>11</v>
      </c>
      <c r="B14" s="291">
        <f ca="1">TblExplore[[#This Row],[Land-DB]]</f>
        <v>250</v>
      </c>
      <c r="C14" s="292">
        <f ca="1">TblProd[[#This Row],[Techpoints]]</f>
        <v>0</v>
      </c>
      <c r="D14" s="292">
        <f ca="1">TblProd[[#This Row],[Required]]</f>
        <v>3750</v>
      </c>
      <c r="E14" s="293"/>
      <c r="F14" s="294"/>
      <c r="G14" s="295" t="s">
        <v>551</v>
      </c>
      <c r="H14" s="296" t="s">
        <v>1056</v>
      </c>
      <c r="I14" s="295" t="s">
        <v>737</v>
      </c>
      <c r="J14" s="291"/>
      <c r="K14" s="95">
        <f ca="1">IF(TblTech[[#This Row],[Sum of tech]]&lt;&gt;OFFSET(TblTech[[#This Row],[Sum of tech]],-1,0),1,0)</f>
        <v>0</v>
      </c>
      <c r="L14" s="297">
        <f>COUNTIF(TblTech[[#This Row],[1-1]:[11-1]],1)</f>
        <v>0</v>
      </c>
      <c r="M14" s="298" cm="1">
        <f t="array" ref="M14">IF(AND(M$2&lt;&gt;0,TblTech[[#This Row],[Hour]:[Hour]]&gt;=M$2),1,0)</f>
        <v>0</v>
      </c>
      <c r="N14" s="298" cm="1">
        <f t="array" ref="N14">IF(AND(N$2&lt;&gt;0,TblTech[[#This Row],[Hour]:[Hour]]&gt;=N$2),1,0)</f>
        <v>0</v>
      </c>
      <c r="O14" s="298" cm="1">
        <f t="array" ref="O14">IF(AND(O$2&lt;&gt;0,TblTech[[#This Row],[Hour]:[Hour]]&gt;=O$2),1,0)</f>
        <v>0</v>
      </c>
      <c r="P14" s="298" cm="1">
        <f t="array" ref="P14">IF(AND(P$2&lt;&gt;0,TblTech[[#This Row],[Hour]:[Hour]]&gt;=P$2),1,0)</f>
        <v>0</v>
      </c>
      <c r="Q14" s="298" cm="1">
        <f t="array" ref="Q14">IF(AND(Q$2&lt;&gt;0,TblTech[[#This Row],[Hour]:[Hour]]&gt;=Q$2),1,0)</f>
        <v>0</v>
      </c>
      <c r="R14" s="298" cm="1">
        <f t="array" ref="R14">IF(AND(R$2&lt;&gt;0,TblTech[[#This Row],[Hour]:[Hour]]&gt;=R$2),1,0)</f>
        <v>0</v>
      </c>
      <c r="S14" s="298" cm="1">
        <f t="array" ref="S14">IF(AND(S$2&lt;&gt;0,TblTech[[#This Row],[Hour]:[Hour]]&gt;=S$2),1,0)</f>
        <v>0</v>
      </c>
      <c r="T14" s="298" cm="1">
        <f t="array" ref="T14">IF(AND(T$2&lt;&gt;0,TblTech[[#This Row],[Hour]:[Hour]]&gt;=T$2),1,0)</f>
        <v>0</v>
      </c>
      <c r="U14" s="298" cm="1">
        <f t="array" ref="U14">IF(AND(U$2&lt;&gt;0,TblTech[[#This Row],[Hour]:[Hour]]&gt;=U$2),1,0)</f>
        <v>0</v>
      </c>
      <c r="V14" s="298" cm="1">
        <f t="array" ref="V14">IF(AND(V$2&lt;&gt;0,TblTech[[#This Row],[Hour]:[Hour]]&gt;=V$2),1,0)</f>
        <v>0</v>
      </c>
      <c r="W14" s="298" cm="1">
        <f t="array" ref="W14">IF(AND(W$2&lt;&gt;0,TblTech[[#This Row],[Hour]:[Hour]]&gt;=W$2),1,0)</f>
        <v>0</v>
      </c>
      <c r="X14" s="298" cm="1">
        <f t="array" ref="X14">IF(AND(X$2&lt;&gt;0,TblTech[[#This Row],[Hour]:[Hour]]&gt;=X$2),1,0)</f>
        <v>0</v>
      </c>
      <c r="Y14" s="298" cm="1">
        <f t="array" ref="Y14">IF(AND(Y$2&lt;&gt;0,TblTech[[#This Row],[Hour]:[Hour]]&gt;=Y$2),1,0)</f>
        <v>0</v>
      </c>
      <c r="Z14" s="298" cm="1">
        <f t="array" ref="Z14">IF(AND(Z$2&lt;&gt;0,TblTech[[#This Row],[Hour]:[Hour]]&gt;=Z$2),1,0)</f>
        <v>0</v>
      </c>
      <c r="AA14" s="298" cm="1">
        <f t="array" ref="AA14">IF(AND(AA$2&lt;&gt;0,TblTech[[#This Row],[Hour]:[Hour]]&gt;=AA$2),1,0)</f>
        <v>0</v>
      </c>
      <c r="AB14" s="298" cm="1">
        <f t="array" ref="AB14">IF(AND(AB$2&lt;&gt;0,TblTech[[#This Row],[Hour]:[Hour]]&gt;=AB$2),1,0)</f>
        <v>0</v>
      </c>
      <c r="AC14" s="298" cm="1">
        <f t="array" ref="AC14">IF(AND(AC$2&lt;&gt;0,TblTech[[#This Row],[Hour]:[Hour]]&gt;=AC$2),1,0)</f>
        <v>0</v>
      </c>
      <c r="AD14" s="298" cm="1">
        <f t="array" ref="AD14">IF(AND(AD$2&lt;&gt;0,TblTech[[#This Row],[Hour]:[Hour]]&gt;=AD$2),1,0)</f>
        <v>0</v>
      </c>
      <c r="AE14" s="298" cm="1">
        <f t="array" ref="AE14">IF(AND(AE$2&lt;&gt;0,TblTech[[#This Row],[Hour]:[Hour]]&gt;=AE$2),1,0)</f>
        <v>0</v>
      </c>
      <c r="AF14" s="298" cm="1">
        <f t="array" ref="AF14">IF(AND(AF$2&lt;&gt;0,TblTech[[#This Row],[Hour]:[Hour]]&gt;=AF$2),1,0)</f>
        <v>0</v>
      </c>
      <c r="AG14" s="298" cm="1">
        <f t="array" ref="AG14">IF(AND(AG$2&lt;&gt;0,TblTech[[#This Row],[Hour]:[Hour]]&gt;=AG$2),1,0)</f>
        <v>0</v>
      </c>
      <c r="AH14" s="298" cm="1">
        <f t="array" ref="AH14">IF(AND(AH$2&lt;&gt;0,TblTech[[#This Row],[Hour]:[Hour]]&gt;=AH$2),1,0)</f>
        <v>0</v>
      </c>
      <c r="AI14" s="298" cm="1">
        <f t="array" ref="AI14">IF(AND(AI$2&lt;&gt;0,TblTech[[#This Row],[Hour]:[Hour]]&gt;=AI$2),1,0)</f>
        <v>0</v>
      </c>
      <c r="AJ14" s="298" cm="1">
        <f t="array" ref="AJ14">IF(AND(AJ$2&lt;&gt;0,TblTech[[#This Row],[Hour]:[Hour]]&gt;=AJ$2),1,0)</f>
        <v>0</v>
      </c>
      <c r="AK14" s="298" cm="1">
        <f t="array" ref="AK14">IF(AND(AK$2&lt;&gt;0,TblTech[[#This Row],[Hour]:[Hour]]&gt;=AK$2),1,0)</f>
        <v>0</v>
      </c>
      <c r="AL14" s="298" cm="1">
        <f t="array" ref="AL14">IF(AND(AL$2&lt;&gt;0,TblTech[[#This Row],[Hour]:[Hour]]&gt;=AL$2),1,0)</f>
        <v>0</v>
      </c>
      <c r="AM14" s="298" cm="1">
        <f t="array" ref="AM14">IF(AND(AM$2&lt;&gt;0,TblTech[[#This Row],[Hour]:[Hour]]&gt;=AM$2),1,0)</f>
        <v>0</v>
      </c>
      <c r="AN14" s="298" cm="1">
        <f t="array" ref="AN14">IF(AND(AN$2&lt;&gt;0,TblTech[[#This Row],[Hour]:[Hour]]&gt;=AN$2),1,0)</f>
        <v>0</v>
      </c>
      <c r="AO14" s="298" cm="1">
        <f t="array" ref="AO14">IF(AND(AO$2&lt;&gt;0,TblTech[[#This Row],[Hour]:[Hour]]&gt;=AO$2),1,0)</f>
        <v>0</v>
      </c>
      <c r="AP14" s="298" cm="1">
        <f t="array" ref="AP14">IF(AND(AP$2&lt;&gt;0,TblTech[[#This Row],[Hour]:[Hour]]&gt;=AP$2),1,0)</f>
        <v>0</v>
      </c>
      <c r="AQ14" s="298" cm="1">
        <f t="array" ref="AQ14">IF(AND(AQ$2&lt;&gt;0,TblTech[[#This Row],[Hour]:[Hour]]&gt;=AQ$2),1,0)</f>
        <v>0</v>
      </c>
      <c r="AR14" s="298" cm="1">
        <f t="array" ref="AR14">IF(AND(AR$2&lt;&gt;0,TblTech[[#This Row],[Hour]:[Hour]]&gt;=AR$2),1,0)</f>
        <v>0</v>
      </c>
      <c r="AS14" s="298" cm="1">
        <f t="array" ref="AS14">IF(AND(AS$2&lt;&gt;0,TblTech[[#This Row],[Hour]:[Hour]]&gt;=AS$2),1,0)</f>
        <v>0</v>
      </c>
      <c r="AT14" s="298" cm="1">
        <f t="array" ref="AT14">IF(AND(AT$2&lt;&gt;0,TblTech[[#This Row],[Hour]:[Hour]]&gt;=AT$2),1,0)</f>
        <v>0</v>
      </c>
      <c r="AU14" s="298" cm="1">
        <f t="array" ref="AU14">IF(AND(AU$2&lt;&gt;0,TblTech[[#This Row],[Hour]:[Hour]]&gt;=AU$2),1,0)</f>
        <v>0</v>
      </c>
      <c r="AV14" s="298" cm="1">
        <f t="array" ref="AV14">IF(AND(AV$2&lt;&gt;0,TblTech[[#This Row],[Hour]:[Hour]]&gt;=AV$2),1,0)</f>
        <v>0</v>
      </c>
      <c r="AW14" s="298" cm="1">
        <f t="array" ref="AW14">IF(AND(AW$2&lt;&gt;0,TblTech[[#This Row],[Hour]:[Hour]]&gt;=AW$2),1,0)</f>
        <v>0</v>
      </c>
      <c r="AX14" s="298" cm="1">
        <f t="array" ref="AX14">IF(AND(AX$2&lt;&gt;0,TblTech[[#This Row],[Hour]:[Hour]]&gt;=AX$2),1,0)</f>
        <v>0</v>
      </c>
      <c r="AY14" s="298" cm="1">
        <f t="array" ref="AY14">IF(AND(AY$2&lt;&gt;0,TblTech[[#This Row],[Hour]:[Hour]]&gt;=AY$2),1,0)</f>
        <v>0</v>
      </c>
      <c r="AZ14" s="298" cm="1">
        <f t="array" ref="AZ14">IF(AND(AZ$2&lt;&gt;0,TblTech[[#This Row],[Hour]:[Hour]]&gt;=AZ$2),1,0)</f>
        <v>0</v>
      </c>
      <c r="BA14" s="298" cm="1">
        <f t="array" ref="BA14">IF(AND(BA$2&lt;&gt;0,TblTech[[#This Row],[Hour]:[Hour]]&gt;=BA$2),1,0)</f>
        <v>0</v>
      </c>
      <c r="BB14" s="298" cm="1">
        <f t="array" ref="BB14">IF(AND(BB$2&lt;&gt;0,TblTech[[#This Row],[Hour]:[Hour]]&gt;=BB$2),1,0)</f>
        <v>0</v>
      </c>
      <c r="BC14" s="298" cm="1">
        <f t="array" ref="BC14">IF(AND(BC$2&lt;&gt;0,TblTech[[#This Row],[Hour]:[Hour]]&gt;=BC$2),1,0)</f>
        <v>0</v>
      </c>
      <c r="BD14" s="298" cm="1">
        <f t="array" ref="BD14">IF(AND(BD$2&lt;&gt;0,TblTech[[#This Row],[Hour]:[Hour]]&gt;=BD$2),1,0)</f>
        <v>0</v>
      </c>
      <c r="BE14" s="298" cm="1">
        <f t="array" ref="BE14">IF(AND(BE$2&lt;&gt;0,TblTech[[#This Row],[Hour]:[Hour]]&gt;=BE$2),1,0)</f>
        <v>0</v>
      </c>
      <c r="BF14" s="298" cm="1">
        <f t="array" ref="BF14">IF(AND(BF$2&lt;&gt;0,TblTech[[#This Row],[Hour]:[Hour]]&gt;=BF$2),1,0)</f>
        <v>0</v>
      </c>
      <c r="BG14" s="298" cm="1">
        <f t="array" ref="BG14">IF(AND(BG$2&lt;&gt;0,TblTech[[#This Row],[Hour]:[Hour]]&gt;=BG$2),1,0)</f>
        <v>0</v>
      </c>
      <c r="BH14" s="298" cm="1">
        <f t="array" ref="BH14">IF(AND(BH$2&lt;&gt;0,TblTech[[#This Row],[Hour]:[Hour]]&gt;=BH$2),1,0)</f>
        <v>0</v>
      </c>
      <c r="BI14" s="298" cm="1">
        <f t="array" ref="BI14">IF(AND(BI$2&lt;&gt;0,TblTech[[#This Row],[Hour]:[Hour]]&gt;=BI$2),1,0)</f>
        <v>0</v>
      </c>
      <c r="BJ14" s="298" cm="1">
        <f t="array" ref="BJ14">IF(AND(BJ$2&lt;&gt;0,TblTech[[#This Row],[Hour]:[Hour]]&gt;=BJ$2),1,0)</f>
        <v>0</v>
      </c>
      <c r="BK14" s="298" cm="1">
        <f t="array" ref="BK14">IF(AND(BK$2&lt;&gt;0,TblTech[[#This Row],[Hour]:[Hour]]&gt;=BK$2),1,0)</f>
        <v>0</v>
      </c>
      <c r="BL14" s="298" cm="1">
        <f t="array" ref="BL14">IF(AND(BL$2&lt;&gt;0,TblTech[[#This Row],[Hour]:[Hour]]&gt;=BL$2),1,0)</f>
        <v>0</v>
      </c>
      <c r="BM14" s="298" cm="1">
        <f t="array" ref="BM14">IF(AND(BM$2&lt;&gt;0,TblTech[[#This Row],[Hour]:[Hour]]&gt;=BM$2),1,0)</f>
        <v>0</v>
      </c>
      <c r="BN14" s="298" cm="1">
        <f t="array" ref="BN14">IF(AND(BN$2&lt;&gt;0,TblTech[[#This Row],[Hour]:[Hour]]&gt;=BN$2),1,0)</f>
        <v>0</v>
      </c>
      <c r="BO14" s="298" cm="1">
        <f t="array" ref="BO14">IF(AND(BO$2&lt;&gt;0,TblTech[[#This Row],[Hour]:[Hour]]&gt;=BO$2),1,0)</f>
        <v>0</v>
      </c>
      <c r="BP14" s="298" cm="1">
        <f t="array" ref="BP14">IF(AND(BP$2&lt;&gt;0,TblTech[[#This Row],[Hour]:[Hour]]&gt;=BP$2),1,0)</f>
        <v>0</v>
      </c>
      <c r="BQ14" s="298" cm="1">
        <f t="array" ref="BQ14">IF(AND(BQ$2&lt;&gt;0,TblTech[[#This Row],[Hour]:[Hour]]&gt;=BQ$2),1,0)</f>
        <v>0</v>
      </c>
      <c r="BR14" s="298" cm="1">
        <f t="array" ref="BR14">IF(AND(BR$2&lt;&gt;0,TblTech[[#This Row],[Hour]:[Hour]]&gt;=BR$2),1,0)</f>
        <v>0</v>
      </c>
      <c r="BS14" s="298" cm="1">
        <f t="array" ref="BS14">IF(AND(BS$2&lt;&gt;0,TblTech[[#This Row],[Hour]:[Hour]]&gt;=BS$2),1,0)</f>
        <v>0</v>
      </c>
      <c r="BT14" s="298" cm="1">
        <f t="array" ref="BT14">IF(AND(BT$2&lt;&gt;0,TblTech[[#This Row],[Hour]:[Hour]]&gt;=BT$2),1,0)</f>
        <v>0</v>
      </c>
      <c r="BU14" s="298" cm="1">
        <f t="array" ref="BU14">IF(AND(BU$2&lt;&gt;0,TblTech[[#This Row],[Hour]:[Hour]]&gt;=BU$2),1,0)</f>
        <v>0</v>
      </c>
      <c r="BV14" s="298" cm="1">
        <f t="array" ref="BV14">IF(AND(BV$2&lt;&gt;0,TblTech[[#This Row],[Hour]:[Hour]]&gt;=BV$2),1,0)</f>
        <v>0</v>
      </c>
      <c r="BW14" s="298" cm="1">
        <f t="array" ref="BW14">IF(AND(BW$2&lt;&gt;0,TblTech[[#This Row],[Hour]:[Hour]]&gt;=BW$2),1,0)</f>
        <v>0</v>
      </c>
      <c r="BX14" s="298" cm="1">
        <f t="array" ref="BX14">IF(AND(BX$2&lt;&gt;0,TblTech[[#This Row],[Hour]:[Hour]]&gt;=BX$2),1,0)</f>
        <v>0</v>
      </c>
      <c r="BY14" s="298" cm="1">
        <f t="array" ref="BY14">IF(AND(BY$2&lt;&gt;0,TblTech[[#This Row],[Hour]:[Hour]]&gt;=BY$2),1,0)</f>
        <v>0</v>
      </c>
      <c r="BZ14" s="298" cm="1">
        <f t="array" ref="BZ14">IF(AND(BZ$2&lt;&gt;0,TblTech[[#This Row],[Hour]:[Hour]]&gt;=BZ$2),1,0)</f>
        <v>0</v>
      </c>
      <c r="CA14" s="402">
        <f>IFERROR(INDEX($H$4:$H$79,MATCH(INDEX(TblTech[[#Headers],[1-1]:[11-1]],1,MATCH(TblTech[[#This Row],[Hour]],$M$2:$BZ$2,0)),$G$4:$G$79,0)),)</f>
        <v>0</v>
      </c>
    </row>
    <row r="15" spans="1:79" x14ac:dyDescent="0.2">
      <c r="A15" s="290">
        <f>TblRezone[[#This Row],[Hour]]</f>
        <v>12</v>
      </c>
      <c r="B15" s="291">
        <f ca="1">TblExplore[[#This Row],[Land-DB]]</f>
        <v>250</v>
      </c>
      <c r="C15" s="292">
        <f ca="1">TblProd[[#This Row],[Techpoints]]</f>
        <v>0</v>
      </c>
      <c r="D15" s="292">
        <f ca="1">TblProd[[#This Row],[Required]]</f>
        <v>3750</v>
      </c>
      <c r="E15" s="293"/>
      <c r="F15" s="294"/>
      <c r="G15" s="295"/>
      <c r="H15" s="296"/>
      <c r="I15" s="295"/>
      <c r="J15" s="291"/>
      <c r="K15" s="95">
        <f ca="1">IF(TblTech[[#This Row],[Sum of tech]]&lt;&gt;OFFSET(TblTech[[#This Row],[Sum of tech]],-1,0),1,0)</f>
        <v>0</v>
      </c>
      <c r="L15" s="297">
        <f>COUNTIF(TblTech[[#This Row],[1-1]:[11-1]],1)</f>
        <v>0</v>
      </c>
      <c r="M15" s="298" cm="1">
        <f t="array" ref="M15">IF(AND(M$2&lt;&gt;0,TblTech[[#This Row],[Hour]:[Hour]]&gt;=M$2),1,0)</f>
        <v>0</v>
      </c>
      <c r="N15" s="298" cm="1">
        <f t="array" ref="N15">IF(AND(N$2&lt;&gt;0,TblTech[[#This Row],[Hour]:[Hour]]&gt;=N$2),1,0)</f>
        <v>0</v>
      </c>
      <c r="O15" s="298" cm="1">
        <f t="array" ref="O15">IF(AND(O$2&lt;&gt;0,TblTech[[#This Row],[Hour]:[Hour]]&gt;=O$2),1,0)</f>
        <v>0</v>
      </c>
      <c r="P15" s="298" cm="1">
        <f t="array" ref="P15">IF(AND(P$2&lt;&gt;0,TblTech[[#This Row],[Hour]:[Hour]]&gt;=P$2),1,0)</f>
        <v>0</v>
      </c>
      <c r="Q15" s="298" cm="1">
        <f t="array" ref="Q15">IF(AND(Q$2&lt;&gt;0,TblTech[[#This Row],[Hour]:[Hour]]&gt;=Q$2),1,0)</f>
        <v>0</v>
      </c>
      <c r="R15" s="298" cm="1">
        <f t="array" ref="R15">IF(AND(R$2&lt;&gt;0,TblTech[[#This Row],[Hour]:[Hour]]&gt;=R$2),1,0)</f>
        <v>0</v>
      </c>
      <c r="S15" s="298" cm="1">
        <f t="array" ref="S15">IF(AND(S$2&lt;&gt;0,TblTech[[#This Row],[Hour]:[Hour]]&gt;=S$2),1,0)</f>
        <v>0</v>
      </c>
      <c r="T15" s="298" cm="1">
        <f t="array" ref="T15">IF(AND(T$2&lt;&gt;0,TblTech[[#This Row],[Hour]:[Hour]]&gt;=T$2),1,0)</f>
        <v>0</v>
      </c>
      <c r="U15" s="298" cm="1">
        <f t="array" ref="U15">IF(AND(U$2&lt;&gt;0,TblTech[[#This Row],[Hour]:[Hour]]&gt;=U$2),1,0)</f>
        <v>0</v>
      </c>
      <c r="V15" s="298" cm="1">
        <f t="array" ref="V15">IF(AND(V$2&lt;&gt;0,TblTech[[#This Row],[Hour]:[Hour]]&gt;=V$2),1,0)</f>
        <v>0</v>
      </c>
      <c r="W15" s="298" cm="1">
        <f t="array" ref="W15">IF(AND(W$2&lt;&gt;0,TblTech[[#This Row],[Hour]:[Hour]]&gt;=W$2),1,0)</f>
        <v>0</v>
      </c>
      <c r="X15" s="298" cm="1">
        <f t="array" ref="X15">IF(AND(X$2&lt;&gt;0,TblTech[[#This Row],[Hour]:[Hour]]&gt;=X$2),1,0)</f>
        <v>0</v>
      </c>
      <c r="Y15" s="298" cm="1">
        <f t="array" ref="Y15">IF(AND(Y$2&lt;&gt;0,TblTech[[#This Row],[Hour]:[Hour]]&gt;=Y$2),1,0)</f>
        <v>0</v>
      </c>
      <c r="Z15" s="298" cm="1">
        <f t="array" ref="Z15">IF(AND(Z$2&lt;&gt;0,TblTech[[#This Row],[Hour]:[Hour]]&gt;=Z$2),1,0)</f>
        <v>0</v>
      </c>
      <c r="AA15" s="298" cm="1">
        <f t="array" ref="AA15">IF(AND(AA$2&lt;&gt;0,TblTech[[#This Row],[Hour]:[Hour]]&gt;=AA$2),1,0)</f>
        <v>0</v>
      </c>
      <c r="AB15" s="298" cm="1">
        <f t="array" ref="AB15">IF(AND(AB$2&lt;&gt;0,TblTech[[#This Row],[Hour]:[Hour]]&gt;=AB$2),1,0)</f>
        <v>0</v>
      </c>
      <c r="AC15" s="298" cm="1">
        <f t="array" ref="AC15">IF(AND(AC$2&lt;&gt;0,TblTech[[#This Row],[Hour]:[Hour]]&gt;=AC$2),1,0)</f>
        <v>0</v>
      </c>
      <c r="AD15" s="298" cm="1">
        <f t="array" ref="AD15">IF(AND(AD$2&lt;&gt;0,TblTech[[#This Row],[Hour]:[Hour]]&gt;=AD$2),1,0)</f>
        <v>0</v>
      </c>
      <c r="AE15" s="298" cm="1">
        <f t="array" ref="AE15">IF(AND(AE$2&lt;&gt;0,TblTech[[#This Row],[Hour]:[Hour]]&gt;=AE$2),1,0)</f>
        <v>0</v>
      </c>
      <c r="AF15" s="298" cm="1">
        <f t="array" ref="AF15">IF(AND(AF$2&lt;&gt;0,TblTech[[#This Row],[Hour]:[Hour]]&gt;=AF$2),1,0)</f>
        <v>0</v>
      </c>
      <c r="AG15" s="298" cm="1">
        <f t="array" ref="AG15">IF(AND(AG$2&lt;&gt;0,TblTech[[#This Row],[Hour]:[Hour]]&gt;=AG$2),1,0)</f>
        <v>0</v>
      </c>
      <c r="AH15" s="298" cm="1">
        <f t="array" ref="AH15">IF(AND(AH$2&lt;&gt;0,TblTech[[#This Row],[Hour]:[Hour]]&gt;=AH$2),1,0)</f>
        <v>0</v>
      </c>
      <c r="AI15" s="298" cm="1">
        <f t="array" ref="AI15">IF(AND(AI$2&lt;&gt;0,TblTech[[#This Row],[Hour]:[Hour]]&gt;=AI$2),1,0)</f>
        <v>0</v>
      </c>
      <c r="AJ15" s="298" cm="1">
        <f t="array" ref="AJ15">IF(AND(AJ$2&lt;&gt;0,TblTech[[#This Row],[Hour]:[Hour]]&gt;=AJ$2),1,0)</f>
        <v>0</v>
      </c>
      <c r="AK15" s="298" cm="1">
        <f t="array" ref="AK15">IF(AND(AK$2&lt;&gt;0,TblTech[[#This Row],[Hour]:[Hour]]&gt;=AK$2),1,0)</f>
        <v>0</v>
      </c>
      <c r="AL15" s="298" cm="1">
        <f t="array" ref="AL15">IF(AND(AL$2&lt;&gt;0,TblTech[[#This Row],[Hour]:[Hour]]&gt;=AL$2),1,0)</f>
        <v>0</v>
      </c>
      <c r="AM15" s="298" cm="1">
        <f t="array" ref="AM15">IF(AND(AM$2&lt;&gt;0,TblTech[[#This Row],[Hour]:[Hour]]&gt;=AM$2),1,0)</f>
        <v>0</v>
      </c>
      <c r="AN15" s="298" cm="1">
        <f t="array" ref="AN15">IF(AND(AN$2&lt;&gt;0,TblTech[[#This Row],[Hour]:[Hour]]&gt;=AN$2),1,0)</f>
        <v>0</v>
      </c>
      <c r="AO15" s="298" cm="1">
        <f t="array" ref="AO15">IF(AND(AO$2&lt;&gt;0,TblTech[[#This Row],[Hour]:[Hour]]&gt;=AO$2),1,0)</f>
        <v>0</v>
      </c>
      <c r="AP15" s="298" cm="1">
        <f t="array" ref="AP15">IF(AND(AP$2&lt;&gt;0,TblTech[[#This Row],[Hour]:[Hour]]&gt;=AP$2),1,0)</f>
        <v>0</v>
      </c>
      <c r="AQ15" s="298" cm="1">
        <f t="array" ref="AQ15">IF(AND(AQ$2&lt;&gt;0,TblTech[[#This Row],[Hour]:[Hour]]&gt;=AQ$2),1,0)</f>
        <v>0</v>
      </c>
      <c r="AR15" s="298" cm="1">
        <f t="array" ref="AR15">IF(AND(AR$2&lt;&gt;0,TblTech[[#This Row],[Hour]:[Hour]]&gt;=AR$2),1,0)</f>
        <v>0</v>
      </c>
      <c r="AS15" s="298" cm="1">
        <f t="array" ref="AS15">IF(AND(AS$2&lt;&gt;0,TblTech[[#This Row],[Hour]:[Hour]]&gt;=AS$2),1,0)</f>
        <v>0</v>
      </c>
      <c r="AT15" s="298" cm="1">
        <f t="array" ref="AT15">IF(AND(AT$2&lt;&gt;0,TblTech[[#This Row],[Hour]:[Hour]]&gt;=AT$2),1,0)</f>
        <v>0</v>
      </c>
      <c r="AU15" s="298" cm="1">
        <f t="array" ref="AU15">IF(AND(AU$2&lt;&gt;0,TblTech[[#This Row],[Hour]:[Hour]]&gt;=AU$2),1,0)</f>
        <v>0</v>
      </c>
      <c r="AV15" s="298" cm="1">
        <f t="array" ref="AV15">IF(AND(AV$2&lt;&gt;0,TblTech[[#This Row],[Hour]:[Hour]]&gt;=AV$2),1,0)</f>
        <v>0</v>
      </c>
      <c r="AW15" s="298" cm="1">
        <f t="array" ref="AW15">IF(AND(AW$2&lt;&gt;0,TblTech[[#This Row],[Hour]:[Hour]]&gt;=AW$2),1,0)</f>
        <v>0</v>
      </c>
      <c r="AX15" s="298" cm="1">
        <f t="array" ref="AX15">IF(AND(AX$2&lt;&gt;0,TblTech[[#This Row],[Hour]:[Hour]]&gt;=AX$2),1,0)</f>
        <v>0</v>
      </c>
      <c r="AY15" s="298" cm="1">
        <f t="array" ref="AY15">IF(AND(AY$2&lt;&gt;0,TblTech[[#This Row],[Hour]:[Hour]]&gt;=AY$2),1,0)</f>
        <v>0</v>
      </c>
      <c r="AZ15" s="298" cm="1">
        <f t="array" ref="AZ15">IF(AND(AZ$2&lt;&gt;0,TblTech[[#This Row],[Hour]:[Hour]]&gt;=AZ$2),1,0)</f>
        <v>0</v>
      </c>
      <c r="BA15" s="298" cm="1">
        <f t="array" ref="BA15">IF(AND(BA$2&lt;&gt;0,TblTech[[#This Row],[Hour]:[Hour]]&gt;=BA$2),1,0)</f>
        <v>0</v>
      </c>
      <c r="BB15" s="298" cm="1">
        <f t="array" ref="BB15">IF(AND(BB$2&lt;&gt;0,TblTech[[#This Row],[Hour]:[Hour]]&gt;=BB$2),1,0)</f>
        <v>0</v>
      </c>
      <c r="BC15" s="298" cm="1">
        <f t="array" ref="BC15">IF(AND(BC$2&lt;&gt;0,TblTech[[#This Row],[Hour]:[Hour]]&gt;=BC$2),1,0)</f>
        <v>0</v>
      </c>
      <c r="BD15" s="298" cm="1">
        <f t="array" ref="BD15">IF(AND(BD$2&lt;&gt;0,TblTech[[#This Row],[Hour]:[Hour]]&gt;=BD$2),1,0)</f>
        <v>0</v>
      </c>
      <c r="BE15" s="298" cm="1">
        <f t="array" ref="BE15">IF(AND(BE$2&lt;&gt;0,TblTech[[#This Row],[Hour]:[Hour]]&gt;=BE$2),1,0)</f>
        <v>0</v>
      </c>
      <c r="BF15" s="298" cm="1">
        <f t="array" ref="BF15">IF(AND(BF$2&lt;&gt;0,TblTech[[#This Row],[Hour]:[Hour]]&gt;=BF$2),1,0)</f>
        <v>0</v>
      </c>
      <c r="BG15" s="298" cm="1">
        <f t="array" ref="BG15">IF(AND(BG$2&lt;&gt;0,TblTech[[#This Row],[Hour]:[Hour]]&gt;=BG$2),1,0)</f>
        <v>0</v>
      </c>
      <c r="BH15" s="298" cm="1">
        <f t="array" ref="BH15">IF(AND(BH$2&lt;&gt;0,TblTech[[#This Row],[Hour]:[Hour]]&gt;=BH$2),1,0)</f>
        <v>0</v>
      </c>
      <c r="BI15" s="298" cm="1">
        <f t="array" ref="BI15">IF(AND(BI$2&lt;&gt;0,TblTech[[#This Row],[Hour]:[Hour]]&gt;=BI$2),1,0)</f>
        <v>0</v>
      </c>
      <c r="BJ15" s="298" cm="1">
        <f t="array" ref="BJ15">IF(AND(BJ$2&lt;&gt;0,TblTech[[#This Row],[Hour]:[Hour]]&gt;=BJ$2),1,0)</f>
        <v>0</v>
      </c>
      <c r="BK15" s="298" cm="1">
        <f t="array" ref="BK15">IF(AND(BK$2&lt;&gt;0,TblTech[[#This Row],[Hour]:[Hour]]&gt;=BK$2),1,0)</f>
        <v>0</v>
      </c>
      <c r="BL15" s="298" cm="1">
        <f t="array" ref="BL15">IF(AND(BL$2&lt;&gt;0,TblTech[[#This Row],[Hour]:[Hour]]&gt;=BL$2),1,0)</f>
        <v>0</v>
      </c>
      <c r="BM15" s="298" cm="1">
        <f t="array" ref="BM15">IF(AND(BM$2&lt;&gt;0,TblTech[[#This Row],[Hour]:[Hour]]&gt;=BM$2),1,0)</f>
        <v>0</v>
      </c>
      <c r="BN15" s="298" cm="1">
        <f t="array" ref="BN15">IF(AND(BN$2&lt;&gt;0,TblTech[[#This Row],[Hour]:[Hour]]&gt;=BN$2),1,0)</f>
        <v>0</v>
      </c>
      <c r="BO15" s="298" cm="1">
        <f t="array" ref="BO15">IF(AND(BO$2&lt;&gt;0,TblTech[[#This Row],[Hour]:[Hour]]&gt;=BO$2),1,0)</f>
        <v>0</v>
      </c>
      <c r="BP15" s="298" cm="1">
        <f t="array" ref="BP15">IF(AND(BP$2&lt;&gt;0,TblTech[[#This Row],[Hour]:[Hour]]&gt;=BP$2),1,0)</f>
        <v>0</v>
      </c>
      <c r="BQ15" s="298" cm="1">
        <f t="array" ref="BQ15">IF(AND(BQ$2&lt;&gt;0,TblTech[[#This Row],[Hour]:[Hour]]&gt;=BQ$2),1,0)</f>
        <v>0</v>
      </c>
      <c r="BR15" s="298" cm="1">
        <f t="array" ref="BR15">IF(AND(BR$2&lt;&gt;0,TblTech[[#This Row],[Hour]:[Hour]]&gt;=BR$2),1,0)</f>
        <v>0</v>
      </c>
      <c r="BS15" s="298" cm="1">
        <f t="array" ref="BS15">IF(AND(BS$2&lt;&gt;0,TblTech[[#This Row],[Hour]:[Hour]]&gt;=BS$2),1,0)</f>
        <v>0</v>
      </c>
      <c r="BT15" s="298" cm="1">
        <f t="array" ref="BT15">IF(AND(BT$2&lt;&gt;0,TblTech[[#This Row],[Hour]:[Hour]]&gt;=BT$2),1,0)</f>
        <v>0</v>
      </c>
      <c r="BU15" s="298" cm="1">
        <f t="array" ref="BU15">IF(AND(BU$2&lt;&gt;0,TblTech[[#This Row],[Hour]:[Hour]]&gt;=BU$2),1,0)</f>
        <v>0</v>
      </c>
      <c r="BV15" s="298" cm="1">
        <f t="array" ref="BV15">IF(AND(BV$2&lt;&gt;0,TblTech[[#This Row],[Hour]:[Hour]]&gt;=BV$2),1,0)</f>
        <v>0</v>
      </c>
      <c r="BW15" s="298" cm="1">
        <f t="array" ref="BW15">IF(AND(BW$2&lt;&gt;0,TblTech[[#This Row],[Hour]:[Hour]]&gt;=BW$2),1,0)</f>
        <v>0</v>
      </c>
      <c r="BX15" s="298" cm="1">
        <f t="array" ref="BX15">IF(AND(BX$2&lt;&gt;0,TblTech[[#This Row],[Hour]:[Hour]]&gt;=BX$2),1,0)</f>
        <v>0</v>
      </c>
      <c r="BY15" s="298" cm="1">
        <f t="array" ref="BY15">IF(AND(BY$2&lt;&gt;0,TblTech[[#This Row],[Hour]:[Hour]]&gt;=BY$2),1,0)</f>
        <v>0</v>
      </c>
      <c r="BZ15" s="298" cm="1">
        <f t="array" ref="BZ15">IF(AND(BZ$2&lt;&gt;0,TblTech[[#This Row],[Hour]:[Hour]]&gt;=BZ$2),1,0)</f>
        <v>0</v>
      </c>
      <c r="CA15" s="402">
        <f>IFERROR(INDEX($H$4:$H$79,MATCH(INDEX(TblTech[[#Headers],[1-1]:[11-1]],1,MATCH(TblTech[[#This Row],[Hour]],$M$2:$BZ$2,0)),$G$4:$G$79,0)),)</f>
        <v>0</v>
      </c>
    </row>
    <row r="16" spans="1:79" x14ac:dyDescent="0.2">
      <c r="A16" s="290">
        <f>TblRezone[[#This Row],[Hour]]</f>
        <v>13</v>
      </c>
      <c r="B16" s="291">
        <f ca="1">TblExplore[[#This Row],[Land-DB]]</f>
        <v>250</v>
      </c>
      <c r="C16" s="292">
        <f ca="1">TblProd[[#This Row],[Techpoints]]</f>
        <v>0</v>
      </c>
      <c r="D16" s="292">
        <f ca="1">TblProd[[#This Row],[Required]]</f>
        <v>3750</v>
      </c>
      <c r="E16" s="293"/>
      <c r="F16" s="294"/>
      <c r="G16" s="295" t="s">
        <v>552</v>
      </c>
      <c r="H16" s="296" t="s">
        <v>688</v>
      </c>
      <c r="I16" s="295" t="s">
        <v>745</v>
      </c>
      <c r="J16" s="291"/>
      <c r="K16" s="95">
        <f ca="1">IF(TblTech[[#This Row],[Sum of tech]]&lt;&gt;OFFSET(TblTech[[#This Row],[Sum of tech]],-1,0),1,0)</f>
        <v>0</v>
      </c>
      <c r="L16" s="297">
        <f>COUNTIF(TblTech[[#This Row],[1-1]:[11-1]],1)</f>
        <v>0</v>
      </c>
      <c r="M16" s="298" cm="1">
        <f t="array" ref="M16">IF(AND(M$2&lt;&gt;0,TblTech[[#This Row],[Hour]:[Hour]]&gt;=M$2),1,0)</f>
        <v>0</v>
      </c>
      <c r="N16" s="298" cm="1">
        <f t="array" ref="N16">IF(AND(N$2&lt;&gt;0,TblTech[[#This Row],[Hour]:[Hour]]&gt;=N$2),1,0)</f>
        <v>0</v>
      </c>
      <c r="O16" s="298" cm="1">
        <f t="array" ref="O16">IF(AND(O$2&lt;&gt;0,TblTech[[#This Row],[Hour]:[Hour]]&gt;=O$2),1,0)</f>
        <v>0</v>
      </c>
      <c r="P16" s="298" cm="1">
        <f t="array" ref="P16">IF(AND(P$2&lt;&gt;0,TblTech[[#This Row],[Hour]:[Hour]]&gt;=P$2),1,0)</f>
        <v>0</v>
      </c>
      <c r="Q16" s="298" cm="1">
        <f t="array" ref="Q16">IF(AND(Q$2&lt;&gt;0,TblTech[[#This Row],[Hour]:[Hour]]&gt;=Q$2),1,0)</f>
        <v>0</v>
      </c>
      <c r="R16" s="298" cm="1">
        <f t="array" ref="R16">IF(AND(R$2&lt;&gt;0,TblTech[[#This Row],[Hour]:[Hour]]&gt;=R$2),1,0)</f>
        <v>0</v>
      </c>
      <c r="S16" s="298" cm="1">
        <f t="array" ref="S16">IF(AND(S$2&lt;&gt;0,TblTech[[#This Row],[Hour]:[Hour]]&gt;=S$2),1,0)</f>
        <v>0</v>
      </c>
      <c r="T16" s="298" cm="1">
        <f t="array" ref="T16">IF(AND(T$2&lt;&gt;0,TblTech[[#This Row],[Hour]:[Hour]]&gt;=T$2),1,0)</f>
        <v>0</v>
      </c>
      <c r="U16" s="298" cm="1">
        <f t="array" ref="U16">IF(AND(U$2&lt;&gt;0,TblTech[[#This Row],[Hour]:[Hour]]&gt;=U$2),1,0)</f>
        <v>0</v>
      </c>
      <c r="V16" s="298" cm="1">
        <f t="array" ref="V16">IF(AND(V$2&lt;&gt;0,TblTech[[#This Row],[Hour]:[Hour]]&gt;=V$2),1,0)</f>
        <v>0</v>
      </c>
      <c r="W16" s="298" cm="1">
        <f t="array" ref="W16">IF(AND(W$2&lt;&gt;0,TblTech[[#This Row],[Hour]:[Hour]]&gt;=W$2),1,0)</f>
        <v>0</v>
      </c>
      <c r="X16" s="298" cm="1">
        <f t="array" ref="X16">IF(AND(X$2&lt;&gt;0,TblTech[[#This Row],[Hour]:[Hour]]&gt;=X$2),1,0)</f>
        <v>0</v>
      </c>
      <c r="Y16" s="298" cm="1">
        <f t="array" ref="Y16">IF(AND(Y$2&lt;&gt;0,TblTech[[#This Row],[Hour]:[Hour]]&gt;=Y$2),1,0)</f>
        <v>0</v>
      </c>
      <c r="Z16" s="298" cm="1">
        <f t="array" ref="Z16">IF(AND(Z$2&lt;&gt;0,TblTech[[#This Row],[Hour]:[Hour]]&gt;=Z$2),1,0)</f>
        <v>0</v>
      </c>
      <c r="AA16" s="298" cm="1">
        <f t="array" ref="AA16">IF(AND(AA$2&lt;&gt;0,TblTech[[#This Row],[Hour]:[Hour]]&gt;=AA$2),1,0)</f>
        <v>0</v>
      </c>
      <c r="AB16" s="298" cm="1">
        <f t="array" ref="AB16">IF(AND(AB$2&lt;&gt;0,TblTech[[#This Row],[Hour]:[Hour]]&gt;=AB$2),1,0)</f>
        <v>0</v>
      </c>
      <c r="AC16" s="298" cm="1">
        <f t="array" ref="AC16">IF(AND(AC$2&lt;&gt;0,TblTech[[#This Row],[Hour]:[Hour]]&gt;=AC$2),1,0)</f>
        <v>0</v>
      </c>
      <c r="AD16" s="298" cm="1">
        <f t="array" ref="AD16">IF(AND(AD$2&lt;&gt;0,TblTech[[#This Row],[Hour]:[Hour]]&gt;=AD$2),1,0)</f>
        <v>0</v>
      </c>
      <c r="AE16" s="298" cm="1">
        <f t="array" ref="AE16">IF(AND(AE$2&lt;&gt;0,TblTech[[#This Row],[Hour]:[Hour]]&gt;=AE$2),1,0)</f>
        <v>0</v>
      </c>
      <c r="AF16" s="298" cm="1">
        <f t="array" ref="AF16">IF(AND(AF$2&lt;&gt;0,TblTech[[#This Row],[Hour]:[Hour]]&gt;=AF$2),1,0)</f>
        <v>0</v>
      </c>
      <c r="AG16" s="298" cm="1">
        <f t="array" ref="AG16">IF(AND(AG$2&lt;&gt;0,TblTech[[#This Row],[Hour]:[Hour]]&gt;=AG$2),1,0)</f>
        <v>0</v>
      </c>
      <c r="AH16" s="298" cm="1">
        <f t="array" ref="AH16">IF(AND(AH$2&lt;&gt;0,TblTech[[#This Row],[Hour]:[Hour]]&gt;=AH$2),1,0)</f>
        <v>0</v>
      </c>
      <c r="AI16" s="298" cm="1">
        <f t="array" ref="AI16">IF(AND(AI$2&lt;&gt;0,TblTech[[#This Row],[Hour]:[Hour]]&gt;=AI$2),1,0)</f>
        <v>0</v>
      </c>
      <c r="AJ16" s="298" cm="1">
        <f t="array" ref="AJ16">IF(AND(AJ$2&lt;&gt;0,TblTech[[#This Row],[Hour]:[Hour]]&gt;=AJ$2),1,0)</f>
        <v>0</v>
      </c>
      <c r="AK16" s="298" cm="1">
        <f t="array" ref="AK16">IF(AND(AK$2&lt;&gt;0,TblTech[[#This Row],[Hour]:[Hour]]&gt;=AK$2),1,0)</f>
        <v>0</v>
      </c>
      <c r="AL16" s="298" cm="1">
        <f t="array" ref="AL16">IF(AND(AL$2&lt;&gt;0,TblTech[[#This Row],[Hour]:[Hour]]&gt;=AL$2),1,0)</f>
        <v>0</v>
      </c>
      <c r="AM16" s="298" cm="1">
        <f t="array" ref="AM16">IF(AND(AM$2&lt;&gt;0,TblTech[[#This Row],[Hour]:[Hour]]&gt;=AM$2),1,0)</f>
        <v>0</v>
      </c>
      <c r="AN16" s="298" cm="1">
        <f t="array" ref="AN16">IF(AND(AN$2&lt;&gt;0,TblTech[[#This Row],[Hour]:[Hour]]&gt;=AN$2),1,0)</f>
        <v>0</v>
      </c>
      <c r="AO16" s="298" cm="1">
        <f t="array" ref="AO16">IF(AND(AO$2&lt;&gt;0,TblTech[[#This Row],[Hour]:[Hour]]&gt;=AO$2),1,0)</f>
        <v>0</v>
      </c>
      <c r="AP16" s="298" cm="1">
        <f t="array" ref="AP16">IF(AND(AP$2&lt;&gt;0,TblTech[[#This Row],[Hour]:[Hour]]&gt;=AP$2),1,0)</f>
        <v>0</v>
      </c>
      <c r="AQ16" s="298" cm="1">
        <f t="array" ref="AQ16">IF(AND(AQ$2&lt;&gt;0,TblTech[[#This Row],[Hour]:[Hour]]&gt;=AQ$2),1,0)</f>
        <v>0</v>
      </c>
      <c r="AR16" s="298" cm="1">
        <f t="array" ref="AR16">IF(AND(AR$2&lt;&gt;0,TblTech[[#This Row],[Hour]:[Hour]]&gt;=AR$2),1,0)</f>
        <v>0</v>
      </c>
      <c r="AS16" s="298" cm="1">
        <f t="array" ref="AS16">IF(AND(AS$2&lt;&gt;0,TblTech[[#This Row],[Hour]:[Hour]]&gt;=AS$2),1,0)</f>
        <v>0</v>
      </c>
      <c r="AT16" s="298" cm="1">
        <f t="array" ref="AT16">IF(AND(AT$2&lt;&gt;0,TblTech[[#This Row],[Hour]:[Hour]]&gt;=AT$2),1,0)</f>
        <v>0</v>
      </c>
      <c r="AU16" s="298" cm="1">
        <f t="array" ref="AU16">IF(AND(AU$2&lt;&gt;0,TblTech[[#This Row],[Hour]:[Hour]]&gt;=AU$2),1,0)</f>
        <v>0</v>
      </c>
      <c r="AV16" s="298" cm="1">
        <f t="array" ref="AV16">IF(AND(AV$2&lt;&gt;0,TblTech[[#This Row],[Hour]:[Hour]]&gt;=AV$2),1,0)</f>
        <v>0</v>
      </c>
      <c r="AW16" s="298" cm="1">
        <f t="array" ref="AW16">IF(AND(AW$2&lt;&gt;0,TblTech[[#This Row],[Hour]:[Hour]]&gt;=AW$2),1,0)</f>
        <v>0</v>
      </c>
      <c r="AX16" s="298" cm="1">
        <f t="array" ref="AX16">IF(AND(AX$2&lt;&gt;0,TblTech[[#This Row],[Hour]:[Hour]]&gt;=AX$2),1,0)</f>
        <v>0</v>
      </c>
      <c r="AY16" s="298" cm="1">
        <f t="array" ref="AY16">IF(AND(AY$2&lt;&gt;0,TblTech[[#This Row],[Hour]:[Hour]]&gt;=AY$2),1,0)</f>
        <v>0</v>
      </c>
      <c r="AZ16" s="298" cm="1">
        <f t="array" ref="AZ16">IF(AND(AZ$2&lt;&gt;0,TblTech[[#This Row],[Hour]:[Hour]]&gt;=AZ$2),1,0)</f>
        <v>0</v>
      </c>
      <c r="BA16" s="298" cm="1">
        <f t="array" ref="BA16">IF(AND(BA$2&lt;&gt;0,TblTech[[#This Row],[Hour]:[Hour]]&gt;=BA$2),1,0)</f>
        <v>0</v>
      </c>
      <c r="BB16" s="298" cm="1">
        <f t="array" ref="BB16">IF(AND(BB$2&lt;&gt;0,TblTech[[#This Row],[Hour]:[Hour]]&gt;=BB$2),1,0)</f>
        <v>0</v>
      </c>
      <c r="BC16" s="298" cm="1">
        <f t="array" ref="BC16">IF(AND(BC$2&lt;&gt;0,TblTech[[#This Row],[Hour]:[Hour]]&gt;=BC$2),1,0)</f>
        <v>0</v>
      </c>
      <c r="BD16" s="298" cm="1">
        <f t="array" ref="BD16">IF(AND(BD$2&lt;&gt;0,TblTech[[#This Row],[Hour]:[Hour]]&gt;=BD$2),1,0)</f>
        <v>0</v>
      </c>
      <c r="BE16" s="298" cm="1">
        <f t="array" ref="BE16">IF(AND(BE$2&lt;&gt;0,TblTech[[#This Row],[Hour]:[Hour]]&gt;=BE$2),1,0)</f>
        <v>0</v>
      </c>
      <c r="BF16" s="298" cm="1">
        <f t="array" ref="BF16">IF(AND(BF$2&lt;&gt;0,TblTech[[#This Row],[Hour]:[Hour]]&gt;=BF$2),1,0)</f>
        <v>0</v>
      </c>
      <c r="BG16" s="298" cm="1">
        <f t="array" ref="BG16">IF(AND(BG$2&lt;&gt;0,TblTech[[#This Row],[Hour]:[Hour]]&gt;=BG$2),1,0)</f>
        <v>0</v>
      </c>
      <c r="BH16" s="298" cm="1">
        <f t="array" ref="BH16">IF(AND(BH$2&lt;&gt;0,TblTech[[#This Row],[Hour]:[Hour]]&gt;=BH$2),1,0)</f>
        <v>0</v>
      </c>
      <c r="BI16" s="298" cm="1">
        <f t="array" ref="BI16">IF(AND(BI$2&lt;&gt;0,TblTech[[#This Row],[Hour]:[Hour]]&gt;=BI$2),1,0)</f>
        <v>0</v>
      </c>
      <c r="BJ16" s="298" cm="1">
        <f t="array" ref="BJ16">IF(AND(BJ$2&lt;&gt;0,TblTech[[#This Row],[Hour]:[Hour]]&gt;=BJ$2),1,0)</f>
        <v>0</v>
      </c>
      <c r="BK16" s="298" cm="1">
        <f t="array" ref="BK16">IF(AND(BK$2&lt;&gt;0,TblTech[[#This Row],[Hour]:[Hour]]&gt;=BK$2),1,0)</f>
        <v>0</v>
      </c>
      <c r="BL16" s="298" cm="1">
        <f t="array" ref="BL16">IF(AND(BL$2&lt;&gt;0,TblTech[[#This Row],[Hour]:[Hour]]&gt;=BL$2),1,0)</f>
        <v>0</v>
      </c>
      <c r="BM16" s="298" cm="1">
        <f t="array" ref="BM16">IF(AND(BM$2&lt;&gt;0,TblTech[[#This Row],[Hour]:[Hour]]&gt;=BM$2),1,0)</f>
        <v>0</v>
      </c>
      <c r="BN16" s="298" cm="1">
        <f t="array" ref="BN16">IF(AND(BN$2&lt;&gt;0,TblTech[[#This Row],[Hour]:[Hour]]&gt;=BN$2),1,0)</f>
        <v>0</v>
      </c>
      <c r="BO16" s="298" cm="1">
        <f t="array" ref="BO16">IF(AND(BO$2&lt;&gt;0,TblTech[[#This Row],[Hour]:[Hour]]&gt;=BO$2),1,0)</f>
        <v>0</v>
      </c>
      <c r="BP16" s="298" cm="1">
        <f t="array" ref="BP16">IF(AND(BP$2&lt;&gt;0,TblTech[[#This Row],[Hour]:[Hour]]&gt;=BP$2),1,0)</f>
        <v>0</v>
      </c>
      <c r="BQ16" s="298" cm="1">
        <f t="array" ref="BQ16">IF(AND(BQ$2&lt;&gt;0,TblTech[[#This Row],[Hour]:[Hour]]&gt;=BQ$2),1,0)</f>
        <v>0</v>
      </c>
      <c r="BR16" s="298" cm="1">
        <f t="array" ref="BR16">IF(AND(BR$2&lt;&gt;0,TblTech[[#This Row],[Hour]:[Hour]]&gt;=BR$2),1,0)</f>
        <v>0</v>
      </c>
      <c r="BS16" s="298" cm="1">
        <f t="array" ref="BS16">IF(AND(BS$2&lt;&gt;0,TblTech[[#This Row],[Hour]:[Hour]]&gt;=BS$2),1,0)</f>
        <v>0</v>
      </c>
      <c r="BT16" s="298" cm="1">
        <f t="array" ref="BT16">IF(AND(BT$2&lt;&gt;0,TblTech[[#This Row],[Hour]:[Hour]]&gt;=BT$2),1,0)</f>
        <v>0</v>
      </c>
      <c r="BU16" s="298" cm="1">
        <f t="array" ref="BU16">IF(AND(BU$2&lt;&gt;0,TblTech[[#This Row],[Hour]:[Hour]]&gt;=BU$2),1,0)</f>
        <v>0</v>
      </c>
      <c r="BV16" s="298" cm="1">
        <f t="array" ref="BV16">IF(AND(BV$2&lt;&gt;0,TblTech[[#This Row],[Hour]:[Hour]]&gt;=BV$2),1,0)</f>
        <v>0</v>
      </c>
      <c r="BW16" s="298" cm="1">
        <f t="array" ref="BW16">IF(AND(BW$2&lt;&gt;0,TblTech[[#This Row],[Hour]:[Hour]]&gt;=BW$2),1,0)</f>
        <v>0</v>
      </c>
      <c r="BX16" s="298" cm="1">
        <f t="array" ref="BX16">IF(AND(BX$2&lt;&gt;0,TblTech[[#This Row],[Hour]:[Hour]]&gt;=BX$2),1,0)</f>
        <v>0</v>
      </c>
      <c r="BY16" s="298" cm="1">
        <f t="array" ref="BY16">IF(AND(BY$2&lt;&gt;0,TblTech[[#This Row],[Hour]:[Hour]]&gt;=BY$2),1,0)</f>
        <v>0</v>
      </c>
      <c r="BZ16" s="298" cm="1">
        <f t="array" ref="BZ16">IF(AND(BZ$2&lt;&gt;0,TblTech[[#This Row],[Hour]:[Hour]]&gt;=BZ$2),1,0)</f>
        <v>0</v>
      </c>
      <c r="CA16" s="402">
        <f>IFERROR(INDEX($H$4:$H$79,MATCH(INDEX(TblTech[[#Headers],[1-1]:[11-1]],1,MATCH(TblTech[[#This Row],[Hour]],$M$2:$BZ$2,0)),$G$4:$G$79,0)),)</f>
        <v>0</v>
      </c>
    </row>
    <row r="17" spans="1:79" x14ac:dyDescent="0.2">
      <c r="A17" s="290">
        <f>TblRezone[[#This Row],[Hour]]</f>
        <v>14</v>
      </c>
      <c r="B17" s="291">
        <f ca="1">TblExplore[[#This Row],[Land-DB]]</f>
        <v>250</v>
      </c>
      <c r="C17" s="292">
        <f ca="1">TblProd[[#This Row],[Techpoints]]</f>
        <v>0</v>
      </c>
      <c r="D17" s="292">
        <f ca="1">TblProd[[#This Row],[Required]]</f>
        <v>3750</v>
      </c>
      <c r="E17" s="293"/>
      <c r="F17" s="294"/>
      <c r="G17" s="295" t="s">
        <v>553</v>
      </c>
      <c r="H17" s="296" t="s">
        <v>689</v>
      </c>
      <c r="I17" s="295" t="s">
        <v>746</v>
      </c>
      <c r="J17" s="291"/>
      <c r="K17" s="95">
        <f ca="1">IF(TblTech[[#This Row],[Sum of tech]]&lt;&gt;OFFSET(TblTech[[#This Row],[Sum of tech]],-1,0),1,0)</f>
        <v>0</v>
      </c>
      <c r="L17" s="297">
        <f>COUNTIF(TblTech[[#This Row],[1-1]:[11-1]],1)</f>
        <v>0</v>
      </c>
      <c r="M17" s="298" cm="1">
        <f t="array" ref="M17">IF(AND(M$2&lt;&gt;0,TblTech[[#This Row],[Hour]:[Hour]]&gt;=M$2),1,0)</f>
        <v>0</v>
      </c>
      <c r="N17" s="298" cm="1">
        <f t="array" ref="N17">IF(AND(N$2&lt;&gt;0,TblTech[[#This Row],[Hour]:[Hour]]&gt;=N$2),1,0)</f>
        <v>0</v>
      </c>
      <c r="O17" s="298" cm="1">
        <f t="array" ref="O17">IF(AND(O$2&lt;&gt;0,TblTech[[#This Row],[Hour]:[Hour]]&gt;=O$2),1,0)</f>
        <v>0</v>
      </c>
      <c r="P17" s="298" cm="1">
        <f t="array" ref="P17">IF(AND(P$2&lt;&gt;0,TblTech[[#This Row],[Hour]:[Hour]]&gt;=P$2),1,0)</f>
        <v>0</v>
      </c>
      <c r="Q17" s="298" cm="1">
        <f t="array" ref="Q17">IF(AND(Q$2&lt;&gt;0,TblTech[[#This Row],[Hour]:[Hour]]&gt;=Q$2),1,0)</f>
        <v>0</v>
      </c>
      <c r="R17" s="298" cm="1">
        <f t="array" ref="R17">IF(AND(R$2&lt;&gt;0,TblTech[[#This Row],[Hour]:[Hour]]&gt;=R$2),1,0)</f>
        <v>0</v>
      </c>
      <c r="S17" s="298" cm="1">
        <f t="array" ref="S17">IF(AND(S$2&lt;&gt;0,TblTech[[#This Row],[Hour]:[Hour]]&gt;=S$2),1,0)</f>
        <v>0</v>
      </c>
      <c r="T17" s="298" cm="1">
        <f t="array" ref="T17">IF(AND(T$2&lt;&gt;0,TblTech[[#This Row],[Hour]:[Hour]]&gt;=T$2),1,0)</f>
        <v>0</v>
      </c>
      <c r="U17" s="298" cm="1">
        <f t="array" ref="U17">IF(AND(U$2&lt;&gt;0,TblTech[[#This Row],[Hour]:[Hour]]&gt;=U$2),1,0)</f>
        <v>0</v>
      </c>
      <c r="V17" s="298" cm="1">
        <f t="array" ref="V17">IF(AND(V$2&lt;&gt;0,TblTech[[#This Row],[Hour]:[Hour]]&gt;=V$2),1,0)</f>
        <v>0</v>
      </c>
      <c r="W17" s="298" cm="1">
        <f t="array" ref="W17">IF(AND(W$2&lt;&gt;0,TblTech[[#This Row],[Hour]:[Hour]]&gt;=W$2),1,0)</f>
        <v>0</v>
      </c>
      <c r="X17" s="298" cm="1">
        <f t="array" ref="X17">IF(AND(X$2&lt;&gt;0,TblTech[[#This Row],[Hour]:[Hour]]&gt;=X$2),1,0)</f>
        <v>0</v>
      </c>
      <c r="Y17" s="298" cm="1">
        <f t="array" ref="Y17">IF(AND(Y$2&lt;&gt;0,TblTech[[#This Row],[Hour]:[Hour]]&gt;=Y$2),1,0)</f>
        <v>0</v>
      </c>
      <c r="Z17" s="298" cm="1">
        <f t="array" ref="Z17">IF(AND(Z$2&lt;&gt;0,TblTech[[#This Row],[Hour]:[Hour]]&gt;=Z$2),1,0)</f>
        <v>0</v>
      </c>
      <c r="AA17" s="298" cm="1">
        <f t="array" ref="AA17">IF(AND(AA$2&lt;&gt;0,TblTech[[#This Row],[Hour]:[Hour]]&gt;=AA$2),1,0)</f>
        <v>0</v>
      </c>
      <c r="AB17" s="298" cm="1">
        <f t="array" ref="AB17">IF(AND(AB$2&lt;&gt;0,TblTech[[#This Row],[Hour]:[Hour]]&gt;=AB$2),1,0)</f>
        <v>0</v>
      </c>
      <c r="AC17" s="298" cm="1">
        <f t="array" ref="AC17">IF(AND(AC$2&lt;&gt;0,TblTech[[#This Row],[Hour]:[Hour]]&gt;=AC$2),1,0)</f>
        <v>0</v>
      </c>
      <c r="AD17" s="298" cm="1">
        <f t="array" ref="AD17">IF(AND(AD$2&lt;&gt;0,TblTech[[#This Row],[Hour]:[Hour]]&gt;=AD$2),1,0)</f>
        <v>0</v>
      </c>
      <c r="AE17" s="298" cm="1">
        <f t="array" ref="AE17">IF(AND(AE$2&lt;&gt;0,TblTech[[#This Row],[Hour]:[Hour]]&gt;=AE$2),1,0)</f>
        <v>0</v>
      </c>
      <c r="AF17" s="298" cm="1">
        <f t="array" ref="AF17">IF(AND(AF$2&lt;&gt;0,TblTech[[#This Row],[Hour]:[Hour]]&gt;=AF$2),1,0)</f>
        <v>0</v>
      </c>
      <c r="AG17" s="298" cm="1">
        <f t="array" ref="AG17">IF(AND(AG$2&lt;&gt;0,TblTech[[#This Row],[Hour]:[Hour]]&gt;=AG$2),1,0)</f>
        <v>0</v>
      </c>
      <c r="AH17" s="298" cm="1">
        <f t="array" ref="AH17">IF(AND(AH$2&lt;&gt;0,TblTech[[#This Row],[Hour]:[Hour]]&gt;=AH$2),1,0)</f>
        <v>0</v>
      </c>
      <c r="AI17" s="298" cm="1">
        <f t="array" ref="AI17">IF(AND(AI$2&lt;&gt;0,TblTech[[#This Row],[Hour]:[Hour]]&gt;=AI$2),1,0)</f>
        <v>0</v>
      </c>
      <c r="AJ17" s="298" cm="1">
        <f t="array" ref="AJ17">IF(AND(AJ$2&lt;&gt;0,TblTech[[#This Row],[Hour]:[Hour]]&gt;=AJ$2),1,0)</f>
        <v>0</v>
      </c>
      <c r="AK17" s="298" cm="1">
        <f t="array" ref="AK17">IF(AND(AK$2&lt;&gt;0,TblTech[[#This Row],[Hour]:[Hour]]&gt;=AK$2),1,0)</f>
        <v>0</v>
      </c>
      <c r="AL17" s="298" cm="1">
        <f t="array" ref="AL17">IF(AND(AL$2&lt;&gt;0,TblTech[[#This Row],[Hour]:[Hour]]&gt;=AL$2),1,0)</f>
        <v>0</v>
      </c>
      <c r="AM17" s="298" cm="1">
        <f t="array" ref="AM17">IF(AND(AM$2&lt;&gt;0,TblTech[[#This Row],[Hour]:[Hour]]&gt;=AM$2),1,0)</f>
        <v>0</v>
      </c>
      <c r="AN17" s="298" cm="1">
        <f t="array" ref="AN17">IF(AND(AN$2&lt;&gt;0,TblTech[[#This Row],[Hour]:[Hour]]&gt;=AN$2),1,0)</f>
        <v>0</v>
      </c>
      <c r="AO17" s="298" cm="1">
        <f t="array" ref="AO17">IF(AND(AO$2&lt;&gt;0,TblTech[[#This Row],[Hour]:[Hour]]&gt;=AO$2),1,0)</f>
        <v>0</v>
      </c>
      <c r="AP17" s="298" cm="1">
        <f t="array" ref="AP17">IF(AND(AP$2&lt;&gt;0,TblTech[[#This Row],[Hour]:[Hour]]&gt;=AP$2),1,0)</f>
        <v>0</v>
      </c>
      <c r="AQ17" s="298" cm="1">
        <f t="array" ref="AQ17">IF(AND(AQ$2&lt;&gt;0,TblTech[[#This Row],[Hour]:[Hour]]&gt;=AQ$2),1,0)</f>
        <v>0</v>
      </c>
      <c r="AR17" s="298" cm="1">
        <f t="array" ref="AR17">IF(AND(AR$2&lt;&gt;0,TblTech[[#This Row],[Hour]:[Hour]]&gt;=AR$2),1,0)</f>
        <v>0</v>
      </c>
      <c r="AS17" s="298" cm="1">
        <f t="array" ref="AS17">IF(AND(AS$2&lt;&gt;0,TblTech[[#This Row],[Hour]:[Hour]]&gt;=AS$2),1,0)</f>
        <v>0</v>
      </c>
      <c r="AT17" s="298" cm="1">
        <f t="array" ref="AT17">IF(AND(AT$2&lt;&gt;0,TblTech[[#This Row],[Hour]:[Hour]]&gt;=AT$2),1,0)</f>
        <v>0</v>
      </c>
      <c r="AU17" s="298" cm="1">
        <f t="array" ref="AU17">IF(AND(AU$2&lt;&gt;0,TblTech[[#This Row],[Hour]:[Hour]]&gt;=AU$2),1,0)</f>
        <v>0</v>
      </c>
      <c r="AV17" s="298" cm="1">
        <f t="array" ref="AV17">IF(AND(AV$2&lt;&gt;0,TblTech[[#This Row],[Hour]:[Hour]]&gt;=AV$2),1,0)</f>
        <v>0</v>
      </c>
      <c r="AW17" s="298" cm="1">
        <f t="array" ref="AW17">IF(AND(AW$2&lt;&gt;0,TblTech[[#This Row],[Hour]:[Hour]]&gt;=AW$2),1,0)</f>
        <v>0</v>
      </c>
      <c r="AX17" s="298" cm="1">
        <f t="array" ref="AX17">IF(AND(AX$2&lt;&gt;0,TblTech[[#This Row],[Hour]:[Hour]]&gt;=AX$2),1,0)</f>
        <v>0</v>
      </c>
      <c r="AY17" s="298" cm="1">
        <f t="array" ref="AY17">IF(AND(AY$2&lt;&gt;0,TblTech[[#This Row],[Hour]:[Hour]]&gt;=AY$2),1,0)</f>
        <v>0</v>
      </c>
      <c r="AZ17" s="298" cm="1">
        <f t="array" ref="AZ17">IF(AND(AZ$2&lt;&gt;0,TblTech[[#This Row],[Hour]:[Hour]]&gt;=AZ$2),1,0)</f>
        <v>0</v>
      </c>
      <c r="BA17" s="298" cm="1">
        <f t="array" ref="BA17">IF(AND(BA$2&lt;&gt;0,TblTech[[#This Row],[Hour]:[Hour]]&gt;=BA$2),1,0)</f>
        <v>0</v>
      </c>
      <c r="BB17" s="298" cm="1">
        <f t="array" ref="BB17">IF(AND(BB$2&lt;&gt;0,TblTech[[#This Row],[Hour]:[Hour]]&gt;=BB$2),1,0)</f>
        <v>0</v>
      </c>
      <c r="BC17" s="298" cm="1">
        <f t="array" ref="BC17">IF(AND(BC$2&lt;&gt;0,TblTech[[#This Row],[Hour]:[Hour]]&gt;=BC$2),1,0)</f>
        <v>0</v>
      </c>
      <c r="BD17" s="298" cm="1">
        <f t="array" ref="BD17">IF(AND(BD$2&lt;&gt;0,TblTech[[#This Row],[Hour]:[Hour]]&gt;=BD$2),1,0)</f>
        <v>0</v>
      </c>
      <c r="BE17" s="298" cm="1">
        <f t="array" ref="BE17">IF(AND(BE$2&lt;&gt;0,TblTech[[#This Row],[Hour]:[Hour]]&gt;=BE$2),1,0)</f>
        <v>0</v>
      </c>
      <c r="BF17" s="298" cm="1">
        <f t="array" ref="BF17">IF(AND(BF$2&lt;&gt;0,TblTech[[#This Row],[Hour]:[Hour]]&gt;=BF$2),1,0)</f>
        <v>0</v>
      </c>
      <c r="BG17" s="298" cm="1">
        <f t="array" ref="BG17">IF(AND(BG$2&lt;&gt;0,TblTech[[#This Row],[Hour]:[Hour]]&gt;=BG$2),1,0)</f>
        <v>0</v>
      </c>
      <c r="BH17" s="298" cm="1">
        <f t="array" ref="BH17">IF(AND(BH$2&lt;&gt;0,TblTech[[#This Row],[Hour]:[Hour]]&gt;=BH$2),1,0)</f>
        <v>0</v>
      </c>
      <c r="BI17" s="298" cm="1">
        <f t="array" ref="BI17">IF(AND(BI$2&lt;&gt;0,TblTech[[#This Row],[Hour]:[Hour]]&gt;=BI$2),1,0)</f>
        <v>0</v>
      </c>
      <c r="BJ17" s="298" cm="1">
        <f t="array" ref="BJ17">IF(AND(BJ$2&lt;&gt;0,TblTech[[#This Row],[Hour]:[Hour]]&gt;=BJ$2),1,0)</f>
        <v>0</v>
      </c>
      <c r="BK17" s="298" cm="1">
        <f t="array" ref="BK17">IF(AND(BK$2&lt;&gt;0,TblTech[[#This Row],[Hour]:[Hour]]&gt;=BK$2),1,0)</f>
        <v>0</v>
      </c>
      <c r="BL17" s="298" cm="1">
        <f t="array" ref="BL17">IF(AND(BL$2&lt;&gt;0,TblTech[[#This Row],[Hour]:[Hour]]&gt;=BL$2),1,0)</f>
        <v>0</v>
      </c>
      <c r="BM17" s="298" cm="1">
        <f t="array" ref="BM17">IF(AND(BM$2&lt;&gt;0,TblTech[[#This Row],[Hour]:[Hour]]&gt;=BM$2),1,0)</f>
        <v>0</v>
      </c>
      <c r="BN17" s="298" cm="1">
        <f t="array" ref="BN17">IF(AND(BN$2&lt;&gt;0,TblTech[[#This Row],[Hour]:[Hour]]&gt;=BN$2),1,0)</f>
        <v>0</v>
      </c>
      <c r="BO17" s="298" cm="1">
        <f t="array" ref="BO17">IF(AND(BO$2&lt;&gt;0,TblTech[[#This Row],[Hour]:[Hour]]&gt;=BO$2),1,0)</f>
        <v>0</v>
      </c>
      <c r="BP17" s="298" cm="1">
        <f t="array" ref="BP17">IF(AND(BP$2&lt;&gt;0,TblTech[[#This Row],[Hour]:[Hour]]&gt;=BP$2),1,0)</f>
        <v>0</v>
      </c>
      <c r="BQ17" s="298" cm="1">
        <f t="array" ref="BQ17">IF(AND(BQ$2&lt;&gt;0,TblTech[[#This Row],[Hour]:[Hour]]&gt;=BQ$2),1,0)</f>
        <v>0</v>
      </c>
      <c r="BR17" s="298" cm="1">
        <f t="array" ref="BR17">IF(AND(BR$2&lt;&gt;0,TblTech[[#This Row],[Hour]:[Hour]]&gt;=BR$2),1,0)</f>
        <v>0</v>
      </c>
      <c r="BS17" s="298" cm="1">
        <f t="array" ref="BS17">IF(AND(BS$2&lt;&gt;0,TblTech[[#This Row],[Hour]:[Hour]]&gt;=BS$2),1,0)</f>
        <v>0</v>
      </c>
      <c r="BT17" s="298" cm="1">
        <f t="array" ref="BT17">IF(AND(BT$2&lt;&gt;0,TblTech[[#This Row],[Hour]:[Hour]]&gt;=BT$2),1,0)</f>
        <v>0</v>
      </c>
      <c r="BU17" s="298" cm="1">
        <f t="array" ref="BU17">IF(AND(BU$2&lt;&gt;0,TblTech[[#This Row],[Hour]:[Hour]]&gt;=BU$2),1,0)</f>
        <v>0</v>
      </c>
      <c r="BV17" s="298" cm="1">
        <f t="array" ref="BV17">IF(AND(BV$2&lt;&gt;0,TblTech[[#This Row],[Hour]:[Hour]]&gt;=BV$2),1,0)</f>
        <v>0</v>
      </c>
      <c r="BW17" s="298" cm="1">
        <f t="array" ref="BW17">IF(AND(BW$2&lt;&gt;0,TblTech[[#This Row],[Hour]:[Hour]]&gt;=BW$2),1,0)</f>
        <v>0</v>
      </c>
      <c r="BX17" s="298" cm="1">
        <f t="array" ref="BX17">IF(AND(BX$2&lt;&gt;0,TblTech[[#This Row],[Hour]:[Hour]]&gt;=BX$2),1,0)</f>
        <v>0</v>
      </c>
      <c r="BY17" s="298" cm="1">
        <f t="array" ref="BY17">IF(AND(BY$2&lt;&gt;0,TblTech[[#This Row],[Hour]:[Hour]]&gt;=BY$2),1,0)</f>
        <v>0</v>
      </c>
      <c r="BZ17" s="298" cm="1">
        <f t="array" ref="BZ17">IF(AND(BZ$2&lt;&gt;0,TblTech[[#This Row],[Hour]:[Hour]]&gt;=BZ$2),1,0)</f>
        <v>0</v>
      </c>
      <c r="CA17" s="402">
        <f>IFERROR(INDEX($H$4:$H$79,MATCH(INDEX(TblTech[[#Headers],[1-1]:[11-1]],1,MATCH(TblTech[[#This Row],[Hour]],$M$2:$BZ$2,0)),$G$4:$G$79,0)),)</f>
        <v>0</v>
      </c>
    </row>
    <row r="18" spans="1:79" x14ac:dyDescent="0.2">
      <c r="A18" s="290">
        <f>TblRezone[[#This Row],[Hour]]</f>
        <v>15</v>
      </c>
      <c r="B18" s="291">
        <f ca="1">TblExplore[[#This Row],[Land-DB]]</f>
        <v>250</v>
      </c>
      <c r="C18" s="292">
        <f ca="1">TblProd[[#This Row],[Techpoints]]</f>
        <v>0</v>
      </c>
      <c r="D18" s="292">
        <f ca="1">TblProd[[#This Row],[Required]]</f>
        <v>3750</v>
      </c>
      <c r="E18" s="293"/>
      <c r="F18" s="294"/>
      <c r="G18" s="295" t="s">
        <v>554</v>
      </c>
      <c r="H18" s="296" t="s">
        <v>690</v>
      </c>
      <c r="I18" s="295" t="s">
        <v>1090</v>
      </c>
      <c r="J18" s="291"/>
      <c r="K18" s="95">
        <f ca="1">IF(TblTech[[#This Row],[Sum of tech]]&lt;&gt;OFFSET(TblTech[[#This Row],[Sum of tech]],-1,0),1,0)</f>
        <v>0</v>
      </c>
      <c r="L18" s="297">
        <f>COUNTIF(TblTech[[#This Row],[1-1]:[11-1]],1)</f>
        <v>0</v>
      </c>
      <c r="M18" s="298" cm="1">
        <f t="array" ref="M18">IF(AND(M$2&lt;&gt;0,TblTech[[#This Row],[Hour]:[Hour]]&gt;=M$2),1,0)</f>
        <v>0</v>
      </c>
      <c r="N18" s="298" cm="1">
        <f t="array" ref="N18">IF(AND(N$2&lt;&gt;0,TblTech[[#This Row],[Hour]:[Hour]]&gt;=N$2),1,0)</f>
        <v>0</v>
      </c>
      <c r="O18" s="298" cm="1">
        <f t="array" ref="O18">IF(AND(O$2&lt;&gt;0,TblTech[[#This Row],[Hour]:[Hour]]&gt;=O$2),1,0)</f>
        <v>0</v>
      </c>
      <c r="P18" s="298" cm="1">
        <f t="array" ref="P18">IF(AND(P$2&lt;&gt;0,TblTech[[#This Row],[Hour]:[Hour]]&gt;=P$2),1,0)</f>
        <v>0</v>
      </c>
      <c r="Q18" s="298" cm="1">
        <f t="array" ref="Q18">IF(AND(Q$2&lt;&gt;0,TblTech[[#This Row],[Hour]:[Hour]]&gt;=Q$2),1,0)</f>
        <v>0</v>
      </c>
      <c r="R18" s="298" cm="1">
        <f t="array" ref="R18">IF(AND(R$2&lt;&gt;0,TblTech[[#This Row],[Hour]:[Hour]]&gt;=R$2),1,0)</f>
        <v>0</v>
      </c>
      <c r="S18" s="298" cm="1">
        <f t="array" ref="S18">IF(AND(S$2&lt;&gt;0,TblTech[[#This Row],[Hour]:[Hour]]&gt;=S$2),1,0)</f>
        <v>0</v>
      </c>
      <c r="T18" s="298" cm="1">
        <f t="array" ref="T18">IF(AND(T$2&lt;&gt;0,TblTech[[#This Row],[Hour]:[Hour]]&gt;=T$2),1,0)</f>
        <v>0</v>
      </c>
      <c r="U18" s="298" cm="1">
        <f t="array" ref="U18">IF(AND(U$2&lt;&gt;0,TblTech[[#This Row],[Hour]:[Hour]]&gt;=U$2),1,0)</f>
        <v>0</v>
      </c>
      <c r="V18" s="298" cm="1">
        <f t="array" ref="V18">IF(AND(V$2&lt;&gt;0,TblTech[[#This Row],[Hour]:[Hour]]&gt;=V$2),1,0)</f>
        <v>0</v>
      </c>
      <c r="W18" s="298" cm="1">
        <f t="array" ref="W18">IF(AND(W$2&lt;&gt;0,TblTech[[#This Row],[Hour]:[Hour]]&gt;=W$2),1,0)</f>
        <v>0</v>
      </c>
      <c r="X18" s="298" cm="1">
        <f t="array" ref="X18">IF(AND(X$2&lt;&gt;0,TblTech[[#This Row],[Hour]:[Hour]]&gt;=X$2),1,0)</f>
        <v>0</v>
      </c>
      <c r="Y18" s="298" cm="1">
        <f t="array" ref="Y18">IF(AND(Y$2&lt;&gt;0,TblTech[[#This Row],[Hour]:[Hour]]&gt;=Y$2),1,0)</f>
        <v>0</v>
      </c>
      <c r="Z18" s="298" cm="1">
        <f t="array" ref="Z18">IF(AND(Z$2&lt;&gt;0,TblTech[[#This Row],[Hour]:[Hour]]&gt;=Z$2),1,0)</f>
        <v>0</v>
      </c>
      <c r="AA18" s="298" cm="1">
        <f t="array" ref="AA18">IF(AND(AA$2&lt;&gt;0,TblTech[[#This Row],[Hour]:[Hour]]&gt;=AA$2),1,0)</f>
        <v>0</v>
      </c>
      <c r="AB18" s="298" cm="1">
        <f t="array" ref="AB18">IF(AND(AB$2&lt;&gt;0,TblTech[[#This Row],[Hour]:[Hour]]&gt;=AB$2),1,0)</f>
        <v>0</v>
      </c>
      <c r="AC18" s="298" cm="1">
        <f t="array" ref="AC18">IF(AND(AC$2&lt;&gt;0,TblTech[[#This Row],[Hour]:[Hour]]&gt;=AC$2),1,0)</f>
        <v>0</v>
      </c>
      <c r="AD18" s="298" cm="1">
        <f t="array" ref="AD18">IF(AND(AD$2&lt;&gt;0,TblTech[[#This Row],[Hour]:[Hour]]&gt;=AD$2),1,0)</f>
        <v>0</v>
      </c>
      <c r="AE18" s="298" cm="1">
        <f t="array" ref="AE18">IF(AND(AE$2&lt;&gt;0,TblTech[[#This Row],[Hour]:[Hour]]&gt;=AE$2),1,0)</f>
        <v>0</v>
      </c>
      <c r="AF18" s="298" cm="1">
        <f t="array" ref="AF18">IF(AND(AF$2&lt;&gt;0,TblTech[[#This Row],[Hour]:[Hour]]&gt;=AF$2),1,0)</f>
        <v>0</v>
      </c>
      <c r="AG18" s="298" cm="1">
        <f t="array" ref="AG18">IF(AND(AG$2&lt;&gt;0,TblTech[[#This Row],[Hour]:[Hour]]&gt;=AG$2),1,0)</f>
        <v>0</v>
      </c>
      <c r="AH18" s="298" cm="1">
        <f t="array" ref="AH18">IF(AND(AH$2&lt;&gt;0,TblTech[[#This Row],[Hour]:[Hour]]&gt;=AH$2),1,0)</f>
        <v>0</v>
      </c>
      <c r="AI18" s="298" cm="1">
        <f t="array" ref="AI18">IF(AND(AI$2&lt;&gt;0,TblTech[[#This Row],[Hour]:[Hour]]&gt;=AI$2),1,0)</f>
        <v>0</v>
      </c>
      <c r="AJ18" s="298" cm="1">
        <f t="array" ref="AJ18">IF(AND(AJ$2&lt;&gt;0,TblTech[[#This Row],[Hour]:[Hour]]&gt;=AJ$2),1,0)</f>
        <v>0</v>
      </c>
      <c r="AK18" s="298" cm="1">
        <f t="array" ref="AK18">IF(AND(AK$2&lt;&gt;0,TblTech[[#This Row],[Hour]:[Hour]]&gt;=AK$2),1,0)</f>
        <v>0</v>
      </c>
      <c r="AL18" s="298" cm="1">
        <f t="array" ref="AL18">IF(AND(AL$2&lt;&gt;0,TblTech[[#This Row],[Hour]:[Hour]]&gt;=AL$2),1,0)</f>
        <v>0</v>
      </c>
      <c r="AM18" s="298" cm="1">
        <f t="array" ref="AM18">IF(AND(AM$2&lt;&gt;0,TblTech[[#This Row],[Hour]:[Hour]]&gt;=AM$2),1,0)</f>
        <v>0</v>
      </c>
      <c r="AN18" s="298" cm="1">
        <f t="array" ref="AN18">IF(AND(AN$2&lt;&gt;0,TblTech[[#This Row],[Hour]:[Hour]]&gt;=AN$2),1,0)</f>
        <v>0</v>
      </c>
      <c r="AO18" s="298" cm="1">
        <f t="array" ref="AO18">IF(AND(AO$2&lt;&gt;0,TblTech[[#This Row],[Hour]:[Hour]]&gt;=AO$2),1,0)</f>
        <v>0</v>
      </c>
      <c r="AP18" s="298" cm="1">
        <f t="array" ref="AP18">IF(AND(AP$2&lt;&gt;0,TblTech[[#This Row],[Hour]:[Hour]]&gt;=AP$2),1,0)</f>
        <v>0</v>
      </c>
      <c r="AQ18" s="298" cm="1">
        <f t="array" ref="AQ18">IF(AND(AQ$2&lt;&gt;0,TblTech[[#This Row],[Hour]:[Hour]]&gt;=AQ$2),1,0)</f>
        <v>0</v>
      </c>
      <c r="AR18" s="298" cm="1">
        <f t="array" ref="AR18">IF(AND(AR$2&lt;&gt;0,TblTech[[#This Row],[Hour]:[Hour]]&gt;=AR$2),1,0)</f>
        <v>0</v>
      </c>
      <c r="AS18" s="298" cm="1">
        <f t="array" ref="AS18">IF(AND(AS$2&lt;&gt;0,TblTech[[#This Row],[Hour]:[Hour]]&gt;=AS$2),1,0)</f>
        <v>0</v>
      </c>
      <c r="AT18" s="298" cm="1">
        <f t="array" ref="AT18">IF(AND(AT$2&lt;&gt;0,TblTech[[#This Row],[Hour]:[Hour]]&gt;=AT$2),1,0)</f>
        <v>0</v>
      </c>
      <c r="AU18" s="298" cm="1">
        <f t="array" ref="AU18">IF(AND(AU$2&lt;&gt;0,TblTech[[#This Row],[Hour]:[Hour]]&gt;=AU$2),1,0)</f>
        <v>0</v>
      </c>
      <c r="AV18" s="298" cm="1">
        <f t="array" ref="AV18">IF(AND(AV$2&lt;&gt;0,TblTech[[#This Row],[Hour]:[Hour]]&gt;=AV$2),1,0)</f>
        <v>0</v>
      </c>
      <c r="AW18" s="298" cm="1">
        <f t="array" ref="AW18">IF(AND(AW$2&lt;&gt;0,TblTech[[#This Row],[Hour]:[Hour]]&gt;=AW$2),1,0)</f>
        <v>0</v>
      </c>
      <c r="AX18" s="298" cm="1">
        <f t="array" ref="AX18">IF(AND(AX$2&lt;&gt;0,TblTech[[#This Row],[Hour]:[Hour]]&gt;=AX$2),1,0)</f>
        <v>0</v>
      </c>
      <c r="AY18" s="298" cm="1">
        <f t="array" ref="AY18">IF(AND(AY$2&lt;&gt;0,TblTech[[#This Row],[Hour]:[Hour]]&gt;=AY$2),1,0)</f>
        <v>0</v>
      </c>
      <c r="AZ18" s="298" cm="1">
        <f t="array" ref="AZ18">IF(AND(AZ$2&lt;&gt;0,TblTech[[#This Row],[Hour]:[Hour]]&gt;=AZ$2),1,0)</f>
        <v>0</v>
      </c>
      <c r="BA18" s="298" cm="1">
        <f t="array" ref="BA18">IF(AND(BA$2&lt;&gt;0,TblTech[[#This Row],[Hour]:[Hour]]&gt;=BA$2),1,0)</f>
        <v>0</v>
      </c>
      <c r="BB18" s="298" cm="1">
        <f t="array" ref="BB18">IF(AND(BB$2&lt;&gt;0,TblTech[[#This Row],[Hour]:[Hour]]&gt;=BB$2),1,0)</f>
        <v>0</v>
      </c>
      <c r="BC18" s="298" cm="1">
        <f t="array" ref="BC18">IF(AND(BC$2&lt;&gt;0,TblTech[[#This Row],[Hour]:[Hour]]&gt;=BC$2),1,0)</f>
        <v>0</v>
      </c>
      <c r="BD18" s="298" cm="1">
        <f t="array" ref="BD18">IF(AND(BD$2&lt;&gt;0,TblTech[[#This Row],[Hour]:[Hour]]&gt;=BD$2),1,0)</f>
        <v>0</v>
      </c>
      <c r="BE18" s="298" cm="1">
        <f t="array" ref="BE18">IF(AND(BE$2&lt;&gt;0,TblTech[[#This Row],[Hour]:[Hour]]&gt;=BE$2),1,0)</f>
        <v>0</v>
      </c>
      <c r="BF18" s="298" cm="1">
        <f t="array" ref="BF18">IF(AND(BF$2&lt;&gt;0,TblTech[[#This Row],[Hour]:[Hour]]&gt;=BF$2),1,0)</f>
        <v>0</v>
      </c>
      <c r="BG18" s="298" cm="1">
        <f t="array" ref="BG18">IF(AND(BG$2&lt;&gt;0,TblTech[[#This Row],[Hour]:[Hour]]&gt;=BG$2),1,0)</f>
        <v>0</v>
      </c>
      <c r="BH18" s="298" cm="1">
        <f t="array" ref="BH18">IF(AND(BH$2&lt;&gt;0,TblTech[[#This Row],[Hour]:[Hour]]&gt;=BH$2),1,0)</f>
        <v>0</v>
      </c>
      <c r="BI18" s="298" cm="1">
        <f t="array" ref="BI18">IF(AND(BI$2&lt;&gt;0,TblTech[[#This Row],[Hour]:[Hour]]&gt;=BI$2),1,0)</f>
        <v>0</v>
      </c>
      <c r="BJ18" s="298" cm="1">
        <f t="array" ref="BJ18">IF(AND(BJ$2&lt;&gt;0,TblTech[[#This Row],[Hour]:[Hour]]&gt;=BJ$2),1,0)</f>
        <v>0</v>
      </c>
      <c r="BK18" s="298" cm="1">
        <f t="array" ref="BK18">IF(AND(BK$2&lt;&gt;0,TblTech[[#This Row],[Hour]:[Hour]]&gt;=BK$2),1,0)</f>
        <v>0</v>
      </c>
      <c r="BL18" s="298" cm="1">
        <f t="array" ref="BL18">IF(AND(BL$2&lt;&gt;0,TblTech[[#This Row],[Hour]:[Hour]]&gt;=BL$2),1,0)</f>
        <v>0</v>
      </c>
      <c r="BM18" s="298" cm="1">
        <f t="array" ref="BM18">IF(AND(BM$2&lt;&gt;0,TblTech[[#This Row],[Hour]:[Hour]]&gt;=BM$2),1,0)</f>
        <v>0</v>
      </c>
      <c r="BN18" s="298" cm="1">
        <f t="array" ref="BN18">IF(AND(BN$2&lt;&gt;0,TblTech[[#This Row],[Hour]:[Hour]]&gt;=BN$2),1,0)</f>
        <v>0</v>
      </c>
      <c r="BO18" s="298" cm="1">
        <f t="array" ref="BO18">IF(AND(BO$2&lt;&gt;0,TblTech[[#This Row],[Hour]:[Hour]]&gt;=BO$2),1,0)</f>
        <v>0</v>
      </c>
      <c r="BP18" s="298" cm="1">
        <f t="array" ref="BP18">IF(AND(BP$2&lt;&gt;0,TblTech[[#This Row],[Hour]:[Hour]]&gt;=BP$2),1,0)</f>
        <v>0</v>
      </c>
      <c r="BQ18" s="298" cm="1">
        <f t="array" ref="BQ18">IF(AND(BQ$2&lt;&gt;0,TblTech[[#This Row],[Hour]:[Hour]]&gt;=BQ$2),1,0)</f>
        <v>0</v>
      </c>
      <c r="BR18" s="298" cm="1">
        <f t="array" ref="BR18">IF(AND(BR$2&lt;&gt;0,TblTech[[#This Row],[Hour]:[Hour]]&gt;=BR$2),1,0)</f>
        <v>0</v>
      </c>
      <c r="BS18" s="298" cm="1">
        <f t="array" ref="BS18">IF(AND(BS$2&lt;&gt;0,TblTech[[#This Row],[Hour]:[Hour]]&gt;=BS$2),1,0)</f>
        <v>0</v>
      </c>
      <c r="BT18" s="298" cm="1">
        <f t="array" ref="BT18">IF(AND(BT$2&lt;&gt;0,TblTech[[#This Row],[Hour]:[Hour]]&gt;=BT$2),1,0)</f>
        <v>0</v>
      </c>
      <c r="BU18" s="298" cm="1">
        <f t="array" ref="BU18">IF(AND(BU$2&lt;&gt;0,TblTech[[#This Row],[Hour]:[Hour]]&gt;=BU$2),1,0)</f>
        <v>0</v>
      </c>
      <c r="BV18" s="298" cm="1">
        <f t="array" ref="BV18">IF(AND(BV$2&lt;&gt;0,TblTech[[#This Row],[Hour]:[Hour]]&gt;=BV$2),1,0)</f>
        <v>0</v>
      </c>
      <c r="BW18" s="298" cm="1">
        <f t="array" ref="BW18">IF(AND(BW$2&lt;&gt;0,TblTech[[#This Row],[Hour]:[Hour]]&gt;=BW$2),1,0)</f>
        <v>0</v>
      </c>
      <c r="BX18" s="298" cm="1">
        <f t="array" ref="BX18">IF(AND(BX$2&lt;&gt;0,TblTech[[#This Row],[Hour]:[Hour]]&gt;=BX$2),1,0)</f>
        <v>0</v>
      </c>
      <c r="BY18" s="298" cm="1">
        <f t="array" ref="BY18">IF(AND(BY$2&lt;&gt;0,TblTech[[#This Row],[Hour]:[Hour]]&gt;=BY$2),1,0)</f>
        <v>0</v>
      </c>
      <c r="BZ18" s="298" cm="1">
        <f t="array" ref="BZ18">IF(AND(BZ$2&lt;&gt;0,TblTech[[#This Row],[Hour]:[Hour]]&gt;=BZ$2),1,0)</f>
        <v>0</v>
      </c>
      <c r="CA18" s="402">
        <f>IFERROR(INDEX($H$4:$H$79,MATCH(INDEX(TblTech[[#Headers],[1-1]:[11-1]],1,MATCH(TblTech[[#This Row],[Hour]],$M$2:$BZ$2,0)),$G$4:$G$79,0)),)</f>
        <v>0</v>
      </c>
    </row>
    <row r="19" spans="1:79" x14ac:dyDescent="0.2">
      <c r="A19" s="290">
        <f>TblRezone[[#This Row],[Hour]]</f>
        <v>16</v>
      </c>
      <c r="B19" s="291">
        <f ca="1">TblExplore[[#This Row],[Land-DB]]</f>
        <v>250</v>
      </c>
      <c r="C19" s="292">
        <f ca="1">TblProd[[#This Row],[Techpoints]]</f>
        <v>0</v>
      </c>
      <c r="D19" s="292">
        <f ca="1">TblProd[[#This Row],[Required]]</f>
        <v>3750</v>
      </c>
      <c r="E19" s="293"/>
      <c r="F19" s="294"/>
      <c r="G19" s="295" t="s">
        <v>556</v>
      </c>
      <c r="H19" s="296" t="s">
        <v>691</v>
      </c>
      <c r="I19" s="295" t="s">
        <v>1096</v>
      </c>
      <c r="J19" s="291"/>
      <c r="K19" s="95">
        <f ca="1">IF(TblTech[[#This Row],[Sum of tech]]&lt;&gt;OFFSET(TblTech[[#This Row],[Sum of tech]],-1,0),1,0)</f>
        <v>0</v>
      </c>
      <c r="L19" s="297">
        <f>COUNTIF(TblTech[[#This Row],[1-1]:[11-1]],1)</f>
        <v>0</v>
      </c>
      <c r="M19" s="298" cm="1">
        <f t="array" ref="M19">IF(AND(M$2&lt;&gt;0,TblTech[[#This Row],[Hour]:[Hour]]&gt;=M$2),1,0)</f>
        <v>0</v>
      </c>
      <c r="N19" s="298" cm="1">
        <f t="array" ref="N19">IF(AND(N$2&lt;&gt;0,TblTech[[#This Row],[Hour]:[Hour]]&gt;=N$2),1,0)</f>
        <v>0</v>
      </c>
      <c r="O19" s="298" cm="1">
        <f t="array" ref="O19">IF(AND(O$2&lt;&gt;0,TblTech[[#This Row],[Hour]:[Hour]]&gt;=O$2),1,0)</f>
        <v>0</v>
      </c>
      <c r="P19" s="298" cm="1">
        <f t="array" ref="P19">IF(AND(P$2&lt;&gt;0,TblTech[[#This Row],[Hour]:[Hour]]&gt;=P$2),1,0)</f>
        <v>0</v>
      </c>
      <c r="Q19" s="298" cm="1">
        <f t="array" ref="Q19">IF(AND(Q$2&lt;&gt;0,TblTech[[#This Row],[Hour]:[Hour]]&gt;=Q$2),1,0)</f>
        <v>0</v>
      </c>
      <c r="R19" s="298" cm="1">
        <f t="array" ref="R19">IF(AND(R$2&lt;&gt;0,TblTech[[#This Row],[Hour]:[Hour]]&gt;=R$2),1,0)</f>
        <v>0</v>
      </c>
      <c r="S19" s="298" cm="1">
        <f t="array" ref="S19">IF(AND(S$2&lt;&gt;0,TblTech[[#This Row],[Hour]:[Hour]]&gt;=S$2),1,0)</f>
        <v>0</v>
      </c>
      <c r="T19" s="298" cm="1">
        <f t="array" ref="T19">IF(AND(T$2&lt;&gt;0,TblTech[[#This Row],[Hour]:[Hour]]&gt;=T$2),1,0)</f>
        <v>0</v>
      </c>
      <c r="U19" s="298" cm="1">
        <f t="array" ref="U19">IF(AND(U$2&lt;&gt;0,TblTech[[#This Row],[Hour]:[Hour]]&gt;=U$2),1,0)</f>
        <v>0</v>
      </c>
      <c r="V19" s="298" cm="1">
        <f t="array" ref="V19">IF(AND(V$2&lt;&gt;0,TblTech[[#This Row],[Hour]:[Hour]]&gt;=V$2),1,0)</f>
        <v>0</v>
      </c>
      <c r="W19" s="298" cm="1">
        <f t="array" ref="W19">IF(AND(W$2&lt;&gt;0,TblTech[[#This Row],[Hour]:[Hour]]&gt;=W$2),1,0)</f>
        <v>0</v>
      </c>
      <c r="X19" s="298" cm="1">
        <f t="array" ref="X19">IF(AND(X$2&lt;&gt;0,TblTech[[#This Row],[Hour]:[Hour]]&gt;=X$2),1,0)</f>
        <v>0</v>
      </c>
      <c r="Y19" s="298" cm="1">
        <f t="array" ref="Y19">IF(AND(Y$2&lt;&gt;0,TblTech[[#This Row],[Hour]:[Hour]]&gt;=Y$2),1,0)</f>
        <v>0</v>
      </c>
      <c r="Z19" s="298" cm="1">
        <f t="array" ref="Z19">IF(AND(Z$2&lt;&gt;0,TblTech[[#This Row],[Hour]:[Hour]]&gt;=Z$2),1,0)</f>
        <v>0</v>
      </c>
      <c r="AA19" s="298" cm="1">
        <f t="array" ref="AA19">IF(AND(AA$2&lt;&gt;0,TblTech[[#This Row],[Hour]:[Hour]]&gt;=AA$2),1,0)</f>
        <v>0</v>
      </c>
      <c r="AB19" s="298" cm="1">
        <f t="array" ref="AB19">IF(AND(AB$2&lt;&gt;0,TblTech[[#This Row],[Hour]:[Hour]]&gt;=AB$2),1,0)</f>
        <v>0</v>
      </c>
      <c r="AC19" s="298" cm="1">
        <f t="array" ref="AC19">IF(AND(AC$2&lt;&gt;0,TblTech[[#This Row],[Hour]:[Hour]]&gt;=AC$2),1,0)</f>
        <v>0</v>
      </c>
      <c r="AD19" s="298" cm="1">
        <f t="array" ref="AD19">IF(AND(AD$2&lt;&gt;0,TblTech[[#This Row],[Hour]:[Hour]]&gt;=AD$2),1,0)</f>
        <v>0</v>
      </c>
      <c r="AE19" s="298" cm="1">
        <f t="array" ref="AE19">IF(AND(AE$2&lt;&gt;0,TblTech[[#This Row],[Hour]:[Hour]]&gt;=AE$2),1,0)</f>
        <v>0</v>
      </c>
      <c r="AF19" s="298" cm="1">
        <f t="array" ref="AF19">IF(AND(AF$2&lt;&gt;0,TblTech[[#This Row],[Hour]:[Hour]]&gt;=AF$2),1,0)</f>
        <v>0</v>
      </c>
      <c r="AG19" s="298" cm="1">
        <f t="array" ref="AG19">IF(AND(AG$2&lt;&gt;0,TblTech[[#This Row],[Hour]:[Hour]]&gt;=AG$2),1,0)</f>
        <v>0</v>
      </c>
      <c r="AH19" s="298" cm="1">
        <f t="array" ref="AH19">IF(AND(AH$2&lt;&gt;0,TblTech[[#This Row],[Hour]:[Hour]]&gt;=AH$2),1,0)</f>
        <v>0</v>
      </c>
      <c r="AI19" s="298" cm="1">
        <f t="array" ref="AI19">IF(AND(AI$2&lt;&gt;0,TblTech[[#This Row],[Hour]:[Hour]]&gt;=AI$2),1,0)</f>
        <v>0</v>
      </c>
      <c r="AJ19" s="298" cm="1">
        <f t="array" ref="AJ19">IF(AND(AJ$2&lt;&gt;0,TblTech[[#This Row],[Hour]:[Hour]]&gt;=AJ$2),1,0)</f>
        <v>0</v>
      </c>
      <c r="AK19" s="298" cm="1">
        <f t="array" ref="AK19">IF(AND(AK$2&lt;&gt;0,TblTech[[#This Row],[Hour]:[Hour]]&gt;=AK$2),1,0)</f>
        <v>0</v>
      </c>
      <c r="AL19" s="298" cm="1">
        <f t="array" ref="AL19">IF(AND(AL$2&lt;&gt;0,TblTech[[#This Row],[Hour]:[Hour]]&gt;=AL$2),1,0)</f>
        <v>0</v>
      </c>
      <c r="AM19" s="298" cm="1">
        <f t="array" ref="AM19">IF(AND(AM$2&lt;&gt;0,TblTech[[#This Row],[Hour]:[Hour]]&gt;=AM$2),1,0)</f>
        <v>0</v>
      </c>
      <c r="AN19" s="298" cm="1">
        <f t="array" ref="AN19">IF(AND(AN$2&lt;&gt;0,TblTech[[#This Row],[Hour]:[Hour]]&gt;=AN$2),1,0)</f>
        <v>0</v>
      </c>
      <c r="AO19" s="298" cm="1">
        <f t="array" ref="AO19">IF(AND(AO$2&lt;&gt;0,TblTech[[#This Row],[Hour]:[Hour]]&gt;=AO$2),1,0)</f>
        <v>0</v>
      </c>
      <c r="AP19" s="298" cm="1">
        <f t="array" ref="AP19">IF(AND(AP$2&lt;&gt;0,TblTech[[#This Row],[Hour]:[Hour]]&gt;=AP$2),1,0)</f>
        <v>0</v>
      </c>
      <c r="AQ19" s="298" cm="1">
        <f t="array" ref="AQ19">IF(AND(AQ$2&lt;&gt;0,TblTech[[#This Row],[Hour]:[Hour]]&gt;=AQ$2),1,0)</f>
        <v>0</v>
      </c>
      <c r="AR19" s="298" cm="1">
        <f t="array" ref="AR19">IF(AND(AR$2&lt;&gt;0,TblTech[[#This Row],[Hour]:[Hour]]&gt;=AR$2),1,0)</f>
        <v>0</v>
      </c>
      <c r="AS19" s="298" cm="1">
        <f t="array" ref="AS19">IF(AND(AS$2&lt;&gt;0,TblTech[[#This Row],[Hour]:[Hour]]&gt;=AS$2),1,0)</f>
        <v>0</v>
      </c>
      <c r="AT19" s="298" cm="1">
        <f t="array" ref="AT19">IF(AND(AT$2&lt;&gt;0,TblTech[[#This Row],[Hour]:[Hour]]&gt;=AT$2),1,0)</f>
        <v>0</v>
      </c>
      <c r="AU19" s="298" cm="1">
        <f t="array" ref="AU19">IF(AND(AU$2&lt;&gt;0,TblTech[[#This Row],[Hour]:[Hour]]&gt;=AU$2),1,0)</f>
        <v>0</v>
      </c>
      <c r="AV19" s="298" cm="1">
        <f t="array" ref="AV19">IF(AND(AV$2&lt;&gt;0,TblTech[[#This Row],[Hour]:[Hour]]&gt;=AV$2),1,0)</f>
        <v>0</v>
      </c>
      <c r="AW19" s="298" cm="1">
        <f t="array" ref="AW19">IF(AND(AW$2&lt;&gt;0,TblTech[[#This Row],[Hour]:[Hour]]&gt;=AW$2),1,0)</f>
        <v>0</v>
      </c>
      <c r="AX19" s="298" cm="1">
        <f t="array" ref="AX19">IF(AND(AX$2&lt;&gt;0,TblTech[[#This Row],[Hour]:[Hour]]&gt;=AX$2),1,0)</f>
        <v>0</v>
      </c>
      <c r="AY19" s="298" cm="1">
        <f t="array" ref="AY19">IF(AND(AY$2&lt;&gt;0,TblTech[[#This Row],[Hour]:[Hour]]&gt;=AY$2),1,0)</f>
        <v>0</v>
      </c>
      <c r="AZ19" s="298" cm="1">
        <f t="array" ref="AZ19">IF(AND(AZ$2&lt;&gt;0,TblTech[[#This Row],[Hour]:[Hour]]&gt;=AZ$2),1,0)</f>
        <v>0</v>
      </c>
      <c r="BA19" s="298" cm="1">
        <f t="array" ref="BA19">IF(AND(BA$2&lt;&gt;0,TblTech[[#This Row],[Hour]:[Hour]]&gt;=BA$2),1,0)</f>
        <v>0</v>
      </c>
      <c r="BB19" s="298" cm="1">
        <f t="array" ref="BB19">IF(AND(BB$2&lt;&gt;0,TblTech[[#This Row],[Hour]:[Hour]]&gt;=BB$2),1,0)</f>
        <v>0</v>
      </c>
      <c r="BC19" s="298" cm="1">
        <f t="array" ref="BC19">IF(AND(BC$2&lt;&gt;0,TblTech[[#This Row],[Hour]:[Hour]]&gt;=BC$2),1,0)</f>
        <v>0</v>
      </c>
      <c r="BD19" s="298" cm="1">
        <f t="array" ref="BD19">IF(AND(BD$2&lt;&gt;0,TblTech[[#This Row],[Hour]:[Hour]]&gt;=BD$2),1,0)</f>
        <v>0</v>
      </c>
      <c r="BE19" s="298" cm="1">
        <f t="array" ref="BE19">IF(AND(BE$2&lt;&gt;0,TblTech[[#This Row],[Hour]:[Hour]]&gt;=BE$2),1,0)</f>
        <v>0</v>
      </c>
      <c r="BF19" s="298" cm="1">
        <f t="array" ref="BF19">IF(AND(BF$2&lt;&gt;0,TblTech[[#This Row],[Hour]:[Hour]]&gt;=BF$2),1,0)</f>
        <v>0</v>
      </c>
      <c r="BG19" s="298" cm="1">
        <f t="array" ref="BG19">IF(AND(BG$2&lt;&gt;0,TblTech[[#This Row],[Hour]:[Hour]]&gt;=BG$2),1,0)</f>
        <v>0</v>
      </c>
      <c r="BH19" s="298" cm="1">
        <f t="array" ref="BH19">IF(AND(BH$2&lt;&gt;0,TblTech[[#This Row],[Hour]:[Hour]]&gt;=BH$2),1,0)</f>
        <v>0</v>
      </c>
      <c r="BI19" s="298" cm="1">
        <f t="array" ref="BI19">IF(AND(BI$2&lt;&gt;0,TblTech[[#This Row],[Hour]:[Hour]]&gt;=BI$2),1,0)</f>
        <v>0</v>
      </c>
      <c r="BJ19" s="298" cm="1">
        <f t="array" ref="BJ19">IF(AND(BJ$2&lt;&gt;0,TblTech[[#This Row],[Hour]:[Hour]]&gt;=BJ$2),1,0)</f>
        <v>0</v>
      </c>
      <c r="BK19" s="298" cm="1">
        <f t="array" ref="BK19">IF(AND(BK$2&lt;&gt;0,TblTech[[#This Row],[Hour]:[Hour]]&gt;=BK$2),1,0)</f>
        <v>0</v>
      </c>
      <c r="BL19" s="298" cm="1">
        <f t="array" ref="BL19">IF(AND(BL$2&lt;&gt;0,TblTech[[#This Row],[Hour]:[Hour]]&gt;=BL$2),1,0)</f>
        <v>0</v>
      </c>
      <c r="BM19" s="298" cm="1">
        <f t="array" ref="BM19">IF(AND(BM$2&lt;&gt;0,TblTech[[#This Row],[Hour]:[Hour]]&gt;=BM$2),1,0)</f>
        <v>0</v>
      </c>
      <c r="BN19" s="298" cm="1">
        <f t="array" ref="BN19">IF(AND(BN$2&lt;&gt;0,TblTech[[#This Row],[Hour]:[Hour]]&gt;=BN$2),1,0)</f>
        <v>0</v>
      </c>
      <c r="BO19" s="298" cm="1">
        <f t="array" ref="BO19">IF(AND(BO$2&lt;&gt;0,TblTech[[#This Row],[Hour]:[Hour]]&gt;=BO$2),1,0)</f>
        <v>0</v>
      </c>
      <c r="BP19" s="298" cm="1">
        <f t="array" ref="BP19">IF(AND(BP$2&lt;&gt;0,TblTech[[#This Row],[Hour]:[Hour]]&gt;=BP$2),1,0)</f>
        <v>0</v>
      </c>
      <c r="BQ19" s="298" cm="1">
        <f t="array" ref="BQ19">IF(AND(BQ$2&lt;&gt;0,TblTech[[#This Row],[Hour]:[Hour]]&gt;=BQ$2),1,0)</f>
        <v>0</v>
      </c>
      <c r="BR19" s="298" cm="1">
        <f t="array" ref="BR19">IF(AND(BR$2&lt;&gt;0,TblTech[[#This Row],[Hour]:[Hour]]&gt;=BR$2),1,0)</f>
        <v>0</v>
      </c>
      <c r="BS19" s="298" cm="1">
        <f t="array" ref="BS19">IF(AND(BS$2&lt;&gt;0,TblTech[[#This Row],[Hour]:[Hour]]&gt;=BS$2),1,0)</f>
        <v>0</v>
      </c>
      <c r="BT19" s="298" cm="1">
        <f t="array" ref="BT19">IF(AND(BT$2&lt;&gt;0,TblTech[[#This Row],[Hour]:[Hour]]&gt;=BT$2),1,0)</f>
        <v>0</v>
      </c>
      <c r="BU19" s="298" cm="1">
        <f t="array" ref="BU19">IF(AND(BU$2&lt;&gt;0,TblTech[[#This Row],[Hour]:[Hour]]&gt;=BU$2),1,0)</f>
        <v>0</v>
      </c>
      <c r="BV19" s="298" cm="1">
        <f t="array" ref="BV19">IF(AND(BV$2&lt;&gt;0,TblTech[[#This Row],[Hour]:[Hour]]&gt;=BV$2),1,0)</f>
        <v>0</v>
      </c>
      <c r="BW19" s="298" cm="1">
        <f t="array" ref="BW19">IF(AND(BW$2&lt;&gt;0,TblTech[[#This Row],[Hour]:[Hour]]&gt;=BW$2),1,0)</f>
        <v>0</v>
      </c>
      <c r="BX19" s="298" cm="1">
        <f t="array" ref="BX19">IF(AND(BX$2&lt;&gt;0,TblTech[[#This Row],[Hour]:[Hour]]&gt;=BX$2),1,0)</f>
        <v>0</v>
      </c>
      <c r="BY19" s="298" cm="1">
        <f t="array" ref="BY19">IF(AND(BY$2&lt;&gt;0,TblTech[[#This Row],[Hour]:[Hour]]&gt;=BY$2),1,0)</f>
        <v>0</v>
      </c>
      <c r="BZ19" s="298" cm="1">
        <f t="array" ref="BZ19">IF(AND(BZ$2&lt;&gt;0,TblTech[[#This Row],[Hour]:[Hour]]&gt;=BZ$2),1,0)</f>
        <v>0</v>
      </c>
      <c r="CA19" s="402">
        <f>IFERROR(INDEX($H$4:$H$79,MATCH(INDEX(TblTech[[#Headers],[1-1]:[11-1]],1,MATCH(TblTech[[#This Row],[Hour]],$M$2:$BZ$2,0)),$G$4:$G$79,0)),)</f>
        <v>0</v>
      </c>
    </row>
    <row r="20" spans="1:79" x14ac:dyDescent="0.2">
      <c r="A20" s="290">
        <f>TblRezone[[#This Row],[Hour]]</f>
        <v>17</v>
      </c>
      <c r="B20" s="291">
        <f ca="1">TblExplore[[#This Row],[Land-DB]]</f>
        <v>250</v>
      </c>
      <c r="C20" s="292">
        <f ca="1">TblProd[[#This Row],[Techpoints]]</f>
        <v>0</v>
      </c>
      <c r="D20" s="292">
        <f ca="1">TblProd[[#This Row],[Required]]</f>
        <v>3750</v>
      </c>
      <c r="E20" s="293"/>
      <c r="F20" s="294"/>
      <c r="G20" s="295" t="s">
        <v>557</v>
      </c>
      <c r="H20" s="296" t="s">
        <v>692</v>
      </c>
      <c r="I20" s="295" t="s">
        <v>1047</v>
      </c>
      <c r="J20" s="291"/>
      <c r="K20" s="95">
        <f ca="1">IF(TblTech[[#This Row],[Sum of tech]]&lt;&gt;OFFSET(TblTech[[#This Row],[Sum of tech]],-1,0),1,0)</f>
        <v>0</v>
      </c>
      <c r="L20" s="297">
        <f>COUNTIF(TblTech[[#This Row],[1-1]:[11-1]],1)</f>
        <v>0</v>
      </c>
      <c r="M20" s="298" cm="1">
        <f t="array" ref="M20">IF(AND(M$2&lt;&gt;0,TblTech[[#This Row],[Hour]:[Hour]]&gt;=M$2),1,0)</f>
        <v>0</v>
      </c>
      <c r="N20" s="298" cm="1">
        <f t="array" ref="N20">IF(AND(N$2&lt;&gt;0,TblTech[[#This Row],[Hour]:[Hour]]&gt;=N$2),1,0)</f>
        <v>0</v>
      </c>
      <c r="O20" s="298" cm="1">
        <f t="array" ref="O20">IF(AND(O$2&lt;&gt;0,TblTech[[#This Row],[Hour]:[Hour]]&gt;=O$2),1,0)</f>
        <v>0</v>
      </c>
      <c r="P20" s="298" cm="1">
        <f t="array" ref="P20">IF(AND(P$2&lt;&gt;0,TblTech[[#This Row],[Hour]:[Hour]]&gt;=P$2),1,0)</f>
        <v>0</v>
      </c>
      <c r="Q20" s="298" cm="1">
        <f t="array" ref="Q20">IF(AND(Q$2&lt;&gt;0,TblTech[[#This Row],[Hour]:[Hour]]&gt;=Q$2),1,0)</f>
        <v>0</v>
      </c>
      <c r="R20" s="298" cm="1">
        <f t="array" ref="R20">IF(AND(R$2&lt;&gt;0,TblTech[[#This Row],[Hour]:[Hour]]&gt;=R$2),1,0)</f>
        <v>0</v>
      </c>
      <c r="S20" s="298" cm="1">
        <f t="array" ref="S20">IF(AND(S$2&lt;&gt;0,TblTech[[#This Row],[Hour]:[Hour]]&gt;=S$2),1,0)</f>
        <v>0</v>
      </c>
      <c r="T20" s="298" cm="1">
        <f t="array" ref="T20">IF(AND(T$2&lt;&gt;0,TblTech[[#This Row],[Hour]:[Hour]]&gt;=T$2),1,0)</f>
        <v>0</v>
      </c>
      <c r="U20" s="298" cm="1">
        <f t="array" ref="U20">IF(AND(U$2&lt;&gt;0,TblTech[[#This Row],[Hour]:[Hour]]&gt;=U$2),1,0)</f>
        <v>0</v>
      </c>
      <c r="V20" s="298" cm="1">
        <f t="array" ref="V20">IF(AND(V$2&lt;&gt;0,TblTech[[#This Row],[Hour]:[Hour]]&gt;=V$2),1,0)</f>
        <v>0</v>
      </c>
      <c r="W20" s="298" cm="1">
        <f t="array" ref="W20">IF(AND(W$2&lt;&gt;0,TblTech[[#This Row],[Hour]:[Hour]]&gt;=W$2),1,0)</f>
        <v>0</v>
      </c>
      <c r="X20" s="298" cm="1">
        <f t="array" ref="X20">IF(AND(X$2&lt;&gt;0,TblTech[[#This Row],[Hour]:[Hour]]&gt;=X$2),1,0)</f>
        <v>0</v>
      </c>
      <c r="Y20" s="298" cm="1">
        <f t="array" ref="Y20">IF(AND(Y$2&lt;&gt;0,TblTech[[#This Row],[Hour]:[Hour]]&gt;=Y$2),1,0)</f>
        <v>0</v>
      </c>
      <c r="Z20" s="298" cm="1">
        <f t="array" ref="Z20">IF(AND(Z$2&lt;&gt;0,TblTech[[#This Row],[Hour]:[Hour]]&gt;=Z$2),1,0)</f>
        <v>0</v>
      </c>
      <c r="AA20" s="298" cm="1">
        <f t="array" ref="AA20">IF(AND(AA$2&lt;&gt;0,TblTech[[#This Row],[Hour]:[Hour]]&gt;=AA$2),1,0)</f>
        <v>0</v>
      </c>
      <c r="AB20" s="298" cm="1">
        <f t="array" ref="AB20">IF(AND(AB$2&lt;&gt;0,TblTech[[#This Row],[Hour]:[Hour]]&gt;=AB$2),1,0)</f>
        <v>0</v>
      </c>
      <c r="AC20" s="298" cm="1">
        <f t="array" ref="AC20">IF(AND(AC$2&lt;&gt;0,TblTech[[#This Row],[Hour]:[Hour]]&gt;=AC$2),1,0)</f>
        <v>0</v>
      </c>
      <c r="AD20" s="298" cm="1">
        <f t="array" ref="AD20">IF(AND(AD$2&lt;&gt;0,TblTech[[#This Row],[Hour]:[Hour]]&gt;=AD$2),1,0)</f>
        <v>0</v>
      </c>
      <c r="AE20" s="298" cm="1">
        <f t="array" ref="AE20">IF(AND(AE$2&lt;&gt;0,TblTech[[#This Row],[Hour]:[Hour]]&gt;=AE$2),1,0)</f>
        <v>0</v>
      </c>
      <c r="AF20" s="298" cm="1">
        <f t="array" ref="AF20">IF(AND(AF$2&lt;&gt;0,TblTech[[#This Row],[Hour]:[Hour]]&gt;=AF$2),1,0)</f>
        <v>0</v>
      </c>
      <c r="AG20" s="298" cm="1">
        <f t="array" ref="AG20">IF(AND(AG$2&lt;&gt;0,TblTech[[#This Row],[Hour]:[Hour]]&gt;=AG$2),1,0)</f>
        <v>0</v>
      </c>
      <c r="AH20" s="298" cm="1">
        <f t="array" ref="AH20">IF(AND(AH$2&lt;&gt;0,TblTech[[#This Row],[Hour]:[Hour]]&gt;=AH$2),1,0)</f>
        <v>0</v>
      </c>
      <c r="AI20" s="298" cm="1">
        <f t="array" ref="AI20">IF(AND(AI$2&lt;&gt;0,TblTech[[#This Row],[Hour]:[Hour]]&gt;=AI$2),1,0)</f>
        <v>0</v>
      </c>
      <c r="AJ20" s="298" cm="1">
        <f t="array" ref="AJ20">IF(AND(AJ$2&lt;&gt;0,TblTech[[#This Row],[Hour]:[Hour]]&gt;=AJ$2),1,0)</f>
        <v>0</v>
      </c>
      <c r="AK20" s="298" cm="1">
        <f t="array" ref="AK20">IF(AND(AK$2&lt;&gt;0,TblTech[[#This Row],[Hour]:[Hour]]&gt;=AK$2),1,0)</f>
        <v>0</v>
      </c>
      <c r="AL20" s="298" cm="1">
        <f t="array" ref="AL20">IF(AND(AL$2&lt;&gt;0,TblTech[[#This Row],[Hour]:[Hour]]&gt;=AL$2),1,0)</f>
        <v>0</v>
      </c>
      <c r="AM20" s="298" cm="1">
        <f t="array" ref="AM20">IF(AND(AM$2&lt;&gt;0,TblTech[[#This Row],[Hour]:[Hour]]&gt;=AM$2),1,0)</f>
        <v>0</v>
      </c>
      <c r="AN20" s="298" cm="1">
        <f t="array" ref="AN20">IF(AND(AN$2&lt;&gt;0,TblTech[[#This Row],[Hour]:[Hour]]&gt;=AN$2),1,0)</f>
        <v>0</v>
      </c>
      <c r="AO20" s="298" cm="1">
        <f t="array" ref="AO20">IF(AND(AO$2&lt;&gt;0,TblTech[[#This Row],[Hour]:[Hour]]&gt;=AO$2),1,0)</f>
        <v>0</v>
      </c>
      <c r="AP20" s="298" cm="1">
        <f t="array" ref="AP20">IF(AND(AP$2&lt;&gt;0,TblTech[[#This Row],[Hour]:[Hour]]&gt;=AP$2),1,0)</f>
        <v>0</v>
      </c>
      <c r="AQ20" s="298" cm="1">
        <f t="array" ref="AQ20">IF(AND(AQ$2&lt;&gt;0,TblTech[[#This Row],[Hour]:[Hour]]&gt;=AQ$2),1,0)</f>
        <v>0</v>
      </c>
      <c r="AR20" s="298" cm="1">
        <f t="array" ref="AR20">IF(AND(AR$2&lt;&gt;0,TblTech[[#This Row],[Hour]:[Hour]]&gt;=AR$2),1,0)</f>
        <v>0</v>
      </c>
      <c r="AS20" s="298" cm="1">
        <f t="array" ref="AS20">IF(AND(AS$2&lt;&gt;0,TblTech[[#This Row],[Hour]:[Hour]]&gt;=AS$2),1,0)</f>
        <v>0</v>
      </c>
      <c r="AT20" s="298" cm="1">
        <f t="array" ref="AT20">IF(AND(AT$2&lt;&gt;0,TblTech[[#This Row],[Hour]:[Hour]]&gt;=AT$2),1,0)</f>
        <v>0</v>
      </c>
      <c r="AU20" s="298" cm="1">
        <f t="array" ref="AU20">IF(AND(AU$2&lt;&gt;0,TblTech[[#This Row],[Hour]:[Hour]]&gt;=AU$2),1,0)</f>
        <v>0</v>
      </c>
      <c r="AV20" s="298" cm="1">
        <f t="array" ref="AV20">IF(AND(AV$2&lt;&gt;0,TblTech[[#This Row],[Hour]:[Hour]]&gt;=AV$2),1,0)</f>
        <v>0</v>
      </c>
      <c r="AW20" s="298" cm="1">
        <f t="array" ref="AW20">IF(AND(AW$2&lt;&gt;0,TblTech[[#This Row],[Hour]:[Hour]]&gt;=AW$2),1,0)</f>
        <v>0</v>
      </c>
      <c r="AX20" s="298" cm="1">
        <f t="array" ref="AX20">IF(AND(AX$2&lt;&gt;0,TblTech[[#This Row],[Hour]:[Hour]]&gt;=AX$2),1,0)</f>
        <v>0</v>
      </c>
      <c r="AY20" s="298" cm="1">
        <f t="array" ref="AY20">IF(AND(AY$2&lt;&gt;0,TblTech[[#This Row],[Hour]:[Hour]]&gt;=AY$2),1,0)</f>
        <v>0</v>
      </c>
      <c r="AZ20" s="298" cm="1">
        <f t="array" ref="AZ20">IF(AND(AZ$2&lt;&gt;0,TblTech[[#This Row],[Hour]:[Hour]]&gt;=AZ$2),1,0)</f>
        <v>0</v>
      </c>
      <c r="BA20" s="298" cm="1">
        <f t="array" ref="BA20">IF(AND(BA$2&lt;&gt;0,TblTech[[#This Row],[Hour]:[Hour]]&gt;=BA$2),1,0)</f>
        <v>0</v>
      </c>
      <c r="BB20" s="298" cm="1">
        <f t="array" ref="BB20">IF(AND(BB$2&lt;&gt;0,TblTech[[#This Row],[Hour]:[Hour]]&gt;=BB$2),1,0)</f>
        <v>0</v>
      </c>
      <c r="BC20" s="298" cm="1">
        <f t="array" ref="BC20">IF(AND(BC$2&lt;&gt;0,TblTech[[#This Row],[Hour]:[Hour]]&gt;=BC$2),1,0)</f>
        <v>0</v>
      </c>
      <c r="BD20" s="298" cm="1">
        <f t="array" ref="BD20">IF(AND(BD$2&lt;&gt;0,TblTech[[#This Row],[Hour]:[Hour]]&gt;=BD$2),1,0)</f>
        <v>0</v>
      </c>
      <c r="BE20" s="298" cm="1">
        <f t="array" ref="BE20">IF(AND(BE$2&lt;&gt;0,TblTech[[#This Row],[Hour]:[Hour]]&gt;=BE$2),1,0)</f>
        <v>0</v>
      </c>
      <c r="BF20" s="298" cm="1">
        <f t="array" ref="BF20">IF(AND(BF$2&lt;&gt;0,TblTech[[#This Row],[Hour]:[Hour]]&gt;=BF$2),1,0)</f>
        <v>0</v>
      </c>
      <c r="BG20" s="298" cm="1">
        <f t="array" ref="BG20">IF(AND(BG$2&lt;&gt;0,TblTech[[#This Row],[Hour]:[Hour]]&gt;=BG$2),1,0)</f>
        <v>0</v>
      </c>
      <c r="BH20" s="298" cm="1">
        <f t="array" ref="BH20">IF(AND(BH$2&lt;&gt;0,TblTech[[#This Row],[Hour]:[Hour]]&gt;=BH$2),1,0)</f>
        <v>0</v>
      </c>
      <c r="BI20" s="298" cm="1">
        <f t="array" ref="BI20">IF(AND(BI$2&lt;&gt;0,TblTech[[#This Row],[Hour]:[Hour]]&gt;=BI$2),1,0)</f>
        <v>0</v>
      </c>
      <c r="BJ20" s="298" cm="1">
        <f t="array" ref="BJ20">IF(AND(BJ$2&lt;&gt;0,TblTech[[#This Row],[Hour]:[Hour]]&gt;=BJ$2),1,0)</f>
        <v>0</v>
      </c>
      <c r="BK20" s="298" cm="1">
        <f t="array" ref="BK20">IF(AND(BK$2&lt;&gt;0,TblTech[[#This Row],[Hour]:[Hour]]&gt;=BK$2),1,0)</f>
        <v>0</v>
      </c>
      <c r="BL20" s="298" cm="1">
        <f t="array" ref="BL20">IF(AND(BL$2&lt;&gt;0,TblTech[[#This Row],[Hour]:[Hour]]&gt;=BL$2),1,0)</f>
        <v>0</v>
      </c>
      <c r="BM20" s="298" cm="1">
        <f t="array" ref="BM20">IF(AND(BM$2&lt;&gt;0,TblTech[[#This Row],[Hour]:[Hour]]&gt;=BM$2),1,0)</f>
        <v>0</v>
      </c>
      <c r="BN20" s="298" cm="1">
        <f t="array" ref="BN20">IF(AND(BN$2&lt;&gt;0,TblTech[[#This Row],[Hour]:[Hour]]&gt;=BN$2),1,0)</f>
        <v>0</v>
      </c>
      <c r="BO20" s="298" cm="1">
        <f t="array" ref="BO20">IF(AND(BO$2&lt;&gt;0,TblTech[[#This Row],[Hour]:[Hour]]&gt;=BO$2),1,0)</f>
        <v>0</v>
      </c>
      <c r="BP20" s="298" cm="1">
        <f t="array" ref="BP20">IF(AND(BP$2&lt;&gt;0,TblTech[[#This Row],[Hour]:[Hour]]&gt;=BP$2),1,0)</f>
        <v>0</v>
      </c>
      <c r="BQ20" s="298" cm="1">
        <f t="array" ref="BQ20">IF(AND(BQ$2&lt;&gt;0,TblTech[[#This Row],[Hour]:[Hour]]&gt;=BQ$2),1,0)</f>
        <v>0</v>
      </c>
      <c r="BR20" s="298" cm="1">
        <f t="array" ref="BR20">IF(AND(BR$2&lt;&gt;0,TblTech[[#This Row],[Hour]:[Hour]]&gt;=BR$2),1,0)</f>
        <v>0</v>
      </c>
      <c r="BS20" s="298" cm="1">
        <f t="array" ref="BS20">IF(AND(BS$2&lt;&gt;0,TblTech[[#This Row],[Hour]:[Hour]]&gt;=BS$2),1,0)</f>
        <v>0</v>
      </c>
      <c r="BT20" s="298" cm="1">
        <f t="array" ref="BT20">IF(AND(BT$2&lt;&gt;0,TblTech[[#This Row],[Hour]:[Hour]]&gt;=BT$2),1,0)</f>
        <v>0</v>
      </c>
      <c r="BU20" s="298" cm="1">
        <f t="array" ref="BU20">IF(AND(BU$2&lt;&gt;0,TblTech[[#This Row],[Hour]:[Hour]]&gt;=BU$2),1,0)</f>
        <v>0</v>
      </c>
      <c r="BV20" s="298" cm="1">
        <f t="array" ref="BV20">IF(AND(BV$2&lt;&gt;0,TblTech[[#This Row],[Hour]:[Hour]]&gt;=BV$2),1,0)</f>
        <v>0</v>
      </c>
      <c r="BW20" s="298" cm="1">
        <f t="array" ref="BW20">IF(AND(BW$2&lt;&gt;0,TblTech[[#This Row],[Hour]:[Hour]]&gt;=BW$2),1,0)</f>
        <v>0</v>
      </c>
      <c r="BX20" s="298" cm="1">
        <f t="array" ref="BX20">IF(AND(BX$2&lt;&gt;0,TblTech[[#This Row],[Hour]:[Hour]]&gt;=BX$2),1,0)</f>
        <v>0</v>
      </c>
      <c r="BY20" s="298" cm="1">
        <f t="array" ref="BY20">IF(AND(BY$2&lt;&gt;0,TblTech[[#This Row],[Hour]:[Hour]]&gt;=BY$2),1,0)</f>
        <v>0</v>
      </c>
      <c r="BZ20" s="298" cm="1">
        <f t="array" ref="BZ20">IF(AND(BZ$2&lt;&gt;0,TblTech[[#This Row],[Hour]:[Hour]]&gt;=BZ$2),1,0)</f>
        <v>0</v>
      </c>
      <c r="CA20" s="402">
        <f>IFERROR(INDEX($H$4:$H$79,MATCH(INDEX(TblTech[[#Headers],[1-1]:[11-1]],1,MATCH(TblTech[[#This Row],[Hour]],$M$2:$BZ$2,0)),$G$4:$G$79,0)),)</f>
        <v>0</v>
      </c>
    </row>
    <row r="21" spans="1:79" x14ac:dyDescent="0.2">
      <c r="A21" s="290">
        <f>TblRezone[[#This Row],[Hour]]</f>
        <v>18</v>
      </c>
      <c r="B21" s="291">
        <f ca="1">TblExplore[[#This Row],[Land-DB]]</f>
        <v>250</v>
      </c>
      <c r="C21" s="292">
        <f ca="1">TblProd[[#This Row],[Techpoints]]</f>
        <v>0</v>
      </c>
      <c r="D21" s="292">
        <f ca="1">TblProd[[#This Row],[Required]]</f>
        <v>3750</v>
      </c>
      <c r="E21" s="293"/>
      <c r="F21" s="294"/>
      <c r="G21" s="295" t="s">
        <v>558</v>
      </c>
      <c r="H21" s="296" t="s">
        <v>684</v>
      </c>
      <c r="I21" s="295" t="s">
        <v>1092</v>
      </c>
      <c r="J21" s="291"/>
      <c r="K21" s="95">
        <f ca="1">IF(TblTech[[#This Row],[Sum of tech]]&lt;&gt;OFFSET(TblTech[[#This Row],[Sum of tech]],-1,0),1,0)</f>
        <v>0</v>
      </c>
      <c r="L21" s="297">
        <f>COUNTIF(TblTech[[#This Row],[1-1]:[11-1]],1)</f>
        <v>0</v>
      </c>
      <c r="M21" s="298" cm="1">
        <f t="array" ref="M21">IF(AND(M$2&lt;&gt;0,TblTech[[#This Row],[Hour]:[Hour]]&gt;=M$2),1,0)</f>
        <v>0</v>
      </c>
      <c r="N21" s="298" cm="1">
        <f t="array" ref="N21">IF(AND(N$2&lt;&gt;0,TblTech[[#This Row],[Hour]:[Hour]]&gt;=N$2),1,0)</f>
        <v>0</v>
      </c>
      <c r="O21" s="298" cm="1">
        <f t="array" ref="O21">IF(AND(O$2&lt;&gt;0,TblTech[[#This Row],[Hour]:[Hour]]&gt;=O$2),1,0)</f>
        <v>0</v>
      </c>
      <c r="P21" s="298" cm="1">
        <f t="array" ref="P21">IF(AND(P$2&lt;&gt;0,TblTech[[#This Row],[Hour]:[Hour]]&gt;=P$2),1,0)</f>
        <v>0</v>
      </c>
      <c r="Q21" s="298" cm="1">
        <f t="array" ref="Q21">IF(AND(Q$2&lt;&gt;0,TblTech[[#This Row],[Hour]:[Hour]]&gt;=Q$2),1,0)</f>
        <v>0</v>
      </c>
      <c r="R21" s="298" cm="1">
        <f t="array" ref="R21">IF(AND(R$2&lt;&gt;0,TblTech[[#This Row],[Hour]:[Hour]]&gt;=R$2),1,0)</f>
        <v>0</v>
      </c>
      <c r="S21" s="298" cm="1">
        <f t="array" ref="S21">IF(AND(S$2&lt;&gt;0,TblTech[[#This Row],[Hour]:[Hour]]&gt;=S$2),1,0)</f>
        <v>0</v>
      </c>
      <c r="T21" s="298" cm="1">
        <f t="array" ref="T21">IF(AND(T$2&lt;&gt;0,TblTech[[#This Row],[Hour]:[Hour]]&gt;=T$2),1,0)</f>
        <v>0</v>
      </c>
      <c r="U21" s="298" cm="1">
        <f t="array" ref="U21">IF(AND(U$2&lt;&gt;0,TblTech[[#This Row],[Hour]:[Hour]]&gt;=U$2),1,0)</f>
        <v>0</v>
      </c>
      <c r="V21" s="298" cm="1">
        <f t="array" ref="V21">IF(AND(V$2&lt;&gt;0,TblTech[[#This Row],[Hour]:[Hour]]&gt;=V$2),1,0)</f>
        <v>0</v>
      </c>
      <c r="W21" s="298" cm="1">
        <f t="array" ref="W21">IF(AND(W$2&lt;&gt;0,TblTech[[#This Row],[Hour]:[Hour]]&gt;=W$2),1,0)</f>
        <v>0</v>
      </c>
      <c r="X21" s="298" cm="1">
        <f t="array" ref="X21">IF(AND(X$2&lt;&gt;0,TblTech[[#This Row],[Hour]:[Hour]]&gt;=X$2),1,0)</f>
        <v>0</v>
      </c>
      <c r="Y21" s="298" cm="1">
        <f t="array" ref="Y21">IF(AND(Y$2&lt;&gt;0,TblTech[[#This Row],[Hour]:[Hour]]&gt;=Y$2),1,0)</f>
        <v>0</v>
      </c>
      <c r="Z21" s="298" cm="1">
        <f t="array" ref="Z21">IF(AND(Z$2&lt;&gt;0,TblTech[[#This Row],[Hour]:[Hour]]&gt;=Z$2),1,0)</f>
        <v>0</v>
      </c>
      <c r="AA21" s="298" cm="1">
        <f t="array" ref="AA21">IF(AND(AA$2&lt;&gt;0,TblTech[[#This Row],[Hour]:[Hour]]&gt;=AA$2),1,0)</f>
        <v>0</v>
      </c>
      <c r="AB21" s="298" cm="1">
        <f t="array" ref="AB21">IF(AND(AB$2&lt;&gt;0,TblTech[[#This Row],[Hour]:[Hour]]&gt;=AB$2),1,0)</f>
        <v>0</v>
      </c>
      <c r="AC21" s="298" cm="1">
        <f t="array" ref="AC21">IF(AND(AC$2&lt;&gt;0,TblTech[[#This Row],[Hour]:[Hour]]&gt;=AC$2),1,0)</f>
        <v>0</v>
      </c>
      <c r="AD21" s="298" cm="1">
        <f t="array" ref="AD21">IF(AND(AD$2&lt;&gt;0,TblTech[[#This Row],[Hour]:[Hour]]&gt;=AD$2),1,0)</f>
        <v>0</v>
      </c>
      <c r="AE21" s="298" cm="1">
        <f t="array" ref="AE21">IF(AND(AE$2&lt;&gt;0,TblTech[[#This Row],[Hour]:[Hour]]&gt;=AE$2),1,0)</f>
        <v>0</v>
      </c>
      <c r="AF21" s="298" cm="1">
        <f t="array" ref="AF21">IF(AND(AF$2&lt;&gt;0,TblTech[[#This Row],[Hour]:[Hour]]&gt;=AF$2),1,0)</f>
        <v>0</v>
      </c>
      <c r="AG21" s="298" cm="1">
        <f t="array" ref="AG21">IF(AND(AG$2&lt;&gt;0,TblTech[[#This Row],[Hour]:[Hour]]&gt;=AG$2),1,0)</f>
        <v>0</v>
      </c>
      <c r="AH21" s="298" cm="1">
        <f t="array" ref="AH21">IF(AND(AH$2&lt;&gt;0,TblTech[[#This Row],[Hour]:[Hour]]&gt;=AH$2),1,0)</f>
        <v>0</v>
      </c>
      <c r="AI21" s="298" cm="1">
        <f t="array" ref="AI21">IF(AND(AI$2&lt;&gt;0,TblTech[[#This Row],[Hour]:[Hour]]&gt;=AI$2),1,0)</f>
        <v>0</v>
      </c>
      <c r="AJ21" s="298" cm="1">
        <f t="array" ref="AJ21">IF(AND(AJ$2&lt;&gt;0,TblTech[[#This Row],[Hour]:[Hour]]&gt;=AJ$2),1,0)</f>
        <v>0</v>
      </c>
      <c r="AK21" s="298" cm="1">
        <f t="array" ref="AK21">IF(AND(AK$2&lt;&gt;0,TblTech[[#This Row],[Hour]:[Hour]]&gt;=AK$2),1,0)</f>
        <v>0</v>
      </c>
      <c r="AL21" s="298" cm="1">
        <f t="array" ref="AL21">IF(AND(AL$2&lt;&gt;0,TblTech[[#This Row],[Hour]:[Hour]]&gt;=AL$2),1,0)</f>
        <v>0</v>
      </c>
      <c r="AM21" s="298" cm="1">
        <f t="array" ref="AM21">IF(AND(AM$2&lt;&gt;0,TblTech[[#This Row],[Hour]:[Hour]]&gt;=AM$2),1,0)</f>
        <v>0</v>
      </c>
      <c r="AN21" s="298" cm="1">
        <f t="array" ref="AN21">IF(AND(AN$2&lt;&gt;0,TblTech[[#This Row],[Hour]:[Hour]]&gt;=AN$2),1,0)</f>
        <v>0</v>
      </c>
      <c r="AO21" s="298" cm="1">
        <f t="array" ref="AO21">IF(AND(AO$2&lt;&gt;0,TblTech[[#This Row],[Hour]:[Hour]]&gt;=AO$2),1,0)</f>
        <v>0</v>
      </c>
      <c r="AP21" s="298" cm="1">
        <f t="array" ref="AP21">IF(AND(AP$2&lt;&gt;0,TblTech[[#This Row],[Hour]:[Hour]]&gt;=AP$2),1,0)</f>
        <v>0</v>
      </c>
      <c r="AQ21" s="298" cm="1">
        <f t="array" ref="AQ21">IF(AND(AQ$2&lt;&gt;0,TblTech[[#This Row],[Hour]:[Hour]]&gt;=AQ$2),1,0)</f>
        <v>0</v>
      </c>
      <c r="AR21" s="298" cm="1">
        <f t="array" ref="AR21">IF(AND(AR$2&lt;&gt;0,TblTech[[#This Row],[Hour]:[Hour]]&gt;=AR$2),1,0)</f>
        <v>0</v>
      </c>
      <c r="AS21" s="298" cm="1">
        <f t="array" ref="AS21">IF(AND(AS$2&lt;&gt;0,TblTech[[#This Row],[Hour]:[Hour]]&gt;=AS$2),1,0)</f>
        <v>0</v>
      </c>
      <c r="AT21" s="298" cm="1">
        <f t="array" ref="AT21">IF(AND(AT$2&lt;&gt;0,TblTech[[#This Row],[Hour]:[Hour]]&gt;=AT$2),1,0)</f>
        <v>0</v>
      </c>
      <c r="AU21" s="298" cm="1">
        <f t="array" ref="AU21">IF(AND(AU$2&lt;&gt;0,TblTech[[#This Row],[Hour]:[Hour]]&gt;=AU$2),1,0)</f>
        <v>0</v>
      </c>
      <c r="AV21" s="298" cm="1">
        <f t="array" ref="AV21">IF(AND(AV$2&lt;&gt;0,TblTech[[#This Row],[Hour]:[Hour]]&gt;=AV$2),1,0)</f>
        <v>0</v>
      </c>
      <c r="AW21" s="298" cm="1">
        <f t="array" ref="AW21">IF(AND(AW$2&lt;&gt;0,TblTech[[#This Row],[Hour]:[Hour]]&gt;=AW$2),1,0)</f>
        <v>0</v>
      </c>
      <c r="AX21" s="298" cm="1">
        <f t="array" ref="AX21">IF(AND(AX$2&lt;&gt;0,TblTech[[#This Row],[Hour]:[Hour]]&gt;=AX$2),1,0)</f>
        <v>0</v>
      </c>
      <c r="AY21" s="298" cm="1">
        <f t="array" ref="AY21">IF(AND(AY$2&lt;&gt;0,TblTech[[#This Row],[Hour]:[Hour]]&gt;=AY$2),1,0)</f>
        <v>0</v>
      </c>
      <c r="AZ21" s="298" cm="1">
        <f t="array" ref="AZ21">IF(AND(AZ$2&lt;&gt;0,TblTech[[#This Row],[Hour]:[Hour]]&gt;=AZ$2),1,0)</f>
        <v>0</v>
      </c>
      <c r="BA21" s="298" cm="1">
        <f t="array" ref="BA21">IF(AND(BA$2&lt;&gt;0,TblTech[[#This Row],[Hour]:[Hour]]&gt;=BA$2),1,0)</f>
        <v>0</v>
      </c>
      <c r="BB21" s="298" cm="1">
        <f t="array" ref="BB21">IF(AND(BB$2&lt;&gt;0,TblTech[[#This Row],[Hour]:[Hour]]&gt;=BB$2),1,0)</f>
        <v>0</v>
      </c>
      <c r="BC21" s="298" cm="1">
        <f t="array" ref="BC21">IF(AND(BC$2&lt;&gt;0,TblTech[[#This Row],[Hour]:[Hour]]&gt;=BC$2),1,0)</f>
        <v>0</v>
      </c>
      <c r="BD21" s="298" cm="1">
        <f t="array" ref="BD21">IF(AND(BD$2&lt;&gt;0,TblTech[[#This Row],[Hour]:[Hour]]&gt;=BD$2),1,0)</f>
        <v>0</v>
      </c>
      <c r="BE21" s="298" cm="1">
        <f t="array" ref="BE21">IF(AND(BE$2&lt;&gt;0,TblTech[[#This Row],[Hour]:[Hour]]&gt;=BE$2),1,0)</f>
        <v>0</v>
      </c>
      <c r="BF21" s="298" cm="1">
        <f t="array" ref="BF21">IF(AND(BF$2&lt;&gt;0,TblTech[[#This Row],[Hour]:[Hour]]&gt;=BF$2),1,0)</f>
        <v>0</v>
      </c>
      <c r="BG21" s="298" cm="1">
        <f t="array" ref="BG21">IF(AND(BG$2&lt;&gt;0,TblTech[[#This Row],[Hour]:[Hour]]&gt;=BG$2),1,0)</f>
        <v>0</v>
      </c>
      <c r="BH21" s="298" cm="1">
        <f t="array" ref="BH21">IF(AND(BH$2&lt;&gt;0,TblTech[[#This Row],[Hour]:[Hour]]&gt;=BH$2),1,0)</f>
        <v>0</v>
      </c>
      <c r="BI21" s="298" cm="1">
        <f t="array" ref="BI21">IF(AND(BI$2&lt;&gt;0,TblTech[[#This Row],[Hour]:[Hour]]&gt;=BI$2),1,0)</f>
        <v>0</v>
      </c>
      <c r="BJ21" s="298" cm="1">
        <f t="array" ref="BJ21">IF(AND(BJ$2&lt;&gt;0,TblTech[[#This Row],[Hour]:[Hour]]&gt;=BJ$2),1,0)</f>
        <v>0</v>
      </c>
      <c r="BK21" s="298" cm="1">
        <f t="array" ref="BK21">IF(AND(BK$2&lt;&gt;0,TblTech[[#This Row],[Hour]:[Hour]]&gt;=BK$2),1,0)</f>
        <v>0</v>
      </c>
      <c r="BL21" s="298" cm="1">
        <f t="array" ref="BL21">IF(AND(BL$2&lt;&gt;0,TblTech[[#This Row],[Hour]:[Hour]]&gt;=BL$2),1,0)</f>
        <v>0</v>
      </c>
      <c r="BM21" s="298" cm="1">
        <f t="array" ref="BM21">IF(AND(BM$2&lt;&gt;0,TblTech[[#This Row],[Hour]:[Hour]]&gt;=BM$2),1,0)</f>
        <v>0</v>
      </c>
      <c r="BN21" s="298" cm="1">
        <f t="array" ref="BN21">IF(AND(BN$2&lt;&gt;0,TblTech[[#This Row],[Hour]:[Hour]]&gt;=BN$2),1,0)</f>
        <v>0</v>
      </c>
      <c r="BO21" s="298" cm="1">
        <f t="array" ref="BO21">IF(AND(BO$2&lt;&gt;0,TblTech[[#This Row],[Hour]:[Hour]]&gt;=BO$2),1,0)</f>
        <v>0</v>
      </c>
      <c r="BP21" s="298" cm="1">
        <f t="array" ref="BP21">IF(AND(BP$2&lt;&gt;0,TblTech[[#This Row],[Hour]:[Hour]]&gt;=BP$2),1,0)</f>
        <v>0</v>
      </c>
      <c r="BQ21" s="298" cm="1">
        <f t="array" ref="BQ21">IF(AND(BQ$2&lt;&gt;0,TblTech[[#This Row],[Hour]:[Hour]]&gt;=BQ$2),1,0)</f>
        <v>0</v>
      </c>
      <c r="BR21" s="298" cm="1">
        <f t="array" ref="BR21">IF(AND(BR$2&lt;&gt;0,TblTech[[#This Row],[Hour]:[Hour]]&gt;=BR$2),1,0)</f>
        <v>0</v>
      </c>
      <c r="BS21" s="298" cm="1">
        <f t="array" ref="BS21">IF(AND(BS$2&lt;&gt;0,TblTech[[#This Row],[Hour]:[Hour]]&gt;=BS$2),1,0)</f>
        <v>0</v>
      </c>
      <c r="BT21" s="298" cm="1">
        <f t="array" ref="BT21">IF(AND(BT$2&lt;&gt;0,TblTech[[#This Row],[Hour]:[Hour]]&gt;=BT$2),1,0)</f>
        <v>0</v>
      </c>
      <c r="BU21" s="298" cm="1">
        <f t="array" ref="BU21">IF(AND(BU$2&lt;&gt;0,TblTech[[#This Row],[Hour]:[Hour]]&gt;=BU$2),1,0)</f>
        <v>0</v>
      </c>
      <c r="BV21" s="298" cm="1">
        <f t="array" ref="BV21">IF(AND(BV$2&lt;&gt;0,TblTech[[#This Row],[Hour]:[Hour]]&gt;=BV$2),1,0)</f>
        <v>0</v>
      </c>
      <c r="BW21" s="298" cm="1">
        <f t="array" ref="BW21">IF(AND(BW$2&lt;&gt;0,TblTech[[#This Row],[Hour]:[Hour]]&gt;=BW$2),1,0)</f>
        <v>0</v>
      </c>
      <c r="BX21" s="298" cm="1">
        <f t="array" ref="BX21">IF(AND(BX$2&lt;&gt;0,TblTech[[#This Row],[Hour]:[Hour]]&gt;=BX$2),1,0)</f>
        <v>0</v>
      </c>
      <c r="BY21" s="298" cm="1">
        <f t="array" ref="BY21">IF(AND(BY$2&lt;&gt;0,TblTech[[#This Row],[Hour]:[Hour]]&gt;=BY$2),1,0)</f>
        <v>0</v>
      </c>
      <c r="BZ21" s="298" cm="1">
        <f t="array" ref="BZ21">IF(AND(BZ$2&lt;&gt;0,TblTech[[#This Row],[Hour]:[Hour]]&gt;=BZ$2),1,0)</f>
        <v>0</v>
      </c>
      <c r="CA21" s="402">
        <f>IFERROR(INDEX($H$4:$H$79,MATCH(INDEX(TblTech[[#Headers],[1-1]:[11-1]],1,MATCH(TblTech[[#This Row],[Hour]],$M$2:$BZ$2,0)),$G$4:$G$79,0)),)</f>
        <v>0</v>
      </c>
    </row>
    <row r="22" spans="1:79" x14ac:dyDescent="0.2">
      <c r="A22" s="290">
        <f>TblRezone[[#This Row],[Hour]]</f>
        <v>19</v>
      </c>
      <c r="B22" s="291">
        <f ca="1">TblExplore[[#This Row],[Land-DB]]</f>
        <v>250</v>
      </c>
      <c r="C22" s="292">
        <f ca="1">TblProd[[#This Row],[Techpoints]]</f>
        <v>0</v>
      </c>
      <c r="D22" s="292">
        <f ca="1">TblProd[[#This Row],[Required]]</f>
        <v>3750</v>
      </c>
      <c r="E22" s="293"/>
      <c r="F22" s="294"/>
      <c r="G22" s="295" t="s">
        <v>560</v>
      </c>
      <c r="H22" s="296" t="s">
        <v>710</v>
      </c>
      <c r="I22" s="295" t="s">
        <v>1048</v>
      </c>
      <c r="J22" s="291"/>
      <c r="K22" s="95">
        <f ca="1">IF(TblTech[[#This Row],[Sum of tech]]&lt;&gt;OFFSET(TblTech[[#This Row],[Sum of tech]],-1,0),1,0)</f>
        <v>0</v>
      </c>
      <c r="L22" s="297">
        <f>COUNTIF(TblTech[[#This Row],[1-1]:[11-1]],1)</f>
        <v>0</v>
      </c>
      <c r="M22" s="298" cm="1">
        <f t="array" ref="M22">IF(AND(M$2&lt;&gt;0,TblTech[[#This Row],[Hour]:[Hour]]&gt;=M$2),1,0)</f>
        <v>0</v>
      </c>
      <c r="N22" s="298" cm="1">
        <f t="array" ref="N22">IF(AND(N$2&lt;&gt;0,TblTech[[#This Row],[Hour]:[Hour]]&gt;=N$2),1,0)</f>
        <v>0</v>
      </c>
      <c r="O22" s="298" cm="1">
        <f t="array" ref="O22">IF(AND(O$2&lt;&gt;0,TblTech[[#This Row],[Hour]:[Hour]]&gt;=O$2),1,0)</f>
        <v>0</v>
      </c>
      <c r="P22" s="298" cm="1">
        <f t="array" ref="P22">IF(AND(P$2&lt;&gt;0,TblTech[[#This Row],[Hour]:[Hour]]&gt;=P$2),1,0)</f>
        <v>0</v>
      </c>
      <c r="Q22" s="298" cm="1">
        <f t="array" ref="Q22">IF(AND(Q$2&lt;&gt;0,TblTech[[#This Row],[Hour]:[Hour]]&gt;=Q$2),1,0)</f>
        <v>0</v>
      </c>
      <c r="R22" s="298" cm="1">
        <f t="array" ref="R22">IF(AND(R$2&lt;&gt;0,TblTech[[#This Row],[Hour]:[Hour]]&gt;=R$2),1,0)</f>
        <v>0</v>
      </c>
      <c r="S22" s="298" cm="1">
        <f t="array" ref="S22">IF(AND(S$2&lt;&gt;0,TblTech[[#This Row],[Hour]:[Hour]]&gt;=S$2),1,0)</f>
        <v>0</v>
      </c>
      <c r="T22" s="298" cm="1">
        <f t="array" ref="T22">IF(AND(T$2&lt;&gt;0,TblTech[[#This Row],[Hour]:[Hour]]&gt;=T$2),1,0)</f>
        <v>0</v>
      </c>
      <c r="U22" s="298" cm="1">
        <f t="array" ref="U22">IF(AND(U$2&lt;&gt;0,TblTech[[#This Row],[Hour]:[Hour]]&gt;=U$2),1,0)</f>
        <v>0</v>
      </c>
      <c r="V22" s="298" cm="1">
        <f t="array" ref="V22">IF(AND(V$2&lt;&gt;0,TblTech[[#This Row],[Hour]:[Hour]]&gt;=V$2),1,0)</f>
        <v>0</v>
      </c>
      <c r="W22" s="298" cm="1">
        <f t="array" ref="W22">IF(AND(W$2&lt;&gt;0,TblTech[[#This Row],[Hour]:[Hour]]&gt;=W$2),1,0)</f>
        <v>0</v>
      </c>
      <c r="X22" s="298" cm="1">
        <f t="array" ref="X22">IF(AND(X$2&lt;&gt;0,TblTech[[#This Row],[Hour]:[Hour]]&gt;=X$2),1,0)</f>
        <v>0</v>
      </c>
      <c r="Y22" s="298" cm="1">
        <f t="array" ref="Y22">IF(AND(Y$2&lt;&gt;0,TblTech[[#This Row],[Hour]:[Hour]]&gt;=Y$2),1,0)</f>
        <v>0</v>
      </c>
      <c r="Z22" s="298" cm="1">
        <f t="array" ref="Z22">IF(AND(Z$2&lt;&gt;0,TblTech[[#This Row],[Hour]:[Hour]]&gt;=Z$2),1,0)</f>
        <v>0</v>
      </c>
      <c r="AA22" s="298" cm="1">
        <f t="array" ref="AA22">IF(AND(AA$2&lt;&gt;0,TblTech[[#This Row],[Hour]:[Hour]]&gt;=AA$2),1,0)</f>
        <v>0</v>
      </c>
      <c r="AB22" s="298" cm="1">
        <f t="array" ref="AB22">IF(AND(AB$2&lt;&gt;0,TblTech[[#This Row],[Hour]:[Hour]]&gt;=AB$2),1,0)</f>
        <v>0</v>
      </c>
      <c r="AC22" s="298" cm="1">
        <f t="array" ref="AC22">IF(AND(AC$2&lt;&gt;0,TblTech[[#This Row],[Hour]:[Hour]]&gt;=AC$2),1,0)</f>
        <v>0</v>
      </c>
      <c r="AD22" s="298" cm="1">
        <f t="array" ref="AD22">IF(AND(AD$2&lt;&gt;0,TblTech[[#This Row],[Hour]:[Hour]]&gt;=AD$2),1,0)</f>
        <v>0</v>
      </c>
      <c r="AE22" s="298" cm="1">
        <f t="array" ref="AE22">IF(AND(AE$2&lt;&gt;0,TblTech[[#This Row],[Hour]:[Hour]]&gt;=AE$2),1,0)</f>
        <v>0</v>
      </c>
      <c r="AF22" s="298" cm="1">
        <f t="array" ref="AF22">IF(AND(AF$2&lt;&gt;0,TblTech[[#This Row],[Hour]:[Hour]]&gt;=AF$2),1,0)</f>
        <v>0</v>
      </c>
      <c r="AG22" s="298" cm="1">
        <f t="array" ref="AG22">IF(AND(AG$2&lt;&gt;0,TblTech[[#This Row],[Hour]:[Hour]]&gt;=AG$2),1,0)</f>
        <v>0</v>
      </c>
      <c r="AH22" s="298" cm="1">
        <f t="array" ref="AH22">IF(AND(AH$2&lt;&gt;0,TblTech[[#This Row],[Hour]:[Hour]]&gt;=AH$2),1,0)</f>
        <v>0</v>
      </c>
      <c r="AI22" s="298" cm="1">
        <f t="array" ref="AI22">IF(AND(AI$2&lt;&gt;0,TblTech[[#This Row],[Hour]:[Hour]]&gt;=AI$2),1,0)</f>
        <v>0</v>
      </c>
      <c r="AJ22" s="298" cm="1">
        <f t="array" ref="AJ22">IF(AND(AJ$2&lt;&gt;0,TblTech[[#This Row],[Hour]:[Hour]]&gt;=AJ$2),1,0)</f>
        <v>0</v>
      </c>
      <c r="AK22" s="298" cm="1">
        <f t="array" ref="AK22">IF(AND(AK$2&lt;&gt;0,TblTech[[#This Row],[Hour]:[Hour]]&gt;=AK$2),1,0)</f>
        <v>0</v>
      </c>
      <c r="AL22" s="298" cm="1">
        <f t="array" ref="AL22">IF(AND(AL$2&lt;&gt;0,TblTech[[#This Row],[Hour]:[Hour]]&gt;=AL$2),1,0)</f>
        <v>0</v>
      </c>
      <c r="AM22" s="298" cm="1">
        <f t="array" ref="AM22">IF(AND(AM$2&lt;&gt;0,TblTech[[#This Row],[Hour]:[Hour]]&gt;=AM$2),1,0)</f>
        <v>0</v>
      </c>
      <c r="AN22" s="298" cm="1">
        <f t="array" ref="AN22">IF(AND(AN$2&lt;&gt;0,TblTech[[#This Row],[Hour]:[Hour]]&gt;=AN$2),1,0)</f>
        <v>0</v>
      </c>
      <c r="AO22" s="298" cm="1">
        <f t="array" ref="AO22">IF(AND(AO$2&lt;&gt;0,TblTech[[#This Row],[Hour]:[Hour]]&gt;=AO$2),1,0)</f>
        <v>0</v>
      </c>
      <c r="AP22" s="298" cm="1">
        <f t="array" ref="AP22">IF(AND(AP$2&lt;&gt;0,TblTech[[#This Row],[Hour]:[Hour]]&gt;=AP$2),1,0)</f>
        <v>0</v>
      </c>
      <c r="AQ22" s="298" cm="1">
        <f t="array" ref="AQ22">IF(AND(AQ$2&lt;&gt;0,TblTech[[#This Row],[Hour]:[Hour]]&gt;=AQ$2),1,0)</f>
        <v>0</v>
      </c>
      <c r="AR22" s="298" cm="1">
        <f t="array" ref="AR22">IF(AND(AR$2&lt;&gt;0,TblTech[[#This Row],[Hour]:[Hour]]&gt;=AR$2),1,0)</f>
        <v>0</v>
      </c>
      <c r="AS22" s="298" cm="1">
        <f t="array" ref="AS22">IF(AND(AS$2&lt;&gt;0,TblTech[[#This Row],[Hour]:[Hour]]&gt;=AS$2),1,0)</f>
        <v>0</v>
      </c>
      <c r="AT22" s="298" cm="1">
        <f t="array" ref="AT22">IF(AND(AT$2&lt;&gt;0,TblTech[[#This Row],[Hour]:[Hour]]&gt;=AT$2),1,0)</f>
        <v>0</v>
      </c>
      <c r="AU22" s="298" cm="1">
        <f t="array" ref="AU22">IF(AND(AU$2&lt;&gt;0,TblTech[[#This Row],[Hour]:[Hour]]&gt;=AU$2),1,0)</f>
        <v>0</v>
      </c>
      <c r="AV22" s="298" cm="1">
        <f t="array" ref="AV22">IF(AND(AV$2&lt;&gt;0,TblTech[[#This Row],[Hour]:[Hour]]&gt;=AV$2),1,0)</f>
        <v>0</v>
      </c>
      <c r="AW22" s="298" cm="1">
        <f t="array" ref="AW22">IF(AND(AW$2&lt;&gt;0,TblTech[[#This Row],[Hour]:[Hour]]&gt;=AW$2),1,0)</f>
        <v>0</v>
      </c>
      <c r="AX22" s="298" cm="1">
        <f t="array" ref="AX22">IF(AND(AX$2&lt;&gt;0,TblTech[[#This Row],[Hour]:[Hour]]&gt;=AX$2),1,0)</f>
        <v>0</v>
      </c>
      <c r="AY22" s="298" cm="1">
        <f t="array" ref="AY22">IF(AND(AY$2&lt;&gt;0,TblTech[[#This Row],[Hour]:[Hour]]&gt;=AY$2),1,0)</f>
        <v>0</v>
      </c>
      <c r="AZ22" s="298" cm="1">
        <f t="array" ref="AZ22">IF(AND(AZ$2&lt;&gt;0,TblTech[[#This Row],[Hour]:[Hour]]&gt;=AZ$2),1,0)</f>
        <v>0</v>
      </c>
      <c r="BA22" s="298" cm="1">
        <f t="array" ref="BA22">IF(AND(BA$2&lt;&gt;0,TblTech[[#This Row],[Hour]:[Hour]]&gt;=BA$2),1,0)</f>
        <v>0</v>
      </c>
      <c r="BB22" s="298" cm="1">
        <f t="array" ref="BB22">IF(AND(BB$2&lt;&gt;0,TblTech[[#This Row],[Hour]:[Hour]]&gt;=BB$2),1,0)</f>
        <v>0</v>
      </c>
      <c r="BC22" s="298" cm="1">
        <f t="array" ref="BC22">IF(AND(BC$2&lt;&gt;0,TblTech[[#This Row],[Hour]:[Hour]]&gt;=BC$2),1,0)</f>
        <v>0</v>
      </c>
      <c r="BD22" s="298" cm="1">
        <f t="array" ref="BD22">IF(AND(BD$2&lt;&gt;0,TblTech[[#This Row],[Hour]:[Hour]]&gt;=BD$2),1,0)</f>
        <v>0</v>
      </c>
      <c r="BE22" s="298" cm="1">
        <f t="array" ref="BE22">IF(AND(BE$2&lt;&gt;0,TblTech[[#This Row],[Hour]:[Hour]]&gt;=BE$2),1,0)</f>
        <v>0</v>
      </c>
      <c r="BF22" s="298" cm="1">
        <f t="array" ref="BF22">IF(AND(BF$2&lt;&gt;0,TblTech[[#This Row],[Hour]:[Hour]]&gt;=BF$2),1,0)</f>
        <v>0</v>
      </c>
      <c r="BG22" s="298" cm="1">
        <f t="array" ref="BG22">IF(AND(BG$2&lt;&gt;0,TblTech[[#This Row],[Hour]:[Hour]]&gt;=BG$2),1,0)</f>
        <v>0</v>
      </c>
      <c r="BH22" s="298" cm="1">
        <f t="array" ref="BH22">IF(AND(BH$2&lt;&gt;0,TblTech[[#This Row],[Hour]:[Hour]]&gt;=BH$2),1,0)</f>
        <v>0</v>
      </c>
      <c r="BI22" s="298" cm="1">
        <f t="array" ref="BI22">IF(AND(BI$2&lt;&gt;0,TblTech[[#This Row],[Hour]:[Hour]]&gt;=BI$2),1,0)</f>
        <v>0</v>
      </c>
      <c r="BJ22" s="298" cm="1">
        <f t="array" ref="BJ22">IF(AND(BJ$2&lt;&gt;0,TblTech[[#This Row],[Hour]:[Hour]]&gt;=BJ$2),1,0)</f>
        <v>0</v>
      </c>
      <c r="BK22" s="298" cm="1">
        <f t="array" ref="BK22">IF(AND(BK$2&lt;&gt;0,TblTech[[#This Row],[Hour]:[Hour]]&gt;=BK$2),1,0)</f>
        <v>0</v>
      </c>
      <c r="BL22" s="298" cm="1">
        <f t="array" ref="BL22">IF(AND(BL$2&lt;&gt;0,TblTech[[#This Row],[Hour]:[Hour]]&gt;=BL$2),1,0)</f>
        <v>0</v>
      </c>
      <c r="BM22" s="298" cm="1">
        <f t="array" ref="BM22">IF(AND(BM$2&lt;&gt;0,TblTech[[#This Row],[Hour]:[Hour]]&gt;=BM$2),1,0)</f>
        <v>0</v>
      </c>
      <c r="BN22" s="298" cm="1">
        <f t="array" ref="BN22">IF(AND(BN$2&lt;&gt;0,TblTech[[#This Row],[Hour]:[Hour]]&gt;=BN$2),1,0)</f>
        <v>0</v>
      </c>
      <c r="BO22" s="298" cm="1">
        <f t="array" ref="BO22">IF(AND(BO$2&lt;&gt;0,TblTech[[#This Row],[Hour]:[Hour]]&gt;=BO$2),1,0)</f>
        <v>0</v>
      </c>
      <c r="BP22" s="298" cm="1">
        <f t="array" ref="BP22">IF(AND(BP$2&lt;&gt;0,TblTech[[#This Row],[Hour]:[Hour]]&gt;=BP$2),1,0)</f>
        <v>0</v>
      </c>
      <c r="BQ22" s="298" cm="1">
        <f t="array" ref="BQ22">IF(AND(BQ$2&lt;&gt;0,TblTech[[#This Row],[Hour]:[Hour]]&gt;=BQ$2),1,0)</f>
        <v>0</v>
      </c>
      <c r="BR22" s="298" cm="1">
        <f t="array" ref="BR22">IF(AND(BR$2&lt;&gt;0,TblTech[[#This Row],[Hour]:[Hour]]&gt;=BR$2),1,0)</f>
        <v>0</v>
      </c>
      <c r="BS22" s="298" cm="1">
        <f t="array" ref="BS22">IF(AND(BS$2&lt;&gt;0,TblTech[[#This Row],[Hour]:[Hour]]&gt;=BS$2),1,0)</f>
        <v>0</v>
      </c>
      <c r="BT22" s="298" cm="1">
        <f t="array" ref="BT22">IF(AND(BT$2&lt;&gt;0,TblTech[[#This Row],[Hour]:[Hour]]&gt;=BT$2),1,0)</f>
        <v>0</v>
      </c>
      <c r="BU22" s="298" cm="1">
        <f t="array" ref="BU22">IF(AND(BU$2&lt;&gt;0,TblTech[[#This Row],[Hour]:[Hour]]&gt;=BU$2),1,0)</f>
        <v>0</v>
      </c>
      <c r="BV22" s="298" cm="1">
        <f t="array" ref="BV22">IF(AND(BV$2&lt;&gt;0,TblTech[[#This Row],[Hour]:[Hour]]&gt;=BV$2),1,0)</f>
        <v>0</v>
      </c>
      <c r="BW22" s="298" cm="1">
        <f t="array" ref="BW22">IF(AND(BW$2&lt;&gt;0,TblTech[[#This Row],[Hour]:[Hour]]&gt;=BW$2),1,0)</f>
        <v>0</v>
      </c>
      <c r="BX22" s="298" cm="1">
        <f t="array" ref="BX22">IF(AND(BX$2&lt;&gt;0,TblTech[[#This Row],[Hour]:[Hour]]&gt;=BX$2),1,0)</f>
        <v>0</v>
      </c>
      <c r="BY22" s="298" cm="1">
        <f t="array" ref="BY22">IF(AND(BY$2&lt;&gt;0,TblTech[[#This Row],[Hour]:[Hour]]&gt;=BY$2),1,0)</f>
        <v>0</v>
      </c>
      <c r="BZ22" s="298" cm="1">
        <f t="array" ref="BZ22">IF(AND(BZ$2&lt;&gt;0,TblTech[[#This Row],[Hour]:[Hour]]&gt;=BZ$2),1,0)</f>
        <v>0</v>
      </c>
      <c r="CA22" s="402">
        <f>IFERROR(INDEX($H$4:$H$79,MATCH(INDEX(TblTech[[#Headers],[1-1]:[11-1]],1,MATCH(TblTech[[#This Row],[Hour]],$M$2:$BZ$2,0)),$G$4:$G$79,0)),)</f>
        <v>0</v>
      </c>
    </row>
    <row r="23" spans="1:79" x14ac:dyDescent="0.2">
      <c r="A23" s="290">
        <f>TblRezone[[#This Row],[Hour]]</f>
        <v>20</v>
      </c>
      <c r="B23" s="291">
        <f ca="1">TblExplore[[#This Row],[Land-DB]]</f>
        <v>250</v>
      </c>
      <c r="C23" s="292">
        <f ca="1">TblProd[[#This Row],[Techpoints]]</f>
        <v>0</v>
      </c>
      <c r="D23" s="292">
        <f ca="1">TblProd[[#This Row],[Required]]</f>
        <v>3750</v>
      </c>
      <c r="E23" s="293"/>
      <c r="F23" s="294"/>
      <c r="G23" s="295" t="s">
        <v>562</v>
      </c>
      <c r="H23" s="296" t="s">
        <v>695</v>
      </c>
      <c r="I23" s="295" t="s">
        <v>738</v>
      </c>
      <c r="J23" s="291"/>
      <c r="K23" s="95">
        <f ca="1">IF(TblTech[[#This Row],[Sum of tech]]&lt;&gt;OFFSET(TblTech[[#This Row],[Sum of tech]],-1,0),1,0)</f>
        <v>0</v>
      </c>
      <c r="L23" s="297">
        <f>COUNTIF(TblTech[[#This Row],[1-1]:[11-1]],1)</f>
        <v>0</v>
      </c>
      <c r="M23" s="298" cm="1">
        <f t="array" ref="M23">IF(AND(M$2&lt;&gt;0,TblTech[[#This Row],[Hour]:[Hour]]&gt;=M$2),1,0)</f>
        <v>0</v>
      </c>
      <c r="N23" s="298" cm="1">
        <f t="array" ref="N23">IF(AND(N$2&lt;&gt;0,TblTech[[#This Row],[Hour]:[Hour]]&gt;=N$2),1,0)</f>
        <v>0</v>
      </c>
      <c r="O23" s="298" cm="1">
        <f t="array" ref="O23">IF(AND(O$2&lt;&gt;0,TblTech[[#This Row],[Hour]:[Hour]]&gt;=O$2),1,0)</f>
        <v>0</v>
      </c>
      <c r="P23" s="298" cm="1">
        <f t="array" ref="P23">IF(AND(P$2&lt;&gt;0,TblTech[[#This Row],[Hour]:[Hour]]&gt;=P$2),1,0)</f>
        <v>0</v>
      </c>
      <c r="Q23" s="298" cm="1">
        <f t="array" ref="Q23">IF(AND(Q$2&lt;&gt;0,TblTech[[#This Row],[Hour]:[Hour]]&gt;=Q$2),1,0)</f>
        <v>0</v>
      </c>
      <c r="R23" s="298" cm="1">
        <f t="array" ref="R23">IF(AND(R$2&lt;&gt;0,TblTech[[#This Row],[Hour]:[Hour]]&gt;=R$2),1,0)</f>
        <v>0</v>
      </c>
      <c r="S23" s="298" cm="1">
        <f t="array" ref="S23">IF(AND(S$2&lt;&gt;0,TblTech[[#This Row],[Hour]:[Hour]]&gt;=S$2),1,0)</f>
        <v>0</v>
      </c>
      <c r="T23" s="298" cm="1">
        <f t="array" ref="T23">IF(AND(T$2&lt;&gt;0,TblTech[[#This Row],[Hour]:[Hour]]&gt;=T$2),1,0)</f>
        <v>0</v>
      </c>
      <c r="U23" s="298" cm="1">
        <f t="array" ref="U23">IF(AND(U$2&lt;&gt;0,TblTech[[#This Row],[Hour]:[Hour]]&gt;=U$2),1,0)</f>
        <v>0</v>
      </c>
      <c r="V23" s="298" cm="1">
        <f t="array" ref="V23">IF(AND(V$2&lt;&gt;0,TblTech[[#This Row],[Hour]:[Hour]]&gt;=V$2),1,0)</f>
        <v>0</v>
      </c>
      <c r="W23" s="298" cm="1">
        <f t="array" ref="W23">IF(AND(W$2&lt;&gt;0,TblTech[[#This Row],[Hour]:[Hour]]&gt;=W$2),1,0)</f>
        <v>0</v>
      </c>
      <c r="X23" s="298" cm="1">
        <f t="array" ref="X23">IF(AND(X$2&lt;&gt;0,TblTech[[#This Row],[Hour]:[Hour]]&gt;=X$2),1,0)</f>
        <v>0</v>
      </c>
      <c r="Y23" s="298" cm="1">
        <f t="array" ref="Y23">IF(AND(Y$2&lt;&gt;0,TblTech[[#This Row],[Hour]:[Hour]]&gt;=Y$2),1,0)</f>
        <v>0</v>
      </c>
      <c r="Z23" s="298" cm="1">
        <f t="array" ref="Z23">IF(AND(Z$2&lt;&gt;0,TblTech[[#This Row],[Hour]:[Hour]]&gt;=Z$2),1,0)</f>
        <v>0</v>
      </c>
      <c r="AA23" s="298" cm="1">
        <f t="array" ref="AA23">IF(AND(AA$2&lt;&gt;0,TblTech[[#This Row],[Hour]:[Hour]]&gt;=AA$2),1,0)</f>
        <v>0</v>
      </c>
      <c r="AB23" s="298" cm="1">
        <f t="array" ref="AB23">IF(AND(AB$2&lt;&gt;0,TblTech[[#This Row],[Hour]:[Hour]]&gt;=AB$2),1,0)</f>
        <v>0</v>
      </c>
      <c r="AC23" s="298" cm="1">
        <f t="array" ref="AC23">IF(AND(AC$2&lt;&gt;0,TblTech[[#This Row],[Hour]:[Hour]]&gt;=AC$2),1,0)</f>
        <v>0</v>
      </c>
      <c r="AD23" s="298" cm="1">
        <f t="array" ref="AD23">IF(AND(AD$2&lt;&gt;0,TblTech[[#This Row],[Hour]:[Hour]]&gt;=AD$2),1,0)</f>
        <v>0</v>
      </c>
      <c r="AE23" s="298" cm="1">
        <f t="array" ref="AE23">IF(AND(AE$2&lt;&gt;0,TblTech[[#This Row],[Hour]:[Hour]]&gt;=AE$2),1,0)</f>
        <v>0</v>
      </c>
      <c r="AF23" s="298" cm="1">
        <f t="array" ref="AF23">IF(AND(AF$2&lt;&gt;0,TblTech[[#This Row],[Hour]:[Hour]]&gt;=AF$2),1,0)</f>
        <v>0</v>
      </c>
      <c r="AG23" s="298" cm="1">
        <f t="array" ref="AG23">IF(AND(AG$2&lt;&gt;0,TblTech[[#This Row],[Hour]:[Hour]]&gt;=AG$2),1,0)</f>
        <v>0</v>
      </c>
      <c r="AH23" s="298" cm="1">
        <f t="array" ref="AH23">IF(AND(AH$2&lt;&gt;0,TblTech[[#This Row],[Hour]:[Hour]]&gt;=AH$2),1,0)</f>
        <v>0</v>
      </c>
      <c r="AI23" s="298" cm="1">
        <f t="array" ref="AI23">IF(AND(AI$2&lt;&gt;0,TblTech[[#This Row],[Hour]:[Hour]]&gt;=AI$2),1,0)</f>
        <v>0</v>
      </c>
      <c r="AJ23" s="298" cm="1">
        <f t="array" ref="AJ23">IF(AND(AJ$2&lt;&gt;0,TblTech[[#This Row],[Hour]:[Hour]]&gt;=AJ$2),1,0)</f>
        <v>0</v>
      </c>
      <c r="AK23" s="298" cm="1">
        <f t="array" ref="AK23">IF(AND(AK$2&lt;&gt;0,TblTech[[#This Row],[Hour]:[Hour]]&gt;=AK$2),1,0)</f>
        <v>0</v>
      </c>
      <c r="AL23" s="298" cm="1">
        <f t="array" ref="AL23">IF(AND(AL$2&lt;&gt;0,TblTech[[#This Row],[Hour]:[Hour]]&gt;=AL$2),1,0)</f>
        <v>0</v>
      </c>
      <c r="AM23" s="298" cm="1">
        <f t="array" ref="AM23">IF(AND(AM$2&lt;&gt;0,TblTech[[#This Row],[Hour]:[Hour]]&gt;=AM$2),1,0)</f>
        <v>0</v>
      </c>
      <c r="AN23" s="298" cm="1">
        <f t="array" ref="AN23">IF(AND(AN$2&lt;&gt;0,TblTech[[#This Row],[Hour]:[Hour]]&gt;=AN$2),1,0)</f>
        <v>0</v>
      </c>
      <c r="AO23" s="298" cm="1">
        <f t="array" ref="AO23">IF(AND(AO$2&lt;&gt;0,TblTech[[#This Row],[Hour]:[Hour]]&gt;=AO$2),1,0)</f>
        <v>0</v>
      </c>
      <c r="AP23" s="298" cm="1">
        <f t="array" ref="AP23">IF(AND(AP$2&lt;&gt;0,TblTech[[#This Row],[Hour]:[Hour]]&gt;=AP$2),1,0)</f>
        <v>0</v>
      </c>
      <c r="AQ23" s="298" cm="1">
        <f t="array" ref="AQ23">IF(AND(AQ$2&lt;&gt;0,TblTech[[#This Row],[Hour]:[Hour]]&gt;=AQ$2),1,0)</f>
        <v>0</v>
      </c>
      <c r="AR23" s="298" cm="1">
        <f t="array" ref="AR23">IF(AND(AR$2&lt;&gt;0,TblTech[[#This Row],[Hour]:[Hour]]&gt;=AR$2),1,0)</f>
        <v>0</v>
      </c>
      <c r="AS23" s="298" cm="1">
        <f t="array" ref="AS23">IF(AND(AS$2&lt;&gt;0,TblTech[[#This Row],[Hour]:[Hour]]&gt;=AS$2),1,0)</f>
        <v>0</v>
      </c>
      <c r="AT23" s="298" cm="1">
        <f t="array" ref="AT23">IF(AND(AT$2&lt;&gt;0,TblTech[[#This Row],[Hour]:[Hour]]&gt;=AT$2),1,0)</f>
        <v>0</v>
      </c>
      <c r="AU23" s="298" cm="1">
        <f t="array" ref="AU23">IF(AND(AU$2&lt;&gt;0,TblTech[[#This Row],[Hour]:[Hour]]&gt;=AU$2),1,0)</f>
        <v>0</v>
      </c>
      <c r="AV23" s="298" cm="1">
        <f t="array" ref="AV23">IF(AND(AV$2&lt;&gt;0,TblTech[[#This Row],[Hour]:[Hour]]&gt;=AV$2),1,0)</f>
        <v>0</v>
      </c>
      <c r="AW23" s="298" cm="1">
        <f t="array" ref="AW23">IF(AND(AW$2&lt;&gt;0,TblTech[[#This Row],[Hour]:[Hour]]&gt;=AW$2),1,0)</f>
        <v>0</v>
      </c>
      <c r="AX23" s="298" cm="1">
        <f t="array" ref="AX23">IF(AND(AX$2&lt;&gt;0,TblTech[[#This Row],[Hour]:[Hour]]&gt;=AX$2),1,0)</f>
        <v>0</v>
      </c>
      <c r="AY23" s="298" cm="1">
        <f t="array" ref="AY23">IF(AND(AY$2&lt;&gt;0,TblTech[[#This Row],[Hour]:[Hour]]&gt;=AY$2),1,0)</f>
        <v>0</v>
      </c>
      <c r="AZ23" s="298" cm="1">
        <f t="array" ref="AZ23">IF(AND(AZ$2&lt;&gt;0,TblTech[[#This Row],[Hour]:[Hour]]&gt;=AZ$2),1,0)</f>
        <v>0</v>
      </c>
      <c r="BA23" s="298" cm="1">
        <f t="array" ref="BA23">IF(AND(BA$2&lt;&gt;0,TblTech[[#This Row],[Hour]:[Hour]]&gt;=BA$2),1,0)</f>
        <v>0</v>
      </c>
      <c r="BB23" s="298" cm="1">
        <f t="array" ref="BB23">IF(AND(BB$2&lt;&gt;0,TblTech[[#This Row],[Hour]:[Hour]]&gt;=BB$2),1,0)</f>
        <v>0</v>
      </c>
      <c r="BC23" s="298" cm="1">
        <f t="array" ref="BC23">IF(AND(BC$2&lt;&gt;0,TblTech[[#This Row],[Hour]:[Hour]]&gt;=BC$2),1,0)</f>
        <v>0</v>
      </c>
      <c r="BD23" s="298" cm="1">
        <f t="array" ref="BD23">IF(AND(BD$2&lt;&gt;0,TblTech[[#This Row],[Hour]:[Hour]]&gt;=BD$2),1,0)</f>
        <v>0</v>
      </c>
      <c r="BE23" s="298" cm="1">
        <f t="array" ref="BE23">IF(AND(BE$2&lt;&gt;0,TblTech[[#This Row],[Hour]:[Hour]]&gt;=BE$2),1,0)</f>
        <v>0</v>
      </c>
      <c r="BF23" s="298" cm="1">
        <f t="array" ref="BF23">IF(AND(BF$2&lt;&gt;0,TblTech[[#This Row],[Hour]:[Hour]]&gt;=BF$2),1,0)</f>
        <v>0</v>
      </c>
      <c r="BG23" s="298" cm="1">
        <f t="array" ref="BG23">IF(AND(BG$2&lt;&gt;0,TblTech[[#This Row],[Hour]:[Hour]]&gt;=BG$2),1,0)</f>
        <v>0</v>
      </c>
      <c r="BH23" s="298" cm="1">
        <f t="array" ref="BH23">IF(AND(BH$2&lt;&gt;0,TblTech[[#This Row],[Hour]:[Hour]]&gt;=BH$2),1,0)</f>
        <v>0</v>
      </c>
      <c r="BI23" s="298" cm="1">
        <f t="array" ref="BI23">IF(AND(BI$2&lt;&gt;0,TblTech[[#This Row],[Hour]:[Hour]]&gt;=BI$2),1,0)</f>
        <v>0</v>
      </c>
      <c r="BJ23" s="298" cm="1">
        <f t="array" ref="BJ23">IF(AND(BJ$2&lt;&gt;0,TblTech[[#This Row],[Hour]:[Hour]]&gt;=BJ$2),1,0)</f>
        <v>0</v>
      </c>
      <c r="BK23" s="298" cm="1">
        <f t="array" ref="BK23">IF(AND(BK$2&lt;&gt;0,TblTech[[#This Row],[Hour]:[Hour]]&gt;=BK$2),1,0)</f>
        <v>0</v>
      </c>
      <c r="BL23" s="298" cm="1">
        <f t="array" ref="BL23">IF(AND(BL$2&lt;&gt;0,TblTech[[#This Row],[Hour]:[Hour]]&gt;=BL$2),1,0)</f>
        <v>0</v>
      </c>
      <c r="BM23" s="298" cm="1">
        <f t="array" ref="BM23">IF(AND(BM$2&lt;&gt;0,TblTech[[#This Row],[Hour]:[Hour]]&gt;=BM$2),1,0)</f>
        <v>0</v>
      </c>
      <c r="BN23" s="298" cm="1">
        <f t="array" ref="BN23">IF(AND(BN$2&lt;&gt;0,TblTech[[#This Row],[Hour]:[Hour]]&gt;=BN$2),1,0)</f>
        <v>0</v>
      </c>
      <c r="BO23" s="298" cm="1">
        <f t="array" ref="BO23">IF(AND(BO$2&lt;&gt;0,TblTech[[#This Row],[Hour]:[Hour]]&gt;=BO$2),1,0)</f>
        <v>0</v>
      </c>
      <c r="BP23" s="298" cm="1">
        <f t="array" ref="BP23">IF(AND(BP$2&lt;&gt;0,TblTech[[#This Row],[Hour]:[Hour]]&gt;=BP$2),1,0)</f>
        <v>0</v>
      </c>
      <c r="BQ23" s="298" cm="1">
        <f t="array" ref="BQ23">IF(AND(BQ$2&lt;&gt;0,TblTech[[#This Row],[Hour]:[Hour]]&gt;=BQ$2),1,0)</f>
        <v>0</v>
      </c>
      <c r="BR23" s="298" cm="1">
        <f t="array" ref="BR23">IF(AND(BR$2&lt;&gt;0,TblTech[[#This Row],[Hour]:[Hour]]&gt;=BR$2),1,0)</f>
        <v>0</v>
      </c>
      <c r="BS23" s="298" cm="1">
        <f t="array" ref="BS23">IF(AND(BS$2&lt;&gt;0,TblTech[[#This Row],[Hour]:[Hour]]&gt;=BS$2),1,0)</f>
        <v>0</v>
      </c>
      <c r="BT23" s="298" cm="1">
        <f t="array" ref="BT23">IF(AND(BT$2&lt;&gt;0,TblTech[[#This Row],[Hour]:[Hour]]&gt;=BT$2),1,0)</f>
        <v>0</v>
      </c>
      <c r="BU23" s="298" cm="1">
        <f t="array" ref="BU23">IF(AND(BU$2&lt;&gt;0,TblTech[[#This Row],[Hour]:[Hour]]&gt;=BU$2),1,0)</f>
        <v>0</v>
      </c>
      <c r="BV23" s="298" cm="1">
        <f t="array" ref="BV23">IF(AND(BV$2&lt;&gt;0,TblTech[[#This Row],[Hour]:[Hour]]&gt;=BV$2),1,0)</f>
        <v>0</v>
      </c>
      <c r="BW23" s="298" cm="1">
        <f t="array" ref="BW23">IF(AND(BW$2&lt;&gt;0,TblTech[[#This Row],[Hour]:[Hour]]&gt;=BW$2),1,0)</f>
        <v>0</v>
      </c>
      <c r="BX23" s="298" cm="1">
        <f t="array" ref="BX23">IF(AND(BX$2&lt;&gt;0,TblTech[[#This Row],[Hour]:[Hour]]&gt;=BX$2),1,0)</f>
        <v>0</v>
      </c>
      <c r="BY23" s="298" cm="1">
        <f t="array" ref="BY23">IF(AND(BY$2&lt;&gt;0,TblTech[[#This Row],[Hour]:[Hour]]&gt;=BY$2),1,0)</f>
        <v>0</v>
      </c>
      <c r="BZ23" s="298" cm="1">
        <f t="array" ref="BZ23">IF(AND(BZ$2&lt;&gt;0,TblTech[[#This Row],[Hour]:[Hour]]&gt;=BZ$2),1,0)</f>
        <v>0</v>
      </c>
      <c r="CA23" s="402">
        <f>IFERROR(INDEX($H$4:$H$79,MATCH(INDEX(TblTech[[#Headers],[1-1]:[11-1]],1,MATCH(TblTech[[#This Row],[Hour]],$M$2:$BZ$2,0)),$G$4:$G$79,0)),)</f>
        <v>0</v>
      </c>
    </row>
    <row r="24" spans="1:79" x14ac:dyDescent="0.2">
      <c r="A24" s="290">
        <f>TblRezone[[#This Row],[Hour]]</f>
        <v>21</v>
      </c>
      <c r="B24" s="291">
        <f ca="1">TblExplore[[#This Row],[Land-DB]]</f>
        <v>250</v>
      </c>
      <c r="C24" s="292">
        <f ca="1">TblProd[[#This Row],[Techpoints]]</f>
        <v>0</v>
      </c>
      <c r="D24" s="292">
        <f ca="1">TblProd[[#This Row],[Required]]</f>
        <v>3750</v>
      </c>
      <c r="E24" s="293"/>
      <c r="F24" s="294"/>
      <c r="G24" s="295" t="s">
        <v>563</v>
      </c>
      <c r="H24" s="296" t="s">
        <v>696</v>
      </c>
      <c r="I24" s="295" t="s">
        <v>739</v>
      </c>
      <c r="J24" s="291"/>
      <c r="K24" s="95">
        <f ca="1">IF(TblTech[[#This Row],[Sum of tech]]&lt;&gt;OFFSET(TblTech[[#This Row],[Sum of tech]],-1,0),1,0)</f>
        <v>0</v>
      </c>
      <c r="L24" s="297">
        <f>COUNTIF(TblTech[[#This Row],[1-1]:[11-1]],1)</f>
        <v>0</v>
      </c>
      <c r="M24" s="298" cm="1">
        <f t="array" ref="M24">IF(AND(M$2&lt;&gt;0,TblTech[[#This Row],[Hour]:[Hour]]&gt;=M$2),1,0)</f>
        <v>0</v>
      </c>
      <c r="N24" s="298" cm="1">
        <f t="array" ref="N24">IF(AND(N$2&lt;&gt;0,TblTech[[#This Row],[Hour]:[Hour]]&gt;=N$2),1,0)</f>
        <v>0</v>
      </c>
      <c r="O24" s="298" cm="1">
        <f t="array" ref="O24">IF(AND(O$2&lt;&gt;0,TblTech[[#This Row],[Hour]:[Hour]]&gt;=O$2),1,0)</f>
        <v>0</v>
      </c>
      <c r="P24" s="298" cm="1">
        <f t="array" ref="P24">IF(AND(P$2&lt;&gt;0,TblTech[[#This Row],[Hour]:[Hour]]&gt;=P$2),1,0)</f>
        <v>0</v>
      </c>
      <c r="Q24" s="298" cm="1">
        <f t="array" ref="Q24">IF(AND(Q$2&lt;&gt;0,TblTech[[#This Row],[Hour]:[Hour]]&gt;=Q$2),1,0)</f>
        <v>0</v>
      </c>
      <c r="R24" s="298" cm="1">
        <f t="array" ref="R24">IF(AND(R$2&lt;&gt;0,TblTech[[#This Row],[Hour]:[Hour]]&gt;=R$2),1,0)</f>
        <v>0</v>
      </c>
      <c r="S24" s="298" cm="1">
        <f t="array" ref="S24">IF(AND(S$2&lt;&gt;0,TblTech[[#This Row],[Hour]:[Hour]]&gt;=S$2),1,0)</f>
        <v>0</v>
      </c>
      <c r="T24" s="298" cm="1">
        <f t="array" ref="T24">IF(AND(T$2&lt;&gt;0,TblTech[[#This Row],[Hour]:[Hour]]&gt;=T$2),1,0)</f>
        <v>0</v>
      </c>
      <c r="U24" s="298" cm="1">
        <f t="array" ref="U24">IF(AND(U$2&lt;&gt;0,TblTech[[#This Row],[Hour]:[Hour]]&gt;=U$2),1,0)</f>
        <v>0</v>
      </c>
      <c r="V24" s="298" cm="1">
        <f t="array" ref="V24">IF(AND(V$2&lt;&gt;0,TblTech[[#This Row],[Hour]:[Hour]]&gt;=V$2),1,0)</f>
        <v>0</v>
      </c>
      <c r="W24" s="298" cm="1">
        <f t="array" ref="W24">IF(AND(W$2&lt;&gt;0,TblTech[[#This Row],[Hour]:[Hour]]&gt;=W$2),1,0)</f>
        <v>0</v>
      </c>
      <c r="X24" s="298" cm="1">
        <f t="array" ref="X24">IF(AND(X$2&lt;&gt;0,TblTech[[#This Row],[Hour]:[Hour]]&gt;=X$2),1,0)</f>
        <v>0</v>
      </c>
      <c r="Y24" s="298" cm="1">
        <f t="array" ref="Y24">IF(AND(Y$2&lt;&gt;0,TblTech[[#This Row],[Hour]:[Hour]]&gt;=Y$2),1,0)</f>
        <v>0</v>
      </c>
      <c r="Z24" s="298" cm="1">
        <f t="array" ref="Z24">IF(AND(Z$2&lt;&gt;0,TblTech[[#This Row],[Hour]:[Hour]]&gt;=Z$2),1,0)</f>
        <v>0</v>
      </c>
      <c r="AA24" s="298" cm="1">
        <f t="array" ref="AA24">IF(AND(AA$2&lt;&gt;0,TblTech[[#This Row],[Hour]:[Hour]]&gt;=AA$2),1,0)</f>
        <v>0</v>
      </c>
      <c r="AB24" s="298" cm="1">
        <f t="array" ref="AB24">IF(AND(AB$2&lt;&gt;0,TblTech[[#This Row],[Hour]:[Hour]]&gt;=AB$2),1,0)</f>
        <v>0</v>
      </c>
      <c r="AC24" s="298" cm="1">
        <f t="array" ref="AC24">IF(AND(AC$2&lt;&gt;0,TblTech[[#This Row],[Hour]:[Hour]]&gt;=AC$2),1,0)</f>
        <v>0</v>
      </c>
      <c r="AD24" s="298" cm="1">
        <f t="array" ref="AD24">IF(AND(AD$2&lt;&gt;0,TblTech[[#This Row],[Hour]:[Hour]]&gt;=AD$2),1,0)</f>
        <v>0</v>
      </c>
      <c r="AE24" s="298" cm="1">
        <f t="array" ref="AE24">IF(AND(AE$2&lt;&gt;0,TblTech[[#This Row],[Hour]:[Hour]]&gt;=AE$2),1,0)</f>
        <v>0</v>
      </c>
      <c r="AF24" s="298" cm="1">
        <f t="array" ref="AF24">IF(AND(AF$2&lt;&gt;0,TblTech[[#This Row],[Hour]:[Hour]]&gt;=AF$2),1,0)</f>
        <v>0</v>
      </c>
      <c r="AG24" s="298" cm="1">
        <f t="array" ref="AG24">IF(AND(AG$2&lt;&gt;0,TblTech[[#This Row],[Hour]:[Hour]]&gt;=AG$2),1,0)</f>
        <v>0</v>
      </c>
      <c r="AH24" s="298" cm="1">
        <f t="array" ref="AH24">IF(AND(AH$2&lt;&gt;0,TblTech[[#This Row],[Hour]:[Hour]]&gt;=AH$2),1,0)</f>
        <v>0</v>
      </c>
      <c r="AI24" s="298" cm="1">
        <f t="array" ref="AI24">IF(AND(AI$2&lt;&gt;0,TblTech[[#This Row],[Hour]:[Hour]]&gt;=AI$2),1,0)</f>
        <v>0</v>
      </c>
      <c r="AJ24" s="298" cm="1">
        <f t="array" ref="AJ24">IF(AND(AJ$2&lt;&gt;0,TblTech[[#This Row],[Hour]:[Hour]]&gt;=AJ$2),1,0)</f>
        <v>0</v>
      </c>
      <c r="AK24" s="298" cm="1">
        <f t="array" ref="AK24">IF(AND(AK$2&lt;&gt;0,TblTech[[#This Row],[Hour]:[Hour]]&gt;=AK$2),1,0)</f>
        <v>0</v>
      </c>
      <c r="AL24" s="298" cm="1">
        <f t="array" ref="AL24">IF(AND(AL$2&lt;&gt;0,TblTech[[#This Row],[Hour]:[Hour]]&gt;=AL$2),1,0)</f>
        <v>0</v>
      </c>
      <c r="AM24" s="298" cm="1">
        <f t="array" ref="AM24">IF(AND(AM$2&lt;&gt;0,TblTech[[#This Row],[Hour]:[Hour]]&gt;=AM$2),1,0)</f>
        <v>0</v>
      </c>
      <c r="AN24" s="298" cm="1">
        <f t="array" ref="AN24">IF(AND(AN$2&lt;&gt;0,TblTech[[#This Row],[Hour]:[Hour]]&gt;=AN$2),1,0)</f>
        <v>0</v>
      </c>
      <c r="AO24" s="298" cm="1">
        <f t="array" ref="AO24">IF(AND(AO$2&lt;&gt;0,TblTech[[#This Row],[Hour]:[Hour]]&gt;=AO$2),1,0)</f>
        <v>0</v>
      </c>
      <c r="AP24" s="298" cm="1">
        <f t="array" ref="AP24">IF(AND(AP$2&lt;&gt;0,TblTech[[#This Row],[Hour]:[Hour]]&gt;=AP$2),1,0)</f>
        <v>0</v>
      </c>
      <c r="AQ24" s="298" cm="1">
        <f t="array" ref="AQ24">IF(AND(AQ$2&lt;&gt;0,TblTech[[#This Row],[Hour]:[Hour]]&gt;=AQ$2),1,0)</f>
        <v>0</v>
      </c>
      <c r="AR24" s="298" cm="1">
        <f t="array" ref="AR24">IF(AND(AR$2&lt;&gt;0,TblTech[[#This Row],[Hour]:[Hour]]&gt;=AR$2),1,0)</f>
        <v>0</v>
      </c>
      <c r="AS24" s="298" cm="1">
        <f t="array" ref="AS24">IF(AND(AS$2&lt;&gt;0,TblTech[[#This Row],[Hour]:[Hour]]&gt;=AS$2),1,0)</f>
        <v>0</v>
      </c>
      <c r="AT24" s="298" cm="1">
        <f t="array" ref="AT24">IF(AND(AT$2&lt;&gt;0,TblTech[[#This Row],[Hour]:[Hour]]&gt;=AT$2),1,0)</f>
        <v>0</v>
      </c>
      <c r="AU24" s="298" cm="1">
        <f t="array" ref="AU24">IF(AND(AU$2&lt;&gt;0,TblTech[[#This Row],[Hour]:[Hour]]&gt;=AU$2),1,0)</f>
        <v>0</v>
      </c>
      <c r="AV24" s="298" cm="1">
        <f t="array" ref="AV24">IF(AND(AV$2&lt;&gt;0,TblTech[[#This Row],[Hour]:[Hour]]&gt;=AV$2),1,0)</f>
        <v>0</v>
      </c>
      <c r="AW24" s="298" cm="1">
        <f t="array" ref="AW24">IF(AND(AW$2&lt;&gt;0,TblTech[[#This Row],[Hour]:[Hour]]&gt;=AW$2),1,0)</f>
        <v>0</v>
      </c>
      <c r="AX24" s="298" cm="1">
        <f t="array" ref="AX24">IF(AND(AX$2&lt;&gt;0,TblTech[[#This Row],[Hour]:[Hour]]&gt;=AX$2),1,0)</f>
        <v>0</v>
      </c>
      <c r="AY24" s="298" cm="1">
        <f t="array" ref="AY24">IF(AND(AY$2&lt;&gt;0,TblTech[[#This Row],[Hour]:[Hour]]&gt;=AY$2),1,0)</f>
        <v>0</v>
      </c>
      <c r="AZ24" s="298" cm="1">
        <f t="array" ref="AZ24">IF(AND(AZ$2&lt;&gt;0,TblTech[[#This Row],[Hour]:[Hour]]&gt;=AZ$2),1,0)</f>
        <v>0</v>
      </c>
      <c r="BA24" s="298" cm="1">
        <f t="array" ref="BA24">IF(AND(BA$2&lt;&gt;0,TblTech[[#This Row],[Hour]:[Hour]]&gt;=BA$2),1,0)</f>
        <v>0</v>
      </c>
      <c r="BB24" s="298" cm="1">
        <f t="array" ref="BB24">IF(AND(BB$2&lt;&gt;0,TblTech[[#This Row],[Hour]:[Hour]]&gt;=BB$2),1,0)</f>
        <v>0</v>
      </c>
      <c r="BC24" s="298" cm="1">
        <f t="array" ref="BC24">IF(AND(BC$2&lt;&gt;0,TblTech[[#This Row],[Hour]:[Hour]]&gt;=BC$2),1,0)</f>
        <v>0</v>
      </c>
      <c r="BD24" s="298" cm="1">
        <f t="array" ref="BD24">IF(AND(BD$2&lt;&gt;0,TblTech[[#This Row],[Hour]:[Hour]]&gt;=BD$2),1,0)</f>
        <v>0</v>
      </c>
      <c r="BE24" s="298" cm="1">
        <f t="array" ref="BE24">IF(AND(BE$2&lt;&gt;0,TblTech[[#This Row],[Hour]:[Hour]]&gt;=BE$2),1,0)</f>
        <v>0</v>
      </c>
      <c r="BF24" s="298" cm="1">
        <f t="array" ref="BF24">IF(AND(BF$2&lt;&gt;0,TblTech[[#This Row],[Hour]:[Hour]]&gt;=BF$2),1,0)</f>
        <v>0</v>
      </c>
      <c r="BG24" s="298" cm="1">
        <f t="array" ref="BG24">IF(AND(BG$2&lt;&gt;0,TblTech[[#This Row],[Hour]:[Hour]]&gt;=BG$2),1,0)</f>
        <v>0</v>
      </c>
      <c r="BH24" s="298" cm="1">
        <f t="array" ref="BH24">IF(AND(BH$2&lt;&gt;0,TblTech[[#This Row],[Hour]:[Hour]]&gt;=BH$2),1,0)</f>
        <v>0</v>
      </c>
      <c r="BI24" s="298" cm="1">
        <f t="array" ref="BI24">IF(AND(BI$2&lt;&gt;0,TblTech[[#This Row],[Hour]:[Hour]]&gt;=BI$2),1,0)</f>
        <v>0</v>
      </c>
      <c r="BJ24" s="298" cm="1">
        <f t="array" ref="BJ24">IF(AND(BJ$2&lt;&gt;0,TblTech[[#This Row],[Hour]:[Hour]]&gt;=BJ$2),1,0)</f>
        <v>0</v>
      </c>
      <c r="BK24" s="298" cm="1">
        <f t="array" ref="BK24">IF(AND(BK$2&lt;&gt;0,TblTech[[#This Row],[Hour]:[Hour]]&gt;=BK$2),1,0)</f>
        <v>0</v>
      </c>
      <c r="BL24" s="298" cm="1">
        <f t="array" ref="BL24">IF(AND(BL$2&lt;&gt;0,TblTech[[#This Row],[Hour]:[Hour]]&gt;=BL$2),1,0)</f>
        <v>0</v>
      </c>
      <c r="BM24" s="298" cm="1">
        <f t="array" ref="BM24">IF(AND(BM$2&lt;&gt;0,TblTech[[#This Row],[Hour]:[Hour]]&gt;=BM$2),1,0)</f>
        <v>0</v>
      </c>
      <c r="BN24" s="298" cm="1">
        <f t="array" ref="BN24">IF(AND(BN$2&lt;&gt;0,TblTech[[#This Row],[Hour]:[Hour]]&gt;=BN$2),1,0)</f>
        <v>0</v>
      </c>
      <c r="BO24" s="298" cm="1">
        <f t="array" ref="BO24">IF(AND(BO$2&lt;&gt;0,TblTech[[#This Row],[Hour]:[Hour]]&gt;=BO$2),1,0)</f>
        <v>0</v>
      </c>
      <c r="BP24" s="298" cm="1">
        <f t="array" ref="BP24">IF(AND(BP$2&lt;&gt;0,TblTech[[#This Row],[Hour]:[Hour]]&gt;=BP$2),1,0)</f>
        <v>0</v>
      </c>
      <c r="BQ24" s="298" cm="1">
        <f t="array" ref="BQ24">IF(AND(BQ$2&lt;&gt;0,TblTech[[#This Row],[Hour]:[Hour]]&gt;=BQ$2),1,0)</f>
        <v>0</v>
      </c>
      <c r="BR24" s="298" cm="1">
        <f t="array" ref="BR24">IF(AND(BR$2&lt;&gt;0,TblTech[[#This Row],[Hour]:[Hour]]&gt;=BR$2),1,0)</f>
        <v>0</v>
      </c>
      <c r="BS24" s="298" cm="1">
        <f t="array" ref="BS24">IF(AND(BS$2&lt;&gt;0,TblTech[[#This Row],[Hour]:[Hour]]&gt;=BS$2),1,0)</f>
        <v>0</v>
      </c>
      <c r="BT24" s="298" cm="1">
        <f t="array" ref="BT24">IF(AND(BT$2&lt;&gt;0,TblTech[[#This Row],[Hour]:[Hour]]&gt;=BT$2),1,0)</f>
        <v>0</v>
      </c>
      <c r="BU24" s="298" cm="1">
        <f t="array" ref="BU24">IF(AND(BU$2&lt;&gt;0,TblTech[[#This Row],[Hour]:[Hour]]&gt;=BU$2),1,0)</f>
        <v>0</v>
      </c>
      <c r="BV24" s="298" cm="1">
        <f t="array" ref="BV24">IF(AND(BV$2&lt;&gt;0,TblTech[[#This Row],[Hour]:[Hour]]&gt;=BV$2),1,0)</f>
        <v>0</v>
      </c>
      <c r="BW24" s="298" cm="1">
        <f t="array" ref="BW24">IF(AND(BW$2&lt;&gt;0,TblTech[[#This Row],[Hour]:[Hour]]&gt;=BW$2),1,0)</f>
        <v>0</v>
      </c>
      <c r="BX24" s="298" cm="1">
        <f t="array" ref="BX24">IF(AND(BX$2&lt;&gt;0,TblTech[[#This Row],[Hour]:[Hour]]&gt;=BX$2),1,0)</f>
        <v>0</v>
      </c>
      <c r="BY24" s="298" cm="1">
        <f t="array" ref="BY24">IF(AND(BY$2&lt;&gt;0,TblTech[[#This Row],[Hour]:[Hour]]&gt;=BY$2),1,0)</f>
        <v>0</v>
      </c>
      <c r="BZ24" s="298" cm="1">
        <f t="array" ref="BZ24">IF(AND(BZ$2&lt;&gt;0,TblTech[[#This Row],[Hour]:[Hour]]&gt;=BZ$2),1,0)</f>
        <v>0</v>
      </c>
      <c r="CA24" s="402">
        <f>IFERROR(INDEX($H$4:$H$79,MATCH(INDEX(TblTech[[#Headers],[1-1]:[11-1]],1,MATCH(TblTech[[#This Row],[Hour]],$M$2:$BZ$2,0)),$G$4:$G$79,0)),)</f>
        <v>0</v>
      </c>
    </row>
    <row r="25" spans="1:79" x14ac:dyDescent="0.2">
      <c r="A25" s="290">
        <f>TblRezone[[#This Row],[Hour]]</f>
        <v>22</v>
      </c>
      <c r="B25" s="291">
        <f ca="1">TblExplore[[#This Row],[Land-DB]]</f>
        <v>250</v>
      </c>
      <c r="C25" s="292">
        <f ca="1">TblProd[[#This Row],[Techpoints]]</f>
        <v>0</v>
      </c>
      <c r="D25" s="292">
        <f ca="1">TblProd[[#This Row],[Required]]</f>
        <v>3750</v>
      </c>
      <c r="E25" s="293"/>
      <c r="F25" s="294"/>
      <c r="G25" s="295" t="s">
        <v>564</v>
      </c>
      <c r="H25" s="296" t="s">
        <v>697</v>
      </c>
      <c r="I25" s="295" t="s">
        <v>565</v>
      </c>
      <c r="J25" s="291"/>
      <c r="K25" s="95">
        <f ca="1">IF(TblTech[[#This Row],[Sum of tech]]&lt;&gt;OFFSET(TblTech[[#This Row],[Sum of tech]],-1,0),1,0)</f>
        <v>0</v>
      </c>
      <c r="L25" s="297">
        <f>COUNTIF(TblTech[[#This Row],[1-1]:[11-1]],1)</f>
        <v>0</v>
      </c>
      <c r="M25" s="298" cm="1">
        <f t="array" ref="M25">IF(AND(M$2&lt;&gt;0,TblTech[[#This Row],[Hour]:[Hour]]&gt;=M$2),1,0)</f>
        <v>0</v>
      </c>
      <c r="N25" s="298" cm="1">
        <f t="array" ref="N25">IF(AND(N$2&lt;&gt;0,TblTech[[#This Row],[Hour]:[Hour]]&gt;=N$2),1,0)</f>
        <v>0</v>
      </c>
      <c r="O25" s="298" cm="1">
        <f t="array" ref="O25">IF(AND(O$2&lt;&gt;0,TblTech[[#This Row],[Hour]:[Hour]]&gt;=O$2),1,0)</f>
        <v>0</v>
      </c>
      <c r="P25" s="298" cm="1">
        <f t="array" ref="P25">IF(AND(P$2&lt;&gt;0,TblTech[[#This Row],[Hour]:[Hour]]&gt;=P$2),1,0)</f>
        <v>0</v>
      </c>
      <c r="Q25" s="298" cm="1">
        <f t="array" ref="Q25">IF(AND(Q$2&lt;&gt;0,TblTech[[#This Row],[Hour]:[Hour]]&gt;=Q$2),1,0)</f>
        <v>0</v>
      </c>
      <c r="R25" s="298" cm="1">
        <f t="array" ref="R25">IF(AND(R$2&lt;&gt;0,TblTech[[#This Row],[Hour]:[Hour]]&gt;=R$2),1,0)</f>
        <v>0</v>
      </c>
      <c r="S25" s="298" cm="1">
        <f t="array" ref="S25">IF(AND(S$2&lt;&gt;0,TblTech[[#This Row],[Hour]:[Hour]]&gt;=S$2),1,0)</f>
        <v>0</v>
      </c>
      <c r="T25" s="298" cm="1">
        <f t="array" ref="T25">IF(AND(T$2&lt;&gt;0,TblTech[[#This Row],[Hour]:[Hour]]&gt;=T$2),1,0)</f>
        <v>0</v>
      </c>
      <c r="U25" s="298" cm="1">
        <f t="array" ref="U25">IF(AND(U$2&lt;&gt;0,TblTech[[#This Row],[Hour]:[Hour]]&gt;=U$2),1,0)</f>
        <v>0</v>
      </c>
      <c r="V25" s="298" cm="1">
        <f t="array" ref="V25">IF(AND(V$2&lt;&gt;0,TblTech[[#This Row],[Hour]:[Hour]]&gt;=V$2),1,0)</f>
        <v>0</v>
      </c>
      <c r="W25" s="298" cm="1">
        <f t="array" ref="W25">IF(AND(W$2&lt;&gt;0,TblTech[[#This Row],[Hour]:[Hour]]&gt;=W$2),1,0)</f>
        <v>0</v>
      </c>
      <c r="X25" s="298" cm="1">
        <f t="array" ref="X25">IF(AND(X$2&lt;&gt;0,TblTech[[#This Row],[Hour]:[Hour]]&gt;=X$2),1,0)</f>
        <v>0</v>
      </c>
      <c r="Y25" s="298" cm="1">
        <f t="array" ref="Y25">IF(AND(Y$2&lt;&gt;0,TblTech[[#This Row],[Hour]:[Hour]]&gt;=Y$2),1,0)</f>
        <v>0</v>
      </c>
      <c r="Z25" s="298" cm="1">
        <f t="array" ref="Z25">IF(AND(Z$2&lt;&gt;0,TblTech[[#This Row],[Hour]:[Hour]]&gt;=Z$2),1,0)</f>
        <v>0</v>
      </c>
      <c r="AA25" s="298" cm="1">
        <f t="array" ref="AA25">IF(AND(AA$2&lt;&gt;0,TblTech[[#This Row],[Hour]:[Hour]]&gt;=AA$2),1,0)</f>
        <v>0</v>
      </c>
      <c r="AB25" s="298" cm="1">
        <f t="array" ref="AB25">IF(AND(AB$2&lt;&gt;0,TblTech[[#This Row],[Hour]:[Hour]]&gt;=AB$2),1,0)</f>
        <v>0</v>
      </c>
      <c r="AC25" s="298" cm="1">
        <f t="array" ref="AC25">IF(AND(AC$2&lt;&gt;0,TblTech[[#This Row],[Hour]:[Hour]]&gt;=AC$2),1,0)</f>
        <v>0</v>
      </c>
      <c r="AD25" s="298" cm="1">
        <f t="array" ref="AD25">IF(AND(AD$2&lt;&gt;0,TblTech[[#This Row],[Hour]:[Hour]]&gt;=AD$2),1,0)</f>
        <v>0</v>
      </c>
      <c r="AE25" s="298" cm="1">
        <f t="array" ref="AE25">IF(AND(AE$2&lt;&gt;0,TblTech[[#This Row],[Hour]:[Hour]]&gt;=AE$2),1,0)</f>
        <v>0</v>
      </c>
      <c r="AF25" s="298" cm="1">
        <f t="array" ref="AF25">IF(AND(AF$2&lt;&gt;0,TblTech[[#This Row],[Hour]:[Hour]]&gt;=AF$2),1,0)</f>
        <v>0</v>
      </c>
      <c r="AG25" s="298" cm="1">
        <f t="array" ref="AG25">IF(AND(AG$2&lt;&gt;0,TblTech[[#This Row],[Hour]:[Hour]]&gt;=AG$2),1,0)</f>
        <v>0</v>
      </c>
      <c r="AH25" s="298" cm="1">
        <f t="array" ref="AH25">IF(AND(AH$2&lt;&gt;0,TblTech[[#This Row],[Hour]:[Hour]]&gt;=AH$2),1,0)</f>
        <v>0</v>
      </c>
      <c r="AI25" s="298" cm="1">
        <f t="array" ref="AI25">IF(AND(AI$2&lt;&gt;0,TblTech[[#This Row],[Hour]:[Hour]]&gt;=AI$2),1,0)</f>
        <v>0</v>
      </c>
      <c r="AJ25" s="298" cm="1">
        <f t="array" ref="AJ25">IF(AND(AJ$2&lt;&gt;0,TblTech[[#This Row],[Hour]:[Hour]]&gt;=AJ$2),1,0)</f>
        <v>0</v>
      </c>
      <c r="AK25" s="298" cm="1">
        <f t="array" ref="AK25">IF(AND(AK$2&lt;&gt;0,TblTech[[#This Row],[Hour]:[Hour]]&gt;=AK$2),1,0)</f>
        <v>0</v>
      </c>
      <c r="AL25" s="298" cm="1">
        <f t="array" ref="AL25">IF(AND(AL$2&lt;&gt;0,TblTech[[#This Row],[Hour]:[Hour]]&gt;=AL$2),1,0)</f>
        <v>0</v>
      </c>
      <c r="AM25" s="298" cm="1">
        <f t="array" ref="AM25">IF(AND(AM$2&lt;&gt;0,TblTech[[#This Row],[Hour]:[Hour]]&gt;=AM$2),1,0)</f>
        <v>0</v>
      </c>
      <c r="AN25" s="298" cm="1">
        <f t="array" ref="AN25">IF(AND(AN$2&lt;&gt;0,TblTech[[#This Row],[Hour]:[Hour]]&gt;=AN$2),1,0)</f>
        <v>0</v>
      </c>
      <c r="AO25" s="298" cm="1">
        <f t="array" ref="AO25">IF(AND(AO$2&lt;&gt;0,TblTech[[#This Row],[Hour]:[Hour]]&gt;=AO$2),1,0)</f>
        <v>0</v>
      </c>
      <c r="AP25" s="298" cm="1">
        <f t="array" ref="AP25">IF(AND(AP$2&lt;&gt;0,TblTech[[#This Row],[Hour]:[Hour]]&gt;=AP$2),1,0)</f>
        <v>0</v>
      </c>
      <c r="AQ25" s="298" cm="1">
        <f t="array" ref="AQ25">IF(AND(AQ$2&lt;&gt;0,TblTech[[#This Row],[Hour]:[Hour]]&gt;=AQ$2),1,0)</f>
        <v>0</v>
      </c>
      <c r="AR25" s="298" cm="1">
        <f t="array" ref="AR25">IF(AND(AR$2&lt;&gt;0,TblTech[[#This Row],[Hour]:[Hour]]&gt;=AR$2),1,0)</f>
        <v>0</v>
      </c>
      <c r="AS25" s="298" cm="1">
        <f t="array" ref="AS25">IF(AND(AS$2&lt;&gt;0,TblTech[[#This Row],[Hour]:[Hour]]&gt;=AS$2),1,0)</f>
        <v>0</v>
      </c>
      <c r="AT25" s="298" cm="1">
        <f t="array" ref="AT25">IF(AND(AT$2&lt;&gt;0,TblTech[[#This Row],[Hour]:[Hour]]&gt;=AT$2),1,0)</f>
        <v>0</v>
      </c>
      <c r="AU25" s="298" cm="1">
        <f t="array" ref="AU25">IF(AND(AU$2&lt;&gt;0,TblTech[[#This Row],[Hour]:[Hour]]&gt;=AU$2),1,0)</f>
        <v>0</v>
      </c>
      <c r="AV25" s="298" cm="1">
        <f t="array" ref="AV25">IF(AND(AV$2&lt;&gt;0,TblTech[[#This Row],[Hour]:[Hour]]&gt;=AV$2),1,0)</f>
        <v>0</v>
      </c>
      <c r="AW25" s="298" cm="1">
        <f t="array" ref="AW25">IF(AND(AW$2&lt;&gt;0,TblTech[[#This Row],[Hour]:[Hour]]&gt;=AW$2),1,0)</f>
        <v>0</v>
      </c>
      <c r="AX25" s="298" cm="1">
        <f t="array" ref="AX25">IF(AND(AX$2&lt;&gt;0,TblTech[[#This Row],[Hour]:[Hour]]&gt;=AX$2),1,0)</f>
        <v>0</v>
      </c>
      <c r="AY25" s="298" cm="1">
        <f t="array" ref="AY25">IF(AND(AY$2&lt;&gt;0,TblTech[[#This Row],[Hour]:[Hour]]&gt;=AY$2),1,0)</f>
        <v>0</v>
      </c>
      <c r="AZ25" s="298" cm="1">
        <f t="array" ref="AZ25">IF(AND(AZ$2&lt;&gt;0,TblTech[[#This Row],[Hour]:[Hour]]&gt;=AZ$2),1,0)</f>
        <v>0</v>
      </c>
      <c r="BA25" s="298" cm="1">
        <f t="array" ref="BA25">IF(AND(BA$2&lt;&gt;0,TblTech[[#This Row],[Hour]:[Hour]]&gt;=BA$2),1,0)</f>
        <v>0</v>
      </c>
      <c r="BB25" s="298" cm="1">
        <f t="array" ref="BB25">IF(AND(BB$2&lt;&gt;0,TblTech[[#This Row],[Hour]:[Hour]]&gt;=BB$2),1,0)</f>
        <v>0</v>
      </c>
      <c r="BC25" s="298" cm="1">
        <f t="array" ref="BC25">IF(AND(BC$2&lt;&gt;0,TblTech[[#This Row],[Hour]:[Hour]]&gt;=BC$2),1,0)</f>
        <v>0</v>
      </c>
      <c r="BD25" s="298" cm="1">
        <f t="array" ref="BD25">IF(AND(BD$2&lt;&gt;0,TblTech[[#This Row],[Hour]:[Hour]]&gt;=BD$2),1,0)</f>
        <v>0</v>
      </c>
      <c r="BE25" s="298" cm="1">
        <f t="array" ref="BE25">IF(AND(BE$2&lt;&gt;0,TblTech[[#This Row],[Hour]:[Hour]]&gt;=BE$2),1,0)</f>
        <v>0</v>
      </c>
      <c r="BF25" s="298" cm="1">
        <f t="array" ref="BF25">IF(AND(BF$2&lt;&gt;0,TblTech[[#This Row],[Hour]:[Hour]]&gt;=BF$2),1,0)</f>
        <v>0</v>
      </c>
      <c r="BG25" s="298" cm="1">
        <f t="array" ref="BG25">IF(AND(BG$2&lt;&gt;0,TblTech[[#This Row],[Hour]:[Hour]]&gt;=BG$2),1,0)</f>
        <v>0</v>
      </c>
      <c r="BH25" s="298" cm="1">
        <f t="array" ref="BH25">IF(AND(BH$2&lt;&gt;0,TblTech[[#This Row],[Hour]:[Hour]]&gt;=BH$2),1,0)</f>
        <v>0</v>
      </c>
      <c r="BI25" s="298" cm="1">
        <f t="array" ref="BI25">IF(AND(BI$2&lt;&gt;0,TblTech[[#This Row],[Hour]:[Hour]]&gt;=BI$2),1,0)</f>
        <v>0</v>
      </c>
      <c r="BJ25" s="298" cm="1">
        <f t="array" ref="BJ25">IF(AND(BJ$2&lt;&gt;0,TblTech[[#This Row],[Hour]:[Hour]]&gt;=BJ$2),1,0)</f>
        <v>0</v>
      </c>
      <c r="BK25" s="298" cm="1">
        <f t="array" ref="BK25">IF(AND(BK$2&lt;&gt;0,TblTech[[#This Row],[Hour]:[Hour]]&gt;=BK$2),1,0)</f>
        <v>0</v>
      </c>
      <c r="BL25" s="298" cm="1">
        <f t="array" ref="BL25">IF(AND(BL$2&lt;&gt;0,TblTech[[#This Row],[Hour]:[Hour]]&gt;=BL$2),1,0)</f>
        <v>0</v>
      </c>
      <c r="BM25" s="298" cm="1">
        <f t="array" ref="BM25">IF(AND(BM$2&lt;&gt;0,TblTech[[#This Row],[Hour]:[Hour]]&gt;=BM$2),1,0)</f>
        <v>0</v>
      </c>
      <c r="BN25" s="298" cm="1">
        <f t="array" ref="BN25">IF(AND(BN$2&lt;&gt;0,TblTech[[#This Row],[Hour]:[Hour]]&gt;=BN$2),1,0)</f>
        <v>0</v>
      </c>
      <c r="BO25" s="298" cm="1">
        <f t="array" ref="BO25">IF(AND(BO$2&lt;&gt;0,TblTech[[#This Row],[Hour]:[Hour]]&gt;=BO$2),1,0)</f>
        <v>0</v>
      </c>
      <c r="BP25" s="298" cm="1">
        <f t="array" ref="BP25">IF(AND(BP$2&lt;&gt;0,TblTech[[#This Row],[Hour]:[Hour]]&gt;=BP$2),1,0)</f>
        <v>0</v>
      </c>
      <c r="BQ25" s="298" cm="1">
        <f t="array" ref="BQ25">IF(AND(BQ$2&lt;&gt;0,TblTech[[#This Row],[Hour]:[Hour]]&gt;=BQ$2),1,0)</f>
        <v>0</v>
      </c>
      <c r="BR25" s="298" cm="1">
        <f t="array" ref="BR25">IF(AND(BR$2&lt;&gt;0,TblTech[[#This Row],[Hour]:[Hour]]&gt;=BR$2),1,0)</f>
        <v>0</v>
      </c>
      <c r="BS25" s="298" cm="1">
        <f t="array" ref="BS25">IF(AND(BS$2&lt;&gt;0,TblTech[[#This Row],[Hour]:[Hour]]&gt;=BS$2),1,0)</f>
        <v>0</v>
      </c>
      <c r="BT25" s="298" cm="1">
        <f t="array" ref="BT25">IF(AND(BT$2&lt;&gt;0,TblTech[[#This Row],[Hour]:[Hour]]&gt;=BT$2),1,0)</f>
        <v>0</v>
      </c>
      <c r="BU25" s="298" cm="1">
        <f t="array" ref="BU25">IF(AND(BU$2&lt;&gt;0,TblTech[[#This Row],[Hour]:[Hour]]&gt;=BU$2),1,0)</f>
        <v>0</v>
      </c>
      <c r="BV25" s="298" cm="1">
        <f t="array" ref="BV25">IF(AND(BV$2&lt;&gt;0,TblTech[[#This Row],[Hour]:[Hour]]&gt;=BV$2),1,0)</f>
        <v>0</v>
      </c>
      <c r="BW25" s="298" cm="1">
        <f t="array" ref="BW25">IF(AND(BW$2&lt;&gt;0,TblTech[[#This Row],[Hour]:[Hour]]&gt;=BW$2),1,0)</f>
        <v>0</v>
      </c>
      <c r="BX25" s="298" cm="1">
        <f t="array" ref="BX25">IF(AND(BX$2&lt;&gt;0,TblTech[[#This Row],[Hour]:[Hour]]&gt;=BX$2),1,0)</f>
        <v>0</v>
      </c>
      <c r="BY25" s="298" cm="1">
        <f t="array" ref="BY25">IF(AND(BY$2&lt;&gt;0,TblTech[[#This Row],[Hour]:[Hour]]&gt;=BY$2),1,0)</f>
        <v>0</v>
      </c>
      <c r="BZ25" s="298" cm="1">
        <f t="array" ref="BZ25">IF(AND(BZ$2&lt;&gt;0,TblTech[[#This Row],[Hour]:[Hour]]&gt;=BZ$2),1,0)</f>
        <v>0</v>
      </c>
      <c r="CA25" s="402">
        <f>IFERROR(INDEX($H$4:$H$79,MATCH(INDEX(TblTech[[#Headers],[1-1]:[11-1]],1,MATCH(TblTech[[#This Row],[Hour]],$M$2:$BZ$2,0)),$G$4:$G$79,0)),)</f>
        <v>0</v>
      </c>
    </row>
    <row r="26" spans="1:79" x14ac:dyDescent="0.2">
      <c r="A26" s="290">
        <f>TblRezone[[#This Row],[Hour]]</f>
        <v>23</v>
      </c>
      <c r="B26" s="291">
        <f ca="1">TblExplore[[#This Row],[Land-DB]]</f>
        <v>250</v>
      </c>
      <c r="C26" s="292">
        <f ca="1">TblProd[[#This Row],[Techpoints]]</f>
        <v>0</v>
      </c>
      <c r="D26" s="292">
        <f ca="1">TblProd[[#This Row],[Required]]</f>
        <v>3750</v>
      </c>
      <c r="E26" s="293"/>
      <c r="F26" s="294"/>
      <c r="G26" s="295"/>
      <c r="H26" s="296"/>
      <c r="I26" s="295"/>
      <c r="J26" s="291"/>
      <c r="K26" s="95">
        <f ca="1">IF(TblTech[[#This Row],[Sum of tech]]&lt;&gt;OFFSET(TblTech[[#This Row],[Sum of tech]],-1,0),1,0)</f>
        <v>0</v>
      </c>
      <c r="L26" s="297">
        <f>COUNTIF(TblTech[[#This Row],[1-1]:[11-1]],1)</f>
        <v>0</v>
      </c>
      <c r="M26" s="298" cm="1">
        <f t="array" ref="M26">IF(AND(M$2&lt;&gt;0,TblTech[[#This Row],[Hour]:[Hour]]&gt;=M$2),1,0)</f>
        <v>0</v>
      </c>
      <c r="N26" s="298" cm="1">
        <f t="array" ref="N26">IF(AND(N$2&lt;&gt;0,TblTech[[#This Row],[Hour]:[Hour]]&gt;=N$2),1,0)</f>
        <v>0</v>
      </c>
      <c r="O26" s="298" cm="1">
        <f t="array" ref="O26">IF(AND(O$2&lt;&gt;0,TblTech[[#This Row],[Hour]:[Hour]]&gt;=O$2),1,0)</f>
        <v>0</v>
      </c>
      <c r="P26" s="298" cm="1">
        <f t="array" ref="P26">IF(AND(P$2&lt;&gt;0,TblTech[[#This Row],[Hour]:[Hour]]&gt;=P$2),1,0)</f>
        <v>0</v>
      </c>
      <c r="Q26" s="298" cm="1">
        <f t="array" ref="Q26">IF(AND(Q$2&lt;&gt;0,TblTech[[#This Row],[Hour]:[Hour]]&gt;=Q$2),1,0)</f>
        <v>0</v>
      </c>
      <c r="R26" s="298" cm="1">
        <f t="array" ref="R26">IF(AND(R$2&lt;&gt;0,TblTech[[#This Row],[Hour]:[Hour]]&gt;=R$2),1,0)</f>
        <v>0</v>
      </c>
      <c r="S26" s="298" cm="1">
        <f t="array" ref="S26">IF(AND(S$2&lt;&gt;0,TblTech[[#This Row],[Hour]:[Hour]]&gt;=S$2),1,0)</f>
        <v>0</v>
      </c>
      <c r="T26" s="298" cm="1">
        <f t="array" ref="T26">IF(AND(T$2&lt;&gt;0,TblTech[[#This Row],[Hour]:[Hour]]&gt;=T$2),1,0)</f>
        <v>0</v>
      </c>
      <c r="U26" s="298" cm="1">
        <f t="array" ref="U26">IF(AND(U$2&lt;&gt;0,TblTech[[#This Row],[Hour]:[Hour]]&gt;=U$2),1,0)</f>
        <v>0</v>
      </c>
      <c r="V26" s="298" cm="1">
        <f t="array" ref="V26">IF(AND(V$2&lt;&gt;0,TblTech[[#This Row],[Hour]:[Hour]]&gt;=V$2),1,0)</f>
        <v>0</v>
      </c>
      <c r="W26" s="298" cm="1">
        <f t="array" ref="W26">IF(AND(W$2&lt;&gt;0,TblTech[[#This Row],[Hour]:[Hour]]&gt;=W$2),1,0)</f>
        <v>0</v>
      </c>
      <c r="X26" s="298" cm="1">
        <f t="array" ref="X26">IF(AND(X$2&lt;&gt;0,TblTech[[#This Row],[Hour]:[Hour]]&gt;=X$2),1,0)</f>
        <v>0</v>
      </c>
      <c r="Y26" s="298" cm="1">
        <f t="array" ref="Y26">IF(AND(Y$2&lt;&gt;0,TblTech[[#This Row],[Hour]:[Hour]]&gt;=Y$2),1,0)</f>
        <v>0</v>
      </c>
      <c r="Z26" s="298" cm="1">
        <f t="array" ref="Z26">IF(AND(Z$2&lt;&gt;0,TblTech[[#This Row],[Hour]:[Hour]]&gt;=Z$2),1,0)</f>
        <v>0</v>
      </c>
      <c r="AA26" s="298" cm="1">
        <f t="array" ref="AA26">IF(AND(AA$2&lt;&gt;0,TblTech[[#This Row],[Hour]:[Hour]]&gt;=AA$2),1,0)</f>
        <v>0</v>
      </c>
      <c r="AB26" s="298" cm="1">
        <f t="array" ref="AB26">IF(AND(AB$2&lt;&gt;0,TblTech[[#This Row],[Hour]:[Hour]]&gt;=AB$2),1,0)</f>
        <v>0</v>
      </c>
      <c r="AC26" s="298" cm="1">
        <f t="array" ref="AC26">IF(AND(AC$2&lt;&gt;0,TblTech[[#This Row],[Hour]:[Hour]]&gt;=AC$2),1,0)</f>
        <v>0</v>
      </c>
      <c r="AD26" s="298" cm="1">
        <f t="array" ref="AD26">IF(AND(AD$2&lt;&gt;0,TblTech[[#This Row],[Hour]:[Hour]]&gt;=AD$2),1,0)</f>
        <v>0</v>
      </c>
      <c r="AE26" s="298" cm="1">
        <f t="array" ref="AE26">IF(AND(AE$2&lt;&gt;0,TblTech[[#This Row],[Hour]:[Hour]]&gt;=AE$2),1,0)</f>
        <v>0</v>
      </c>
      <c r="AF26" s="298" cm="1">
        <f t="array" ref="AF26">IF(AND(AF$2&lt;&gt;0,TblTech[[#This Row],[Hour]:[Hour]]&gt;=AF$2),1,0)</f>
        <v>0</v>
      </c>
      <c r="AG26" s="298" cm="1">
        <f t="array" ref="AG26">IF(AND(AG$2&lt;&gt;0,TblTech[[#This Row],[Hour]:[Hour]]&gt;=AG$2),1,0)</f>
        <v>0</v>
      </c>
      <c r="AH26" s="298" cm="1">
        <f t="array" ref="AH26">IF(AND(AH$2&lt;&gt;0,TblTech[[#This Row],[Hour]:[Hour]]&gt;=AH$2),1,0)</f>
        <v>0</v>
      </c>
      <c r="AI26" s="298" cm="1">
        <f t="array" ref="AI26">IF(AND(AI$2&lt;&gt;0,TblTech[[#This Row],[Hour]:[Hour]]&gt;=AI$2),1,0)</f>
        <v>0</v>
      </c>
      <c r="AJ26" s="298" cm="1">
        <f t="array" ref="AJ26">IF(AND(AJ$2&lt;&gt;0,TblTech[[#This Row],[Hour]:[Hour]]&gt;=AJ$2),1,0)</f>
        <v>0</v>
      </c>
      <c r="AK26" s="298" cm="1">
        <f t="array" ref="AK26">IF(AND(AK$2&lt;&gt;0,TblTech[[#This Row],[Hour]:[Hour]]&gt;=AK$2),1,0)</f>
        <v>0</v>
      </c>
      <c r="AL26" s="298" cm="1">
        <f t="array" ref="AL26">IF(AND(AL$2&lt;&gt;0,TblTech[[#This Row],[Hour]:[Hour]]&gt;=AL$2),1,0)</f>
        <v>0</v>
      </c>
      <c r="AM26" s="298" cm="1">
        <f t="array" ref="AM26">IF(AND(AM$2&lt;&gt;0,TblTech[[#This Row],[Hour]:[Hour]]&gt;=AM$2),1,0)</f>
        <v>0</v>
      </c>
      <c r="AN26" s="298" cm="1">
        <f t="array" ref="AN26">IF(AND(AN$2&lt;&gt;0,TblTech[[#This Row],[Hour]:[Hour]]&gt;=AN$2),1,0)</f>
        <v>0</v>
      </c>
      <c r="AO26" s="298" cm="1">
        <f t="array" ref="AO26">IF(AND(AO$2&lt;&gt;0,TblTech[[#This Row],[Hour]:[Hour]]&gt;=AO$2),1,0)</f>
        <v>0</v>
      </c>
      <c r="AP26" s="298" cm="1">
        <f t="array" ref="AP26">IF(AND(AP$2&lt;&gt;0,TblTech[[#This Row],[Hour]:[Hour]]&gt;=AP$2),1,0)</f>
        <v>0</v>
      </c>
      <c r="AQ26" s="298" cm="1">
        <f t="array" ref="AQ26">IF(AND(AQ$2&lt;&gt;0,TblTech[[#This Row],[Hour]:[Hour]]&gt;=AQ$2),1,0)</f>
        <v>0</v>
      </c>
      <c r="AR26" s="298" cm="1">
        <f t="array" ref="AR26">IF(AND(AR$2&lt;&gt;0,TblTech[[#This Row],[Hour]:[Hour]]&gt;=AR$2),1,0)</f>
        <v>0</v>
      </c>
      <c r="AS26" s="298" cm="1">
        <f t="array" ref="AS26">IF(AND(AS$2&lt;&gt;0,TblTech[[#This Row],[Hour]:[Hour]]&gt;=AS$2),1,0)</f>
        <v>0</v>
      </c>
      <c r="AT26" s="298" cm="1">
        <f t="array" ref="AT26">IF(AND(AT$2&lt;&gt;0,TblTech[[#This Row],[Hour]:[Hour]]&gt;=AT$2),1,0)</f>
        <v>0</v>
      </c>
      <c r="AU26" s="298" cm="1">
        <f t="array" ref="AU26">IF(AND(AU$2&lt;&gt;0,TblTech[[#This Row],[Hour]:[Hour]]&gt;=AU$2),1,0)</f>
        <v>0</v>
      </c>
      <c r="AV26" s="298" cm="1">
        <f t="array" ref="AV26">IF(AND(AV$2&lt;&gt;0,TblTech[[#This Row],[Hour]:[Hour]]&gt;=AV$2),1,0)</f>
        <v>0</v>
      </c>
      <c r="AW26" s="298" cm="1">
        <f t="array" ref="AW26">IF(AND(AW$2&lt;&gt;0,TblTech[[#This Row],[Hour]:[Hour]]&gt;=AW$2),1,0)</f>
        <v>0</v>
      </c>
      <c r="AX26" s="298" cm="1">
        <f t="array" ref="AX26">IF(AND(AX$2&lt;&gt;0,TblTech[[#This Row],[Hour]:[Hour]]&gt;=AX$2),1,0)</f>
        <v>0</v>
      </c>
      <c r="AY26" s="298" cm="1">
        <f t="array" ref="AY26">IF(AND(AY$2&lt;&gt;0,TblTech[[#This Row],[Hour]:[Hour]]&gt;=AY$2),1,0)</f>
        <v>0</v>
      </c>
      <c r="AZ26" s="298" cm="1">
        <f t="array" ref="AZ26">IF(AND(AZ$2&lt;&gt;0,TblTech[[#This Row],[Hour]:[Hour]]&gt;=AZ$2),1,0)</f>
        <v>0</v>
      </c>
      <c r="BA26" s="298" cm="1">
        <f t="array" ref="BA26">IF(AND(BA$2&lt;&gt;0,TblTech[[#This Row],[Hour]:[Hour]]&gt;=BA$2),1,0)</f>
        <v>0</v>
      </c>
      <c r="BB26" s="298" cm="1">
        <f t="array" ref="BB26">IF(AND(BB$2&lt;&gt;0,TblTech[[#This Row],[Hour]:[Hour]]&gt;=BB$2),1,0)</f>
        <v>0</v>
      </c>
      <c r="BC26" s="298" cm="1">
        <f t="array" ref="BC26">IF(AND(BC$2&lt;&gt;0,TblTech[[#This Row],[Hour]:[Hour]]&gt;=BC$2),1,0)</f>
        <v>0</v>
      </c>
      <c r="BD26" s="298" cm="1">
        <f t="array" ref="BD26">IF(AND(BD$2&lt;&gt;0,TblTech[[#This Row],[Hour]:[Hour]]&gt;=BD$2),1,0)</f>
        <v>0</v>
      </c>
      <c r="BE26" s="298" cm="1">
        <f t="array" ref="BE26">IF(AND(BE$2&lt;&gt;0,TblTech[[#This Row],[Hour]:[Hour]]&gt;=BE$2),1,0)</f>
        <v>0</v>
      </c>
      <c r="BF26" s="298" cm="1">
        <f t="array" ref="BF26">IF(AND(BF$2&lt;&gt;0,TblTech[[#This Row],[Hour]:[Hour]]&gt;=BF$2),1,0)</f>
        <v>0</v>
      </c>
      <c r="BG26" s="298" cm="1">
        <f t="array" ref="BG26">IF(AND(BG$2&lt;&gt;0,TblTech[[#This Row],[Hour]:[Hour]]&gt;=BG$2),1,0)</f>
        <v>0</v>
      </c>
      <c r="BH26" s="298" cm="1">
        <f t="array" ref="BH26">IF(AND(BH$2&lt;&gt;0,TblTech[[#This Row],[Hour]:[Hour]]&gt;=BH$2),1,0)</f>
        <v>0</v>
      </c>
      <c r="BI26" s="298" cm="1">
        <f t="array" ref="BI26">IF(AND(BI$2&lt;&gt;0,TblTech[[#This Row],[Hour]:[Hour]]&gt;=BI$2),1,0)</f>
        <v>0</v>
      </c>
      <c r="BJ26" s="298" cm="1">
        <f t="array" ref="BJ26">IF(AND(BJ$2&lt;&gt;0,TblTech[[#This Row],[Hour]:[Hour]]&gt;=BJ$2),1,0)</f>
        <v>0</v>
      </c>
      <c r="BK26" s="298" cm="1">
        <f t="array" ref="BK26">IF(AND(BK$2&lt;&gt;0,TblTech[[#This Row],[Hour]:[Hour]]&gt;=BK$2),1,0)</f>
        <v>0</v>
      </c>
      <c r="BL26" s="298" cm="1">
        <f t="array" ref="BL26">IF(AND(BL$2&lt;&gt;0,TblTech[[#This Row],[Hour]:[Hour]]&gt;=BL$2),1,0)</f>
        <v>0</v>
      </c>
      <c r="BM26" s="298" cm="1">
        <f t="array" ref="BM26">IF(AND(BM$2&lt;&gt;0,TblTech[[#This Row],[Hour]:[Hour]]&gt;=BM$2),1,0)</f>
        <v>0</v>
      </c>
      <c r="BN26" s="298" cm="1">
        <f t="array" ref="BN26">IF(AND(BN$2&lt;&gt;0,TblTech[[#This Row],[Hour]:[Hour]]&gt;=BN$2),1,0)</f>
        <v>0</v>
      </c>
      <c r="BO26" s="298" cm="1">
        <f t="array" ref="BO26">IF(AND(BO$2&lt;&gt;0,TblTech[[#This Row],[Hour]:[Hour]]&gt;=BO$2),1,0)</f>
        <v>0</v>
      </c>
      <c r="BP26" s="298" cm="1">
        <f t="array" ref="BP26">IF(AND(BP$2&lt;&gt;0,TblTech[[#This Row],[Hour]:[Hour]]&gt;=BP$2),1,0)</f>
        <v>0</v>
      </c>
      <c r="BQ26" s="298" cm="1">
        <f t="array" ref="BQ26">IF(AND(BQ$2&lt;&gt;0,TblTech[[#This Row],[Hour]:[Hour]]&gt;=BQ$2),1,0)</f>
        <v>0</v>
      </c>
      <c r="BR26" s="298" cm="1">
        <f t="array" ref="BR26">IF(AND(BR$2&lt;&gt;0,TblTech[[#This Row],[Hour]:[Hour]]&gt;=BR$2),1,0)</f>
        <v>0</v>
      </c>
      <c r="BS26" s="298" cm="1">
        <f t="array" ref="BS26">IF(AND(BS$2&lt;&gt;0,TblTech[[#This Row],[Hour]:[Hour]]&gt;=BS$2),1,0)</f>
        <v>0</v>
      </c>
      <c r="BT26" s="298" cm="1">
        <f t="array" ref="BT26">IF(AND(BT$2&lt;&gt;0,TblTech[[#This Row],[Hour]:[Hour]]&gt;=BT$2),1,0)</f>
        <v>0</v>
      </c>
      <c r="BU26" s="298" cm="1">
        <f t="array" ref="BU26">IF(AND(BU$2&lt;&gt;0,TblTech[[#This Row],[Hour]:[Hour]]&gt;=BU$2),1,0)</f>
        <v>0</v>
      </c>
      <c r="BV26" s="298" cm="1">
        <f t="array" ref="BV26">IF(AND(BV$2&lt;&gt;0,TblTech[[#This Row],[Hour]:[Hour]]&gt;=BV$2),1,0)</f>
        <v>0</v>
      </c>
      <c r="BW26" s="298" cm="1">
        <f t="array" ref="BW26">IF(AND(BW$2&lt;&gt;0,TblTech[[#This Row],[Hour]:[Hour]]&gt;=BW$2),1,0)</f>
        <v>0</v>
      </c>
      <c r="BX26" s="298" cm="1">
        <f t="array" ref="BX26">IF(AND(BX$2&lt;&gt;0,TblTech[[#This Row],[Hour]:[Hour]]&gt;=BX$2),1,0)</f>
        <v>0</v>
      </c>
      <c r="BY26" s="298" cm="1">
        <f t="array" ref="BY26">IF(AND(BY$2&lt;&gt;0,TblTech[[#This Row],[Hour]:[Hour]]&gt;=BY$2),1,0)</f>
        <v>0</v>
      </c>
      <c r="BZ26" s="298" cm="1">
        <f t="array" ref="BZ26">IF(AND(BZ$2&lt;&gt;0,TblTech[[#This Row],[Hour]:[Hour]]&gt;=BZ$2),1,0)</f>
        <v>0</v>
      </c>
      <c r="CA26" s="402">
        <f>IFERROR(INDEX($H$4:$H$79,MATCH(INDEX(TblTech[[#Headers],[1-1]:[11-1]],1,MATCH(TblTech[[#This Row],[Hour]],$M$2:$BZ$2,0)),$G$4:$G$79,0)),)</f>
        <v>0</v>
      </c>
    </row>
    <row r="27" spans="1:79" x14ac:dyDescent="0.2">
      <c r="A27" s="290">
        <f>TblRezone[[#This Row],[Hour]]</f>
        <v>24</v>
      </c>
      <c r="B27" s="291">
        <f ca="1">TblExplore[[#This Row],[Land-DB]]</f>
        <v>250</v>
      </c>
      <c r="C27" s="292">
        <f ca="1">TblProd[[#This Row],[Techpoints]]</f>
        <v>0</v>
      </c>
      <c r="D27" s="292">
        <f ca="1">TblProd[[#This Row],[Required]]</f>
        <v>3750</v>
      </c>
      <c r="E27" s="293"/>
      <c r="F27" s="294"/>
      <c r="G27" s="295" t="s">
        <v>566</v>
      </c>
      <c r="H27" s="296" t="s">
        <v>698</v>
      </c>
      <c r="I27" s="295" t="s">
        <v>567</v>
      </c>
      <c r="J27" s="291"/>
      <c r="K27" s="95">
        <f ca="1">IF(TblTech[[#This Row],[Sum of tech]]&lt;&gt;OFFSET(TblTech[[#This Row],[Sum of tech]],-1,0),1,0)</f>
        <v>0</v>
      </c>
      <c r="L27" s="297">
        <f>COUNTIF(TblTech[[#This Row],[1-1]:[11-1]],1)</f>
        <v>0</v>
      </c>
      <c r="M27" s="298" cm="1">
        <f t="array" ref="M27">IF(AND(M$2&lt;&gt;0,TblTech[[#This Row],[Hour]:[Hour]]&gt;=M$2),1,0)</f>
        <v>0</v>
      </c>
      <c r="N27" s="298" cm="1">
        <f t="array" ref="N27">IF(AND(N$2&lt;&gt;0,TblTech[[#This Row],[Hour]:[Hour]]&gt;=N$2),1,0)</f>
        <v>0</v>
      </c>
      <c r="O27" s="298" cm="1">
        <f t="array" ref="O27">IF(AND(O$2&lt;&gt;0,TblTech[[#This Row],[Hour]:[Hour]]&gt;=O$2),1,0)</f>
        <v>0</v>
      </c>
      <c r="P27" s="298" cm="1">
        <f t="array" ref="P27">IF(AND(P$2&lt;&gt;0,TblTech[[#This Row],[Hour]:[Hour]]&gt;=P$2),1,0)</f>
        <v>0</v>
      </c>
      <c r="Q27" s="298" cm="1">
        <f t="array" ref="Q27">IF(AND(Q$2&lt;&gt;0,TblTech[[#This Row],[Hour]:[Hour]]&gt;=Q$2),1,0)</f>
        <v>0</v>
      </c>
      <c r="R27" s="298" cm="1">
        <f t="array" ref="R27">IF(AND(R$2&lt;&gt;0,TblTech[[#This Row],[Hour]:[Hour]]&gt;=R$2),1,0)</f>
        <v>0</v>
      </c>
      <c r="S27" s="298" cm="1">
        <f t="array" ref="S27">IF(AND(S$2&lt;&gt;0,TblTech[[#This Row],[Hour]:[Hour]]&gt;=S$2),1,0)</f>
        <v>0</v>
      </c>
      <c r="T27" s="298" cm="1">
        <f t="array" ref="T27">IF(AND(T$2&lt;&gt;0,TblTech[[#This Row],[Hour]:[Hour]]&gt;=T$2),1,0)</f>
        <v>0</v>
      </c>
      <c r="U27" s="298" cm="1">
        <f t="array" ref="U27">IF(AND(U$2&lt;&gt;0,TblTech[[#This Row],[Hour]:[Hour]]&gt;=U$2),1,0)</f>
        <v>0</v>
      </c>
      <c r="V27" s="298" cm="1">
        <f t="array" ref="V27">IF(AND(V$2&lt;&gt;0,TblTech[[#This Row],[Hour]:[Hour]]&gt;=V$2),1,0)</f>
        <v>0</v>
      </c>
      <c r="W27" s="298" cm="1">
        <f t="array" ref="W27">IF(AND(W$2&lt;&gt;0,TblTech[[#This Row],[Hour]:[Hour]]&gt;=W$2),1,0)</f>
        <v>0</v>
      </c>
      <c r="X27" s="298" cm="1">
        <f t="array" ref="X27">IF(AND(X$2&lt;&gt;0,TblTech[[#This Row],[Hour]:[Hour]]&gt;=X$2),1,0)</f>
        <v>0</v>
      </c>
      <c r="Y27" s="298" cm="1">
        <f t="array" ref="Y27">IF(AND(Y$2&lt;&gt;0,TblTech[[#This Row],[Hour]:[Hour]]&gt;=Y$2),1,0)</f>
        <v>0</v>
      </c>
      <c r="Z27" s="298" cm="1">
        <f t="array" ref="Z27">IF(AND(Z$2&lt;&gt;0,TblTech[[#This Row],[Hour]:[Hour]]&gt;=Z$2),1,0)</f>
        <v>0</v>
      </c>
      <c r="AA27" s="298" cm="1">
        <f t="array" ref="AA27">IF(AND(AA$2&lt;&gt;0,TblTech[[#This Row],[Hour]:[Hour]]&gt;=AA$2),1,0)</f>
        <v>0</v>
      </c>
      <c r="AB27" s="298" cm="1">
        <f t="array" ref="AB27">IF(AND(AB$2&lt;&gt;0,TblTech[[#This Row],[Hour]:[Hour]]&gt;=AB$2),1,0)</f>
        <v>0</v>
      </c>
      <c r="AC27" s="298" cm="1">
        <f t="array" ref="AC27">IF(AND(AC$2&lt;&gt;0,TblTech[[#This Row],[Hour]:[Hour]]&gt;=AC$2),1,0)</f>
        <v>0</v>
      </c>
      <c r="AD27" s="298" cm="1">
        <f t="array" ref="AD27">IF(AND(AD$2&lt;&gt;0,TblTech[[#This Row],[Hour]:[Hour]]&gt;=AD$2),1,0)</f>
        <v>0</v>
      </c>
      <c r="AE27" s="298" cm="1">
        <f t="array" ref="AE27">IF(AND(AE$2&lt;&gt;0,TblTech[[#This Row],[Hour]:[Hour]]&gt;=AE$2),1,0)</f>
        <v>0</v>
      </c>
      <c r="AF27" s="298" cm="1">
        <f t="array" ref="AF27">IF(AND(AF$2&lt;&gt;0,TblTech[[#This Row],[Hour]:[Hour]]&gt;=AF$2),1,0)</f>
        <v>0</v>
      </c>
      <c r="AG27" s="298" cm="1">
        <f t="array" ref="AG27">IF(AND(AG$2&lt;&gt;0,TblTech[[#This Row],[Hour]:[Hour]]&gt;=AG$2),1,0)</f>
        <v>0</v>
      </c>
      <c r="AH27" s="298" cm="1">
        <f t="array" ref="AH27">IF(AND(AH$2&lt;&gt;0,TblTech[[#This Row],[Hour]:[Hour]]&gt;=AH$2),1,0)</f>
        <v>0</v>
      </c>
      <c r="AI27" s="298" cm="1">
        <f t="array" ref="AI27">IF(AND(AI$2&lt;&gt;0,TblTech[[#This Row],[Hour]:[Hour]]&gt;=AI$2),1,0)</f>
        <v>0</v>
      </c>
      <c r="AJ27" s="298" cm="1">
        <f t="array" ref="AJ27">IF(AND(AJ$2&lt;&gt;0,TblTech[[#This Row],[Hour]:[Hour]]&gt;=AJ$2),1,0)</f>
        <v>0</v>
      </c>
      <c r="AK27" s="298" cm="1">
        <f t="array" ref="AK27">IF(AND(AK$2&lt;&gt;0,TblTech[[#This Row],[Hour]:[Hour]]&gt;=AK$2),1,0)</f>
        <v>0</v>
      </c>
      <c r="AL27" s="298" cm="1">
        <f t="array" ref="AL27">IF(AND(AL$2&lt;&gt;0,TblTech[[#This Row],[Hour]:[Hour]]&gt;=AL$2),1,0)</f>
        <v>0</v>
      </c>
      <c r="AM27" s="298" cm="1">
        <f t="array" ref="AM27">IF(AND(AM$2&lt;&gt;0,TblTech[[#This Row],[Hour]:[Hour]]&gt;=AM$2),1,0)</f>
        <v>0</v>
      </c>
      <c r="AN27" s="298" cm="1">
        <f t="array" ref="AN27">IF(AND(AN$2&lt;&gt;0,TblTech[[#This Row],[Hour]:[Hour]]&gt;=AN$2),1,0)</f>
        <v>0</v>
      </c>
      <c r="AO27" s="298" cm="1">
        <f t="array" ref="AO27">IF(AND(AO$2&lt;&gt;0,TblTech[[#This Row],[Hour]:[Hour]]&gt;=AO$2),1,0)</f>
        <v>0</v>
      </c>
      <c r="AP27" s="298" cm="1">
        <f t="array" ref="AP27">IF(AND(AP$2&lt;&gt;0,TblTech[[#This Row],[Hour]:[Hour]]&gt;=AP$2),1,0)</f>
        <v>0</v>
      </c>
      <c r="AQ27" s="298" cm="1">
        <f t="array" ref="AQ27">IF(AND(AQ$2&lt;&gt;0,TblTech[[#This Row],[Hour]:[Hour]]&gt;=AQ$2),1,0)</f>
        <v>0</v>
      </c>
      <c r="AR27" s="298" cm="1">
        <f t="array" ref="AR27">IF(AND(AR$2&lt;&gt;0,TblTech[[#This Row],[Hour]:[Hour]]&gt;=AR$2),1,0)</f>
        <v>0</v>
      </c>
      <c r="AS27" s="298" cm="1">
        <f t="array" ref="AS27">IF(AND(AS$2&lt;&gt;0,TblTech[[#This Row],[Hour]:[Hour]]&gt;=AS$2),1,0)</f>
        <v>0</v>
      </c>
      <c r="AT27" s="298" cm="1">
        <f t="array" ref="AT27">IF(AND(AT$2&lt;&gt;0,TblTech[[#This Row],[Hour]:[Hour]]&gt;=AT$2),1,0)</f>
        <v>0</v>
      </c>
      <c r="AU27" s="298" cm="1">
        <f t="array" ref="AU27">IF(AND(AU$2&lt;&gt;0,TblTech[[#This Row],[Hour]:[Hour]]&gt;=AU$2),1,0)</f>
        <v>0</v>
      </c>
      <c r="AV27" s="298" cm="1">
        <f t="array" ref="AV27">IF(AND(AV$2&lt;&gt;0,TblTech[[#This Row],[Hour]:[Hour]]&gt;=AV$2),1,0)</f>
        <v>0</v>
      </c>
      <c r="AW27" s="298" cm="1">
        <f t="array" ref="AW27">IF(AND(AW$2&lt;&gt;0,TblTech[[#This Row],[Hour]:[Hour]]&gt;=AW$2),1,0)</f>
        <v>0</v>
      </c>
      <c r="AX27" s="298" cm="1">
        <f t="array" ref="AX27">IF(AND(AX$2&lt;&gt;0,TblTech[[#This Row],[Hour]:[Hour]]&gt;=AX$2),1,0)</f>
        <v>0</v>
      </c>
      <c r="AY27" s="298" cm="1">
        <f t="array" ref="AY27">IF(AND(AY$2&lt;&gt;0,TblTech[[#This Row],[Hour]:[Hour]]&gt;=AY$2),1,0)</f>
        <v>0</v>
      </c>
      <c r="AZ27" s="298" cm="1">
        <f t="array" ref="AZ27">IF(AND(AZ$2&lt;&gt;0,TblTech[[#This Row],[Hour]:[Hour]]&gt;=AZ$2),1,0)</f>
        <v>0</v>
      </c>
      <c r="BA27" s="298" cm="1">
        <f t="array" ref="BA27">IF(AND(BA$2&lt;&gt;0,TblTech[[#This Row],[Hour]:[Hour]]&gt;=BA$2),1,0)</f>
        <v>0</v>
      </c>
      <c r="BB27" s="298" cm="1">
        <f t="array" ref="BB27">IF(AND(BB$2&lt;&gt;0,TblTech[[#This Row],[Hour]:[Hour]]&gt;=BB$2),1,0)</f>
        <v>0</v>
      </c>
      <c r="BC27" s="298" cm="1">
        <f t="array" ref="BC27">IF(AND(BC$2&lt;&gt;0,TblTech[[#This Row],[Hour]:[Hour]]&gt;=BC$2),1,0)</f>
        <v>0</v>
      </c>
      <c r="BD27" s="298" cm="1">
        <f t="array" ref="BD27">IF(AND(BD$2&lt;&gt;0,TblTech[[#This Row],[Hour]:[Hour]]&gt;=BD$2),1,0)</f>
        <v>0</v>
      </c>
      <c r="BE27" s="298" cm="1">
        <f t="array" ref="BE27">IF(AND(BE$2&lt;&gt;0,TblTech[[#This Row],[Hour]:[Hour]]&gt;=BE$2),1,0)</f>
        <v>0</v>
      </c>
      <c r="BF27" s="298" cm="1">
        <f t="array" ref="BF27">IF(AND(BF$2&lt;&gt;0,TblTech[[#This Row],[Hour]:[Hour]]&gt;=BF$2),1,0)</f>
        <v>0</v>
      </c>
      <c r="BG27" s="298" cm="1">
        <f t="array" ref="BG27">IF(AND(BG$2&lt;&gt;0,TblTech[[#This Row],[Hour]:[Hour]]&gt;=BG$2),1,0)</f>
        <v>0</v>
      </c>
      <c r="BH27" s="298" cm="1">
        <f t="array" ref="BH27">IF(AND(BH$2&lt;&gt;0,TblTech[[#This Row],[Hour]:[Hour]]&gt;=BH$2),1,0)</f>
        <v>0</v>
      </c>
      <c r="BI27" s="298" cm="1">
        <f t="array" ref="BI27">IF(AND(BI$2&lt;&gt;0,TblTech[[#This Row],[Hour]:[Hour]]&gt;=BI$2),1,0)</f>
        <v>0</v>
      </c>
      <c r="BJ27" s="298" cm="1">
        <f t="array" ref="BJ27">IF(AND(BJ$2&lt;&gt;0,TblTech[[#This Row],[Hour]:[Hour]]&gt;=BJ$2),1,0)</f>
        <v>0</v>
      </c>
      <c r="BK27" s="298" cm="1">
        <f t="array" ref="BK27">IF(AND(BK$2&lt;&gt;0,TblTech[[#This Row],[Hour]:[Hour]]&gt;=BK$2),1,0)</f>
        <v>0</v>
      </c>
      <c r="BL27" s="298" cm="1">
        <f t="array" ref="BL27">IF(AND(BL$2&lt;&gt;0,TblTech[[#This Row],[Hour]:[Hour]]&gt;=BL$2),1,0)</f>
        <v>0</v>
      </c>
      <c r="BM27" s="298" cm="1">
        <f t="array" ref="BM27">IF(AND(BM$2&lt;&gt;0,TblTech[[#This Row],[Hour]:[Hour]]&gt;=BM$2),1,0)</f>
        <v>0</v>
      </c>
      <c r="BN27" s="298" cm="1">
        <f t="array" ref="BN27">IF(AND(BN$2&lt;&gt;0,TblTech[[#This Row],[Hour]:[Hour]]&gt;=BN$2),1,0)</f>
        <v>0</v>
      </c>
      <c r="BO27" s="298" cm="1">
        <f t="array" ref="BO27">IF(AND(BO$2&lt;&gt;0,TblTech[[#This Row],[Hour]:[Hour]]&gt;=BO$2),1,0)</f>
        <v>0</v>
      </c>
      <c r="BP27" s="298" cm="1">
        <f t="array" ref="BP27">IF(AND(BP$2&lt;&gt;0,TblTech[[#This Row],[Hour]:[Hour]]&gt;=BP$2),1,0)</f>
        <v>0</v>
      </c>
      <c r="BQ27" s="298" cm="1">
        <f t="array" ref="BQ27">IF(AND(BQ$2&lt;&gt;0,TblTech[[#This Row],[Hour]:[Hour]]&gt;=BQ$2),1,0)</f>
        <v>0</v>
      </c>
      <c r="BR27" s="298" cm="1">
        <f t="array" ref="BR27">IF(AND(BR$2&lt;&gt;0,TblTech[[#This Row],[Hour]:[Hour]]&gt;=BR$2),1,0)</f>
        <v>0</v>
      </c>
      <c r="BS27" s="298" cm="1">
        <f t="array" ref="BS27">IF(AND(BS$2&lt;&gt;0,TblTech[[#This Row],[Hour]:[Hour]]&gt;=BS$2),1,0)</f>
        <v>0</v>
      </c>
      <c r="BT27" s="298" cm="1">
        <f t="array" ref="BT27">IF(AND(BT$2&lt;&gt;0,TblTech[[#This Row],[Hour]:[Hour]]&gt;=BT$2),1,0)</f>
        <v>0</v>
      </c>
      <c r="BU27" s="298" cm="1">
        <f t="array" ref="BU27">IF(AND(BU$2&lt;&gt;0,TblTech[[#This Row],[Hour]:[Hour]]&gt;=BU$2),1,0)</f>
        <v>0</v>
      </c>
      <c r="BV27" s="298" cm="1">
        <f t="array" ref="BV27">IF(AND(BV$2&lt;&gt;0,TblTech[[#This Row],[Hour]:[Hour]]&gt;=BV$2),1,0)</f>
        <v>0</v>
      </c>
      <c r="BW27" s="298" cm="1">
        <f t="array" ref="BW27">IF(AND(BW$2&lt;&gt;0,TblTech[[#This Row],[Hour]:[Hour]]&gt;=BW$2),1,0)</f>
        <v>0</v>
      </c>
      <c r="BX27" s="298" cm="1">
        <f t="array" ref="BX27">IF(AND(BX$2&lt;&gt;0,TblTech[[#This Row],[Hour]:[Hour]]&gt;=BX$2),1,0)</f>
        <v>0</v>
      </c>
      <c r="BY27" s="298" cm="1">
        <f t="array" ref="BY27">IF(AND(BY$2&lt;&gt;0,TblTech[[#This Row],[Hour]:[Hour]]&gt;=BY$2),1,0)</f>
        <v>0</v>
      </c>
      <c r="BZ27" s="298" cm="1">
        <f t="array" ref="BZ27">IF(AND(BZ$2&lt;&gt;0,TblTech[[#This Row],[Hour]:[Hour]]&gt;=BZ$2),1,0)</f>
        <v>0</v>
      </c>
      <c r="CA27" s="402">
        <f>IFERROR(INDEX($H$4:$H$79,MATCH(INDEX(TblTech[[#Headers],[1-1]:[11-1]],1,MATCH(TblTech[[#This Row],[Hour]],$M$2:$BZ$2,0)),$G$4:$G$79,0)),)</f>
        <v>0</v>
      </c>
    </row>
    <row r="28" spans="1:79" x14ac:dyDescent="0.2">
      <c r="A28" s="290">
        <f>TblRezone[[#This Row],[Hour]]</f>
        <v>25</v>
      </c>
      <c r="B28" s="291">
        <f ca="1">TblExplore[[#This Row],[Land-DB]]</f>
        <v>250</v>
      </c>
      <c r="C28" s="292">
        <f ca="1">TblProd[[#This Row],[Techpoints]]</f>
        <v>0</v>
      </c>
      <c r="D28" s="292">
        <f ca="1">TblProd[[#This Row],[Required]]</f>
        <v>3750</v>
      </c>
      <c r="E28" s="293"/>
      <c r="F28" s="294"/>
      <c r="G28" s="295" t="s">
        <v>568</v>
      </c>
      <c r="H28" s="296" t="s">
        <v>699</v>
      </c>
      <c r="I28" s="295" t="s">
        <v>569</v>
      </c>
      <c r="J28" s="291"/>
      <c r="K28" s="95">
        <f ca="1">IF(TblTech[[#This Row],[Sum of tech]]&lt;&gt;OFFSET(TblTech[[#This Row],[Sum of tech]],-1,0),1,0)</f>
        <v>0</v>
      </c>
      <c r="L28" s="297">
        <f>COUNTIF(TblTech[[#This Row],[1-1]:[11-1]],1)</f>
        <v>0</v>
      </c>
      <c r="M28" s="298" cm="1">
        <f t="array" ref="M28">IF(AND(M$2&lt;&gt;0,TblTech[[#This Row],[Hour]:[Hour]]&gt;=M$2),1,0)</f>
        <v>0</v>
      </c>
      <c r="N28" s="298" cm="1">
        <f t="array" ref="N28">IF(AND(N$2&lt;&gt;0,TblTech[[#This Row],[Hour]:[Hour]]&gt;=N$2),1,0)</f>
        <v>0</v>
      </c>
      <c r="O28" s="298" cm="1">
        <f t="array" ref="O28">IF(AND(O$2&lt;&gt;0,TblTech[[#This Row],[Hour]:[Hour]]&gt;=O$2),1,0)</f>
        <v>0</v>
      </c>
      <c r="P28" s="298" cm="1">
        <f t="array" ref="P28">IF(AND(P$2&lt;&gt;0,TblTech[[#This Row],[Hour]:[Hour]]&gt;=P$2),1,0)</f>
        <v>0</v>
      </c>
      <c r="Q28" s="298" cm="1">
        <f t="array" ref="Q28">IF(AND(Q$2&lt;&gt;0,TblTech[[#This Row],[Hour]:[Hour]]&gt;=Q$2),1,0)</f>
        <v>0</v>
      </c>
      <c r="R28" s="298" cm="1">
        <f t="array" ref="R28">IF(AND(R$2&lt;&gt;0,TblTech[[#This Row],[Hour]:[Hour]]&gt;=R$2),1,0)</f>
        <v>0</v>
      </c>
      <c r="S28" s="298" cm="1">
        <f t="array" ref="S28">IF(AND(S$2&lt;&gt;0,TblTech[[#This Row],[Hour]:[Hour]]&gt;=S$2),1,0)</f>
        <v>0</v>
      </c>
      <c r="T28" s="298" cm="1">
        <f t="array" ref="T28">IF(AND(T$2&lt;&gt;0,TblTech[[#This Row],[Hour]:[Hour]]&gt;=T$2),1,0)</f>
        <v>0</v>
      </c>
      <c r="U28" s="298" cm="1">
        <f t="array" ref="U28">IF(AND(U$2&lt;&gt;0,TblTech[[#This Row],[Hour]:[Hour]]&gt;=U$2),1,0)</f>
        <v>0</v>
      </c>
      <c r="V28" s="298" cm="1">
        <f t="array" ref="V28">IF(AND(V$2&lt;&gt;0,TblTech[[#This Row],[Hour]:[Hour]]&gt;=V$2),1,0)</f>
        <v>0</v>
      </c>
      <c r="W28" s="298" cm="1">
        <f t="array" ref="W28">IF(AND(W$2&lt;&gt;0,TblTech[[#This Row],[Hour]:[Hour]]&gt;=W$2),1,0)</f>
        <v>0</v>
      </c>
      <c r="X28" s="298" cm="1">
        <f t="array" ref="X28">IF(AND(X$2&lt;&gt;0,TblTech[[#This Row],[Hour]:[Hour]]&gt;=X$2),1,0)</f>
        <v>0</v>
      </c>
      <c r="Y28" s="298" cm="1">
        <f t="array" ref="Y28">IF(AND(Y$2&lt;&gt;0,TblTech[[#This Row],[Hour]:[Hour]]&gt;=Y$2),1,0)</f>
        <v>0</v>
      </c>
      <c r="Z28" s="298" cm="1">
        <f t="array" ref="Z28">IF(AND(Z$2&lt;&gt;0,TblTech[[#This Row],[Hour]:[Hour]]&gt;=Z$2),1,0)</f>
        <v>0</v>
      </c>
      <c r="AA28" s="298" cm="1">
        <f t="array" ref="AA28">IF(AND(AA$2&lt;&gt;0,TblTech[[#This Row],[Hour]:[Hour]]&gt;=AA$2),1,0)</f>
        <v>0</v>
      </c>
      <c r="AB28" s="298" cm="1">
        <f t="array" ref="AB28">IF(AND(AB$2&lt;&gt;0,TblTech[[#This Row],[Hour]:[Hour]]&gt;=AB$2),1,0)</f>
        <v>0</v>
      </c>
      <c r="AC28" s="298" cm="1">
        <f t="array" ref="AC28">IF(AND(AC$2&lt;&gt;0,TblTech[[#This Row],[Hour]:[Hour]]&gt;=AC$2),1,0)</f>
        <v>0</v>
      </c>
      <c r="AD28" s="298" cm="1">
        <f t="array" ref="AD28">IF(AND(AD$2&lt;&gt;0,TblTech[[#This Row],[Hour]:[Hour]]&gt;=AD$2),1,0)</f>
        <v>0</v>
      </c>
      <c r="AE28" s="298" cm="1">
        <f t="array" ref="AE28">IF(AND(AE$2&lt;&gt;0,TblTech[[#This Row],[Hour]:[Hour]]&gt;=AE$2),1,0)</f>
        <v>0</v>
      </c>
      <c r="AF28" s="298" cm="1">
        <f t="array" ref="AF28">IF(AND(AF$2&lt;&gt;0,TblTech[[#This Row],[Hour]:[Hour]]&gt;=AF$2),1,0)</f>
        <v>0</v>
      </c>
      <c r="AG28" s="298" cm="1">
        <f t="array" ref="AG28">IF(AND(AG$2&lt;&gt;0,TblTech[[#This Row],[Hour]:[Hour]]&gt;=AG$2),1,0)</f>
        <v>0</v>
      </c>
      <c r="AH28" s="298" cm="1">
        <f t="array" ref="AH28">IF(AND(AH$2&lt;&gt;0,TblTech[[#This Row],[Hour]:[Hour]]&gt;=AH$2),1,0)</f>
        <v>0</v>
      </c>
      <c r="AI28" s="298" cm="1">
        <f t="array" ref="AI28">IF(AND(AI$2&lt;&gt;0,TblTech[[#This Row],[Hour]:[Hour]]&gt;=AI$2),1,0)</f>
        <v>0</v>
      </c>
      <c r="AJ28" s="298" cm="1">
        <f t="array" ref="AJ28">IF(AND(AJ$2&lt;&gt;0,TblTech[[#This Row],[Hour]:[Hour]]&gt;=AJ$2),1,0)</f>
        <v>0</v>
      </c>
      <c r="AK28" s="298" cm="1">
        <f t="array" ref="AK28">IF(AND(AK$2&lt;&gt;0,TblTech[[#This Row],[Hour]:[Hour]]&gt;=AK$2),1,0)</f>
        <v>0</v>
      </c>
      <c r="AL28" s="298" cm="1">
        <f t="array" ref="AL28">IF(AND(AL$2&lt;&gt;0,TblTech[[#This Row],[Hour]:[Hour]]&gt;=AL$2),1,0)</f>
        <v>0</v>
      </c>
      <c r="AM28" s="298" cm="1">
        <f t="array" ref="AM28">IF(AND(AM$2&lt;&gt;0,TblTech[[#This Row],[Hour]:[Hour]]&gt;=AM$2),1,0)</f>
        <v>0</v>
      </c>
      <c r="AN28" s="298" cm="1">
        <f t="array" ref="AN28">IF(AND(AN$2&lt;&gt;0,TblTech[[#This Row],[Hour]:[Hour]]&gt;=AN$2),1,0)</f>
        <v>0</v>
      </c>
      <c r="AO28" s="298" cm="1">
        <f t="array" ref="AO28">IF(AND(AO$2&lt;&gt;0,TblTech[[#This Row],[Hour]:[Hour]]&gt;=AO$2),1,0)</f>
        <v>0</v>
      </c>
      <c r="AP28" s="298" cm="1">
        <f t="array" ref="AP28">IF(AND(AP$2&lt;&gt;0,TblTech[[#This Row],[Hour]:[Hour]]&gt;=AP$2),1,0)</f>
        <v>0</v>
      </c>
      <c r="AQ28" s="298" cm="1">
        <f t="array" ref="AQ28">IF(AND(AQ$2&lt;&gt;0,TblTech[[#This Row],[Hour]:[Hour]]&gt;=AQ$2),1,0)</f>
        <v>0</v>
      </c>
      <c r="AR28" s="298" cm="1">
        <f t="array" ref="AR28">IF(AND(AR$2&lt;&gt;0,TblTech[[#This Row],[Hour]:[Hour]]&gt;=AR$2),1,0)</f>
        <v>0</v>
      </c>
      <c r="AS28" s="298" cm="1">
        <f t="array" ref="AS28">IF(AND(AS$2&lt;&gt;0,TblTech[[#This Row],[Hour]:[Hour]]&gt;=AS$2),1,0)</f>
        <v>0</v>
      </c>
      <c r="AT28" s="298" cm="1">
        <f t="array" ref="AT28">IF(AND(AT$2&lt;&gt;0,TblTech[[#This Row],[Hour]:[Hour]]&gt;=AT$2),1,0)</f>
        <v>0</v>
      </c>
      <c r="AU28" s="298" cm="1">
        <f t="array" ref="AU28">IF(AND(AU$2&lt;&gt;0,TblTech[[#This Row],[Hour]:[Hour]]&gt;=AU$2),1,0)</f>
        <v>0</v>
      </c>
      <c r="AV28" s="298" cm="1">
        <f t="array" ref="AV28">IF(AND(AV$2&lt;&gt;0,TblTech[[#This Row],[Hour]:[Hour]]&gt;=AV$2),1,0)</f>
        <v>0</v>
      </c>
      <c r="AW28" s="298" cm="1">
        <f t="array" ref="AW28">IF(AND(AW$2&lt;&gt;0,TblTech[[#This Row],[Hour]:[Hour]]&gt;=AW$2),1,0)</f>
        <v>0</v>
      </c>
      <c r="AX28" s="298" cm="1">
        <f t="array" ref="AX28">IF(AND(AX$2&lt;&gt;0,TblTech[[#This Row],[Hour]:[Hour]]&gt;=AX$2),1,0)</f>
        <v>0</v>
      </c>
      <c r="AY28" s="298" cm="1">
        <f t="array" ref="AY28">IF(AND(AY$2&lt;&gt;0,TblTech[[#This Row],[Hour]:[Hour]]&gt;=AY$2),1,0)</f>
        <v>0</v>
      </c>
      <c r="AZ28" s="298" cm="1">
        <f t="array" ref="AZ28">IF(AND(AZ$2&lt;&gt;0,TblTech[[#This Row],[Hour]:[Hour]]&gt;=AZ$2),1,0)</f>
        <v>0</v>
      </c>
      <c r="BA28" s="298" cm="1">
        <f t="array" ref="BA28">IF(AND(BA$2&lt;&gt;0,TblTech[[#This Row],[Hour]:[Hour]]&gt;=BA$2),1,0)</f>
        <v>0</v>
      </c>
      <c r="BB28" s="298" cm="1">
        <f t="array" ref="BB28">IF(AND(BB$2&lt;&gt;0,TblTech[[#This Row],[Hour]:[Hour]]&gt;=BB$2),1,0)</f>
        <v>0</v>
      </c>
      <c r="BC28" s="298" cm="1">
        <f t="array" ref="BC28">IF(AND(BC$2&lt;&gt;0,TblTech[[#This Row],[Hour]:[Hour]]&gt;=BC$2),1,0)</f>
        <v>0</v>
      </c>
      <c r="BD28" s="298" cm="1">
        <f t="array" ref="BD28">IF(AND(BD$2&lt;&gt;0,TblTech[[#This Row],[Hour]:[Hour]]&gt;=BD$2),1,0)</f>
        <v>0</v>
      </c>
      <c r="BE28" s="298" cm="1">
        <f t="array" ref="BE28">IF(AND(BE$2&lt;&gt;0,TblTech[[#This Row],[Hour]:[Hour]]&gt;=BE$2),1,0)</f>
        <v>0</v>
      </c>
      <c r="BF28" s="298" cm="1">
        <f t="array" ref="BF28">IF(AND(BF$2&lt;&gt;0,TblTech[[#This Row],[Hour]:[Hour]]&gt;=BF$2),1,0)</f>
        <v>0</v>
      </c>
      <c r="BG28" s="298" cm="1">
        <f t="array" ref="BG28">IF(AND(BG$2&lt;&gt;0,TblTech[[#This Row],[Hour]:[Hour]]&gt;=BG$2),1,0)</f>
        <v>0</v>
      </c>
      <c r="BH28" s="298" cm="1">
        <f t="array" ref="BH28">IF(AND(BH$2&lt;&gt;0,TblTech[[#This Row],[Hour]:[Hour]]&gt;=BH$2),1,0)</f>
        <v>0</v>
      </c>
      <c r="BI28" s="298" cm="1">
        <f t="array" ref="BI28">IF(AND(BI$2&lt;&gt;0,TblTech[[#This Row],[Hour]:[Hour]]&gt;=BI$2),1,0)</f>
        <v>0</v>
      </c>
      <c r="BJ28" s="298" cm="1">
        <f t="array" ref="BJ28">IF(AND(BJ$2&lt;&gt;0,TblTech[[#This Row],[Hour]:[Hour]]&gt;=BJ$2),1,0)</f>
        <v>0</v>
      </c>
      <c r="BK28" s="298" cm="1">
        <f t="array" ref="BK28">IF(AND(BK$2&lt;&gt;0,TblTech[[#This Row],[Hour]:[Hour]]&gt;=BK$2),1,0)</f>
        <v>0</v>
      </c>
      <c r="BL28" s="298" cm="1">
        <f t="array" ref="BL28">IF(AND(BL$2&lt;&gt;0,TblTech[[#This Row],[Hour]:[Hour]]&gt;=BL$2),1,0)</f>
        <v>0</v>
      </c>
      <c r="BM28" s="298" cm="1">
        <f t="array" ref="BM28">IF(AND(BM$2&lt;&gt;0,TblTech[[#This Row],[Hour]:[Hour]]&gt;=BM$2),1,0)</f>
        <v>0</v>
      </c>
      <c r="BN28" s="298" cm="1">
        <f t="array" ref="BN28">IF(AND(BN$2&lt;&gt;0,TblTech[[#This Row],[Hour]:[Hour]]&gt;=BN$2),1,0)</f>
        <v>0</v>
      </c>
      <c r="BO28" s="298" cm="1">
        <f t="array" ref="BO28">IF(AND(BO$2&lt;&gt;0,TblTech[[#This Row],[Hour]:[Hour]]&gt;=BO$2),1,0)</f>
        <v>0</v>
      </c>
      <c r="BP28" s="298" cm="1">
        <f t="array" ref="BP28">IF(AND(BP$2&lt;&gt;0,TblTech[[#This Row],[Hour]:[Hour]]&gt;=BP$2),1,0)</f>
        <v>0</v>
      </c>
      <c r="BQ28" s="298" cm="1">
        <f t="array" ref="BQ28">IF(AND(BQ$2&lt;&gt;0,TblTech[[#This Row],[Hour]:[Hour]]&gt;=BQ$2),1,0)</f>
        <v>0</v>
      </c>
      <c r="BR28" s="298" cm="1">
        <f t="array" ref="BR28">IF(AND(BR$2&lt;&gt;0,TblTech[[#This Row],[Hour]:[Hour]]&gt;=BR$2),1,0)</f>
        <v>0</v>
      </c>
      <c r="BS28" s="298" cm="1">
        <f t="array" ref="BS28">IF(AND(BS$2&lt;&gt;0,TblTech[[#This Row],[Hour]:[Hour]]&gt;=BS$2),1,0)</f>
        <v>0</v>
      </c>
      <c r="BT28" s="298" cm="1">
        <f t="array" ref="BT28">IF(AND(BT$2&lt;&gt;0,TblTech[[#This Row],[Hour]:[Hour]]&gt;=BT$2),1,0)</f>
        <v>0</v>
      </c>
      <c r="BU28" s="298" cm="1">
        <f t="array" ref="BU28">IF(AND(BU$2&lt;&gt;0,TblTech[[#This Row],[Hour]:[Hour]]&gt;=BU$2),1,0)</f>
        <v>0</v>
      </c>
      <c r="BV28" s="298" cm="1">
        <f t="array" ref="BV28">IF(AND(BV$2&lt;&gt;0,TblTech[[#This Row],[Hour]:[Hour]]&gt;=BV$2),1,0)</f>
        <v>0</v>
      </c>
      <c r="BW28" s="298" cm="1">
        <f t="array" ref="BW28">IF(AND(BW$2&lt;&gt;0,TblTech[[#This Row],[Hour]:[Hour]]&gt;=BW$2),1,0)</f>
        <v>0</v>
      </c>
      <c r="BX28" s="298" cm="1">
        <f t="array" ref="BX28">IF(AND(BX$2&lt;&gt;0,TblTech[[#This Row],[Hour]:[Hour]]&gt;=BX$2),1,0)</f>
        <v>0</v>
      </c>
      <c r="BY28" s="298" cm="1">
        <f t="array" ref="BY28">IF(AND(BY$2&lt;&gt;0,TblTech[[#This Row],[Hour]:[Hour]]&gt;=BY$2),1,0)</f>
        <v>0</v>
      </c>
      <c r="BZ28" s="298" cm="1">
        <f t="array" ref="BZ28">IF(AND(BZ$2&lt;&gt;0,TblTech[[#This Row],[Hour]:[Hour]]&gt;=BZ$2),1,0)</f>
        <v>0</v>
      </c>
      <c r="CA28" s="402">
        <f>IFERROR(INDEX($H$4:$H$79,MATCH(INDEX(TblTech[[#Headers],[1-1]:[11-1]],1,MATCH(TblTech[[#This Row],[Hour]],$M$2:$BZ$2,0)),$G$4:$G$79,0)),)</f>
        <v>0</v>
      </c>
    </row>
    <row r="29" spans="1:79" x14ac:dyDescent="0.2">
      <c r="A29" s="290">
        <f>TblRezone[[#This Row],[Hour]]</f>
        <v>26</v>
      </c>
      <c r="B29" s="291">
        <f ca="1">TblExplore[[#This Row],[Land-DB]]</f>
        <v>250</v>
      </c>
      <c r="C29" s="292">
        <f ca="1">TblProd[[#This Row],[Techpoints]]</f>
        <v>0</v>
      </c>
      <c r="D29" s="292">
        <f ca="1">TblProd[[#This Row],[Required]]</f>
        <v>3750</v>
      </c>
      <c r="E29" s="293"/>
      <c r="F29" s="294"/>
      <c r="G29" s="295" t="s">
        <v>570</v>
      </c>
      <c r="H29" s="296" t="s">
        <v>700</v>
      </c>
      <c r="I29" s="295" t="s">
        <v>1098</v>
      </c>
      <c r="J29" s="291"/>
      <c r="K29" s="95">
        <f ca="1">IF(TblTech[[#This Row],[Sum of tech]]&lt;&gt;OFFSET(TblTech[[#This Row],[Sum of tech]],-1,0),1,0)</f>
        <v>0</v>
      </c>
      <c r="L29" s="297">
        <f>COUNTIF(TblTech[[#This Row],[1-1]:[11-1]],1)</f>
        <v>0</v>
      </c>
      <c r="M29" s="298" cm="1">
        <f t="array" ref="M29">IF(AND(M$2&lt;&gt;0,TblTech[[#This Row],[Hour]:[Hour]]&gt;=M$2),1,0)</f>
        <v>0</v>
      </c>
      <c r="N29" s="298" cm="1">
        <f t="array" ref="N29">IF(AND(N$2&lt;&gt;0,TblTech[[#This Row],[Hour]:[Hour]]&gt;=N$2),1,0)</f>
        <v>0</v>
      </c>
      <c r="O29" s="298" cm="1">
        <f t="array" ref="O29">IF(AND(O$2&lt;&gt;0,TblTech[[#This Row],[Hour]:[Hour]]&gt;=O$2),1,0)</f>
        <v>0</v>
      </c>
      <c r="P29" s="298" cm="1">
        <f t="array" ref="P29">IF(AND(P$2&lt;&gt;0,TblTech[[#This Row],[Hour]:[Hour]]&gt;=P$2),1,0)</f>
        <v>0</v>
      </c>
      <c r="Q29" s="298" cm="1">
        <f t="array" ref="Q29">IF(AND(Q$2&lt;&gt;0,TblTech[[#This Row],[Hour]:[Hour]]&gt;=Q$2),1,0)</f>
        <v>0</v>
      </c>
      <c r="R29" s="298" cm="1">
        <f t="array" ref="R29">IF(AND(R$2&lt;&gt;0,TblTech[[#This Row],[Hour]:[Hour]]&gt;=R$2),1,0)</f>
        <v>0</v>
      </c>
      <c r="S29" s="298" cm="1">
        <f t="array" ref="S29">IF(AND(S$2&lt;&gt;0,TblTech[[#This Row],[Hour]:[Hour]]&gt;=S$2),1,0)</f>
        <v>0</v>
      </c>
      <c r="T29" s="298" cm="1">
        <f t="array" ref="T29">IF(AND(T$2&lt;&gt;0,TblTech[[#This Row],[Hour]:[Hour]]&gt;=T$2),1,0)</f>
        <v>0</v>
      </c>
      <c r="U29" s="298" cm="1">
        <f t="array" ref="U29">IF(AND(U$2&lt;&gt;0,TblTech[[#This Row],[Hour]:[Hour]]&gt;=U$2),1,0)</f>
        <v>0</v>
      </c>
      <c r="V29" s="298" cm="1">
        <f t="array" ref="V29">IF(AND(V$2&lt;&gt;0,TblTech[[#This Row],[Hour]:[Hour]]&gt;=V$2),1,0)</f>
        <v>0</v>
      </c>
      <c r="W29" s="298" cm="1">
        <f t="array" ref="W29">IF(AND(W$2&lt;&gt;0,TblTech[[#This Row],[Hour]:[Hour]]&gt;=W$2),1,0)</f>
        <v>0</v>
      </c>
      <c r="X29" s="298" cm="1">
        <f t="array" ref="X29">IF(AND(X$2&lt;&gt;0,TblTech[[#This Row],[Hour]:[Hour]]&gt;=X$2),1,0)</f>
        <v>0</v>
      </c>
      <c r="Y29" s="298" cm="1">
        <f t="array" ref="Y29">IF(AND(Y$2&lt;&gt;0,TblTech[[#This Row],[Hour]:[Hour]]&gt;=Y$2),1,0)</f>
        <v>0</v>
      </c>
      <c r="Z29" s="298" cm="1">
        <f t="array" ref="Z29">IF(AND(Z$2&lt;&gt;0,TblTech[[#This Row],[Hour]:[Hour]]&gt;=Z$2),1,0)</f>
        <v>0</v>
      </c>
      <c r="AA29" s="298" cm="1">
        <f t="array" ref="AA29">IF(AND(AA$2&lt;&gt;0,TblTech[[#This Row],[Hour]:[Hour]]&gt;=AA$2),1,0)</f>
        <v>0</v>
      </c>
      <c r="AB29" s="298" cm="1">
        <f t="array" ref="AB29">IF(AND(AB$2&lt;&gt;0,TblTech[[#This Row],[Hour]:[Hour]]&gt;=AB$2),1,0)</f>
        <v>0</v>
      </c>
      <c r="AC29" s="298" cm="1">
        <f t="array" ref="AC29">IF(AND(AC$2&lt;&gt;0,TblTech[[#This Row],[Hour]:[Hour]]&gt;=AC$2),1,0)</f>
        <v>0</v>
      </c>
      <c r="AD29" s="298" cm="1">
        <f t="array" ref="AD29">IF(AND(AD$2&lt;&gt;0,TblTech[[#This Row],[Hour]:[Hour]]&gt;=AD$2),1,0)</f>
        <v>0</v>
      </c>
      <c r="AE29" s="298" cm="1">
        <f t="array" ref="AE29">IF(AND(AE$2&lt;&gt;0,TblTech[[#This Row],[Hour]:[Hour]]&gt;=AE$2),1,0)</f>
        <v>0</v>
      </c>
      <c r="AF29" s="298" cm="1">
        <f t="array" ref="AF29">IF(AND(AF$2&lt;&gt;0,TblTech[[#This Row],[Hour]:[Hour]]&gt;=AF$2),1,0)</f>
        <v>0</v>
      </c>
      <c r="AG29" s="298" cm="1">
        <f t="array" ref="AG29">IF(AND(AG$2&lt;&gt;0,TblTech[[#This Row],[Hour]:[Hour]]&gt;=AG$2),1,0)</f>
        <v>0</v>
      </c>
      <c r="AH29" s="298" cm="1">
        <f t="array" ref="AH29">IF(AND(AH$2&lt;&gt;0,TblTech[[#This Row],[Hour]:[Hour]]&gt;=AH$2),1,0)</f>
        <v>0</v>
      </c>
      <c r="AI29" s="298" cm="1">
        <f t="array" ref="AI29">IF(AND(AI$2&lt;&gt;0,TblTech[[#This Row],[Hour]:[Hour]]&gt;=AI$2),1,0)</f>
        <v>0</v>
      </c>
      <c r="AJ29" s="298" cm="1">
        <f t="array" ref="AJ29">IF(AND(AJ$2&lt;&gt;0,TblTech[[#This Row],[Hour]:[Hour]]&gt;=AJ$2),1,0)</f>
        <v>0</v>
      </c>
      <c r="AK29" s="298" cm="1">
        <f t="array" ref="AK29">IF(AND(AK$2&lt;&gt;0,TblTech[[#This Row],[Hour]:[Hour]]&gt;=AK$2),1,0)</f>
        <v>0</v>
      </c>
      <c r="AL29" s="298" cm="1">
        <f t="array" ref="AL29">IF(AND(AL$2&lt;&gt;0,TblTech[[#This Row],[Hour]:[Hour]]&gt;=AL$2),1,0)</f>
        <v>0</v>
      </c>
      <c r="AM29" s="298" cm="1">
        <f t="array" ref="AM29">IF(AND(AM$2&lt;&gt;0,TblTech[[#This Row],[Hour]:[Hour]]&gt;=AM$2),1,0)</f>
        <v>0</v>
      </c>
      <c r="AN29" s="298" cm="1">
        <f t="array" ref="AN29">IF(AND(AN$2&lt;&gt;0,TblTech[[#This Row],[Hour]:[Hour]]&gt;=AN$2),1,0)</f>
        <v>0</v>
      </c>
      <c r="AO29" s="298" cm="1">
        <f t="array" ref="AO29">IF(AND(AO$2&lt;&gt;0,TblTech[[#This Row],[Hour]:[Hour]]&gt;=AO$2),1,0)</f>
        <v>0</v>
      </c>
      <c r="AP29" s="298" cm="1">
        <f t="array" ref="AP29">IF(AND(AP$2&lt;&gt;0,TblTech[[#This Row],[Hour]:[Hour]]&gt;=AP$2),1,0)</f>
        <v>0</v>
      </c>
      <c r="AQ29" s="298" cm="1">
        <f t="array" ref="AQ29">IF(AND(AQ$2&lt;&gt;0,TblTech[[#This Row],[Hour]:[Hour]]&gt;=AQ$2),1,0)</f>
        <v>0</v>
      </c>
      <c r="AR29" s="298" cm="1">
        <f t="array" ref="AR29">IF(AND(AR$2&lt;&gt;0,TblTech[[#This Row],[Hour]:[Hour]]&gt;=AR$2),1,0)</f>
        <v>0</v>
      </c>
      <c r="AS29" s="298" cm="1">
        <f t="array" ref="AS29">IF(AND(AS$2&lt;&gt;0,TblTech[[#This Row],[Hour]:[Hour]]&gt;=AS$2),1,0)</f>
        <v>0</v>
      </c>
      <c r="AT29" s="298" cm="1">
        <f t="array" ref="AT29">IF(AND(AT$2&lt;&gt;0,TblTech[[#This Row],[Hour]:[Hour]]&gt;=AT$2),1,0)</f>
        <v>0</v>
      </c>
      <c r="AU29" s="298" cm="1">
        <f t="array" ref="AU29">IF(AND(AU$2&lt;&gt;0,TblTech[[#This Row],[Hour]:[Hour]]&gt;=AU$2),1,0)</f>
        <v>0</v>
      </c>
      <c r="AV29" s="298" cm="1">
        <f t="array" ref="AV29">IF(AND(AV$2&lt;&gt;0,TblTech[[#This Row],[Hour]:[Hour]]&gt;=AV$2),1,0)</f>
        <v>0</v>
      </c>
      <c r="AW29" s="298" cm="1">
        <f t="array" ref="AW29">IF(AND(AW$2&lt;&gt;0,TblTech[[#This Row],[Hour]:[Hour]]&gt;=AW$2),1,0)</f>
        <v>0</v>
      </c>
      <c r="AX29" s="298" cm="1">
        <f t="array" ref="AX29">IF(AND(AX$2&lt;&gt;0,TblTech[[#This Row],[Hour]:[Hour]]&gt;=AX$2),1,0)</f>
        <v>0</v>
      </c>
      <c r="AY29" s="298" cm="1">
        <f t="array" ref="AY29">IF(AND(AY$2&lt;&gt;0,TblTech[[#This Row],[Hour]:[Hour]]&gt;=AY$2),1,0)</f>
        <v>0</v>
      </c>
      <c r="AZ29" s="298" cm="1">
        <f t="array" ref="AZ29">IF(AND(AZ$2&lt;&gt;0,TblTech[[#This Row],[Hour]:[Hour]]&gt;=AZ$2),1,0)</f>
        <v>0</v>
      </c>
      <c r="BA29" s="298" cm="1">
        <f t="array" ref="BA29">IF(AND(BA$2&lt;&gt;0,TblTech[[#This Row],[Hour]:[Hour]]&gt;=BA$2),1,0)</f>
        <v>0</v>
      </c>
      <c r="BB29" s="298" cm="1">
        <f t="array" ref="BB29">IF(AND(BB$2&lt;&gt;0,TblTech[[#This Row],[Hour]:[Hour]]&gt;=BB$2),1,0)</f>
        <v>0</v>
      </c>
      <c r="BC29" s="298" cm="1">
        <f t="array" ref="BC29">IF(AND(BC$2&lt;&gt;0,TblTech[[#This Row],[Hour]:[Hour]]&gt;=BC$2),1,0)</f>
        <v>0</v>
      </c>
      <c r="BD29" s="298" cm="1">
        <f t="array" ref="BD29">IF(AND(BD$2&lt;&gt;0,TblTech[[#This Row],[Hour]:[Hour]]&gt;=BD$2),1,0)</f>
        <v>0</v>
      </c>
      <c r="BE29" s="298" cm="1">
        <f t="array" ref="BE29">IF(AND(BE$2&lt;&gt;0,TblTech[[#This Row],[Hour]:[Hour]]&gt;=BE$2),1,0)</f>
        <v>0</v>
      </c>
      <c r="BF29" s="298" cm="1">
        <f t="array" ref="BF29">IF(AND(BF$2&lt;&gt;0,TblTech[[#This Row],[Hour]:[Hour]]&gt;=BF$2),1,0)</f>
        <v>0</v>
      </c>
      <c r="BG29" s="298" cm="1">
        <f t="array" ref="BG29">IF(AND(BG$2&lt;&gt;0,TblTech[[#This Row],[Hour]:[Hour]]&gt;=BG$2),1,0)</f>
        <v>0</v>
      </c>
      <c r="BH29" s="298" cm="1">
        <f t="array" ref="BH29">IF(AND(BH$2&lt;&gt;0,TblTech[[#This Row],[Hour]:[Hour]]&gt;=BH$2),1,0)</f>
        <v>0</v>
      </c>
      <c r="BI29" s="298" cm="1">
        <f t="array" ref="BI29">IF(AND(BI$2&lt;&gt;0,TblTech[[#This Row],[Hour]:[Hour]]&gt;=BI$2),1,0)</f>
        <v>0</v>
      </c>
      <c r="BJ29" s="298" cm="1">
        <f t="array" ref="BJ29">IF(AND(BJ$2&lt;&gt;0,TblTech[[#This Row],[Hour]:[Hour]]&gt;=BJ$2),1,0)</f>
        <v>0</v>
      </c>
      <c r="BK29" s="298" cm="1">
        <f t="array" ref="BK29">IF(AND(BK$2&lt;&gt;0,TblTech[[#This Row],[Hour]:[Hour]]&gt;=BK$2),1,0)</f>
        <v>0</v>
      </c>
      <c r="BL29" s="298" cm="1">
        <f t="array" ref="BL29">IF(AND(BL$2&lt;&gt;0,TblTech[[#This Row],[Hour]:[Hour]]&gt;=BL$2),1,0)</f>
        <v>0</v>
      </c>
      <c r="BM29" s="298" cm="1">
        <f t="array" ref="BM29">IF(AND(BM$2&lt;&gt;0,TblTech[[#This Row],[Hour]:[Hour]]&gt;=BM$2),1,0)</f>
        <v>0</v>
      </c>
      <c r="BN29" s="298" cm="1">
        <f t="array" ref="BN29">IF(AND(BN$2&lt;&gt;0,TblTech[[#This Row],[Hour]:[Hour]]&gt;=BN$2),1,0)</f>
        <v>0</v>
      </c>
      <c r="BO29" s="298" cm="1">
        <f t="array" ref="BO29">IF(AND(BO$2&lt;&gt;0,TblTech[[#This Row],[Hour]:[Hour]]&gt;=BO$2),1,0)</f>
        <v>0</v>
      </c>
      <c r="BP29" s="298" cm="1">
        <f t="array" ref="BP29">IF(AND(BP$2&lt;&gt;0,TblTech[[#This Row],[Hour]:[Hour]]&gt;=BP$2),1,0)</f>
        <v>0</v>
      </c>
      <c r="BQ29" s="298" cm="1">
        <f t="array" ref="BQ29">IF(AND(BQ$2&lt;&gt;0,TblTech[[#This Row],[Hour]:[Hour]]&gt;=BQ$2),1,0)</f>
        <v>0</v>
      </c>
      <c r="BR29" s="298" cm="1">
        <f t="array" ref="BR29">IF(AND(BR$2&lt;&gt;0,TblTech[[#This Row],[Hour]:[Hour]]&gt;=BR$2),1,0)</f>
        <v>0</v>
      </c>
      <c r="BS29" s="298" cm="1">
        <f t="array" ref="BS29">IF(AND(BS$2&lt;&gt;0,TblTech[[#This Row],[Hour]:[Hour]]&gt;=BS$2),1,0)</f>
        <v>0</v>
      </c>
      <c r="BT29" s="298" cm="1">
        <f t="array" ref="BT29">IF(AND(BT$2&lt;&gt;0,TblTech[[#This Row],[Hour]:[Hour]]&gt;=BT$2),1,0)</f>
        <v>0</v>
      </c>
      <c r="BU29" s="298" cm="1">
        <f t="array" ref="BU29">IF(AND(BU$2&lt;&gt;0,TblTech[[#This Row],[Hour]:[Hour]]&gt;=BU$2),1,0)</f>
        <v>0</v>
      </c>
      <c r="BV29" s="298" cm="1">
        <f t="array" ref="BV29">IF(AND(BV$2&lt;&gt;0,TblTech[[#This Row],[Hour]:[Hour]]&gt;=BV$2),1,0)</f>
        <v>0</v>
      </c>
      <c r="BW29" s="298" cm="1">
        <f t="array" ref="BW29">IF(AND(BW$2&lt;&gt;0,TblTech[[#This Row],[Hour]:[Hour]]&gt;=BW$2),1,0)</f>
        <v>0</v>
      </c>
      <c r="BX29" s="298" cm="1">
        <f t="array" ref="BX29">IF(AND(BX$2&lt;&gt;0,TblTech[[#This Row],[Hour]:[Hour]]&gt;=BX$2),1,0)</f>
        <v>0</v>
      </c>
      <c r="BY29" s="298" cm="1">
        <f t="array" ref="BY29">IF(AND(BY$2&lt;&gt;0,TblTech[[#This Row],[Hour]:[Hour]]&gt;=BY$2),1,0)</f>
        <v>0</v>
      </c>
      <c r="BZ29" s="298" cm="1">
        <f t="array" ref="BZ29">IF(AND(BZ$2&lt;&gt;0,TblTech[[#This Row],[Hour]:[Hour]]&gt;=BZ$2),1,0)</f>
        <v>0</v>
      </c>
      <c r="CA29" s="402">
        <f>IFERROR(INDEX($H$4:$H$79,MATCH(INDEX(TblTech[[#Headers],[1-1]:[11-1]],1,MATCH(TblTech[[#This Row],[Hour]],$M$2:$BZ$2,0)),$G$4:$G$79,0)),)</f>
        <v>0</v>
      </c>
    </row>
    <row r="30" spans="1:79" x14ac:dyDescent="0.2">
      <c r="A30" s="290">
        <f>TblRezone[[#This Row],[Hour]]</f>
        <v>27</v>
      </c>
      <c r="B30" s="291">
        <f ca="1">TblExplore[[#This Row],[Land-DB]]</f>
        <v>250</v>
      </c>
      <c r="C30" s="292">
        <f ca="1">TblProd[[#This Row],[Techpoints]]</f>
        <v>0</v>
      </c>
      <c r="D30" s="292">
        <f ca="1">TblProd[[#This Row],[Required]]</f>
        <v>3750</v>
      </c>
      <c r="E30" s="293"/>
      <c r="F30" s="294"/>
      <c r="G30" s="295" t="s">
        <v>571</v>
      </c>
      <c r="H30" s="296" t="s">
        <v>701</v>
      </c>
      <c r="I30" s="295" t="s">
        <v>1091</v>
      </c>
      <c r="J30" s="291"/>
      <c r="K30" s="95">
        <f ca="1">IF(TblTech[[#This Row],[Sum of tech]]&lt;&gt;OFFSET(TblTech[[#This Row],[Sum of tech]],-1,0),1,0)</f>
        <v>0</v>
      </c>
      <c r="L30" s="297">
        <f>COUNTIF(TblTech[[#This Row],[1-1]:[11-1]],1)</f>
        <v>0</v>
      </c>
      <c r="M30" s="298" cm="1">
        <f t="array" ref="M30">IF(AND(M$2&lt;&gt;0,TblTech[[#This Row],[Hour]:[Hour]]&gt;=M$2),1,0)</f>
        <v>0</v>
      </c>
      <c r="N30" s="298" cm="1">
        <f t="array" ref="N30">IF(AND(N$2&lt;&gt;0,TblTech[[#This Row],[Hour]:[Hour]]&gt;=N$2),1,0)</f>
        <v>0</v>
      </c>
      <c r="O30" s="298" cm="1">
        <f t="array" ref="O30">IF(AND(O$2&lt;&gt;0,TblTech[[#This Row],[Hour]:[Hour]]&gt;=O$2),1,0)</f>
        <v>0</v>
      </c>
      <c r="P30" s="298" cm="1">
        <f t="array" ref="P30">IF(AND(P$2&lt;&gt;0,TblTech[[#This Row],[Hour]:[Hour]]&gt;=P$2),1,0)</f>
        <v>0</v>
      </c>
      <c r="Q30" s="298" cm="1">
        <f t="array" ref="Q30">IF(AND(Q$2&lt;&gt;0,TblTech[[#This Row],[Hour]:[Hour]]&gt;=Q$2),1,0)</f>
        <v>0</v>
      </c>
      <c r="R30" s="298" cm="1">
        <f t="array" ref="R30">IF(AND(R$2&lt;&gt;0,TblTech[[#This Row],[Hour]:[Hour]]&gt;=R$2),1,0)</f>
        <v>0</v>
      </c>
      <c r="S30" s="298" cm="1">
        <f t="array" ref="S30">IF(AND(S$2&lt;&gt;0,TblTech[[#This Row],[Hour]:[Hour]]&gt;=S$2),1,0)</f>
        <v>0</v>
      </c>
      <c r="T30" s="298" cm="1">
        <f t="array" ref="T30">IF(AND(T$2&lt;&gt;0,TblTech[[#This Row],[Hour]:[Hour]]&gt;=T$2),1,0)</f>
        <v>0</v>
      </c>
      <c r="U30" s="298" cm="1">
        <f t="array" ref="U30">IF(AND(U$2&lt;&gt;0,TblTech[[#This Row],[Hour]:[Hour]]&gt;=U$2),1,0)</f>
        <v>0</v>
      </c>
      <c r="V30" s="298" cm="1">
        <f t="array" ref="V30">IF(AND(V$2&lt;&gt;0,TblTech[[#This Row],[Hour]:[Hour]]&gt;=V$2),1,0)</f>
        <v>0</v>
      </c>
      <c r="W30" s="298" cm="1">
        <f t="array" ref="W30">IF(AND(W$2&lt;&gt;0,TblTech[[#This Row],[Hour]:[Hour]]&gt;=W$2),1,0)</f>
        <v>0</v>
      </c>
      <c r="X30" s="298" cm="1">
        <f t="array" ref="X30">IF(AND(X$2&lt;&gt;0,TblTech[[#This Row],[Hour]:[Hour]]&gt;=X$2),1,0)</f>
        <v>0</v>
      </c>
      <c r="Y30" s="298" cm="1">
        <f t="array" ref="Y30">IF(AND(Y$2&lt;&gt;0,TblTech[[#This Row],[Hour]:[Hour]]&gt;=Y$2),1,0)</f>
        <v>0</v>
      </c>
      <c r="Z30" s="298" cm="1">
        <f t="array" ref="Z30">IF(AND(Z$2&lt;&gt;0,TblTech[[#This Row],[Hour]:[Hour]]&gt;=Z$2),1,0)</f>
        <v>0</v>
      </c>
      <c r="AA30" s="298" cm="1">
        <f t="array" ref="AA30">IF(AND(AA$2&lt;&gt;0,TblTech[[#This Row],[Hour]:[Hour]]&gt;=AA$2),1,0)</f>
        <v>0</v>
      </c>
      <c r="AB30" s="298" cm="1">
        <f t="array" ref="AB30">IF(AND(AB$2&lt;&gt;0,TblTech[[#This Row],[Hour]:[Hour]]&gt;=AB$2),1,0)</f>
        <v>0</v>
      </c>
      <c r="AC30" s="298" cm="1">
        <f t="array" ref="AC30">IF(AND(AC$2&lt;&gt;0,TblTech[[#This Row],[Hour]:[Hour]]&gt;=AC$2),1,0)</f>
        <v>0</v>
      </c>
      <c r="AD30" s="298" cm="1">
        <f t="array" ref="AD30">IF(AND(AD$2&lt;&gt;0,TblTech[[#This Row],[Hour]:[Hour]]&gt;=AD$2),1,0)</f>
        <v>0</v>
      </c>
      <c r="AE30" s="298" cm="1">
        <f t="array" ref="AE30">IF(AND(AE$2&lt;&gt;0,TblTech[[#This Row],[Hour]:[Hour]]&gt;=AE$2),1,0)</f>
        <v>0</v>
      </c>
      <c r="AF30" s="298" cm="1">
        <f t="array" ref="AF30">IF(AND(AF$2&lt;&gt;0,TblTech[[#This Row],[Hour]:[Hour]]&gt;=AF$2),1,0)</f>
        <v>0</v>
      </c>
      <c r="AG30" s="298" cm="1">
        <f t="array" ref="AG30">IF(AND(AG$2&lt;&gt;0,TblTech[[#This Row],[Hour]:[Hour]]&gt;=AG$2),1,0)</f>
        <v>0</v>
      </c>
      <c r="AH30" s="298" cm="1">
        <f t="array" ref="AH30">IF(AND(AH$2&lt;&gt;0,TblTech[[#This Row],[Hour]:[Hour]]&gt;=AH$2),1,0)</f>
        <v>0</v>
      </c>
      <c r="AI30" s="298" cm="1">
        <f t="array" ref="AI30">IF(AND(AI$2&lt;&gt;0,TblTech[[#This Row],[Hour]:[Hour]]&gt;=AI$2),1,0)</f>
        <v>0</v>
      </c>
      <c r="AJ30" s="298" cm="1">
        <f t="array" ref="AJ30">IF(AND(AJ$2&lt;&gt;0,TblTech[[#This Row],[Hour]:[Hour]]&gt;=AJ$2),1,0)</f>
        <v>0</v>
      </c>
      <c r="AK30" s="298" cm="1">
        <f t="array" ref="AK30">IF(AND(AK$2&lt;&gt;0,TblTech[[#This Row],[Hour]:[Hour]]&gt;=AK$2),1,0)</f>
        <v>0</v>
      </c>
      <c r="AL30" s="298" cm="1">
        <f t="array" ref="AL30">IF(AND(AL$2&lt;&gt;0,TblTech[[#This Row],[Hour]:[Hour]]&gt;=AL$2),1,0)</f>
        <v>0</v>
      </c>
      <c r="AM30" s="298" cm="1">
        <f t="array" ref="AM30">IF(AND(AM$2&lt;&gt;0,TblTech[[#This Row],[Hour]:[Hour]]&gt;=AM$2),1,0)</f>
        <v>0</v>
      </c>
      <c r="AN30" s="298" cm="1">
        <f t="array" ref="AN30">IF(AND(AN$2&lt;&gt;0,TblTech[[#This Row],[Hour]:[Hour]]&gt;=AN$2),1,0)</f>
        <v>0</v>
      </c>
      <c r="AO30" s="298" cm="1">
        <f t="array" ref="AO30">IF(AND(AO$2&lt;&gt;0,TblTech[[#This Row],[Hour]:[Hour]]&gt;=AO$2),1,0)</f>
        <v>0</v>
      </c>
      <c r="AP30" s="298" cm="1">
        <f t="array" ref="AP30">IF(AND(AP$2&lt;&gt;0,TblTech[[#This Row],[Hour]:[Hour]]&gt;=AP$2),1,0)</f>
        <v>0</v>
      </c>
      <c r="AQ30" s="298" cm="1">
        <f t="array" ref="AQ30">IF(AND(AQ$2&lt;&gt;0,TblTech[[#This Row],[Hour]:[Hour]]&gt;=AQ$2),1,0)</f>
        <v>0</v>
      </c>
      <c r="AR30" s="298" cm="1">
        <f t="array" ref="AR30">IF(AND(AR$2&lt;&gt;0,TblTech[[#This Row],[Hour]:[Hour]]&gt;=AR$2),1,0)</f>
        <v>0</v>
      </c>
      <c r="AS30" s="298" cm="1">
        <f t="array" ref="AS30">IF(AND(AS$2&lt;&gt;0,TblTech[[#This Row],[Hour]:[Hour]]&gt;=AS$2),1,0)</f>
        <v>0</v>
      </c>
      <c r="AT30" s="298" cm="1">
        <f t="array" ref="AT30">IF(AND(AT$2&lt;&gt;0,TblTech[[#This Row],[Hour]:[Hour]]&gt;=AT$2),1,0)</f>
        <v>0</v>
      </c>
      <c r="AU30" s="298" cm="1">
        <f t="array" ref="AU30">IF(AND(AU$2&lt;&gt;0,TblTech[[#This Row],[Hour]:[Hour]]&gt;=AU$2),1,0)</f>
        <v>0</v>
      </c>
      <c r="AV30" s="298" cm="1">
        <f t="array" ref="AV30">IF(AND(AV$2&lt;&gt;0,TblTech[[#This Row],[Hour]:[Hour]]&gt;=AV$2),1,0)</f>
        <v>0</v>
      </c>
      <c r="AW30" s="298" cm="1">
        <f t="array" ref="AW30">IF(AND(AW$2&lt;&gt;0,TblTech[[#This Row],[Hour]:[Hour]]&gt;=AW$2),1,0)</f>
        <v>0</v>
      </c>
      <c r="AX30" s="298" cm="1">
        <f t="array" ref="AX30">IF(AND(AX$2&lt;&gt;0,TblTech[[#This Row],[Hour]:[Hour]]&gt;=AX$2),1,0)</f>
        <v>0</v>
      </c>
      <c r="AY30" s="298" cm="1">
        <f t="array" ref="AY30">IF(AND(AY$2&lt;&gt;0,TblTech[[#This Row],[Hour]:[Hour]]&gt;=AY$2),1,0)</f>
        <v>0</v>
      </c>
      <c r="AZ30" s="298" cm="1">
        <f t="array" ref="AZ30">IF(AND(AZ$2&lt;&gt;0,TblTech[[#This Row],[Hour]:[Hour]]&gt;=AZ$2),1,0)</f>
        <v>0</v>
      </c>
      <c r="BA30" s="298" cm="1">
        <f t="array" ref="BA30">IF(AND(BA$2&lt;&gt;0,TblTech[[#This Row],[Hour]:[Hour]]&gt;=BA$2),1,0)</f>
        <v>0</v>
      </c>
      <c r="BB30" s="298" cm="1">
        <f t="array" ref="BB30">IF(AND(BB$2&lt;&gt;0,TblTech[[#This Row],[Hour]:[Hour]]&gt;=BB$2),1,0)</f>
        <v>0</v>
      </c>
      <c r="BC30" s="298" cm="1">
        <f t="array" ref="BC30">IF(AND(BC$2&lt;&gt;0,TblTech[[#This Row],[Hour]:[Hour]]&gt;=BC$2),1,0)</f>
        <v>0</v>
      </c>
      <c r="BD30" s="298" cm="1">
        <f t="array" ref="BD30">IF(AND(BD$2&lt;&gt;0,TblTech[[#This Row],[Hour]:[Hour]]&gt;=BD$2),1,0)</f>
        <v>0</v>
      </c>
      <c r="BE30" s="298" cm="1">
        <f t="array" ref="BE30">IF(AND(BE$2&lt;&gt;0,TblTech[[#This Row],[Hour]:[Hour]]&gt;=BE$2),1,0)</f>
        <v>0</v>
      </c>
      <c r="BF30" s="298" cm="1">
        <f t="array" ref="BF30">IF(AND(BF$2&lt;&gt;0,TblTech[[#This Row],[Hour]:[Hour]]&gt;=BF$2),1,0)</f>
        <v>0</v>
      </c>
      <c r="BG30" s="298" cm="1">
        <f t="array" ref="BG30">IF(AND(BG$2&lt;&gt;0,TblTech[[#This Row],[Hour]:[Hour]]&gt;=BG$2),1,0)</f>
        <v>0</v>
      </c>
      <c r="BH30" s="298" cm="1">
        <f t="array" ref="BH30">IF(AND(BH$2&lt;&gt;0,TblTech[[#This Row],[Hour]:[Hour]]&gt;=BH$2),1,0)</f>
        <v>0</v>
      </c>
      <c r="BI30" s="298" cm="1">
        <f t="array" ref="BI30">IF(AND(BI$2&lt;&gt;0,TblTech[[#This Row],[Hour]:[Hour]]&gt;=BI$2),1,0)</f>
        <v>0</v>
      </c>
      <c r="BJ30" s="298" cm="1">
        <f t="array" ref="BJ30">IF(AND(BJ$2&lt;&gt;0,TblTech[[#This Row],[Hour]:[Hour]]&gt;=BJ$2),1,0)</f>
        <v>0</v>
      </c>
      <c r="BK30" s="298" cm="1">
        <f t="array" ref="BK30">IF(AND(BK$2&lt;&gt;0,TblTech[[#This Row],[Hour]:[Hour]]&gt;=BK$2),1,0)</f>
        <v>0</v>
      </c>
      <c r="BL30" s="298" cm="1">
        <f t="array" ref="BL30">IF(AND(BL$2&lt;&gt;0,TblTech[[#This Row],[Hour]:[Hour]]&gt;=BL$2),1,0)</f>
        <v>0</v>
      </c>
      <c r="BM30" s="298" cm="1">
        <f t="array" ref="BM30">IF(AND(BM$2&lt;&gt;0,TblTech[[#This Row],[Hour]:[Hour]]&gt;=BM$2),1,0)</f>
        <v>0</v>
      </c>
      <c r="BN30" s="298" cm="1">
        <f t="array" ref="BN30">IF(AND(BN$2&lt;&gt;0,TblTech[[#This Row],[Hour]:[Hour]]&gt;=BN$2),1,0)</f>
        <v>0</v>
      </c>
      <c r="BO30" s="298" cm="1">
        <f t="array" ref="BO30">IF(AND(BO$2&lt;&gt;0,TblTech[[#This Row],[Hour]:[Hour]]&gt;=BO$2),1,0)</f>
        <v>0</v>
      </c>
      <c r="BP30" s="298" cm="1">
        <f t="array" ref="BP30">IF(AND(BP$2&lt;&gt;0,TblTech[[#This Row],[Hour]:[Hour]]&gt;=BP$2),1,0)</f>
        <v>0</v>
      </c>
      <c r="BQ30" s="298" cm="1">
        <f t="array" ref="BQ30">IF(AND(BQ$2&lt;&gt;0,TblTech[[#This Row],[Hour]:[Hour]]&gt;=BQ$2),1,0)</f>
        <v>0</v>
      </c>
      <c r="BR30" s="298" cm="1">
        <f t="array" ref="BR30">IF(AND(BR$2&lt;&gt;0,TblTech[[#This Row],[Hour]:[Hour]]&gt;=BR$2),1,0)</f>
        <v>0</v>
      </c>
      <c r="BS30" s="298" cm="1">
        <f t="array" ref="BS30">IF(AND(BS$2&lt;&gt;0,TblTech[[#This Row],[Hour]:[Hour]]&gt;=BS$2),1,0)</f>
        <v>0</v>
      </c>
      <c r="BT30" s="298" cm="1">
        <f t="array" ref="BT30">IF(AND(BT$2&lt;&gt;0,TblTech[[#This Row],[Hour]:[Hour]]&gt;=BT$2),1,0)</f>
        <v>0</v>
      </c>
      <c r="BU30" s="298" cm="1">
        <f t="array" ref="BU30">IF(AND(BU$2&lt;&gt;0,TblTech[[#This Row],[Hour]:[Hour]]&gt;=BU$2),1,0)</f>
        <v>0</v>
      </c>
      <c r="BV30" s="298" cm="1">
        <f t="array" ref="BV30">IF(AND(BV$2&lt;&gt;0,TblTech[[#This Row],[Hour]:[Hour]]&gt;=BV$2),1,0)</f>
        <v>0</v>
      </c>
      <c r="BW30" s="298" cm="1">
        <f t="array" ref="BW30">IF(AND(BW$2&lt;&gt;0,TblTech[[#This Row],[Hour]:[Hour]]&gt;=BW$2),1,0)</f>
        <v>0</v>
      </c>
      <c r="BX30" s="298" cm="1">
        <f t="array" ref="BX30">IF(AND(BX$2&lt;&gt;0,TblTech[[#This Row],[Hour]:[Hour]]&gt;=BX$2),1,0)</f>
        <v>0</v>
      </c>
      <c r="BY30" s="298" cm="1">
        <f t="array" ref="BY30">IF(AND(BY$2&lt;&gt;0,TblTech[[#This Row],[Hour]:[Hour]]&gt;=BY$2),1,0)</f>
        <v>0</v>
      </c>
      <c r="BZ30" s="298" cm="1">
        <f t="array" ref="BZ30">IF(AND(BZ$2&lt;&gt;0,TblTech[[#This Row],[Hour]:[Hour]]&gt;=BZ$2),1,0)</f>
        <v>0</v>
      </c>
      <c r="CA30" s="402">
        <f>IFERROR(INDEX($H$4:$H$79,MATCH(INDEX(TblTech[[#Headers],[1-1]:[11-1]],1,MATCH(TblTech[[#This Row],[Hour]],$M$2:$BZ$2,0)),$G$4:$G$79,0)),)</f>
        <v>0</v>
      </c>
    </row>
    <row r="31" spans="1:79" x14ac:dyDescent="0.2">
      <c r="A31" s="290">
        <f>TblRezone[[#This Row],[Hour]]</f>
        <v>28</v>
      </c>
      <c r="B31" s="291">
        <f ca="1">TblExplore[[#This Row],[Land-DB]]</f>
        <v>250</v>
      </c>
      <c r="C31" s="292">
        <f ca="1">TblProd[[#This Row],[Techpoints]]</f>
        <v>0</v>
      </c>
      <c r="D31" s="292">
        <f ca="1">TblProd[[#This Row],[Required]]</f>
        <v>3750</v>
      </c>
      <c r="E31" s="293"/>
      <c r="F31" s="294"/>
      <c r="G31" s="295" t="s">
        <v>572</v>
      </c>
      <c r="H31" s="296" t="s">
        <v>683</v>
      </c>
      <c r="I31" s="295" t="s">
        <v>1049</v>
      </c>
      <c r="J31" s="291"/>
      <c r="K31" s="95">
        <f ca="1">IF(TblTech[[#This Row],[Sum of tech]]&lt;&gt;OFFSET(TblTech[[#This Row],[Sum of tech]],-1,0),1,0)</f>
        <v>0</v>
      </c>
      <c r="L31" s="297">
        <f>COUNTIF(TblTech[[#This Row],[1-1]:[11-1]],1)</f>
        <v>0</v>
      </c>
      <c r="M31" s="298" cm="1">
        <f t="array" ref="M31">IF(AND(M$2&lt;&gt;0,TblTech[[#This Row],[Hour]:[Hour]]&gt;=M$2),1,0)</f>
        <v>0</v>
      </c>
      <c r="N31" s="298" cm="1">
        <f t="array" ref="N31">IF(AND(N$2&lt;&gt;0,TblTech[[#This Row],[Hour]:[Hour]]&gt;=N$2),1,0)</f>
        <v>0</v>
      </c>
      <c r="O31" s="298" cm="1">
        <f t="array" ref="O31">IF(AND(O$2&lt;&gt;0,TblTech[[#This Row],[Hour]:[Hour]]&gt;=O$2),1,0)</f>
        <v>0</v>
      </c>
      <c r="P31" s="298" cm="1">
        <f t="array" ref="P31">IF(AND(P$2&lt;&gt;0,TblTech[[#This Row],[Hour]:[Hour]]&gt;=P$2),1,0)</f>
        <v>0</v>
      </c>
      <c r="Q31" s="298" cm="1">
        <f t="array" ref="Q31">IF(AND(Q$2&lt;&gt;0,TblTech[[#This Row],[Hour]:[Hour]]&gt;=Q$2),1,0)</f>
        <v>0</v>
      </c>
      <c r="R31" s="298" cm="1">
        <f t="array" ref="R31">IF(AND(R$2&lt;&gt;0,TblTech[[#This Row],[Hour]:[Hour]]&gt;=R$2),1,0)</f>
        <v>0</v>
      </c>
      <c r="S31" s="298" cm="1">
        <f t="array" ref="S31">IF(AND(S$2&lt;&gt;0,TblTech[[#This Row],[Hour]:[Hour]]&gt;=S$2),1,0)</f>
        <v>0</v>
      </c>
      <c r="T31" s="298" cm="1">
        <f t="array" ref="T31">IF(AND(T$2&lt;&gt;0,TblTech[[#This Row],[Hour]:[Hour]]&gt;=T$2),1,0)</f>
        <v>0</v>
      </c>
      <c r="U31" s="298" cm="1">
        <f t="array" ref="U31">IF(AND(U$2&lt;&gt;0,TblTech[[#This Row],[Hour]:[Hour]]&gt;=U$2),1,0)</f>
        <v>0</v>
      </c>
      <c r="V31" s="298" cm="1">
        <f t="array" ref="V31">IF(AND(V$2&lt;&gt;0,TblTech[[#This Row],[Hour]:[Hour]]&gt;=V$2),1,0)</f>
        <v>0</v>
      </c>
      <c r="W31" s="298" cm="1">
        <f t="array" ref="W31">IF(AND(W$2&lt;&gt;0,TblTech[[#This Row],[Hour]:[Hour]]&gt;=W$2),1,0)</f>
        <v>0</v>
      </c>
      <c r="X31" s="298" cm="1">
        <f t="array" ref="X31">IF(AND(X$2&lt;&gt;0,TblTech[[#This Row],[Hour]:[Hour]]&gt;=X$2),1,0)</f>
        <v>0</v>
      </c>
      <c r="Y31" s="298" cm="1">
        <f t="array" ref="Y31">IF(AND(Y$2&lt;&gt;0,TblTech[[#This Row],[Hour]:[Hour]]&gt;=Y$2),1,0)</f>
        <v>0</v>
      </c>
      <c r="Z31" s="298" cm="1">
        <f t="array" ref="Z31">IF(AND(Z$2&lt;&gt;0,TblTech[[#This Row],[Hour]:[Hour]]&gt;=Z$2),1,0)</f>
        <v>0</v>
      </c>
      <c r="AA31" s="298" cm="1">
        <f t="array" ref="AA31">IF(AND(AA$2&lt;&gt;0,TblTech[[#This Row],[Hour]:[Hour]]&gt;=AA$2),1,0)</f>
        <v>0</v>
      </c>
      <c r="AB31" s="298" cm="1">
        <f t="array" ref="AB31">IF(AND(AB$2&lt;&gt;0,TblTech[[#This Row],[Hour]:[Hour]]&gt;=AB$2),1,0)</f>
        <v>0</v>
      </c>
      <c r="AC31" s="298" cm="1">
        <f t="array" ref="AC31">IF(AND(AC$2&lt;&gt;0,TblTech[[#This Row],[Hour]:[Hour]]&gt;=AC$2),1,0)</f>
        <v>0</v>
      </c>
      <c r="AD31" s="298" cm="1">
        <f t="array" ref="AD31">IF(AND(AD$2&lt;&gt;0,TblTech[[#This Row],[Hour]:[Hour]]&gt;=AD$2),1,0)</f>
        <v>0</v>
      </c>
      <c r="AE31" s="298" cm="1">
        <f t="array" ref="AE31">IF(AND(AE$2&lt;&gt;0,TblTech[[#This Row],[Hour]:[Hour]]&gt;=AE$2),1,0)</f>
        <v>0</v>
      </c>
      <c r="AF31" s="298" cm="1">
        <f t="array" ref="AF31">IF(AND(AF$2&lt;&gt;0,TblTech[[#This Row],[Hour]:[Hour]]&gt;=AF$2),1,0)</f>
        <v>0</v>
      </c>
      <c r="AG31" s="298" cm="1">
        <f t="array" ref="AG31">IF(AND(AG$2&lt;&gt;0,TblTech[[#This Row],[Hour]:[Hour]]&gt;=AG$2),1,0)</f>
        <v>0</v>
      </c>
      <c r="AH31" s="298" cm="1">
        <f t="array" ref="AH31">IF(AND(AH$2&lt;&gt;0,TblTech[[#This Row],[Hour]:[Hour]]&gt;=AH$2),1,0)</f>
        <v>0</v>
      </c>
      <c r="AI31" s="298" cm="1">
        <f t="array" ref="AI31">IF(AND(AI$2&lt;&gt;0,TblTech[[#This Row],[Hour]:[Hour]]&gt;=AI$2),1,0)</f>
        <v>0</v>
      </c>
      <c r="AJ31" s="298" cm="1">
        <f t="array" ref="AJ31">IF(AND(AJ$2&lt;&gt;0,TblTech[[#This Row],[Hour]:[Hour]]&gt;=AJ$2),1,0)</f>
        <v>0</v>
      </c>
      <c r="AK31" s="298" cm="1">
        <f t="array" ref="AK31">IF(AND(AK$2&lt;&gt;0,TblTech[[#This Row],[Hour]:[Hour]]&gt;=AK$2),1,0)</f>
        <v>0</v>
      </c>
      <c r="AL31" s="298" cm="1">
        <f t="array" ref="AL31">IF(AND(AL$2&lt;&gt;0,TblTech[[#This Row],[Hour]:[Hour]]&gt;=AL$2),1,0)</f>
        <v>0</v>
      </c>
      <c r="AM31" s="298" cm="1">
        <f t="array" ref="AM31">IF(AND(AM$2&lt;&gt;0,TblTech[[#This Row],[Hour]:[Hour]]&gt;=AM$2),1,0)</f>
        <v>0</v>
      </c>
      <c r="AN31" s="298" cm="1">
        <f t="array" ref="AN31">IF(AND(AN$2&lt;&gt;0,TblTech[[#This Row],[Hour]:[Hour]]&gt;=AN$2),1,0)</f>
        <v>0</v>
      </c>
      <c r="AO31" s="298" cm="1">
        <f t="array" ref="AO31">IF(AND(AO$2&lt;&gt;0,TblTech[[#This Row],[Hour]:[Hour]]&gt;=AO$2),1,0)</f>
        <v>0</v>
      </c>
      <c r="AP31" s="298" cm="1">
        <f t="array" ref="AP31">IF(AND(AP$2&lt;&gt;0,TblTech[[#This Row],[Hour]:[Hour]]&gt;=AP$2),1,0)</f>
        <v>0</v>
      </c>
      <c r="AQ31" s="298" cm="1">
        <f t="array" ref="AQ31">IF(AND(AQ$2&lt;&gt;0,TblTech[[#This Row],[Hour]:[Hour]]&gt;=AQ$2),1,0)</f>
        <v>0</v>
      </c>
      <c r="AR31" s="298" cm="1">
        <f t="array" ref="AR31">IF(AND(AR$2&lt;&gt;0,TblTech[[#This Row],[Hour]:[Hour]]&gt;=AR$2),1,0)</f>
        <v>0</v>
      </c>
      <c r="AS31" s="298" cm="1">
        <f t="array" ref="AS31">IF(AND(AS$2&lt;&gt;0,TblTech[[#This Row],[Hour]:[Hour]]&gt;=AS$2),1,0)</f>
        <v>0</v>
      </c>
      <c r="AT31" s="298" cm="1">
        <f t="array" ref="AT31">IF(AND(AT$2&lt;&gt;0,TblTech[[#This Row],[Hour]:[Hour]]&gt;=AT$2),1,0)</f>
        <v>0</v>
      </c>
      <c r="AU31" s="298" cm="1">
        <f t="array" ref="AU31">IF(AND(AU$2&lt;&gt;0,TblTech[[#This Row],[Hour]:[Hour]]&gt;=AU$2),1,0)</f>
        <v>0</v>
      </c>
      <c r="AV31" s="298" cm="1">
        <f t="array" ref="AV31">IF(AND(AV$2&lt;&gt;0,TblTech[[#This Row],[Hour]:[Hour]]&gt;=AV$2),1,0)</f>
        <v>0</v>
      </c>
      <c r="AW31" s="298" cm="1">
        <f t="array" ref="AW31">IF(AND(AW$2&lt;&gt;0,TblTech[[#This Row],[Hour]:[Hour]]&gt;=AW$2),1,0)</f>
        <v>0</v>
      </c>
      <c r="AX31" s="298" cm="1">
        <f t="array" ref="AX31">IF(AND(AX$2&lt;&gt;0,TblTech[[#This Row],[Hour]:[Hour]]&gt;=AX$2),1,0)</f>
        <v>0</v>
      </c>
      <c r="AY31" s="298" cm="1">
        <f t="array" ref="AY31">IF(AND(AY$2&lt;&gt;0,TblTech[[#This Row],[Hour]:[Hour]]&gt;=AY$2),1,0)</f>
        <v>0</v>
      </c>
      <c r="AZ31" s="298" cm="1">
        <f t="array" ref="AZ31">IF(AND(AZ$2&lt;&gt;0,TblTech[[#This Row],[Hour]:[Hour]]&gt;=AZ$2),1,0)</f>
        <v>0</v>
      </c>
      <c r="BA31" s="298" cm="1">
        <f t="array" ref="BA31">IF(AND(BA$2&lt;&gt;0,TblTech[[#This Row],[Hour]:[Hour]]&gt;=BA$2),1,0)</f>
        <v>0</v>
      </c>
      <c r="BB31" s="298" cm="1">
        <f t="array" ref="BB31">IF(AND(BB$2&lt;&gt;0,TblTech[[#This Row],[Hour]:[Hour]]&gt;=BB$2),1,0)</f>
        <v>0</v>
      </c>
      <c r="BC31" s="298" cm="1">
        <f t="array" ref="BC31">IF(AND(BC$2&lt;&gt;0,TblTech[[#This Row],[Hour]:[Hour]]&gt;=BC$2),1,0)</f>
        <v>0</v>
      </c>
      <c r="BD31" s="298" cm="1">
        <f t="array" ref="BD31">IF(AND(BD$2&lt;&gt;0,TblTech[[#This Row],[Hour]:[Hour]]&gt;=BD$2),1,0)</f>
        <v>0</v>
      </c>
      <c r="BE31" s="298" cm="1">
        <f t="array" ref="BE31">IF(AND(BE$2&lt;&gt;0,TblTech[[#This Row],[Hour]:[Hour]]&gt;=BE$2),1,0)</f>
        <v>0</v>
      </c>
      <c r="BF31" s="298" cm="1">
        <f t="array" ref="BF31">IF(AND(BF$2&lt;&gt;0,TblTech[[#This Row],[Hour]:[Hour]]&gt;=BF$2),1,0)</f>
        <v>0</v>
      </c>
      <c r="BG31" s="298" cm="1">
        <f t="array" ref="BG31">IF(AND(BG$2&lt;&gt;0,TblTech[[#This Row],[Hour]:[Hour]]&gt;=BG$2),1,0)</f>
        <v>0</v>
      </c>
      <c r="BH31" s="298" cm="1">
        <f t="array" ref="BH31">IF(AND(BH$2&lt;&gt;0,TblTech[[#This Row],[Hour]:[Hour]]&gt;=BH$2),1,0)</f>
        <v>0</v>
      </c>
      <c r="BI31" s="298" cm="1">
        <f t="array" ref="BI31">IF(AND(BI$2&lt;&gt;0,TblTech[[#This Row],[Hour]:[Hour]]&gt;=BI$2),1,0)</f>
        <v>0</v>
      </c>
      <c r="BJ31" s="298" cm="1">
        <f t="array" ref="BJ31">IF(AND(BJ$2&lt;&gt;0,TblTech[[#This Row],[Hour]:[Hour]]&gt;=BJ$2),1,0)</f>
        <v>0</v>
      </c>
      <c r="BK31" s="298" cm="1">
        <f t="array" ref="BK31">IF(AND(BK$2&lt;&gt;0,TblTech[[#This Row],[Hour]:[Hour]]&gt;=BK$2),1,0)</f>
        <v>0</v>
      </c>
      <c r="BL31" s="298" cm="1">
        <f t="array" ref="BL31">IF(AND(BL$2&lt;&gt;0,TblTech[[#This Row],[Hour]:[Hour]]&gt;=BL$2),1,0)</f>
        <v>0</v>
      </c>
      <c r="BM31" s="298" cm="1">
        <f t="array" ref="BM31">IF(AND(BM$2&lt;&gt;0,TblTech[[#This Row],[Hour]:[Hour]]&gt;=BM$2),1,0)</f>
        <v>0</v>
      </c>
      <c r="BN31" s="298" cm="1">
        <f t="array" ref="BN31">IF(AND(BN$2&lt;&gt;0,TblTech[[#This Row],[Hour]:[Hour]]&gt;=BN$2),1,0)</f>
        <v>0</v>
      </c>
      <c r="BO31" s="298" cm="1">
        <f t="array" ref="BO31">IF(AND(BO$2&lt;&gt;0,TblTech[[#This Row],[Hour]:[Hour]]&gt;=BO$2),1,0)</f>
        <v>0</v>
      </c>
      <c r="BP31" s="298" cm="1">
        <f t="array" ref="BP31">IF(AND(BP$2&lt;&gt;0,TblTech[[#This Row],[Hour]:[Hour]]&gt;=BP$2),1,0)</f>
        <v>0</v>
      </c>
      <c r="BQ31" s="298" cm="1">
        <f t="array" ref="BQ31">IF(AND(BQ$2&lt;&gt;0,TblTech[[#This Row],[Hour]:[Hour]]&gt;=BQ$2),1,0)</f>
        <v>0</v>
      </c>
      <c r="BR31" s="298" cm="1">
        <f t="array" ref="BR31">IF(AND(BR$2&lt;&gt;0,TblTech[[#This Row],[Hour]:[Hour]]&gt;=BR$2),1,0)</f>
        <v>0</v>
      </c>
      <c r="BS31" s="298" cm="1">
        <f t="array" ref="BS31">IF(AND(BS$2&lt;&gt;0,TblTech[[#This Row],[Hour]:[Hour]]&gt;=BS$2),1,0)</f>
        <v>0</v>
      </c>
      <c r="BT31" s="298" cm="1">
        <f t="array" ref="BT31">IF(AND(BT$2&lt;&gt;0,TblTech[[#This Row],[Hour]:[Hour]]&gt;=BT$2),1,0)</f>
        <v>0</v>
      </c>
      <c r="BU31" s="298" cm="1">
        <f t="array" ref="BU31">IF(AND(BU$2&lt;&gt;0,TblTech[[#This Row],[Hour]:[Hour]]&gt;=BU$2),1,0)</f>
        <v>0</v>
      </c>
      <c r="BV31" s="298" cm="1">
        <f t="array" ref="BV31">IF(AND(BV$2&lt;&gt;0,TblTech[[#This Row],[Hour]:[Hour]]&gt;=BV$2),1,0)</f>
        <v>0</v>
      </c>
      <c r="BW31" s="298" cm="1">
        <f t="array" ref="BW31">IF(AND(BW$2&lt;&gt;0,TblTech[[#This Row],[Hour]:[Hour]]&gt;=BW$2),1,0)</f>
        <v>0</v>
      </c>
      <c r="BX31" s="298" cm="1">
        <f t="array" ref="BX31">IF(AND(BX$2&lt;&gt;0,TblTech[[#This Row],[Hour]:[Hour]]&gt;=BX$2),1,0)</f>
        <v>0</v>
      </c>
      <c r="BY31" s="298" cm="1">
        <f t="array" ref="BY31">IF(AND(BY$2&lt;&gt;0,TblTech[[#This Row],[Hour]:[Hour]]&gt;=BY$2),1,0)</f>
        <v>0</v>
      </c>
      <c r="BZ31" s="298" cm="1">
        <f t="array" ref="BZ31">IF(AND(BZ$2&lt;&gt;0,TblTech[[#This Row],[Hour]:[Hour]]&gt;=BZ$2),1,0)</f>
        <v>0</v>
      </c>
      <c r="CA31" s="402">
        <f>IFERROR(INDEX($H$4:$H$79,MATCH(INDEX(TblTech[[#Headers],[1-1]:[11-1]],1,MATCH(TblTech[[#This Row],[Hour]],$M$2:$BZ$2,0)),$G$4:$G$79,0)),)</f>
        <v>0</v>
      </c>
    </row>
    <row r="32" spans="1:79" x14ac:dyDescent="0.2">
      <c r="A32" s="290">
        <f>TblRezone[[#This Row],[Hour]]</f>
        <v>29</v>
      </c>
      <c r="B32" s="291">
        <f ca="1">TblExplore[[#This Row],[Land-DB]]</f>
        <v>250</v>
      </c>
      <c r="C32" s="292">
        <f ca="1">TblProd[[#This Row],[Techpoints]]</f>
        <v>0</v>
      </c>
      <c r="D32" s="292">
        <f ca="1">TblProd[[#This Row],[Required]]</f>
        <v>3750</v>
      </c>
      <c r="E32" s="293"/>
      <c r="F32" s="294"/>
      <c r="G32" s="295" t="s">
        <v>573</v>
      </c>
      <c r="H32" s="296" t="s">
        <v>694</v>
      </c>
      <c r="I32" s="295" t="s">
        <v>561</v>
      </c>
      <c r="J32" s="291"/>
      <c r="K32" s="95">
        <f ca="1">IF(TblTech[[#This Row],[Sum of tech]]&lt;&gt;OFFSET(TblTech[[#This Row],[Sum of tech]],-1,0),1,0)</f>
        <v>0</v>
      </c>
      <c r="L32" s="297">
        <f>COUNTIF(TblTech[[#This Row],[1-1]:[11-1]],1)</f>
        <v>0</v>
      </c>
      <c r="M32" s="298" cm="1">
        <f t="array" ref="M32">IF(AND(M$2&lt;&gt;0,TblTech[[#This Row],[Hour]:[Hour]]&gt;=M$2),1,0)</f>
        <v>0</v>
      </c>
      <c r="N32" s="298" cm="1">
        <f t="array" ref="N32">IF(AND(N$2&lt;&gt;0,TblTech[[#This Row],[Hour]:[Hour]]&gt;=N$2),1,0)</f>
        <v>0</v>
      </c>
      <c r="O32" s="298" cm="1">
        <f t="array" ref="O32">IF(AND(O$2&lt;&gt;0,TblTech[[#This Row],[Hour]:[Hour]]&gt;=O$2),1,0)</f>
        <v>0</v>
      </c>
      <c r="P32" s="298" cm="1">
        <f t="array" ref="P32">IF(AND(P$2&lt;&gt;0,TblTech[[#This Row],[Hour]:[Hour]]&gt;=P$2),1,0)</f>
        <v>0</v>
      </c>
      <c r="Q32" s="298" cm="1">
        <f t="array" ref="Q32">IF(AND(Q$2&lt;&gt;0,TblTech[[#This Row],[Hour]:[Hour]]&gt;=Q$2),1,0)</f>
        <v>0</v>
      </c>
      <c r="R32" s="298" cm="1">
        <f t="array" ref="R32">IF(AND(R$2&lt;&gt;0,TblTech[[#This Row],[Hour]:[Hour]]&gt;=R$2),1,0)</f>
        <v>0</v>
      </c>
      <c r="S32" s="298" cm="1">
        <f t="array" ref="S32">IF(AND(S$2&lt;&gt;0,TblTech[[#This Row],[Hour]:[Hour]]&gt;=S$2),1,0)</f>
        <v>0</v>
      </c>
      <c r="T32" s="298" cm="1">
        <f t="array" ref="T32">IF(AND(T$2&lt;&gt;0,TblTech[[#This Row],[Hour]:[Hour]]&gt;=T$2),1,0)</f>
        <v>0</v>
      </c>
      <c r="U32" s="298" cm="1">
        <f t="array" ref="U32">IF(AND(U$2&lt;&gt;0,TblTech[[#This Row],[Hour]:[Hour]]&gt;=U$2),1,0)</f>
        <v>0</v>
      </c>
      <c r="V32" s="298" cm="1">
        <f t="array" ref="V32">IF(AND(V$2&lt;&gt;0,TblTech[[#This Row],[Hour]:[Hour]]&gt;=V$2),1,0)</f>
        <v>0</v>
      </c>
      <c r="W32" s="298" cm="1">
        <f t="array" ref="W32">IF(AND(W$2&lt;&gt;0,TblTech[[#This Row],[Hour]:[Hour]]&gt;=W$2),1,0)</f>
        <v>0</v>
      </c>
      <c r="X32" s="298" cm="1">
        <f t="array" ref="X32">IF(AND(X$2&lt;&gt;0,TblTech[[#This Row],[Hour]:[Hour]]&gt;=X$2),1,0)</f>
        <v>0</v>
      </c>
      <c r="Y32" s="298" cm="1">
        <f t="array" ref="Y32">IF(AND(Y$2&lt;&gt;0,TblTech[[#This Row],[Hour]:[Hour]]&gt;=Y$2),1,0)</f>
        <v>0</v>
      </c>
      <c r="Z32" s="298" cm="1">
        <f t="array" ref="Z32">IF(AND(Z$2&lt;&gt;0,TblTech[[#This Row],[Hour]:[Hour]]&gt;=Z$2),1,0)</f>
        <v>0</v>
      </c>
      <c r="AA32" s="298" cm="1">
        <f t="array" ref="AA32">IF(AND(AA$2&lt;&gt;0,TblTech[[#This Row],[Hour]:[Hour]]&gt;=AA$2),1,0)</f>
        <v>0</v>
      </c>
      <c r="AB32" s="298" cm="1">
        <f t="array" ref="AB32">IF(AND(AB$2&lt;&gt;0,TblTech[[#This Row],[Hour]:[Hour]]&gt;=AB$2),1,0)</f>
        <v>0</v>
      </c>
      <c r="AC32" s="298" cm="1">
        <f t="array" ref="AC32">IF(AND(AC$2&lt;&gt;0,TblTech[[#This Row],[Hour]:[Hour]]&gt;=AC$2),1,0)</f>
        <v>0</v>
      </c>
      <c r="AD32" s="298" cm="1">
        <f t="array" ref="AD32">IF(AND(AD$2&lt;&gt;0,TblTech[[#This Row],[Hour]:[Hour]]&gt;=AD$2),1,0)</f>
        <v>0</v>
      </c>
      <c r="AE32" s="298" cm="1">
        <f t="array" ref="AE32">IF(AND(AE$2&lt;&gt;0,TblTech[[#This Row],[Hour]:[Hour]]&gt;=AE$2),1,0)</f>
        <v>0</v>
      </c>
      <c r="AF32" s="298" cm="1">
        <f t="array" ref="AF32">IF(AND(AF$2&lt;&gt;0,TblTech[[#This Row],[Hour]:[Hour]]&gt;=AF$2),1,0)</f>
        <v>0</v>
      </c>
      <c r="AG32" s="298" cm="1">
        <f t="array" ref="AG32">IF(AND(AG$2&lt;&gt;0,TblTech[[#This Row],[Hour]:[Hour]]&gt;=AG$2),1,0)</f>
        <v>0</v>
      </c>
      <c r="AH32" s="298" cm="1">
        <f t="array" ref="AH32">IF(AND(AH$2&lt;&gt;0,TblTech[[#This Row],[Hour]:[Hour]]&gt;=AH$2),1,0)</f>
        <v>0</v>
      </c>
      <c r="AI32" s="298" cm="1">
        <f t="array" ref="AI32">IF(AND(AI$2&lt;&gt;0,TblTech[[#This Row],[Hour]:[Hour]]&gt;=AI$2),1,0)</f>
        <v>0</v>
      </c>
      <c r="AJ32" s="298" cm="1">
        <f t="array" ref="AJ32">IF(AND(AJ$2&lt;&gt;0,TblTech[[#This Row],[Hour]:[Hour]]&gt;=AJ$2),1,0)</f>
        <v>0</v>
      </c>
      <c r="AK32" s="298" cm="1">
        <f t="array" ref="AK32">IF(AND(AK$2&lt;&gt;0,TblTech[[#This Row],[Hour]:[Hour]]&gt;=AK$2),1,0)</f>
        <v>0</v>
      </c>
      <c r="AL32" s="298" cm="1">
        <f t="array" ref="AL32">IF(AND(AL$2&lt;&gt;0,TblTech[[#This Row],[Hour]:[Hour]]&gt;=AL$2),1,0)</f>
        <v>0</v>
      </c>
      <c r="AM32" s="298" cm="1">
        <f t="array" ref="AM32">IF(AND(AM$2&lt;&gt;0,TblTech[[#This Row],[Hour]:[Hour]]&gt;=AM$2),1,0)</f>
        <v>0</v>
      </c>
      <c r="AN32" s="298" cm="1">
        <f t="array" ref="AN32">IF(AND(AN$2&lt;&gt;0,TblTech[[#This Row],[Hour]:[Hour]]&gt;=AN$2),1,0)</f>
        <v>0</v>
      </c>
      <c r="AO32" s="298" cm="1">
        <f t="array" ref="AO32">IF(AND(AO$2&lt;&gt;0,TblTech[[#This Row],[Hour]:[Hour]]&gt;=AO$2),1,0)</f>
        <v>0</v>
      </c>
      <c r="AP32" s="298" cm="1">
        <f t="array" ref="AP32">IF(AND(AP$2&lt;&gt;0,TblTech[[#This Row],[Hour]:[Hour]]&gt;=AP$2),1,0)</f>
        <v>0</v>
      </c>
      <c r="AQ32" s="298" cm="1">
        <f t="array" ref="AQ32">IF(AND(AQ$2&lt;&gt;0,TblTech[[#This Row],[Hour]:[Hour]]&gt;=AQ$2),1,0)</f>
        <v>0</v>
      </c>
      <c r="AR32" s="298" cm="1">
        <f t="array" ref="AR32">IF(AND(AR$2&lt;&gt;0,TblTech[[#This Row],[Hour]:[Hour]]&gt;=AR$2),1,0)</f>
        <v>0</v>
      </c>
      <c r="AS32" s="298" cm="1">
        <f t="array" ref="AS32">IF(AND(AS$2&lt;&gt;0,TblTech[[#This Row],[Hour]:[Hour]]&gt;=AS$2),1,0)</f>
        <v>0</v>
      </c>
      <c r="AT32" s="298" cm="1">
        <f t="array" ref="AT32">IF(AND(AT$2&lt;&gt;0,TblTech[[#This Row],[Hour]:[Hour]]&gt;=AT$2),1,0)</f>
        <v>0</v>
      </c>
      <c r="AU32" s="298" cm="1">
        <f t="array" ref="AU32">IF(AND(AU$2&lt;&gt;0,TblTech[[#This Row],[Hour]:[Hour]]&gt;=AU$2),1,0)</f>
        <v>0</v>
      </c>
      <c r="AV32" s="298" cm="1">
        <f t="array" ref="AV32">IF(AND(AV$2&lt;&gt;0,TblTech[[#This Row],[Hour]:[Hour]]&gt;=AV$2),1,0)</f>
        <v>0</v>
      </c>
      <c r="AW32" s="298" cm="1">
        <f t="array" ref="AW32">IF(AND(AW$2&lt;&gt;0,TblTech[[#This Row],[Hour]:[Hour]]&gt;=AW$2),1,0)</f>
        <v>0</v>
      </c>
      <c r="AX32" s="298" cm="1">
        <f t="array" ref="AX32">IF(AND(AX$2&lt;&gt;0,TblTech[[#This Row],[Hour]:[Hour]]&gt;=AX$2),1,0)</f>
        <v>0</v>
      </c>
      <c r="AY32" s="298" cm="1">
        <f t="array" ref="AY32">IF(AND(AY$2&lt;&gt;0,TblTech[[#This Row],[Hour]:[Hour]]&gt;=AY$2),1,0)</f>
        <v>0</v>
      </c>
      <c r="AZ32" s="298" cm="1">
        <f t="array" ref="AZ32">IF(AND(AZ$2&lt;&gt;0,TblTech[[#This Row],[Hour]:[Hour]]&gt;=AZ$2),1,0)</f>
        <v>0</v>
      </c>
      <c r="BA32" s="298" cm="1">
        <f t="array" ref="BA32">IF(AND(BA$2&lt;&gt;0,TblTech[[#This Row],[Hour]:[Hour]]&gt;=BA$2),1,0)</f>
        <v>0</v>
      </c>
      <c r="BB32" s="298" cm="1">
        <f t="array" ref="BB32">IF(AND(BB$2&lt;&gt;0,TblTech[[#This Row],[Hour]:[Hour]]&gt;=BB$2),1,0)</f>
        <v>0</v>
      </c>
      <c r="BC32" s="298" cm="1">
        <f t="array" ref="BC32">IF(AND(BC$2&lt;&gt;0,TblTech[[#This Row],[Hour]:[Hour]]&gt;=BC$2),1,0)</f>
        <v>0</v>
      </c>
      <c r="BD32" s="298" cm="1">
        <f t="array" ref="BD32">IF(AND(BD$2&lt;&gt;0,TblTech[[#This Row],[Hour]:[Hour]]&gt;=BD$2),1,0)</f>
        <v>0</v>
      </c>
      <c r="BE32" s="298" cm="1">
        <f t="array" ref="BE32">IF(AND(BE$2&lt;&gt;0,TblTech[[#This Row],[Hour]:[Hour]]&gt;=BE$2),1,0)</f>
        <v>0</v>
      </c>
      <c r="BF32" s="298" cm="1">
        <f t="array" ref="BF32">IF(AND(BF$2&lt;&gt;0,TblTech[[#This Row],[Hour]:[Hour]]&gt;=BF$2),1,0)</f>
        <v>0</v>
      </c>
      <c r="BG32" s="298" cm="1">
        <f t="array" ref="BG32">IF(AND(BG$2&lt;&gt;0,TblTech[[#This Row],[Hour]:[Hour]]&gt;=BG$2),1,0)</f>
        <v>0</v>
      </c>
      <c r="BH32" s="298" cm="1">
        <f t="array" ref="BH32">IF(AND(BH$2&lt;&gt;0,TblTech[[#This Row],[Hour]:[Hour]]&gt;=BH$2),1,0)</f>
        <v>0</v>
      </c>
      <c r="BI32" s="298" cm="1">
        <f t="array" ref="BI32">IF(AND(BI$2&lt;&gt;0,TblTech[[#This Row],[Hour]:[Hour]]&gt;=BI$2),1,0)</f>
        <v>0</v>
      </c>
      <c r="BJ32" s="298" cm="1">
        <f t="array" ref="BJ32">IF(AND(BJ$2&lt;&gt;0,TblTech[[#This Row],[Hour]:[Hour]]&gt;=BJ$2),1,0)</f>
        <v>0</v>
      </c>
      <c r="BK32" s="298" cm="1">
        <f t="array" ref="BK32">IF(AND(BK$2&lt;&gt;0,TblTech[[#This Row],[Hour]:[Hour]]&gt;=BK$2),1,0)</f>
        <v>0</v>
      </c>
      <c r="BL32" s="298" cm="1">
        <f t="array" ref="BL32">IF(AND(BL$2&lt;&gt;0,TblTech[[#This Row],[Hour]:[Hour]]&gt;=BL$2),1,0)</f>
        <v>0</v>
      </c>
      <c r="BM32" s="298" cm="1">
        <f t="array" ref="BM32">IF(AND(BM$2&lt;&gt;0,TblTech[[#This Row],[Hour]:[Hour]]&gt;=BM$2),1,0)</f>
        <v>0</v>
      </c>
      <c r="BN32" s="298" cm="1">
        <f t="array" ref="BN32">IF(AND(BN$2&lt;&gt;0,TblTech[[#This Row],[Hour]:[Hour]]&gt;=BN$2),1,0)</f>
        <v>0</v>
      </c>
      <c r="BO32" s="298" cm="1">
        <f t="array" ref="BO32">IF(AND(BO$2&lt;&gt;0,TblTech[[#This Row],[Hour]:[Hour]]&gt;=BO$2),1,0)</f>
        <v>0</v>
      </c>
      <c r="BP32" s="298" cm="1">
        <f t="array" ref="BP32">IF(AND(BP$2&lt;&gt;0,TblTech[[#This Row],[Hour]:[Hour]]&gt;=BP$2),1,0)</f>
        <v>0</v>
      </c>
      <c r="BQ32" s="298" cm="1">
        <f t="array" ref="BQ32">IF(AND(BQ$2&lt;&gt;0,TblTech[[#This Row],[Hour]:[Hour]]&gt;=BQ$2),1,0)</f>
        <v>0</v>
      </c>
      <c r="BR32" s="298" cm="1">
        <f t="array" ref="BR32">IF(AND(BR$2&lt;&gt;0,TblTech[[#This Row],[Hour]:[Hour]]&gt;=BR$2),1,0)</f>
        <v>0</v>
      </c>
      <c r="BS32" s="298" cm="1">
        <f t="array" ref="BS32">IF(AND(BS$2&lt;&gt;0,TblTech[[#This Row],[Hour]:[Hour]]&gt;=BS$2),1,0)</f>
        <v>0</v>
      </c>
      <c r="BT32" s="298" cm="1">
        <f t="array" ref="BT32">IF(AND(BT$2&lt;&gt;0,TblTech[[#This Row],[Hour]:[Hour]]&gt;=BT$2),1,0)</f>
        <v>0</v>
      </c>
      <c r="BU32" s="298" cm="1">
        <f t="array" ref="BU32">IF(AND(BU$2&lt;&gt;0,TblTech[[#This Row],[Hour]:[Hour]]&gt;=BU$2),1,0)</f>
        <v>0</v>
      </c>
      <c r="BV32" s="298" cm="1">
        <f t="array" ref="BV32">IF(AND(BV$2&lt;&gt;0,TblTech[[#This Row],[Hour]:[Hour]]&gt;=BV$2),1,0)</f>
        <v>0</v>
      </c>
      <c r="BW32" s="298" cm="1">
        <f t="array" ref="BW32">IF(AND(BW$2&lt;&gt;0,TblTech[[#This Row],[Hour]:[Hour]]&gt;=BW$2),1,0)</f>
        <v>0</v>
      </c>
      <c r="BX32" s="298" cm="1">
        <f t="array" ref="BX32">IF(AND(BX$2&lt;&gt;0,TblTech[[#This Row],[Hour]:[Hour]]&gt;=BX$2),1,0)</f>
        <v>0</v>
      </c>
      <c r="BY32" s="298" cm="1">
        <f t="array" ref="BY32">IF(AND(BY$2&lt;&gt;0,TblTech[[#This Row],[Hour]:[Hour]]&gt;=BY$2),1,0)</f>
        <v>0</v>
      </c>
      <c r="BZ32" s="298" cm="1">
        <f t="array" ref="BZ32">IF(AND(BZ$2&lt;&gt;0,TblTech[[#This Row],[Hour]:[Hour]]&gt;=BZ$2),1,0)</f>
        <v>0</v>
      </c>
      <c r="CA32" s="402">
        <f>IFERROR(INDEX($H$4:$H$79,MATCH(INDEX(TblTech[[#Headers],[1-1]:[11-1]],1,MATCH(TblTech[[#This Row],[Hour]],$M$2:$BZ$2,0)),$G$4:$G$79,0)),)</f>
        <v>0</v>
      </c>
    </row>
    <row r="33" spans="1:79" x14ac:dyDescent="0.2">
      <c r="A33" s="290">
        <f>TblRezone[[#This Row],[Hour]]</f>
        <v>30</v>
      </c>
      <c r="B33" s="291">
        <f ca="1">TblExplore[[#This Row],[Land-DB]]</f>
        <v>250</v>
      </c>
      <c r="C33" s="292">
        <f ca="1">TblProd[[#This Row],[Techpoints]]</f>
        <v>0</v>
      </c>
      <c r="D33" s="292">
        <f ca="1">TblProd[[#This Row],[Required]]</f>
        <v>3750</v>
      </c>
      <c r="E33" s="293"/>
      <c r="F33" s="294"/>
      <c r="G33" s="295" t="s">
        <v>574</v>
      </c>
      <c r="H33" s="296" t="s">
        <v>702</v>
      </c>
      <c r="I33" s="295" t="s">
        <v>740</v>
      </c>
      <c r="J33" s="291"/>
      <c r="K33" s="95">
        <f ca="1">IF(TblTech[[#This Row],[Sum of tech]]&lt;&gt;OFFSET(TblTech[[#This Row],[Sum of tech]],-1,0),1,0)</f>
        <v>0</v>
      </c>
      <c r="L33" s="297">
        <f>COUNTIF(TblTech[[#This Row],[1-1]:[11-1]],1)</f>
        <v>0</v>
      </c>
      <c r="M33" s="298" cm="1">
        <f t="array" ref="M33">IF(AND(M$2&lt;&gt;0,TblTech[[#This Row],[Hour]:[Hour]]&gt;=M$2),1,0)</f>
        <v>0</v>
      </c>
      <c r="N33" s="298" cm="1">
        <f t="array" ref="N33">IF(AND(N$2&lt;&gt;0,TblTech[[#This Row],[Hour]:[Hour]]&gt;=N$2),1,0)</f>
        <v>0</v>
      </c>
      <c r="O33" s="298" cm="1">
        <f t="array" ref="O33">IF(AND(O$2&lt;&gt;0,TblTech[[#This Row],[Hour]:[Hour]]&gt;=O$2),1,0)</f>
        <v>0</v>
      </c>
      <c r="P33" s="298" cm="1">
        <f t="array" ref="P33">IF(AND(P$2&lt;&gt;0,TblTech[[#This Row],[Hour]:[Hour]]&gt;=P$2),1,0)</f>
        <v>0</v>
      </c>
      <c r="Q33" s="298" cm="1">
        <f t="array" ref="Q33">IF(AND(Q$2&lt;&gt;0,TblTech[[#This Row],[Hour]:[Hour]]&gt;=Q$2),1,0)</f>
        <v>0</v>
      </c>
      <c r="R33" s="298" cm="1">
        <f t="array" ref="R33">IF(AND(R$2&lt;&gt;0,TblTech[[#This Row],[Hour]:[Hour]]&gt;=R$2),1,0)</f>
        <v>0</v>
      </c>
      <c r="S33" s="298" cm="1">
        <f t="array" ref="S33">IF(AND(S$2&lt;&gt;0,TblTech[[#This Row],[Hour]:[Hour]]&gt;=S$2),1,0)</f>
        <v>0</v>
      </c>
      <c r="T33" s="298" cm="1">
        <f t="array" ref="T33">IF(AND(T$2&lt;&gt;0,TblTech[[#This Row],[Hour]:[Hour]]&gt;=T$2),1,0)</f>
        <v>0</v>
      </c>
      <c r="U33" s="298" cm="1">
        <f t="array" ref="U33">IF(AND(U$2&lt;&gt;0,TblTech[[#This Row],[Hour]:[Hour]]&gt;=U$2),1,0)</f>
        <v>0</v>
      </c>
      <c r="V33" s="298" cm="1">
        <f t="array" ref="V33">IF(AND(V$2&lt;&gt;0,TblTech[[#This Row],[Hour]:[Hour]]&gt;=V$2),1,0)</f>
        <v>0</v>
      </c>
      <c r="W33" s="298" cm="1">
        <f t="array" ref="W33">IF(AND(W$2&lt;&gt;0,TblTech[[#This Row],[Hour]:[Hour]]&gt;=W$2),1,0)</f>
        <v>0</v>
      </c>
      <c r="X33" s="298" cm="1">
        <f t="array" ref="X33">IF(AND(X$2&lt;&gt;0,TblTech[[#This Row],[Hour]:[Hour]]&gt;=X$2),1,0)</f>
        <v>0</v>
      </c>
      <c r="Y33" s="298" cm="1">
        <f t="array" ref="Y33">IF(AND(Y$2&lt;&gt;0,TblTech[[#This Row],[Hour]:[Hour]]&gt;=Y$2),1,0)</f>
        <v>0</v>
      </c>
      <c r="Z33" s="298" cm="1">
        <f t="array" ref="Z33">IF(AND(Z$2&lt;&gt;0,TblTech[[#This Row],[Hour]:[Hour]]&gt;=Z$2),1,0)</f>
        <v>0</v>
      </c>
      <c r="AA33" s="298" cm="1">
        <f t="array" ref="AA33">IF(AND(AA$2&lt;&gt;0,TblTech[[#This Row],[Hour]:[Hour]]&gt;=AA$2),1,0)</f>
        <v>0</v>
      </c>
      <c r="AB33" s="298" cm="1">
        <f t="array" ref="AB33">IF(AND(AB$2&lt;&gt;0,TblTech[[#This Row],[Hour]:[Hour]]&gt;=AB$2),1,0)</f>
        <v>0</v>
      </c>
      <c r="AC33" s="298" cm="1">
        <f t="array" ref="AC33">IF(AND(AC$2&lt;&gt;0,TblTech[[#This Row],[Hour]:[Hour]]&gt;=AC$2),1,0)</f>
        <v>0</v>
      </c>
      <c r="AD33" s="298" cm="1">
        <f t="array" ref="AD33">IF(AND(AD$2&lt;&gt;0,TblTech[[#This Row],[Hour]:[Hour]]&gt;=AD$2),1,0)</f>
        <v>0</v>
      </c>
      <c r="AE33" s="298" cm="1">
        <f t="array" ref="AE33">IF(AND(AE$2&lt;&gt;0,TblTech[[#This Row],[Hour]:[Hour]]&gt;=AE$2),1,0)</f>
        <v>0</v>
      </c>
      <c r="AF33" s="298" cm="1">
        <f t="array" ref="AF33">IF(AND(AF$2&lt;&gt;0,TblTech[[#This Row],[Hour]:[Hour]]&gt;=AF$2),1,0)</f>
        <v>0</v>
      </c>
      <c r="AG33" s="298" cm="1">
        <f t="array" ref="AG33">IF(AND(AG$2&lt;&gt;0,TblTech[[#This Row],[Hour]:[Hour]]&gt;=AG$2),1,0)</f>
        <v>0</v>
      </c>
      <c r="AH33" s="298" cm="1">
        <f t="array" ref="AH33">IF(AND(AH$2&lt;&gt;0,TblTech[[#This Row],[Hour]:[Hour]]&gt;=AH$2),1,0)</f>
        <v>0</v>
      </c>
      <c r="AI33" s="298" cm="1">
        <f t="array" ref="AI33">IF(AND(AI$2&lt;&gt;0,TblTech[[#This Row],[Hour]:[Hour]]&gt;=AI$2),1,0)</f>
        <v>0</v>
      </c>
      <c r="AJ33" s="298" cm="1">
        <f t="array" ref="AJ33">IF(AND(AJ$2&lt;&gt;0,TblTech[[#This Row],[Hour]:[Hour]]&gt;=AJ$2),1,0)</f>
        <v>0</v>
      </c>
      <c r="AK33" s="298" cm="1">
        <f t="array" ref="AK33">IF(AND(AK$2&lt;&gt;0,TblTech[[#This Row],[Hour]:[Hour]]&gt;=AK$2),1,0)</f>
        <v>0</v>
      </c>
      <c r="AL33" s="298" cm="1">
        <f t="array" ref="AL33">IF(AND(AL$2&lt;&gt;0,TblTech[[#This Row],[Hour]:[Hour]]&gt;=AL$2),1,0)</f>
        <v>0</v>
      </c>
      <c r="AM33" s="298" cm="1">
        <f t="array" ref="AM33">IF(AND(AM$2&lt;&gt;0,TblTech[[#This Row],[Hour]:[Hour]]&gt;=AM$2),1,0)</f>
        <v>0</v>
      </c>
      <c r="AN33" s="298" cm="1">
        <f t="array" ref="AN33">IF(AND(AN$2&lt;&gt;0,TblTech[[#This Row],[Hour]:[Hour]]&gt;=AN$2),1,0)</f>
        <v>0</v>
      </c>
      <c r="AO33" s="298" cm="1">
        <f t="array" ref="AO33">IF(AND(AO$2&lt;&gt;0,TblTech[[#This Row],[Hour]:[Hour]]&gt;=AO$2),1,0)</f>
        <v>0</v>
      </c>
      <c r="AP33" s="298" cm="1">
        <f t="array" ref="AP33">IF(AND(AP$2&lt;&gt;0,TblTech[[#This Row],[Hour]:[Hour]]&gt;=AP$2),1,0)</f>
        <v>0</v>
      </c>
      <c r="AQ33" s="298" cm="1">
        <f t="array" ref="AQ33">IF(AND(AQ$2&lt;&gt;0,TblTech[[#This Row],[Hour]:[Hour]]&gt;=AQ$2),1,0)</f>
        <v>0</v>
      </c>
      <c r="AR33" s="298" cm="1">
        <f t="array" ref="AR33">IF(AND(AR$2&lt;&gt;0,TblTech[[#This Row],[Hour]:[Hour]]&gt;=AR$2),1,0)</f>
        <v>0</v>
      </c>
      <c r="AS33" s="298" cm="1">
        <f t="array" ref="AS33">IF(AND(AS$2&lt;&gt;0,TblTech[[#This Row],[Hour]:[Hour]]&gt;=AS$2),1,0)</f>
        <v>0</v>
      </c>
      <c r="AT33" s="298" cm="1">
        <f t="array" ref="AT33">IF(AND(AT$2&lt;&gt;0,TblTech[[#This Row],[Hour]:[Hour]]&gt;=AT$2),1,0)</f>
        <v>0</v>
      </c>
      <c r="AU33" s="298" cm="1">
        <f t="array" ref="AU33">IF(AND(AU$2&lt;&gt;0,TblTech[[#This Row],[Hour]:[Hour]]&gt;=AU$2),1,0)</f>
        <v>0</v>
      </c>
      <c r="AV33" s="298" cm="1">
        <f t="array" ref="AV33">IF(AND(AV$2&lt;&gt;0,TblTech[[#This Row],[Hour]:[Hour]]&gt;=AV$2),1,0)</f>
        <v>0</v>
      </c>
      <c r="AW33" s="298" cm="1">
        <f t="array" ref="AW33">IF(AND(AW$2&lt;&gt;0,TblTech[[#This Row],[Hour]:[Hour]]&gt;=AW$2),1,0)</f>
        <v>0</v>
      </c>
      <c r="AX33" s="298" cm="1">
        <f t="array" ref="AX33">IF(AND(AX$2&lt;&gt;0,TblTech[[#This Row],[Hour]:[Hour]]&gt;=AX$2),1,0)</f>
        <v>0</v>
      </c>
      <c r="AY33" s="298" cm="1">
        <f t="array" ref="AY33">IF(AND(AY$2&lt;&gt;0,TblTech[[#This Row],[Hour]:[Hour]]&gt;=AY$2),1,0)</f>
        <v>0</v>
      </c>
      <c r="AZ33" s="298" cm="1">
        <f t="array" ref="AZ33">IF(AND(AZ$2&lt;&gt;0,TblTech[[#This Row],[Hour]:[Hour]]&gt;=AZ$2),1,0)</f>
        <v>0</v>
      </c>
      <c r="BA33" s="298" cm="1">
        <f t="array" ref="BA33">IF(AND(BA$2&lt;&gt;0,TblTech[[#This Row],[Hour]:[Hour]]&gt;=BA$2),1,0)</f>
        <v>0</v>
      </c>
      <c r="BB33" s="298" cm="1">
        <f t="array" ref="BB33">IF(AND(BB$2&lt;&gt;0,TblTech[[#This Row],[Hour]:[Hour]]&gt;=BB$2),1,0)</f>
        <v>0</v>
      </c>
      <c r="BC33" s="298" cm="1">
        <f t="array" ref="BC33">IF(AND(BC$2&lt;&gt;0,TblTech[[#This Row],[Hour]:[Hour]]&gt;=BC$2),1,0)</f>
        <v>0</v>
      </c>
      <c r="BD33" s="298" cm="1">
        <f t="array" ref="BD33">IF(AND(BD$2&lt;&gt;0,TblTech[[#This Row],[Hour]:[Hour]]&gt;=BD$2),1,0)</f>
        <v>0</v>
      </c>
      <c r="BE33" s="298" cm="1">
        <f t="array" ref="BE33">IF(AND(BE$2&lt;&gt;0,TblTech[[#This Row],[Hour]:[Hour]]&gt;=BE$2),1,0)</f>
        <v>0</v>
      </c>
      <c r="BF33" s="298" cm="1">
        <f t="array" ref="BF33">IF(AND(BF$2&lt;&gt;0,TblTech[[#This Row],[Hour]:[Hour]]&gt;=BF$2),1,0)</f>
        <v>0</v>
      </c>
      <c r="BG33" s="298" cm="1">
        <f t="array" ref="BG33">IF(AND(BG$2&lt;&gt;0,TblTech[[#This Row],[Hour]:[Hour]]&gt;=BG$2),1,0)</f>
        <v>0</v>
      </c>
      <c r="BH33" s="298" cm="1">
        <f t="array" ref="BH33">IF(AND(BH$2&lt;&gt;0,TblTech[[#This Row],[Hour]:[Hour]]&gt;=BH$2),1,0)</f>
        <v>0</v>
      </c>
      <c r="BI33" s="298" cm="1">
        <f t="array" ref="BI33">IF(AND(BI$2&lt;&gt;0,TblTech[[#This Row],[Hour]:[Hour]]&gt;=BI$2),1,0)</f>
        <v>0</v>
      </c>
      <c r="BJ33" s="298" cm="1">
        <f t="array" ref="BJ33">IF(AND(BJ$2&lt;&gt;0,TblTech[[#This Row],[Hour]:[Hour]]&gt;=BJ$2),1,0)</f>
        <v>0</v>
      </c>
      <c r="BK33" s="298" cm="1">
        <f t="array" ref="BK33">IF(AND(BK$2&lt;&gt;0,TblTech[[#This Row],[Hour]:[Hour]]&gt;=BK$2),1,0)</f>
        <v>0</v>
      </c>
      <c r="BL33" s="298" cm="1">
        <f t="array" ref="BL33">IF(AND(BL$2&lt;&gt;0,TblTech[[#This Row],[Hour]:[Hour]]&gt;=BL$2),1,0)</f>
        <v>0</v>
      </c>
      <c r="BM33" s="298" cm="1">
        <f t="array" ref="BM33">IF(AND(BM$2&lt;&gt;0,TblTech[[#This Row],[Hour]:[Hour]]&gt;=BM$2),1,0)</f>
        <v>0</v>
      </c>
      <c r="BN33" s="298" cm="1">
        <f t="array" ref="BN33">IF(AND(BN$2&lt;&gt;0,TblTech[[#This Row],[Hour]:[Hour]]&gt;=BN$2),1,0)</f>
        <v>0</v>
      </c>
      <c r="BO33" s="298" cm="1">
        <f t="array" ref="BO33">IF(AND(BO$2&lt;&gt;0,TblTech[[#This Row],[Hour]:[Hour]]&gt;=BO$2),1,0)</f>
        <v>0</v>
      </c>
      <c r="BP33" s="298" cm="1">
        <f t="array" ref="BP33">IF(AND(BP$2&lt;&gt;0,TblTech[[#This Row],[Hour]:[Hour]]&gt;=BP$2),1,0)</f>
        <v>0</v>
      </c>
      <c r="BQ33" s="298" cm="1">
        <f t="array" ref="BQ33">IF(AND(BQ$2&lt;&gt;0,TblTech[[#This Row],[Hour]:[Hour]]&gt;=BQ$2),1,0)</f>
        <v>0</v>
      </c>
      <c r="BR33" s="298" cm="1">
        <f t="array" ref="BR33">IF(AND(BR$2&lt;&gt;0,TblTech[[#This Row],[Hour]:[Hour]]&gt;=BR$2),1,0)</f>
        <v>0</v>
      </c>
      <c r="BS33" s="298" cm="1">
        <f t="array" ref="BS33">IF(AND(BS$2&lt;&gt;0,TblTech[[#This Row],[Hour]:[Hour]]&gt;=BS$2),1,0)</f>
        <v>0</v>
      </c>
      <c r="BT33" s="298" cm="1">
        <f t="array" ref="BT33">IF(AND(BT$2&lt;&gt;0,TblTech[[#This Row],[Hour]:[Hour]]&gt;=BT$2),1,0)</f>
        <v>0</v>
      </c>
      <c r="BU33" s="298" cm="1">
        <f t="array" ref="BU33">IF(AND(BU$2&lt;&gt;0,TblTech[[#This Row],[Hour]:[Hour]]&gt;=BU$2),1,0)</f>
        <v>0</v>
      </c>
      <c r="BV33" s="298" cm="1">
        <f t="array" ref="BV33">IF(AND(BV$2&lt;&gt;0,TblTech[[#This Row],[Hour]:[Hour]]&gt;=BV$2),1,0)</f>
        <v>0</v>
      </c>
      <c r="BW33" s="298" cm="1">
        <f t="array" ref="BW33">IF(AND(BW$2&lt;&gt;0,TblTech[[#This Row],[Hour]:[Hour]]&gt;=BW$2),1,0)</f>
        <v>0</v>
      </c>
      <c r="BX33" s="298" cm="1">
        <f t="array" ref="BX33">IF(AND(BX$2&lt;&gt;0,TblTech[[#This Row],[Hour]:[Hour]]&gt;=BX$2),1,0)</f>
        <v>0</v>
      </c>
      <c r="BY33" s="298" cm="1">
        <f t="array" ref="BY33">IF(AND(BY$2&lt;&gt;0,TblTech[[#This Row],[Hour]:[Hour]]&gt;=BY$2),1,0)</f>
        <v>0</v>
      </c>
      <c r="BZ33" s="298" cm="1">
        <f t="array" ref="BZ33">IF(AND(BZ$2&lt;&gt;0,TblTech[[#This Row],[Hour]:[Hour]]&gt;=BZ$2),1,0)</f>
        <v>0</v>
      </c>
      <c r="CA33" s="402">
        <f>IFERROR(INDEX($H$4:$H$79,MATCH(INDEX(TblTech[[#Headers],[1-1]:[11-1]],1,MATCH(TblTech[[#This Row],[Hour]],$M$2:$BZ$2,0)),$G$4:$G$79,0)),)</f>
        <v>0</v>
      </c>
    </row>
    <row r="34" spans="1:79" x14ac:dyDescent="0.2">
      <c r="A34" s="290">
        <f>TblRezone[[#This Row],[Hour]]</f>
        <v>31</v>
      </c>
      <c r="B34" s="291">
        <f ca="1">TblExplore[[#This Row],[Land-DB]]</f>
        <v>250</v>
      </c>
      <c r="C34" s="292">
        <f ca="1">TblProd[[#This Row],[Techpoints]]</f>
        <v>0</v>
      </c>
      <c r="D34" s="292">
        <f ca="1">TblProd[[#This Row],[Required]]</f>
        <v>3750</v>
      </c>
      <c r="E34" s="293"/>
      <c r="F34" s="294"/>
      <c r="G34" s="295" t="s">
        <v>575</v>
      </c>
      <c r="H34" s="296" t="s">
        <v>1123</v>
      </c>
      <c r="I34" s="295" t="s">
        <v>1124</v>
      </c>
      <c r="J34" s="291"/>
      <c r="K34" s="95">
        <f ca="1">IF(TblTech[[#This Row],[Sum of tech]]&lt;&gt;OFFSET(TblTech[[#This Row],[Sum of tech]],-1,0),1,0)</f>
        <v>0</v>
      </c>
      <c r="L34" s="297">
        <f>COUNTIF(TblTech[[#This Row],[1-1]:[11-1]],1)</f>
        <v>0</v>
      </c>
      <c r="M34" s="298" cm="1">
        <f t="array" ref="M34">IF(AND(M$2&lt;&gt;0,TblTech[[#This Row],[Hour]:[Hour]]&gt;=M$2),1,0)</f>
        <v>0</v>
      </c>
      <c r="N34" s="298" cm="1">
        <f t="array" ref="N34">IF(AND(N$2&lt;&gt;0,TblTech[[#This Row],[Hour]:[Hour]]&gt;=N$2),1,0)</f>
        <v>0</v>
      </c>
      <c r="O34" s="298" cm="1">
        <f t="array" ref="O34">IF(AND(O$2&lt;&gt;0,TblTech[[#This Row],[Hour]:[Hour]]&gt;=O$2),1,0)</f>
        <v>0</v>
      </c>
      <c r="P34" s="298" cm="1">
        <f t="array" ref="P34">IF(AND(P$2&lt;&gt;0,TblTech[[#This Row],[Hour]:[Hour]]&gt;=P$2),1,0)</f>
        <v>0</v>
      </c>
      <c r="Q34" s="298" cm="1">
        <f t="array" ref="Q34">IF(AND(Q$2&lt;&gt;0,TblTech[[#This Row],[Hour]:[Hour]]&gt;=Q$2),1,0)</f>
        <v>0</v>
      </c>
      <c r="R34" s="298" cm="1">
        <f t="array" ref="R34">IF(AND(R$2&lt;&gt;0,TblTech[[#This Row],[Hour]:[Hour]]&gt;=R$2),1,0)</f>
        <v>0</v>
      </c>
      <c r="S34" s="298" cm="1">
        <f t="array" ref="S34">IF(AND(S$2&lt;&gt;0,TblTech[[#This Row],[Hour]:[Hour]]&gt;=S$2),1,0)</f>
        <v>0</v>
      </c>
      <c r="T34" s="298" cm="1">
        <f t="array" ref="T34">IF(AND(T$2&lt;&gt;0,TblTech[[#This Row],[Hour]:[Hour]]&gt;=T$2),1,0)</f>
        <v>0</v>
      </c>
      <c r="U34" s="298" cm="1">
        <f t="array" ref="U34">IF(AND(U$2&lt;&gt;0,TblTech[[#This Row],[Hour]:[Hour]]&gt;=U$2),1,0)</f>
        <v>0</v>
      </c>
      <c r="V34" s="298" cm="1">
        <f t="array" ref="V34">IF(AND(V$2&lt;&gt;0,TblTech[[#This Row],[Hour]:[Hour]]&gt;=V$2),1,0)</f>
        <v>0</v>
      </c>
      <c r="W34" s="298" cm="1">
        <f t="array" ref="W34">IF(AND(W$2&lt;&gt;0,TblTech[[#This Row],[Hour]:[Hour]]&gt;=W$2),1,0)</f>
        <v>0</v>
      </c>
      <c r="X34" s="298" cm="1">
        <f t="array" ref="X34">IF(AND(X$2&lt;&gt;0,TblTech[[#This Row],[Hour]:[Hour]]&gt;=X$2),1,0)</f>
        <v>0</v>
      </c>
      <c r="Y34" s="298" cm="1">
        <f t="array" ref="Y34">IF(AND(Y$2&lt;&gt;0,TblTech[[#This Row],[Hour]:[Hour]]&gt;=Y$2),1,0)</f>
        <v>0</v>
      </c>
      <c r="Z34" s="298" cm="1">
        <f t="array" ref="Z34">IF(AND(Z$2&lt;&gt;0,TblTech[[#This Row],[Hour]:[Hour]]&gt;=Z$2),1,0)</f>
        <v>0</v>
      </c>
      <c r="AA34" s="298" cm="1">
        <f t="array" ref="AA34">IF(AND(AA$2&lt;&gt;0,TblTech[[#This Row],[Hour]:[Hour]]&gt;=AA$2),1,0)</f>
        <v>0</v>
      </c>
      <c r="AB34" s="298" cm="1">
        <f t="array" ref="AB34">IF(AND(AB$2&lt;&gt;0,TblTech[[#This Row],[Hour]:[Hour]]&gt;=AB$2),1,0)</f>
        <v>0</v>
      </c>
      <c r="AC34" s="298" cm="1">
        <f t="array" ref="AC34">IF(AND(AC$2&lt;&gt;0,TblTech[[#This Row],[Hour]:[Hour]]&gt;=AC$2),1,0)</f>
        <v>0</v>
      </c>
      <c r="AD34" s="298" cm="1">
        <f t="array" ref="AD34">IF(AND(AD$2&lt;&gt;0,TblTech[[#This Row],[Hour]:[Hour]]&gt;=AD$2),1,0)</f>
        <v>0</v>
      </c>
      <c r="AE34" s="298" cm="1">
        <f t="array" ref="AE34">IF(AND(AE$2&lt;&gt;0,TblTech[[#This Row],[Hour]:[Hour]]&gt;=AE$2),1,0)</f>
        <v>0</v>
      </c>
      <c r="AF34" s="298" cm="1">
        <f t="array" ref="AF34">IF(AND(AF$2&lt;&gt;0,TblTech[[#This Row],[Hour]:[Hour]]&gt;=AF$2),1,0)</f>
        <v>0</v>
      </c>
      <c r="AG34" s="298" cm="1">
        <f t="array" ref="AG34">IF(AND(AG$2&lt;&gt;0,TblTech[[#This Row],[Hour]:[Hour]]&gt;=AG$2),1,0)</f>
        <v>0</v>
      </c>
      <c r="AH34" s="298" cm="1">
        <f t="array" ref="AH34">IF(AND(AH$2&lt;&gt;0,TblTech[[#This Row],[Hour]:[Hour]]&gt;=AH$2),1,0)</f>
        <v>0</v>
      </c>
      <c r="AI34" s="298" cm="1">
        <f t="array" ref="AI34">IF(AND(AI$2&lt;&gt;0,TblTech[[#This Row],[Hour]:[Hour]]&gt;=AI$2),1,0)</f>
        <v>0</v>
      </c>
      <c r="AJ34" s="298" cm="1">
        <f t="array" ref="AJ34">IF(AND(AJ$2&lt;&gt;0,TblTech[[#This Row],[Hour]:[Hour]]&gt;=AJ$2),1,0)</f>
        <v>0</v>
      </c>
      <c r="AK34" s="298" cm="1">
        <f t="array" ref="AK34">IF(AND(AK$2&lt;&gt;0,TblTech[[#This Row],[Hour]:[Hour]]&gt;=AK$2),1,0)</f>
        <v>0</v>
      </c>
      <c r="AL34" s="298" cm="1">
        <f t="array" ref="AL34">IF(AND(AL$2&lt;&gt;0,TblTech[[#This Row],[Hour]:[Hour]]&gt;=AL$2),1,0)</f>
        <v>0</v>
      </c>
      <c r="AM34" s="298" cm="1">
        <f t="array" ref="AM34">IF(AND(AM$2&lt;&gt;0,TblTech[[#This Row],[Hour]:[Hour]]&gt;=AM$2),1,0)</f>
        <v>0</v>
      </c>
      <c r="AN34" s="298" cm="1">
        <f t="array" ref="AN34">IF(AND(AN$2&lt;&gt;0,TblTech[[#This Row],[Hour]:[Hour]]&gt;=AN$2),1,0)</f>
        <v>0</v>
      </c>
      <c r="AO34" s="298" cm="1">
        <f t="array" ref="AO34">IF(AND(AO$2&lt;&gt;0,TblTech[[#This Row],[Hour]:[Hour]]&gt;=AO$2),1,0)</f>
        <v>0</v>
      </c>
      <c r="AP34" s="298" cm="1">
        <f t="array" ref="AP34">IF(AND(AP$2&lt;&gt;0,TblTech[[#This Row],[Hour]:[Hour]]&gt;=AP$2),1,0)</f>
        <v>0</v>
      </c>
      <c r="AQ34" s="298" cm="1">
        <f t="array" ref="AQ34">IF(AND(AQ$2&lt;&gt;0,TblTech[[#This Row],[Hour]:[Hour]]&gt;=AQ$2),1,0)</f>
        <v>0</v>
      </c>
      <c r="AR34" s="298" cm="1">
        <f t="array" ref="AR34">IF(AND(AR$2&lt;&gt;0,TblTech[[#This Row],[Hour]:[Hour]]&gt;=AR$2),1,0)</f>
        <v>0</v>
      </c>
      <c r="AS34" s="298" cm="1">
        <f t="array" ref="AS34">IF(AND(AS$2&lt;&gt;0,TblTech[[#This Row],[Hour]:[Hour]]&gt;=AS$2),1,0)</f>
        <v>0</v>
      </c>
      <c r="AT34" s="298" cm="1">
        <f t="array" ref="AT34">IF(AND(AT$2&lt;&gt;0,TblTech[[#This Row],[Hour]:[Hour]]&gt;=AT$2),1,0)</f>
        <v>0</v>
      </c>
      <c r="AU34" s="298" cm="1">
        <f t="array" ref="AU34">IF(AND(AU$2&lt;&gt;0,TblTech[[#This Row],[Hour]:[Hour]]&gt;=AU$2),1,0)</f>
        <v>0</v>
      </c>
      <c r="AV34" s="298" cm="1">
        <f t="array" ref="AV34">IF(AND(AV$2&lt;&gt;0,TblTech[[#This Row],[Hour]:[Hour]]&gt;=AV$2),1,0)</f>
        <v>0</v>
      </c>
      <c r="AW34" s="298" cm="1">
        <f t="array" ref="AW34">IF(AND(AW$2&lt;&gt;0,TblTech[[#This Row],[Hour]:[Hour]]&gt;=AW$2),1,0)</f>
        <v>0</v>
      </c>
      <c r="AX34" s="298" cm="1">
        <f t="array" ref="AX34">IF(AND(AX$2&lt;&gt;0,TblTech[[#This Row],[Hour]:[Hour]]&gt;=AX$2),1,0)</f>
        <v>0</v>
      </c>
      <c r="AY34" s="298" cm="1">
        <f t="array" ref="AY34">IF(AND(AY$2&lt;&gt;0,TblTech[[#This Row],[Hour]:[Hour]]&gt;=AY$2),1,0)</f>
        <v>0</v>
      </c>
      <c r="AZ34" s="298" cm="1">
        <f t="array" ref="AZ34">IF(AND(AZ$2&lt;&gt;0,TblTech[[#This Row],[Hour]:[Hour]]&gt;=AZ$2),1,0)</f>
        <v>0</v>
      </c>
      <c r="BA34" s="298" cm="1">
        <f t="array" ref="BA34">IF(AND(BA$2&lt;&gt;0,TblTech[[#This Row],[Hour]:[Hour]]&gt;=BA$2),1,0)</f>
        <v>0</v>
      </c>
      <c r="BB34" s="298" cm="1">
        <f t="array" ref="BB34">IF(AND(BB$2&lt;&gt;0,TblTech[[#This Row],[Hour]:[Hour]]&gt;=BB$2),1,0)</f>
        <v>0</v>
      </c>
      <c r="BC34" s="298" cm="1">
        <f t="array" ref="BC34">IF(AND(BC$2&lt;&gt;0,TblTech[[#This Row],[Hour]:[Hour]]&gt;=BC$2),1,0)</f>
        <v>0</v>
      </c>
      <c r="BD34" s="298" cm="1">
        <f t="array" ref="BD34">IF(AND(BD$2&lt;&gt;0,TblTech[[#This Row],[Hour]:[Hour]]&gt;=BD$2),1,0)</f>
        <v>0</v>
      </c>
      <c r="BE34" s="298" cm="1">
        <f t="array" ref="BE34">IF(AND(BE$2&lt;&gt;0,TblTech[[#This Row],[Hour]:[Hour]]&gt;=BE$2),1,0)</f>
        <v>0</v>
      </c>
      <c r="BF34" s="298" cm="1">
        <f t="array" ref="BF34">IF(AND(BF$2&lt;&gt;0,TblTech[[#This Row],[Hour]:[Hour]]&gt;=BF$2),1,0)</f>
        <v>0</v>
      </c>
      <c r="BG34" s="298" cm="1">
        <f t="array" ref="BG34">IF(AND(BG$2&lt;&gt;0,TblTech[[#This Row],[Hour]:[Hour]]&gt;=BG$2),1,0)</f>
        <v>0</v>
      </c>
      <c r="BH34" s="298" cm="1">
        <f t="array" ref="BH34">IF(AND(BH$2&lt;&gt;0,TblTech[[#This Row],[Hour]:[Hour]]&gt;=BH$2),1,0)</f>
        <v>0</v>
      </c>
      <c r="BI34" s="298" cm="1">
        <f t="array" ref="BI34">IF(AND(BI$2&lt;&gt;0,TblTech[[#This Row],[Hour]:[Hour]]&gt;=BI$2),1,0)</f>
        <v>0</v>
      </c>
      <c r="BJ34" s="298" cm="1">
        <f t="array" ref="BJ34">IF(AND(BJ$2&lt;&gt;0,TblTech[[#This Row],[Hour]:[Hour]]&gt;=BJ$2),1,0)</f>
        <v>0</v>
      </c>
      <c r="BK34" s="298" cm="1">
        <f t="array" ref="BK34">IF(AND(BK$2&lt;&gt;0,TblTech[[#This Row],[Hour]:[Hour]]&gt;=BK$2),1,0)</f>
        <v>0</v>
      </c>
      <c r="BL34" s="298" cm="1">
        <f t="array" ref="BL34">IF(AND(BL$2&lt;&gt;0,TblTech[[#This Row],[Hour]:[Hour]]&gt;=BL$2),1,0)</f>
        <v>0</v>
      </c>
      <c r="BM34" s="298" cm="1">
        <f t="array" ref="BM34">IF(AND(BM$2&lt;&gt;0,TblTech[[#This Row],[Hour]:[Hour]]&gt;=BM$2),1,0)</f>
        <v>0</v>
      </c>
      <c r="BN34" s="298" cm="1">
        <f t="array" ref="BN34">IF(AND(BN$2&lt;&gt;0,TblTech[[#This Row],[Hour]:[Hour]]&gt;=BN$2),1,0)</f>
        <v>0</v>
      </c>
      <c r="BO34" s="298" cm="1">
        <f t="array" ref="BO34">IF(AND(BO$2&lt;&gt;0,TblTech[[#This Row],[Hour]:[Hour]]&gt;=BO$2),1,0)</f>
        <v>0</v>
      </c>
      <c r="BP34" s="298" cm="1">
        <f t="array" ref="BP34">IF(AND(BP$2&lt;&gt;0,TblTech[[#This Row],[Hour]:[Hour]]&gt;=BP$2),1,0)</f>
        <v>0</v>
      </c>
      <c r="BQ34" s="298" cm="1">
        <f t="array" ref="BQ34">IF(AND(BQ$2&lt;&gt;0,TblTech[[#This Row],[Hour]:[Hour]]&gt;=BQ$2),1,0)</f>
        <v>0</v>
      </c>
      <c r="BR34" s="298" cm="1">
        <f t="array" ref="BR34">IF(AND(BR$2&lt;&gt;0,TblTech[[#This Row],[Hour]:[Hour]]&gt;=BR$2),1,0)</f>
        <v>0</v>
      </c>
      <c r="BS34" s="298" cm="1">
        <f t="array" ref="BS34">IF(AND(BS$2&lt;&gt;0,TblTech[[#This Row],[Hour]:[Hour]]&gt;=BS$2),1,0)</f>
        <v>0</v>
      </c>
      <c r="BT34" s="298" cm="1">
        <f t="array" ref="BT34">IF(AND(BT$2&lt;&gt;0,TblTech[[#This Row],[Hour]:[Hour]]&gt;=BT$2),1,0)</f>
        <v>0</v>
      </c>
      <c r="BU34" s="298" cm="1">
        <f t="array" ref="BU34">IF(AND(BU$2&lt;&gt;0,TblTech[[#This Row],[Hour]:[Hour]]&gt;=BU$2),1,0)</f>
        <v>0</v>
      </c>
      <c r="BV34" s="298" cm="1">
        <f t="array" ref="BV34">IF(AND(BV$2&lt;&gt;0,TblTech[[#This Row],[Hour]:[Hour]]&gt;=BV$2),1,0)</f>
        <v>0</v>
      </c>
      <c r="BW34" s="298" cm="1">
        <f t="array" ref="BW34">IF(AND(BW$2&lt;&gt;0,TblTech[[#This Row],[Hour]:[Hour]]&gt;=BW$2),1,0)</f>
        <v>0</v>
      </c>
      <c r="BX34" s="298" cm="1">
        <f t="array" ref="BX34">IF(AND(BX$2&lt;&gt;0,TblTech[[#This Row],[Hour]:[Hour]]&gt;=BX$2),1,0)</f>
        <v>0</v>
      </c>
      <c r="BY34" s="298" cm="1">
        <f t="array" ref="BY34">IF(AND(BY$2&lt;&gt;0,TblTech[[#This Row],[Hour]:[Hour]]&gt;=BY$2),1,0)</f>
        <v>0</v>
      </c>
      <c r="BZ34" s="298" cm="1">
        <f t="array" ref="BZ34">IF(AND(BZ$2&lt;&gt;0,TblTech[[#This Row],[Hour]:[Hour]]&gt;=BZ$2),1,0)</f>
        <v>0</v>
      </c>
      <c r="CA34" s="402">
        <f>IFERROR(INDEX($H$4:$H$79,MATCH(INDEX(TblTech[[#Headers],[1-1]:[11-1]],1,MATCH(TblTech[[#This Row],[Hour]],$M$2:$BZ$2,0)),$G$4:$G$79,0)),)</f>
        <v>0</v>
      </c>
    </row>
    <row r="35" spans="1:79" x14ac:dyDescent="0.2">
      <c r="A35" s="290">
        <f>TblRezone[[#This Row],[Hour]]</f>
        <v>32</v>
      </c>
      <c r="B35" s="291">
        <f ca="1">TblExplore[[#This Row],[Land-DB]]</f>
        <v>250</v>
      </c>
      <c r="C35" s="292">
        <f ca="1">TblProd[[#This Row],[Techpoints]]</f>
        <v>0</v>
      </c>
      <c r="D35" s="292">
        <f ca="1">TblProd[[#This Row],[Required]]</f>
        <v>3750</v>
      </c>
      <c r="E35" s="293"/>
      <c r="F35" s="294"/>
      <c r="G35" s="295" t="s">
        <v>576</v>
      </c>
      <c r="H35" s="296" t="s">
        <v>687</v>
      </c>
      <c r="I35" s="295" t="s">
        <v>550</v>
      </c>
      <c r="J35" s="291"/>
      <c r="K35" s="95">
        <f ca="1">IF(TblTech[[#This Row],[Sum of tech]]&lt;&gt;OFFSET(TblTech[[#This Row],[Sum of tech]],-1,0),1,0)</f>
        <v>0</v>
      </c>
      <c r="L35" s="297">
        <f>COUNTIF(TblTech[[#This Row],[1-1]:[11-1]],1)</f>
        <v>0</v>
      </c>
      <c r="M35" s="298" cm="1">
        <f t="array" ref="M35">IF(AND(M$2&lt;&gt;0,TblTech[[#This Row],[Hour]:[Hour]]&gt;=M$2),1,0)</f>
        <v>0</v>
      </c>
      <c r="N35" s="298" cm="1">
        <f t="array" ref="N35">IF(AND(N$2&lt;&gt;0,TblTech[[#This Row],[Hour]:[Hour]]&gt;=N$2),1,0)</f>
        <v>0</v>
      </c>
      <c r="O35" s="298" cm="1">
        <f t="array" ref="O35">IF(AND(O$2&lt;&gt;0,TblTech[[#This Row],[Hour]:[Hour]]&gt;=O$2),1,0)</f>
        <v>0</v>
      </c>
      <c r="P35" s="298" cm="1">
        <f t="array" ref="P35">IF(AND(P$2&lt;&gt;0,TblTech[[#This Row],[Hour]:[Hour]]&gt;=P$2),1,0)</f>
        <v>0</v>
      </c>
      <c r="Q35" s="298" cm="1">
        <f t="array" ref="Q35">IF(AND(Q$2&lt;&gt;0,TblTech[[#This Row],[Hour]:[Hour]]&gt;=Q$2),1,0)</f>
        <v>0</v>
      </c>
      <c r="R35" s="298" cm="1">
        <f t="array" ref="R35">IF(AND(R$2&lt;&gt;0,TblTech[[#This Row],[Hour]:[Hour]]&gt;=R$2),1,0)</f>
        <v>0</v>
      </c>
      <c r="S35" s="298" cm="1">
        <f t="array" ref="S35">IF(AND(S$2&lt;&gt;0,TblTech[[#This Row],[Hour]:[Hour]]&gt;=S$2),1,0)</f>
        <v>0</v>
      </c>
      <c r="T35" s="298" cm="1">
        <f t="array" ref="T35">IF(AND(T$2&lt;&gt;0,TblTech[[#This Row],[Hour]:[Hour]]&gt;=T$2),1,0)</f>
        <v>0</v>
      </c>
      <c r="U35" s="298" cm="1">
        <f t="array" ref="U35">IF(AND(U$2&lt;&gt;0,TblTech[[#This Row],[Hour]:[Hour]]&gt;=U$2),1,0)</f>
        <v>0</v>
      </c>
      <c r="V35" s="298" cm="1">
        <f t="array" ref="V35">IF(AND(V$2&lt;&gt;0,TblTech[[#This Row],[Hour]:[Hour]]&gt;=V$2),1,0)</f>
        <v>0</v>
      </c>
      <c r="W35" s="298" cm="1">
        <f t="array" ref="W35">IF(AND(W$2&lt;&gt;0,TblTech[[#This Row],[Hour]:[Hour]]&gt;=W$2),1,0)</f>
        <v>0</v>
      </c>
      <c r="X35" s="298" cm="1">
        <f t="array" ref="X35">IF(AND(X$2&lt;&gt;0,TblTech[[#This Row],[Hour]:[Hour]]&gt;=X$2),1,0)</f>
        <v>0</v>
      </c>
      <c r="Y35" s="298" cm="1">
        <f t="array" ref="Y35">IF(AND(Y$2&lt;&gt;0,TblTech[[#This Row],[Hour]:[Hour]]&gt;=Y$2),1,0)</f>
        <v>0</v>
      </c>
      <c r="Z35" s="298" cm="1">
        <f t="array" ref="Z35">IF(AND(Z$2&lt;&gt;0,TblTech[[#This Row],[Hour]:[Hour]]&gt;=Z$2),1,0)</f>
        <v>0</v>
      </c>
      <c r="AA35" s="298" cm="1">
        <f t="array" ref="AA35">IF(AND(AA$2&lt;&gt;0,TblTech[[#This Row],[Hour]:[Hour]]&gt;=AA$2),1,0)</f>
        <v>0</v>
      </c>
      <c r="AB35" s="298" cm="1">
        <f t="array" ref="AB35">IF(AND(AB$2&lt;&gt;0,TblTech[[#This Row],[Hour]:[Hour]]&gt;=AB$2),1,0)</f>
        <v>0</v>
      </c>
      <c r="AC35" s="298" cm="1">
        <f t="array" ref="AC35">IF(AND(AC$2&lt;&gt;0,TblTech[[#This Row],[Hour]:[Hour]]&gt;=AC$2),1,0)</f>
        <v>0</v>
      </c>
      <c r="AD35" s="298" cm="1">
        <f t="array" ref="AD35">IF(AND(AD$2&lt;&gt;0,TblTech[[#This Row],[Hour]:[Hour]]&gt;=AD$2),1,0)</f>
        <v>0</v>
      </c>
      <c r="AE35" s="298" cm="1">
        <f t="array" ref="AE35">IF(AND(AE$2&lt;&gt;0,TblTech[[#This Row],[Hour]:[Hour]]&gt;=AE$2),1,0)</f>
        <v>0</v>
      </c>
      <c r="AF35" s="298" cm="1">
        <f t="array" ref="AF35">IF(AND(AF$2&lt;&gt;0,TblTech[[#This Row],[Hour]:[Hour]]&gt;=AF$2),1,0)</f>
        <v>0</v>
      </c>
      <c r="AG35" s="298" cm="1">
        <f t="array" ref="AG35">IF(AND(AG$2&lt;&gt;0,TblTech[[#This Row],[Hour]:[Hour]]&gt;=AG$2),1,0)</f>
        <v>0</v>
      </c>
      <c r="AH35" s="298" cm="1">
        <f t="array" ref="AH35">IF(AND(AH$2&lt;&gt;0,TblTech[[#This Row],[Hour]:[Hour]]&gt;=AH$2),1,0)</f>
        <v>0</v>
      </c>
      <c r="AI35" s="298" cm="1">
        <f t="array" ref="AI35">IF(AND(AI$2&lt;&gt;0,TblTech[[#This Row],[Hour]:[Hour]]&gt;=AI$2),1,0)</f>
        <v>0</v>
      </c>
      <c r="AJ35" s="298" cm="1">
        <f t="array" ref="AJ35">IF(AND(AJ$2&lt;&gt;0,TblTech[[#This Row],[Hour]:[Hour]]&gt;=AJ$2),1,0)</f>
        <v>0</v>
      </c>
      <c r="AK35" s="298" cm="1">
        <f t="array" ref="AK35">IF(AND(AK$2&lt;&gt;0,TblTech[[#This Row],[Hour]:[Hour]]&gt;=AK$2),1,0)</f>
        <v>0</v>
      </c>
      <c r="AL35" s="298" cm="1">
        <f t="array" ref="AL35">IF(AND(AL$2&lt;&gt;0,TblTech[[#This Row],[Hour]:[Hour]]&gt;=AL$2),1,0)</f>
        <v>0</v>
      </c>
      <c r="AM35" s="298" cm="1">
        <f t="array" ref="AM35">IF(AND(AM$2&lt;&gt;0,TblTech[[#This Row],[Hour]:[Hour]]&gt;=AM$2),1,0)</f>
        <v>0</v>
      </c>
      <c r="AN35" s="298" cm="1">
        <f t="array" ref="AN35">IF(AND(AN$2&lt;&gt;0,TblTech[[#This Row],[Hour]:[Hour]]&gt;=AN$2),1,0)</f>
        <v>0</v>
      </c>
      <c r="AO35" s="298" cm="1">
        <f t="array" ref="AO35">IF(AND(AO$2&lt;&gt;0,TblTech[[#This Row],[Hour]:[Hour]]&gt;=AO$2),1,0)</f>
        <v>0</v>
      </c>
      <c r="AP35" s="298" cm="1">
        <f t="array" ref="AP35">IF(AND(AP$2&lt;&gt;0,TblTech[[#This Row],[Hour]:[Hour]]&gt;=AP$2),1,0)</f>
        <v>0</v>
      </c>
      <c r="AQ35" s="298" cm="1">
        <f t="array" ref="AQ35">IF(AND(AQ$2&lt;&gt;0,TblTech[[#This Row],[Hour]:[Hour]]&gt;=AQ$2),1,0)</f>
        <v>0</v>
      </c>
      <c r="AR35" s="298" cm="1">
        <f t="array" ref="AR35">IF(AND(AR$2&lt;&gt;0,TblTech[[#This Row],[Hour]:[Hour]]&gt;=AR$2),1,0)</f>
        <v>0</v>
      </c>
      <c r="AS35" s="298" cm="1">
        <f t="array" ref="AS35">IF(AND(AS$2&lt;&gt;0,TblTech[[#This Row],[Hour]:[Hour]]&gt;=AS$2),1,0)</f>
        <v>0</v>
      </c>
      <c r="AT35" s="298" cm="1">
        <f t="array" ref="AT35">IF(AND(AT$2&lt;&gt;0,TblTech[[#This Row],[Hour]:[Hour]]&gt;=AT$2),1,0)</f>
        <v>0</v>
      </c>
      <c r="AU35" s="298" cm="1">
        <f t="array" ref="AU35">IF(AND(AU$2&lt;&gt;0,TblTech[[#This Row],[Hour]:[Hour]]&gt;=AU$2),1,0)</f>
        <v>0</v>
      </c>
      <c r="AV35" s="298" cm="1">
        <f t="array" ref="AV35">IF(AND(AV$2&lt;&gt;0,TblTech[[#This Row],[Hour]:[Hour]]&gt;=AV$2),1,0)</f>
        <v>0</v>
      </c>
      <c r="AW35" s="298" cm="1">
        <f t="array" ref="AW35">IF(AND(AW$2&lt;&gt;0,TblTech[[#This Row],[Hour]:[Hour]]&gt;=AW$2),1,0)</f>
        <v>0</v>
      </c>
      <c r="AX35" s="298" cm="1">
        <f t="array" ref="AX35">IF(AND(AX$2&lt;&gt;0,TblTech[[#This Row],[Hour]:[Hour]]&gt;=AX$2),1,0)</f>
        <v>0</v>
      </c>
      <c r="AY35" s="298" cm="1">
        <f t="array" ref="AY35">IF(AND(AY$2&lt;&gt;0,TblTech[[#This Row],[Hour]:[Hour]]&gt;=AY$2),1,0)</f>
        <v>0</v>
      </c>
      <c r="AZ35" s="298" cm="1">
        <f t="array" ref="AZ35">IF(AND(AZ$2&lt;&gt;0,TblTech[[#This Row],[Hour]:[Hour]]&gt;=AZ$2),1,0)</f>
        <v>0</v>
      </c>
      <c r="BA35" s="298" cm="1">
        <f t="array" ref="BA35">IF(AND(BA$2&lt;&gt;0,TblTech[[#This Row],[Hour]:[Hour]]&gt;=BA$2),1,0)</f>
        <v>0</v>
      </c>
      <c r="BB35" s="298" cm="1">
        <f t="array" ref="BB35">IF(AND(BB$2&lt;&gt;0,TblTech[[#This Row],[Hour]:[Hour]]&gt;=BB$2),1,0)</f>
        <v>0</v>
      </c>
      <c r="BC35" s="298" cm="1">
        <f t="array" ref="BC35">IF(AND(BC$2&lt;&gt;0,TblTech[[#This Row],[Hour]:[Hour]]&gt;=BC$2),1,0)</f>
        <v>0</v>
      </c>
      <c r="BD35" s="298" cm="1">
        <f t="array" ref="BD35">IF(AND(BD$2&lt;&gt;0,TblTech[[#This Row],[Hour]:[Hour]]&gt;=BD$2),1,0)</f>
        <v>0</v>
      </c>
      <c r="BE35" s="298" cm="1">
        <f t="array" ref="BE35">IF(AND(BE$2&lt;&gt;0,TblTech[[#This Row],[Hour]:[Hour]]&gt;=BE$2),1,0)</f>
        <v>0</v>
      </c>
      <c r="BF35" s="298" cm="1">
        <f t="array" ref="BF35">IF(AND(BF$2&lt;&gt;0,TblTech[[#This Row],[Hour]:[Hour]]&gt;=BF$2),1,0)</f>
        <v>0</v>
      </c>
      <c r="BG35" s="298" cm="1">
        <f t="array" ref="BG35">IF(AND(BG$2&lt;&gt;0,TblTech[[#This Row],[Hour]:[Hour]]&gt;=BG$2),1,0)</f>
        <v>0</v>
      </c>
      <c r="BH35" s="298" cm="1">
        <f t="array" ref="BH35">IF(AND(BH$2&lt;&gt;0,TblTech[[#This Row],[Hour]:[Hour]]&gt;=BH$2),1,0)</f>
        <v>0</v>
      </c>
      <c r="BI35" s="298" cm="1">
        <f t="array" ref="BI35">IF(AND(BI$2&lt;&gt;0,TblTech[[#This Row],[Hour]:[Hour]]&gt;=BI$2),1,0)</f>
        <v>0</v>
      </c>
      <c r="BJ35" s="298" cm="1">
        <f t="array" ref="BJ35">IF(AND(BJ$2&lt;&gt;0,TblTech[[#This Row],[Hour]:[Hour]]&gt;=BJ$2),1,0)</f>
        <v>0</v>
      </c>
      <c r="BK35" s="298" cm="1">
        <f t="array" ref="BK35">IF(AND(BK$2&lt;&gt;0,TblTech[[#This Row],[Hour]:[Hour]]&gt;=BK$2),1,0)</f>
        <v>0</v>
      </c>
      <c r="BL35" s="298" cm="1">
        <f t="array" ref="BL35">IF(AND(BL$2&lt;&gt;0,TblTech[[#This Row],[Hour]:[Hour]]&gt;=BL$2),1,0)</f>
        <v>0</v>
      </c>
      <c r="BM35" s="298" cm="1">
        <f t="array" ref="BM35">IF(AND(BM$2&lt;&gt;0,TblTech[[#This Row],[Hour]:[Hour]]&gt;=BM$2),1,0)</f>
        <v>0</v>
      </c>
      <c r="BN35" s="298" cm="1">
        <f t="array" ref="BN35">IF(AND(BN$2&lt;&gt;0,TblTech[[#This Row],[Hour]:[Hour]]&gt;=BN$2),1,0)</f>
        <v>0</v>
      </c>
      <c r="BO35" s="298" cm="1">
        <f t="array" ref="BO35">IF(AND(BO$2&lt;&gt;0,TblTech[[#This Row],[Hour]:[Hour]]&gt;=BO$2),1,0)</f>
        <v>0</v>
      </c>
      <c r="BP35" s="298" cm="1">
        <f t="array" ref="BP35">IF(AND(BP$2&lt;&gt;0,TblTech[[#This Row],[Hour]:[Hour]]&gt;=BP$2),1,0)</f>
        <v>0</v>
      </c>
      <c r="BQ35" s="298" cm="1">
        <f t="array" ref="BQ35">IF(AND(BQ$2&lt;&gt;0,TblTech[[#This Row],[Hour]:[Hour]]&gt;=BQ$2),1,0)</f>
        <v>0</v>
      </c>
      <c r="BR35" s="298" cm="1">
        <f t="array" ref="BR35">IF(AND(BR$2&lt;&gt;0,TblTech[[#This Row],[Hour]:[Hour]]&gt;=BR$2),1,0)</f>
        <v>0</v>
      </c>
      <c r="BS35" s="298" cm="1">
        <f t="array" ref="BS35">IF(AND(BS$2&lt;&gt;0,TblTech[[#This Row],[Hour]:[Hour]]&gt;=BS$2),1,0)</f>
        <v>0</v>
      </c>
      <c r="BT35" s="298" cm="1">
        <f t="array" ref="BT35">IF(AND(BT$2&lt;&gt;0,TblTech[[#This Row],[Hour]:[Hour]]&gt;=BT$2),1,0)</f>
        <v>0</v>
      </c>
      <c r="BU35" s="298" cm="1">
        <f t="array" ref="BU35">IF(AND(BU$2&lt;&gt;0,TblTech[[#This Row],[Hour]:[Hour]]&gt;=BU$2),1,0)</f>
        <v>0</v>
      </c>
      <c r="BV35" s="298" cm="1">
        <f t="array" ref="BV35">IF(AND(BV$2&lt;&gt;0,TblTech[[#This Row],[Hour]:[Hour]]&gt;=BV$2),1,0)</f>
        <v>0</v>
      </c>
      <c r="BW35" s="298" cm="1">
        <f t="array" ref="BW35">IF(AND(BW$2&lt;&gt;0,TblTech[[#This Row],[Hour]:[Hour]]&gt;=BW$2),1,0)</f>
        <v>0</v>
      </c>
      <c r="BX35" s="298" cm="1">
        <f t="array" ref="BX35">IF(AND(BX$2&lt;&gt;0,TblTech[[#This Row],[Hour]:[Hour]]&gt;=BX$2),1,0)</f>
        <v>0</v>
      </c>
      <c r="BY35" s="298" cm="1">
        <f t="array" ref="BY35">IF(AND(BY$2&lt;&gt;0,TblTech[[#This Row],[Hour]:[Hour]]&gt;=BY$2),1,0)</f>
        <v>0</v>
      </c>
      <c r="BZ35" s="298" cm="1">
        <f t="array" ref="BZ35">IF(AND(BZ$2&lt;&gt;0,TblTech[[#This Row],[Hour]:[Hour]]&gt;=BZ$2),1,0)</f>
        <v>0</v>
      </c>
      <c r="CA35" s="402">
        <f>IFERROR(INDEX($H$4:$H$79,MATCH(INDEX(TblTech[[#Headers],[1-1]:[11-1]],1,MATCH(TblTech[[#This Row],[Hour]],$M$2:$BZ$2,0)),$G$4:$G$79,0)),)</f>
        <v>0</v>
      </c>
    </row>
    <row r="36" spans="1:79" x14ac:dyDescent="0.2">
      <c r="A36" s="290">
        <f>TblRezone[[#This Row],[Hour]]</f>
        <v>33</v>
      </c>
      <c r="B36" s="291">
        <f ca="1">TblExplore[[#This Row],[Land-DB]]</f>
        <v>250</v>
      </c>
      <c r="C36" s="292">
        <f ca="1">TblProd[[#This Row],[Techpoints]]</f>
        <v>0</v>
      </c>
      <c r="D36" s="292">
        <f ca="1">TblProd[[#This Row],[Required]]</f>
        <v>3750</v>
      </c>
      <c r="E36" s="293"/>
      <c r="F36" s="294"/>
      <c r="G36" s="295"/>
      <c r="H36" s="296"/>
      <c r="I36" s="295"/>
      <c r="J36" s="291"/>
      <c r="K36" s="95">
        <f ca="1">IF(TblTech[[#This Row],[Sum of tech]]&lt;&gt;OFFSET(TblTech[[#This Row],[Sum of tech]],-1,0),1,0)</f>
        <v>0</v>
      </c>
      <c r="L36" s="297">
        <f>COUNTIF(TblTech[[#This Row],[1-1]:[11-1]],1)</f>
        <v>0</v>
      </c>
      <c r="M36" s="298" cm="1">
        <f t="array" ref="M36">IF(AND(M$2&lt;&gt;0,TblTech[[#This Row],[Hour]:[Hour]]&gt;=M$2),1,0)</f>
        <v>0</v>
      </c>
      <c r="N36" s="298" cm="1">
        <f t="array" ref="N36">IF(AND(N$2&lt;&gt;0,TblTech[[#This Row],[Hour]:[Hour]]&gt;=N$2),1,0)</f>
        <v>0</v>
      </c>
      <c r="O36" s="298" cm="1">
        <f t="array" ref="O36">IF(AND(O$2&lt;&gt;0,TblTech[[#This Row],[Hour]:[Hour]]&gt;=O$2),1,0)</f>
        <v>0</v>
      </c>
      <c r="P36" s="298" cm="1">
        <f t="array" ref="P36">IF(AND(P$2&lt;&gt;0,TblTech[[#This Row],[Hour]:[Hour]]&gt;=P$2),1,0)</f>
        <v>0</v>
      </c>
      <c r="Q36" s="298" cm="1">
        <f t="array" ref="Q36">IF(AND(Q$2&lt;&gt;0,TblTech[[#This Row],[Hour]:[Hour]]&gt;=Q$2),1,0)</f>
        <v>0</v>
      </c>
      <c r="R36" s="298" cm="1">
        <f t="array" ref="R36">IF(AND(R$2&lt;&gt;0,TblTech[[#This Row],[Hour]:[Hour]]&gt;=R$2),1,0)</f>
        <v>0</v>
      </c>
      <c r="S36" s="298" cm="1">
        <f t="array" ref="S36">IF(AND(S$2&lt;&gt;0,TblTech[[#This Row],[Hour]:[Hour]]&gt;=S$2),1,0)</f>
        <v>0</v>
      </c>
      <c r="T36" s="298" cm="1">
        <f t="array" ref="T36">IF(AND(T$2&lt;&gt;0,TblTech[[#This Row],[Hour]:[Hour]]&gt;=T$2),1,0)</f>
        <v>0</v>
      </c>
      <c r="U36" s="298" cm="1">
        <f t="array" ref="U36">IF(AND(U$2&lt;&gt;0,TblTech[[#This Row],[Hour]:[Hour]]&gt;=U$2),1,0)</f>
        <v>0</v>
      </c>
      <c r="V36" s="298" cm="1">
        <f t="array" ref="V36">IF(AND(V$2&lt;&gt;0,TblTech[[#This Row],[Hour]:[Hour]]&gt;=V$2),1,0)</f>
        <v>0</v>
      </c>
      <c r="W36" s="298" cm="1">
        <f t="array" ref="W36">IF(AND(W$2&lt;&gt;0,TblTech[[#This Row],[Hour]:[Hour]]&gt;=W$2),1,0)</f>
        <v>0</v>
      </c>
      <c r="X36" s="298" cm="1">
        <f t="array" ref="X36">IF(AND(X$2&lt;&gt;0,TblTech[[#This Row],[Hour]:[Hour]]&gt;=X$2),1,0)</f>
        <v>0</v>
      </c>
      <c r="Y36" s="298" cm="1">
        <f t="array" ref="Y36">IF(AND(Y$2&lt;&gt;0,TblTech[[#This Row],[Hour]:[Hour]]&gt;=Y$2),1,0)</f>
        <v>0</v>
      </c>
      <c r="Z36" s="298" cm="1">
        <f t="array" ref="Z36">IF(AND(Z$2&lt;&gt;0,TblTech[[#This Row],[Hour]:[Hour]]&gt;=Z$2),1,0)</f>
        <v>0</v>
      </c>
      <c r="AA36" s="298" cm="1">
        <f t="array" ref="AA36">IF(AND(AA$2&lt;&gt;0,TblTech[[#This Row],[Hour]:[Hour]]&gt;=AA$2),1,0)</f>
        <v>0</v>
      </c>
      <c r="AB36" s="298" cm="1">
        <f t="array" ref="AB36">IF(AND(AB$2&lt;&gt;0,TblTech[[#This Row],[Hour]:[Hour]]&gt;=AB$2),1,0)</f>
        <v>0</v>
      </c>
      <c r="AC36" s="298" cm="1">
        <f t="array" ref="AC36">IF(AND(AC$2&lt;&gt;0,TblTech[[#This Row],[Hour]:[Hour]]&gt;=AC$2),1,0)</f>
        <v>0</v>
      </c>
      <c r="AD36" s="298" cm="1">
        <f t="array" ref="AD36">IF(AND(AD$2&lt;&gt;0,TblTech[[#This Row],[Hour]:[Hour]]&gt;=AD$2),1,0)</f>
        <v>0</v>
      </c>
      <c r="AE36" s="298" cm="1">
        <f t="array" ref="AE36">IF(AND(AE$2&lt;&gt;0,TblTech[[#This Row],[Hour]:[Hour]]&gt;=AE$2),1,0)</f>
        <v>0</v>
      </c>
      <c r="AF36" s="298" cm="1">
        <f t="array" ref="AF36">IF(AND(AF$2&lt;&gt;0,TblTech[[#This Row],[Hour]:[Hour]]&gt;=AF$2),1,0)</f>
        <v>0</v>
      </c>
      <c r="AG36" s="298" cm="1">
        <f t="array" ref="AG36">IF(AND(AG$2&lt;&gt;0,TblTech[[#This Row],[Hour]:[Hour]]&gt;=AG$2),1,0)</f>
        <v>0</v>
      </c>
      <c r="AH36" s="298" cm="1">
        <f t="array" ref="AH36">IF(AND(AH$2&lt;&gt;0,TblTech[[#This Row],[Hour]:[Hour]]&gt;=AH$2),1,0)</f>
        <v>0</v>
      </c>
      <c r="AI36" s="298" cm="1">
        <f t="array" ref="AI36">IF(AND(AI$2&lt;&gt;0,TblTech[[#This Row],[Hour]:[Hour]]&gt;=AI$2),1,0)</f>
        <v>0</v>
      </c>
      <c r="AJ36" s="298" cm="1">
        <f t="array" ref="AJ36">IF(AND(AJ$2&lt;&gt;0,TblTech[[#This Row],[Hour]:[Hour]]&gt;=AJ$2),1,0)</f>
        <v>0</v>
      </c>
      <c r="AK36" s="298" cm="1">
        <f t="array" ref="AK36">IF(AND(AK$2&lt;&gt;0,TblTech[[#This Row],[Hour]:[Hour]]&gt;=AK$2),1,0)</f>
        <v>0</v>
      </c>
      <c r="AL36" s="298" cm="1">
        <f t="array" ref="AL36">IF(AND(AL$2&lt;&gt;0,TblTech[[#This Row],[Hour]:[Hour]]&gt;=AL$2),1,0)</f>
        <v>0</v>
      </c>
      <c r="AM36" s="298" cm="1">
        <f t="array" ref="AM36">IF(AND(AM$2&lt;&gt;0,TblTech[[#This Row],[Hour]:[Hour]]&gt;=AM$2),1,0)</f>
        <v>0</v>
      </c>
      <c r="AN36" s="298" cm="1">
        <f t="array" ref="AN36">IF(AND(AN$2&lt;&gt;0,TblTech[[#This Row],[Hour]:[Hour]]&gt;=AN$2),1,0)</f>
        <v>0</v>
      </c>
      <c r="AO36" s="298" cm="1">
        <f t="array" ref="AO36">IF(AND(AO$2&lt;&gt;0,TblTech[[#This Row],[Hour]:[Hour]]&gt;=AO$2),1,0)</f>
        <v>0</v>
      </c>
      <c r="AP36" s="298" cm="1">
        <f t="array" ref="AP36">IF(AND(AP$2&lt;&gt;0,TblTech[[#This Row],[Hour]:[Hour]]&gt;=AP$2),1,0)</f>
        <v>0</v>
      </c>
      <c r="AQ36" s="298" cm="1">
        <f t="array" ref="AQ36">IF(AND(AQ$2&lt;&gt;0,TblTech[[#This Row],[Hour]:[Hour]]&gt;=AQ$2),1,0)</f>
        <v>0</v>
      </c>
      <c r="AR36" s="298" cm="1">
        <f t="array" ref="AR36">IF(AND(AR$2&lt;&gt;0,TblTech[[#This Row],[Hour]:[Hour]]&gt;=AR$2),1,0)</f>
        <v>0</v>
      </c>
      <c r="AS36" s="298" cm="1">
        <f t="array" ref="AS36">IF(AND(AS$2&lt;&gt;0,TblTech[[#This Row],[Hour]:[Hour]]&gt;=AS$2),1,0)</f>
        <v>0</v>
      </c>
      <c r="AT36" s="298" cm="1">
        <f t="array" ref="AT36">IF(AND(AT$2&lt;&gt;0,TblTech[[#This Row],[Hour]:[Hour]]&gt;=AT$2),1,0)</f>
        <v>0</v>
      </c>
      <c r="AU36" s="298" cm="1">
        <f t="array" ref="AU36">IF(AND(AU$2&lt;&gt;0,TblTech[[#This Row],[Hour]:[Hour]]&gt;=AU$2),1,0)</f>
        <v>0</v>
      </c>
      <c r="AV36" s="298" cm="1">
        <f t="array" ref="AV36">IF(AND(AV$2&lt;&gt;0,TblTech[[#This Row],[Hour]:[Hour]]&gt;=AV$2),1,0)</f>
        <v>0</v>
      </c>
      <c r="AW36" s="298" cm="1">
        <f t="array" ref="AW36">IF(AND(AW$2&lt;&gt;0,TblTech[[#This Row],[Hour]:[Hour]]&gt;=AW$2),1,0)</f>
        <v>0</v>
      </c>
      <c r="AX36" s="298" cm="1">
        <f t="array" ref="AX36">IF(AND(AX$2&lt;&gt;0,TblTech[[#This Row],[Hour]:[Hour]]&gt;=AX$2),1,0)</f>
        <v>0</v>
      </c>
      <c r="AY36" s="298" cm="1">
        <f t="array" ref="AY36">IF(AND(AY$2&lt;&gt;0,TblTech[[#This Row],[Hour]:[Hour]]&gt;=AY$2),1,0)</f>
        <v>0</v>
      </c>
      <c r="AZ36" s="298" cm="1">
        <f t="array" ref="AZ36">IF(AND(AZ$2&lt;&gt;0,TblTech[[#This Row],[Hour]:[Hour]]&gt;=AZ$2),1,0)</f>
        <v>0</v>
      </c>
      <c r="BA36" s="298" cm="1">
        <f t="array" ref="BA36">IF(AND(BA$2&lt;&gt;0,TblTech[[#This Row],[Hour]:[Hour]]&gt;=BA$2),1,0)</f>
        <v>0</v>
      </c>
      <c r="BB36" s="298" cm="1">
        <f t="array" ref="BB36">IF(AND(BB$2&lt;&gt;0,TblTech[[#This Row],[Hour]:[Hour]]&gt;=BB$2),1,0)</f>
        <v>0</v>
      </c>
      <c r="BC36" s="298" cm="1">
        <f t="array" ref="BC36">IF(AND(BC$2&lt;&gt;0,TblTech[[#This Row],[Hour]:[Hour]]&gt;=BC$2),1,0)</f>
        <v>0</v>
      </c>
      <c r="BD36" s="298" cm="1">
        <f t="array" ref="BD36">IF(AND(BD$2&lt;&gt;0,TblTech[[#This Row],[Hour]:[Hour]]&gt;=BD$2),1,0)</f>
        <v>0</v>
      </c>
      <c r="BE36" s="298" cm="1">
        <f t="array" ref="BE36">IF(AND(BE$2&lt;&gt;0,TblTech[[#This Row],[Hour]:[Hour]]&gt;=BE$2),1,0)</f>
        <v>0</v>
      </c>
      <c r="BF36" s="298" cm="1">
        <f t="array" ref="BF36">IF(AND(BF$2&lt;&gt;0,TblTech[[#This Row],[Hour]:[Hour]]&gt;=BF$2),1,0)</f>
        <v>0</v>
      </c>
      <c r="BG36" s="298" cm="1">
        <f t="array" ref="BG36">IF(AND(BG$2&lt;&gt;0,TblTech[[#This Row],[Hour]:[Hour]]&gt;=BG$2),1,0)</f>
        <v>0</v>
      </c>
      <c r="BH36" s="298" cm="1">
        <f t="array" ref="BH36">IF(AND(BH$2&lt;&gt;0,TblTech[[#This Row],[Hour]:[Hour]]&gt;=BH$2),1,0)</f>
        <v>0</v>
      </c>
      <c r="BI36" s="298" cm="1">
        <f t="array" ref="BI36">IF(AND(BI$2&lt;&gt;0,TblTech[[#This Row],[Hour]:[Hour]]&gt;=BI$2),1,0)</f>
        <v>0</v>
      </c>
      <c r="BJ36" s="298" cm="1">
        <f t="array" ref="BJ36">IF(AND(BJ$2&lt;&gt;0,TblTech[[#This Row],[Hour]:[Hour]]&gt;=BJ$2),1,0)</f>
        <v>0</v>
      </c>
      <c r="BK36" s="298" cm="1">
        <f t="array" ref="BK36">IF(AND(BK$2&lt;&gt;0,TblTech[[#This Row],[Hour]:[Hour]]&gt;=BK$2),1,0)</f>
        <v>0</v>
      </c>
      <c r="BL36" s="298" cm="1">
        <f t="array" ref="BL36">IF(AND(BL$2&lt;&gt;0,TblTech[[#This Row],[Hour]:[Hour]]&gt;=BL$2),1,0)</f>
        <v>0</v>
      </c>
      <c r="BM36" s="298" cm="1">
        <f t="array" ref="BM36">IF(AND(BM$2&lt;&gt;0,TblTech[[#This Row],[Hour]:[Hour]]&gt;=BM$2),1,0)</f>
        <v>0</v>
      </c>
      <c r="BN36" s="298" cm="1">
        <f t="array" ref="BN36">IF(AND(BN$2&lt;&gt;0,TblTech[[#This Row],[Hour]:[Hour]]&gt;=BN$2),1,0)</f>
        <v>0</v>
      </c>
      <c r="BO36" s="298" cm="1">
        <f t="array" ref="BO36">IF(AND(BO$2&lt;&gt;0,TblTech[[#This Row],[Hour]:[Hour]]&gt;=BO$2),1,0)</f>
        <v>0</v>
      </c>
      <c r="BP36" s="298" cm="1">
        <f t="array" ref="BP36">IF(AND(BP$2&lt;&gt;0,TblTech[[#This Row],[Hour]:[Hour]]&gt;=BP$2),1,0)</f>
        <v>0</v>
      </c>
      <c r="BQ36" s="298" cm="1">
        <f t="array" ref="BQ36">IF(AND(BQ$2&lt;&gt;0,TblTech[[#This Row],[Hour]:[Hour]]&gt;=BQ$2),1,0)</f>
        <v>0</v>
      </c>
      <c r="BR36" s="298" cm="1">
        <f t="array" ref="BR36">IF(AND(BR$2&lt;&gt;0,TblTech[[#This Row],[Hour]:[Hour]]&gt;=BR$2),1,0)</f>
        <v>0</v>
      </c>
      <c r="BS36" s="298" cm="1">
        <f t="array" ref="BS36">IF(AND(BS$2&lt;&gt;0,TblTech[[#This Row],[Hour]:[Hour]]&gt;=BS$2),1,0)</f>
        <v>0</v>
      </c>
      <c r="BT36" s="298" cm="1">
        <f t="array" ref="BT36">IF(AND(BT$2&lt;&gt;0,TblTech[[#This Row],[Hour]:[Hour]]&gt;=BT$2),1,0)</f>
        <v>0</v>
      </c>
      <c r="BU36" s="298" cm="1">
        <f t="array" ref="BU36">IF(AND(BU$2&lt;&gt;0,TblTech[[#This Row],[Hour]:[Hour]]&gt;=BU$2),1,0)</f>
        <v>0</v>
      </c>
      <c r="BV36" s="298" cm="1">
        <f t="array" ref="BV36">IF(AND(BV$2&lt;&gt;0,TblTech[[#This Row],[Hour]:[Hour]]&gt;=BV$2),1,0)</f>
        <v>0</v>
      </c>
      <c r="BW36" s="298" cm="1">
        <f t="array" ref="BW36">IF(AND(BW$2&lt;&gt;0,TblTech[[#This Row],[Hour]:[Hour]]&gt;=BW$2),1,0)</f>
        <v>0</v>
      </c>
      <c r="BX36" s="298" cm="1">
        <f t="array" ref="BX36">IF(AND(BX$2&lt;&gt;0,TblTech[[#This Row],[Hour]:[Hour]]&gt;=BX$2),1,0)</f>
        <v>0</v>
      </c>
      <c r="BY36" s="298" cm="1">
        <f t="array" ref="BY36">IF(AND(BY$2&lt;&gt;0,TblTech[[#This Row],[Hour]:[Hour]]&gt;=BY$2),1,0)</f>
        <v>0</v>
      </c>
      <c r="BZ36" s="298" cm="1">
        <f t="array" ref="BZ36">IF(AND(BZ$2&lt;&gt;0,TblTech[[#This Row],[Hour]:[Hour]]&gt;=BZ$2),1,0)</f>
        <v>0</v>
      </c>
      <c r="CA36" s="402">
        <f>IFERROR(INDEX($H$4:$H$79,MATCH(INDEX(TblTech[[#Headers],[1-1]:[11-1]],1,MATCH(TblTech[[#This Row],[Hour]],$M$2:$BZ$2,0)),$G$4:$G$79,0)),)</f>
        <v>0</v>
      </c>
    </row>
    <row r="37" spans="1:79" x14ac:dyDescent="0.2">
      <c r="A37" s="290">
        <f>TblRezone[[#This Row],[Hour]]</f>
        <v>34</v>
      </c>
      <c r="B37" s="291">
        <f ca="1">TblExplore[[#This Row],[Land-DB]]</f>
        <v>250</v>
      </c>
      <c r="C37" s="292">
        <f ca="1">TblProd[[#This Row],[Techpoints]]</f>
        <v>0</v>
      </c>
      <c r="D37" s="292">
        <f ca="1">TblProd[[#This Row],[Required]]</f>
        <v>3750</v>
      </c>
      <c r="E37" s="293"/>
      <c r="F37" s="294"/>
      <c r="G37" s="295" t="s">
        <v>578</v>
      </c>
      <c r="H37" s="296" t="s">
        <v>704</v>
      </c>
      <c r="I37" s="295" t="s">
        <v>754</v>
      </c>
      <c r="J37" s="291"/>
      <c r="K37" s="95">
        <f ca="1">IF(TblTech[[#This Row],[Sum of tech]]&lt;&gt;OFFSET(TblTech[[#This Row],[Sum of tech]],-1,0),1,0)</f>
        <v>0</v>
      </c>
      <c r="L37" s="297">
        <f>COUNTIF(TblTech[[#This Row],[1-1]:[11-1]],1)</f>
        <v>0</v>
      </c>
      <c r="M37" s="298" cm="1">
        <f t="array" ref="M37">IF(AND(M$2&lt;&gt;0,TblTech[[#This Row],[Hour]:[Hour]]&gt;=M$2),1,0)</f>
        <v>0</v>
      </c>
      <c r="N37" s="298" cm="1">
        <f t="array" ref="N37">IF(AND(N$2&lt;&gt;0,TblTech[[#This Row],[Hour]:[Hour]]&gt;=N$2),1,0)</f>
        <v>0</v>
      </c>
      <c r="O37" s="298" cm="1">
        <f t="array" ref="O37">IF(AND(O$2&lt;&gt;0,TblTech[[#This Row],[Hour]:[Hour]]&gt;=O$2),1,0)</f>
        <v>0</v>
      </c>
      <c r="P37" s="298" cm="1">
        <f t="array" ref="P37">IF(AND(P$2&lt;&gt;0,TblTech[[#This Row],[Hour]:[Hour]]&gt;=P$2),1,0)</f>
        <v>0</v>
      </c>
      <c r="Q37" s="298" cm="1">
        <f t="array" ref="Q37">IF(AND(Q$2&lt;&gt;0,TblTech[[#This Row],[Hour]:[Hour]]&gt;=Q$2),1,0)</f>
        <v>0</v>
      </c>
      <c r="R37" s="298" cm="1">
        <f t="array" ref="R37">IF(AND(R$2&lt;&gt;0,TblTech[[#This Row],[Hour]:[Hour]]&gt;=R$2),1,0)</f>
        <v>0</v>
      </c>
      <c r="S37" s="298" cm="1">
        <f t="array" ref="S37">IF(AND(S$2&lt;&gt;0,TblTech[[#This Row],[Hour]:[Hour]]&gt;=S$2),1,0)</f>
        <v>0</v>
      </c>
      <c r="T37" s="298" cm="1">
        <f t="array" ref="T37">IF(AND(T$2&lt;&gt;0,TblTech[[#This Row],[Hour]:[Hour]]&gt;=T$2),1,0)</f>
        <v>0</v>
      </c>
      <c r="U37" s="298" cm="1">
        <f t="array" ref="U37">IF(AND(U$2&lt;&gt;0,TblTech[[#This Row],[Hour]:[Hour]]&gt;=U$2),1,0)</f>
        <v>0</v>
      </c>
      <c r="V37" s="298" cm="1">
        <f t="array" ref="V37">IF(AND(V$2&lt;&gt;0,TblTech[[#This Row],[Hour]:[Hour]]&gt;=V$2),1,0)</f>
        <v>0</v>
      </c>
      <c r="W37" s="298" cm="1">
        <f t="array" ref="W37">IF(AND(W$2&lt;&gt;0,TblTech[[#This Row],[Hour]:[Hour]]&gt;=W$2),1,0)</f>
        <v>0</v>
      </c>
      <c r="X37" s="298" cm="1">
        <f t="array" ref="X37">IF(AND(X$2&lt;&gt;0,TblTech[[#This Row],[Hour]:[Hour]]&gt;=X$2),1,0)</f>
        <v>0</v>
      </c>
      <c r="Y37" s="298" cm="1">
        <f t="array" ref="Y37">IF(AND(Y$2&lt;&gt;0,TblTech[[#This Row],[Hour]:[Hour]]&gt;=Y$2),1,0)</f>
        <v>0</v>
      </c>
      <c r="Z37" s="298" cm="1">
        <f t="array" ref="Z37">IF(AND(Z$2&lt;&gt;0,TblTech[[#This Row],[Hour]:[Hour]]&gt;=Z$2),1,0)</f>
        <v>0</v>
      </c>
      <c r="AA37" s="298" cm="1">
        <f t="array" ref="AA37">IF(AND(AA$2&lt;&gt;0,TblTech[[#This Row],[Hour]:[Hour]]&gt;=AA$2),1,0)</f>
        <v>0</v>
      </c>
      <c r="AB37" s="298" cm="1">
        <f t="array" ref="AB37">IF(AND(AB$2&lt;&gt;0,TblTech[[#This Row],[Hour]:[Hour]]&gt;=AB$2),1,0)</f>
        <v>0</v>
      </c>
      <c r="AC37" s="298" cm="1">
        <f t="array" ref="AC37">IF(AND(AC$2&lt;&gt;0,TblTech[[#This Row],[Hour]:[Hour]]&gt;=AC$2),1,0)</f>
        <v>0</v>
      </c>
      <c r="AD37" s="298" cm="1">
        <f t="array" ref="AD37">IF(AND(AD$2&lt;&gt;0,TblTech[[#This Row],[Hour]:[Hour]]&gt;=AD$2),1,0)</f>
        <v>0</v>
      </c>
      <c r="AE37" s="298" cm="1">
        <f t="array" ref="AE37">IF(AND(AE$2&lt;&gt;0,TblTech[[#This Row],[Hour]:[Hour]]&gt;=AE$2),1,0)</f>
        <v>0</v>
      </c>
      <c r="AF37" s="298" cm="1">
        <f t="array" ref="AF37">IF(AND(AF$2&lt;&gt;0,TblTech[[#This Row],[Hour]:[Hour]]&gt;=AF$2),1,0)</f>
        <v>0</v>
      </c>
      <c r="AG37" s="298" cm="1">
        <f t="array" ref="AG37">IF(AND(AG$2&lt;&gt;0,TblTech[[#This Row],[Hour]:[Hour]]&gt;=AG$2),1,0)</f>
        <v>0</v>
      </c>
      <c r="AH37" s="298" cm="1">
        <f t="array" ref="AH37">IF(AND(AH$2&lt;&gt;0,TblTech[[#This Row],[Hour]:[Hour]]&gt;=AH$2),1,0)</f>
        <v>0</v>
      </c>
      <c r="AI37" s="298" cm="1">
        <f t="array" ref="AI37">IF(AND(AI$2&lt;&gt;0,TblTech[[#This Row],[Hour]:[Hour]]&gt;=AI$2),1,0)</f>
        <v>0</v>
      </c>
      <c r="AJ37" s="298" cm="1">
        <f t="array" ref="AJ37">IF(AND(AJ$2&lt;&gt;0,TblTech[[#This Row],[Hour]:[Hour]]&gt;=AJ$2),1,0)</f>
        <v>0</v>
      </c>
      <c r="AK37" s="298" cm="1">
        <f t="array" ref="AK37">IF(AND(AK$2&lt;&gt;0,TblTech[[#This Row],[Hour]:[Hour]]&gt;=AK$2),1,0)</f>
        <v>0</v>
      </c>
      <c r="AL37" s="298" cm="1">
        <f t="array" ref="AL37">IF(AND(AL$2&lt;&gt;0,TblTech[[#This Row],[Hour]:[Hour]]&gt;=AL$2),1,0)</f>
        <v>0</v>
      </c>
      <c r="AM37" s="298" cm="1">
        <f t="array" ref="AM37">IF(AND(AM$2&lt;&gt;0,TblTech[[#This Row],[Hour]:[Hour]]&gt;=AM$2),1,0)</f>
        <v>0</v>
      </c>
      <c r="AN37" s="298" cm="1">
        <f t="array" ref="AN37">IF(AND(AN$2&lt;&gt;0,TblTech[[#This Row],[Hour]:[Hour]]&gt;=AN$2),1,0)</f>
        <v>0</v>
      </c>
      <c r="AO37" s="298" cm="1">
        <f t="array" ref="AO37">IF(AND(AO$2&lt;&gt;0,TblTech[[#This Row],[Hour]:[Hour]]&gt;=AO$2),1,0)</f>
        <v>0</v>
      </c>
      <c r="AP37" s="298" cm="1">
        <f t="array" ref="AP37">IF(AND(AP$2&lt;&gt;0,TblTech[[#This Row],[Hour]:[Hour]]&gt;=AP$2),1,0)</f>
        <v>0</v>
      </c>
      <c r="AQ37" s="298" cm="1">
        <f t="array" ref="AQ37">IF(AND(AQ$2&lt;&gt;0,TblTech[[#This Row],[Hour]:[Hour]]&gt;=AQ$2),1,0)</f>
        <v>0</v>
      </c>
      <c r="AR37" s="298" cm="1">
        <f t="array" ref="AR37">IF(AND(AR$2&lt;&gt;0,TblTech[[#This Row],[Hour]:[Hour]]&gt;=AR$2),1,0)</f>
        <v>0</v>
      </c>
      <c r="AS37" s="298" cm="1">
        <f t="array" ref="AS37">IF(AND(AS$2&lt;&gt;0,TblTech[[#This Row],[Hour]:[Hour]]&gt;=AS$2),1,0)</f>
        <v>0</v>
      </c>
      <c r="AT37" s="298" cm="1">
        <f t="array" ref="AT37">IF(AND(AT$2&lt;&gt;0,TblTech[[#This Row],[Hour]:[Hour]]&gt;=AT$2),1,0)</f>
        <v>0</v>
      </c>
      <c r="AU37" s="298" cm="1">
        <f t="array" ref="AU37">IF(AND(AU$2&lt;&gt;0,TblTech[[#This Row],[Hour]:[Hour]]&gt;=AU$2),1,0)</f>
        <v>0</v>
      </c>
      <c r="AV37" s="298" cm="1">
        <f t="array" ref="AV37">IF(AND(AV$2&lt;&gt;0,TblTech[[#This Row],[Hour]:[Hour]]&gt;=AV$2),1,0)</f>
        <v>0</v>
      </c>
      <c r="AW37" s="298" cm="1">
        <f t="array" ref="AW37">IF(AND(AW$2&lt;&gt;0,TblTech[[#This Row],[Hour]:[Hour]]&gt;=AW$2),1,0)</f>
        <v>0</v>
      </c>
      <c r="AX37" s="298" cm="1">
        <f t="array" ref="AX37">IF(AND(AX$2&lt;&gt;0,TblTech[[#This Row],[Hour]:[Hour]]&gt;=AX$2),1,0)</f>
        <v>0</v>
      </c>
      <c r="AY37" s="298" cm="1">
        <f t="array" ref="AY37">IF(AND(AY$2&lt;&gt;0,TblTech[[#This Row],[Hour]:[Hour]]&gt;=AY$2),1,0)</f>
        <v>0</v>
      </c>
      <c r="AZ37" s="298" cm="1">
        <f t="array" ref="AZ37">IF(AND(AZ$2&lt;&gt;0,TblTech[[#This Row],[Hour]:[Hour]]&gt;=AZ$2),1,0)</f>
        <v>0</v>
      </c>
      <c r="BA37" s="298" cm="1">
        <f t="array" ref="BA37">IF(AND(BA$2&lt;&gt;0,TblTech[[#This Row],[Hour]:[Hour]]&gt;=BA$2),1,0)</f>
        <v>0</v>
      </c>
      <c r="BB37" s="298" cm="1">
        <f t="array" ref="BB37">IF(AND(BB$2&lt;&gt;0,TblTech[[#This Row],[Hour]:[Hour]]&gt;=BB$2),1,0)</f>
        <v>0</v>
      </c>
      <c r="BC37" s="298" cm="1">
        <f t="array" ref="BC37">IF(AND(BC$2&lt;&gt;0,TblTech[[#This Row],[Hour]:[Hour]]&gt;=BC$2),1,0)</f>
        <v>0</v>
      </c>
      <c r="BD37" s="298" cm="1">
        <f t="array" ref="BD37">IF(AND(BD$2&lt;&gt;0,TblTech[[#This Row],[Hour]:[Hour]]&gt;=BD$2),1,0)</f>
        <v>0</v>
      </c>
      <c r="BE37" s="298" cm="1">
        <f t="array" ref="BE37">IF(AND(BE$2&lt;&gt;0,TblTech[[#This Row],[Hour]:[Hour]]&gt;=BE$2),1,0)</f>
        <v>0</v>
      </c>
      <c r="BF37" s="298" cm="1">
        <f t="array" ref="BF37">IF(AND(BF$2&lt;&gt;0,TblTech[[#This Row],[Hour]:[Hour]]&gt;=BF$2),1,0)</f>
        <v>0</v>
      </c>
      <c r="BG37" s="298" cm="1">
        <f t="array" ref="BG37">IF(AND(BG$2&lt;&gt;0,TblTech[[#This Row],[Hour]:[Hour]]&gt;=BG$2),1,0)</f>
        <v>0</v>
      </c>
      <c r="BH37" s="298" cm="1">
        <f t="array" ref="BH37">IF(AND(BH$2&lt;&gt;0,TblTech[[#This Row],[Hour]:[Hour]]&gt;=BH$2),1,0)</f>
        <v>0</v>
      </c>
      <c r="BI37" s="298" cm="1">
        <f t="array" ref="BI37">IF(AND(BI$2&lt;&gt;0,TblTech[[#This Row],[Hour]:[Hour]]&gt;=BI$2),1,0)</f>
        <v>0</v>
      </c>
      <c r="BJ37" s="298" cm="1">
        <f t="array" ref="BJ37">IF(AND(BJ$2&lt;&gt;0,TblTech[[#This Row],[Hour]:[Hour]]&gt;=BJ$2),1,0)</f>
        <v>0</v>
      </c>
      <c r="BK37" s="298" cm="1">
        <f t="array" ref="BK37">IF(AND(BK$2&lt;&gt;0,TblTech[[#This Row],[Hour]:[Hour]]&gt;=BK$2),1,0)</f>
        <v>0</v>
      </c>
      <c r="BL37" s="298" cm="1">
        <f t="array" ref="BL37">IF(AND(BL$2&lt;&gt;0,TblTech[[#This Row],[Hour]:[Hour]]&gt;=BL$2),1,0)</f>
        <v>0</v>
      </c>
      <c r="BM37" s="298" cm="1">
        <f t="array" ref="BM37">IF(AND(BM$2&lt;&gt;0,TblTech[[#This Row],[Hour]:[Hour]]&gt;=BM$2),1,0)</f>
        <v>0</v>
      </c>
      <c r="BN37" s="298" cm="1">
        <f t="array" ref="BN37">IF(AND(BN$2&lt;&gt;0,TblTech[[#This Row],[Hour]:[Hour]]&gt;=BN$2),1,0)</f>
        <v>0</v>
      </c>
      <c r="BO37" s="298" cm="1">
        <f t="array" ref="BO37">IF(AND(BO$2&lt;&gt;0,TblTech[[#This Row],[Hour]:[Hour]]&gt;=BO$2),1,0)</f>
        <v>0</v>
      </c>
      <c r="BP37" s="298" cm="1">
        <f t="array" ref="BP37">IF(AND(BP$2&lt;&gt;0,TblTech[[#This Row],[Hour]:[Hour]]&gt;=BP$2),1,0)</f>
        <v>0</v>
      </c>
      <c r="BQ37" s="298" cm="1">
        <f t="array" ref="BQ37">IF(AND(BQ$2&lt;&gt;0,TblTech[[#This Row],[Hour]:[Hour]]&gt;=BQ$2),1,0)</f>
        <v>0</v>
      </c>
      <c r="BR37" s="298" cm="1">
        <f t="array" ref="BR37">IF(AND(BR$2&lt;&gt;0,TblTech[[#This Row],[Hour]:[Hour]]&gt;=BR$2),1,0)</f>
        <v>0</v>
      </c>
      <c r="BS37" s="298" cm="1">
        <f t="array" ref="BS37">IF(AND(BS$2&lt;&gt;0,TblTech[[#This Row],[Hour]:[Hour]]&gt;=BS$2),1,0)</f>
        <v>0</v>
      </c>
      <c r="BT37" s="298" cm="1">
        <f t="array" ref="BT37">IF(AND(BT$2&lt;&gt;0,TblTech[[#This Row],[Hour]:[Hour]]&gt;=BT$2),1,0)</f>
        <v>0</v>
      </c>
      <c r="BU37" s="298" cm="1">
        <f t="array" ref="BU37">IF(AND(BU$2&lt;&gt;0,TblTech[[#This Row],[Hour]:[Hour]]&gt;=BU$2),1,0)</f>
        <v>0</v>
      </c>
      <c r="BV37" s="298" cm="1">
        <f t="array" ref="BV37">IF(AND(BV$2&lt;&gt;0,TblTech[[#This Row],[Hour]:[Hour]]&gt;=BV$2),1,0)</f>
        <v>0</v>
      </c>
      <c r="BW37" s="298" cm="1">
        <f t="array" ref="BW37">IF(AND(BW$2&lt;&gt;0,TblTech[[#This Row],[Hour]:[Hour]]&gt;=BW$2),1,0)</f>
        <v>0</v>
      </c>
      <c r="BX37" s="298" cm="1">
        <f t="array" ref="BX37">IF(AND(BX$2&lt;&gt;0,TblTech[[#This Row],[Hour]:[Hour]]&gt;=BX$2),1,0)</f>
        <v>0</v>
      </c>
      <c r="BY37" s="298" cm="1">
        <f t="array" ref="BY37">IF(AND(BY$2&lt;&gt;0,TblTech[[#This Row],[Hour]:[Hour]]&gt;=BY$2),1,0)</f>
        <v>0</v>
      </c>
      <c r="BZ37" s="298" cm="1">
        <f t="array" ref="BZ37">IF(AND(BZ$2&lt;&gt;0,TblTech[[#This Row],[Hour]:[Hour]]&gt;=BZ$2),1,0)</f>
        <v>0</v>
      </c>
      <c r="CA37" s="402">
        <f>IFERROR(INDEX($H$4:$H$79,MATCH(INDEX(TblTech[[#Headers],[1-1]:[11-1]],1,MATCH(TblTech[[#This Row],[Hour]],$M$2:$BZ$2,0)),$G$4:$G$79,0)),)</f>
        <v>0</v>
      </c>
    </row>
    <row r="38" spans="1:79" x14ac:dyDescent="0.2">
      <c r="A38" s="290">
        <f>TblRezone[[#This Row],[Hour]]</f>
        <v>35</v>
      </c>
      <c r="B38" s="291">
        <f ca="1">TblExplore[[#This Row],[Land-DB]]</f>
        <v>250</v>
      </c>
      <c r="C38" s="292">
        <f ca="1">TblProd[[#This Row],[Techpoints]]</f>
        <v>0</v>
      </c>
      <c r="D38" s="292">
        <f ca="1">TblProd[[#This Row],[Required]]</f>
        <v>3750</v>
      </c>
      <c r="E38" s="293"/>
      <c r="F38" s="294"/>
      <c r="G38" s="295" t="s">
        <v>579</v>
      </c>
      <c r="H38" s="296" t="s">
        <v>705</v>
      </c>
      <c r="I38" s="295" t="s">
        <v>626</v>
      </c>
      <c r="J38" s="291"/>
      <c r="K38" s="95">
        <f ca="1">IF(TblTech[[#This Row],[Sum of tech]]&lt;&gt;OFFSET(TblTech[[#This Row],[Sum of tech]],-1,0),1,0)</f>
        <v>0</v>
      </c>
      <c r="L38" s="297">
        <f>COUNTIF(TblTech[[#This Row],[1-1]:[11-1]],1)</f>
        <v>0</v>
      </c>
      <c r="M38" s="298" cm="1">
        <f t="array" ref="M38">IF(AND(M$2&lt;&gt;0,TblTech[[#This Row],[Hour]:[Hour]]&gt;=M$2),1,0)</f>
        <v>0</v>
      </c>
      <c r="N38" s="298" cm="1">
        <f t="array" ref="N38">IF(AND(N$2&lt;&gt;0,TblTech[[#This Row],[Hour]:[Hour]]&gt;=N$2),1,0)</f>
        <v>0</v>
      </c>
      <c r="O38" s="298" cm="1">
        <f t="array" ref="O38">IF(AND(O$2&lt;&gt;0,TblTech[[#This Row],[Hour]:[Hour]]&gt;=O$2),1,0)</f>
        <v>0</v>
      </c>
      <c r="P38" s="298" cm="1">
        <f t="array" ref="P38">IF(AND(P$2&lt;&gt;0,TblTech[[#This Row],[Hour]:[Hour]]&gt;=P$2),1,0)</f>
        <v>0</v>
      </c>
      <c r="Q38" s="298" cm="1">
        <f t="array" ref="Q38">IF(AND(Q$2&lt;&gt;0,TblTech[[#This Row],[Hour]:[Hour]]&gt;=Q$2),1,0)</f>
        <v>0</v>
      </c>
      <c r="R38" s="298" cm="1">
        <f t="array" ref="R38">IF(AND(R$2&lt;&gt;0,TblTech[[#This Row],[Hour]:[Hour]]&gt;=R$2),1,0)</f>
        <v>0</v>
      </c>
      <c r="S38" s="298" cm="1">
        <f t="array" ref="S38">IF(AND(S$2&lt;&gt;0,TblTech[[#This Row],[Hour]:[Hour]]&gt;=S$2),1,0)</f>
        <v>0</v>
      </c>
      <c r="T38" s="298" cm="1">
        <f t="array" ref="T38">IF(AND(T$2&lt;&gt;0,TblTech[[#This Row],[Hour]:[Hour]]&gt;=T$2),1,0)</f>
        <v>0</v>
      </c>
      <c r="U38" s="298" cm="1">
        <f t="array" ref="U38">IF(AND(U$2&lt;&gt;0,TblTech[[#This Row],[Hour]:[Hour]]&gt;=U$2),1,0)</f>
        <v>0</v>
      </c>
      <c r="V38" s="298" cm="1">
        <f t="array" ref="V38">IF(AND(V$2&lt;&gt;0,TblTech[[#This Row],[Hour]:[Hour]]&gt;=V$2),1,0)</f>
        <v>0</v>
      </c>
      <c r="W38" s="298" cm="1">
        <f t="array" ref="W38">IF(AND(W$2&lt;&gt;0,TblTech[[#This Row],[Hour]:[Hour]]&gt;=W$2),1,0)</f>
        <v>0</v>
      </c>
      <c r="X38" s="298" cm="1">
        <f t="array" ref="X38">IF(AND(X$2&lt;&gt;0,TblTech[[#This Row],[Hour]:[Hour]]&gt;=X$2),1,0)</f>
        <v>0</v>
      </c>
      <c r="Y38" s="298" cm="1">
        <f t="array" ref="Y38">IF(AND(Y$2&lt;&gt;0,TblTech[[#This Row],[Hour]:[Hour]]&gt;=Y$2),1,0)</f>
        <v>0</v>
      </c>
      <c r="Z38" s="298" cm="1">
        <f t="array" ref="Z38">IF(AND(Z$2&lt;&gt;0,TblTech[[#This Row],[Hour]:[Hour]]&gt;=Z$2),1,0)</f>
        <v>0</v>
      </c>
      <c r="AA38" s="298" cm="1">
        <f t="array" ref="AA38">IF(AND(AA$2&lt;&gt;0,TblTech[[#This Row],[Hour]:[Hour]]&gt;=AA$2),1,0)</f>
        <v>0</v>
      </c>
      <c r="AB38" s="298" cm="1">
        <f t="array" ref="AB38">IF(AND(AB$2&lt;&gt;0,TblTech[[#This Row],[Hour]:[Hour]]&gt;=AB$2),1,0)</f>
        <v>0</v>
      </c>
      <c r="AC38" s="298" cm="1">
        <f t="array" ref="AC38">IF(AND(AC$2&lt;&gt;0,TblTech[[#This Row],[Hour]:[Hour]]&gt;=AC$2),1,0)</f>
        <v>0</v>
      </c>
      <c r="AD38" s="298" cm="1">
        <f t="array" ref="AD38">IF(AND(AD$2&lt;&gt;0,TblTech[[#This Row],[Hour]:[Hour]]&gt;=AD$2),1,0)</f>
        <v>0</v>
      </c>
      <c r="AE38" s="298" cm="1">
        <f t="array" ref="AE38">IF(AND(AE$2&lt;&gt;0,TblTech[[#This Row],[Hour]:[Hour]]&gt;=AE$2),1,0)</f>
        <v>0</v>
      </c>
      <c r="AF38" s="298" cm="1">
        <f t="array" ref="AF38">IF(AND(AF$2&lt;&gt;0,TblTech[[#This Row],[Hour]:[Hour]]&gt;=AF$2),1,0)</f>
        <v>0</v>
      </c>
      <c r="AG38" s="298" cm="1">
        <f t="array" ref="AG38">IF(AND(AG$2&lt;&gt;0,TblTech[[#This Row],[Hour]:[Hour]]&gt;=AG$2),1,0)</f>
        <v>0</v>
      </c>
      <c r="AH38" s="298" cm="1">
        <f t="array" ref="AH38">IF(AND(AH$2&lt;&gt;0,TblTech[[#This Row],[Hour]:[Hour]]&gt;=AH$2),1,0)</f>
        <v>0</v>
      </c>
      <c r="AI38" s="298" cm="1">
        <f t="array" ref="AI38">IF(AND(AI$2&lt;&gt;0,TblTech[[#This Row],[Hour]:[Hour]]&gt;=AI$2),1,0)</f>
        <v>0</v>
      </c>
      <c r="AJ38" s="298" cm="1">
        <f t="array" ref="AJ38">IF(AND(AJ$2&lt;&gt;0,TblTech[[#This Row],[Hour]:[Hour]]&gt;=AJ$2),1,0)</f>
        <v>0</v>
      </c>
      <c r="AK38" s="298" cm="1">
        <f t="array" ref="AK38">IF(AND(AK$2&lt;&gt;0,TblTech[[#This Row],[Hour]:[Hour]]&gt;=AK$2),1,0)</f>
        <v>0</v>
      </c>
      <c r="AL38" s="298" cm="1">
        <f t="array" ref="AL38">IF(AND(AL$2&lt;&gt;0,TblTech[[#This Row],[Hour]:[Hour]]&gt;=AL$2),1,0)</f>
        <v>0</v>
      </c>
      <c r="AM38" s="298" cm="1">
        <f t="array" ref="AM38">IF(AND(AM$2&lt;&gt;0,TblTech[[#This Row],[Hour]:[Hour]]&gt;=AM$2),1,0)</f>
        <v>0</v>
      </c>
      <c r="AN38" s="298" cm="1">
        <f t="array" ref="AN38">IF(AND(AN$2&lt;&gt;0,TblTech[[#This Row],[Hour]:[Hour]]&gt;=AN$2),1,0)</f>
        <v>0</v>
      </c>
      <c r="AO38" s="298" cm="1">
        <f t="array" ref="AO38">IF(AND(AO$2&lt;&gt;0,TblTech[[#This Row],[Hour]:[Hour]]&gt;=AO$2),1,0)</f>
        <v>0</v>
      </c>
      <c r="AP38" s="298" cm="1">
        <f t="array" ref="AP38">IF(AND(AP$2&lt;&gt;0,TblTech[[#This Row],[Hour]:[Hour]]&gt;=AP$2),1,0)</f>
        <v>0</v>
      </c>
      <c r="AQ38" s="298" cm="1">
        <f t="array" ref="AQ38">IF(AND(AQ$2&lt;&gt;0,TblTech[[#This Row],[Hour]:[Hour]]&gt;=AQ$2),1,0)</f>
        <v>0</v>
      </c>
      <c r="AR38" s="298" cm="1">
        <f t="array" ref="AR38">IF(AND(AR$2&lt;&gt;0,TblTech[[#This Row],[Hour]:[Hour]]&gt;=AR$2),1,0)</f>
        <v>0</v>
      </c>
      <c r="AS38" s="298" cm="1">
        <f t="array" ref="AS38">IF(AND(AS$2&lt;&gt;0,TblTech[[#This Row],[Hour]:[Hour]]&gt;=AS$2),1,0)</f>
        <v>0</v>
      </c>
      <c r="AT38" s="298" cm="1">
        <f t="array" ref="AT38">IF(AND(AT$2&lt;&gt;0,TblTech[[#This Row],[Hour]:[Hour]]&gt;=AT$2),1,0)</f>
        <v>0</v>
      </c>
      <c r="AU38" s="298" cm="1">
        <f t="array" ref="AU38">IF(AND(AU$2&lt;&gt;0,TblTech[[#This Row],[Hour]:[Hour]]&gt;=AU$2),1,0)</f>
        <v>0</v>
      </c>
      <c r="AV38" s="298" cm="1">
        <f t="array" ref="AV38">IF(AND(AV$2&lt;&gt;0,TblTech[[#This Row],[Hour]:[Hour]]&gt;=AV$2),1,0)</f>
        <v>0</v>
      </c>
      <c r="AW38" s="298" cm="1">
        <f t="array" ref="AW38">IF(AND(AW$2&lt;&gt;0,TblTech[[#This Row],[Hour]:[Hour]]&gt;=AW$2),1,0)</f>
        <v>0</v>
      </c>
      <c r="AX38" s="298" cm="1">
        <f t="array" ref="AX38">IF(AND(AX$2&lt;&gt;0,TblTech[[#This Row],[Hour]:[Hour]]&gt;=AX$2),1,0)</f>
        <v>0</v>
      </c>
      <c r="AY38" s="298" cm="1">
        <f t="array" ref="AY38">IF(AND(AY$2&lt;&gt;0,TblTech[[#This Row],[Hour]:[Hour]]&gt;=AY$2),1,0)</f>
        <v>0</v>
      </c>
      <c r="AZ38" s="298" cm="1">
        <f t="array" ref="AZ38">IF(AND(AZ$2&lt;&gt;0,TblTech[[#This Row],[Hour]:[Hour]]&gt;=AZ$2),1,0)</f>
        <v>0</v>
      </c>
      <c r="BA38" s="298" cm="1">
        <f t="array" ref="BA38">IF(AND(BA$2&lt;&gt;0,TblTech[[#This Row],[Hour]:[Hour]]&gt;=BA$2),1,0)</f>
        <v>0</v>
      </c>
      <c r="BB38" s="298" cm="1">
        <f t="array" ref="BB38">IF(AND(BB$2&lt;&gt;0,TblTech[[#This Row],[Hour]:[Hour]]&gt;=BB$2),1,0)</f>
        <v>0</v>
      </c>
      <c r="BC38" s="298" cm="1">
        <f t="array" ref="BC38">IF(AND(BC$2&lt;&gt;0,TblTech[[#This Row],[Hour]:[Hour]]&gt;=BC$2),1,0)</f>
        <v>0</v>
      </c>
      <c r="BD38" s="298" cm="1">
        <f t="array" ref="BD38">IF(AND(BD$2&lt;&gt;0,TblTech[[#This Row],[Hour]:[Hour]]&gt;=BD$2),1,0)</f>
        <v>0</v>
      </c>
      <c r="BE38" s="298" cm="1">
        <f t="array" ref="BE38">IF(AND(BE$2&lt;&gt;0,TblTech[[#This Row],[Hour]:[Hour]]&gt;=BE$2),1,0)</f>
        <v>0</v>
      </c>
      <c r="BF38" s="298" cm="1">
        <f t="array" ref="BF38">IF(AND(BF$2&lt;&gt;0,TblTech[[#This Row],[Hour]:[Hour]]&gt;=BF$2),1,0)</f>
        <v>0</v>
      </c>
      <c r="BG38" s="298" cm="1">
        <f t="array" ref="BG38">IF(AND(BG$2&lt;&gt;0,TblTech[[#This Row],[Hour]:[Hour]]&gt;=BG$2),1,0)</f>
        <v>0</v>
      </c>
      <c r="BH38" s="298" cm="1">
        <f t="array" ref="BH38">IF(AND(BH$2&lt;&gt;0,TblTech[[#This Row],[Hour]:[Hour]]&gt;=BH$2),1,0)</f>
        <v>0</v>
      </c>
      <c r="BI38" s="298" cm="1">
        <f t="array" ref="BI38">IF(AND(BI$2&lt;&gt;0,TblTech[[#This Row],[Hour]:[Hour]]&gt;=BI$2),1,0)</f>
        <v>0</v>
      </c>
      <c r="BJ38" s="298" cm="1">
        <f t="array" ref="BJ38">IF(AND(BJ$2&lt;&gt;0,TblTech[[#This Row],[Hour]:[Hour]]&gt;=BJ$2),1,0)</f>
        <v>0</v>
      </c>
      <c r="BK38" s="298" cm="1">
        <f t="array" ref="BK38">IF(AND(BK$2&lt;&gt;0,TblTech[[#This Row],[Hour]:[Hour]]&gt;=BK$2),1,0)</f>
        <v>0</v>
      </c>
      <c r="BL38" s="298" cm="1">
        <f t="array" ref="BL38">IF(AND(BL$2&lt;&gt;0,TblTech[[#This Row],[Hour]:[Hour]]&gt;=BL$2),1,0)</f>
        <v>0</v>
      </c>
      <c r="BM38" s="298" cm="1">
        <f t="array" ref="BM38">IF(AND(BM$2&lt;&gt;0,TblTech[[#This Row],[Hour]:[Hour]]&gt;=BM$2),1,0)</f>
        <v>0</v>
      </c>
      <c r="BN38" s="298" cm="1">
        <f t="array" ref="BN38">IF(AND(BN$2&lt;&gt;0,TblTech[[#This Row],[Hour]:[Hour]]&gt;=BN$2),1,0)</f>
        <v>0</v>
      </c>
      <c r="BO38" s="298" cm="1">
        <f t="array" ref="BO38">IF(AND(BO$2&lt;&gt;0,TblTech[[#This Row],[Hour]:[Hour]]&gt;=BO$2),1,0)</f>
        <v>0</v>
      </c>
      <c r="BP38" s="298" cm="1">
        <f t="array" ref="BP38">IF(AND(BP$2&lt;&gt;0,TblTech[[#This Row],[Hour]:[Hour]]&gt;=BP$2),1,0)</f>
        <v>0</v>
      </c>
      <c r="BQ38" s="298" cm="1">
        <f t="array" ref="BQ38">IF(AND(BQ$2&lt;&gt;0,TblTech[[#This Row],[Hour]:[Hour]]&gt;=BQ$2),1,0)</f>
        <v>0</v>
      </c>
      <c r="BR38" s="298" cm="1">
        <f t="array" ref="BR38">IF(AND(BR$2&lt;&gt;0,TblTech[[#This Row],[Hour]:[Hour]]&gt;=BR$2),1,0)</f>
        <v>0</v>
      </c>
      <c r="BS38" s="298" cm="1">
        <f t="array" ref="BS38">IF(AND(BS$2&lt;&gt;0,TblTech[[#This Row],[Hour]:[Hour]]&gt;=BS$2),1,0)</f>
        <v>0</v>
      </c>
      <c r="BT38" s="298" cm="1">
        <f t="array" ref="BT38">IF(AND(BT$2&lt;&gt;0,TblTech[[#This Row],[Hour]:[Hour]]&gt;=BT$2),1,0)</f>
        <v>0</v>
      </c>
      <c r="BU38" s="298" cm="1">
        <f t="array" ref="BU38">IF(AND(BU$2&lt;&gt;0,TblTech[[#This Row],[Hour]:[Hour]]&gt;=BU$2),1,0)</f>
        <v>0</v>
      </c>
      <c r="BV38" s="298" cm="1">
        <f t="array" ref="BV38">IF(AND(BV$2&lt;&gt;0,TblTech[[#This Row],[Hour]:[Hour]]&gt;=BV$2),1,0)</f>
        <v>0</v>
      </c>
      <c r="BW38" s="298" cm="1">
        <f t="array" ref="BW38">IF(AND(BW$2&lt;&gt;0,TblTech[[#This Row],[Hour]:[Hour]]&gt;=BW$2),1,0)</f>
        <v>0</v>
      </c>
      <c r="BX38" s="298" cm="1">
        <f t="array" ref="BX38">IF(AND(BX$2&lt;&gt;0,TblTech[[#This Row],[Hour]:[Hour]]&gt;=BX$2),1,0)</f>
        <v>0</v>
      </c>
      <c r="BY38" s="298" cm="1">
        <f t="array" ref="BY38">IF(AND(BY$2&lt;&gt;0,TblTech[[#This Row],[Hour]:[Hour]]&gt;=BY$2),1,0)</f>
        <v>0</v>
      </c>
      <c r="BZ38" s="298" cm="1">
        <f t="array" ref="BZ38">IF(AND(BZ$2&lt;&gt;0,TblTech[[#This Row],[Hour]:[Hour]]&gt;=BZ$2),1,0)</f>
        <v>0</v>
      </c>
      <c r="CA38" s="402">
        <f>IFERROR(INDEX($H$4:$H$79,MATCH(INDEX(TblTech[[#Headers],[1-1]:[11-1]],1,MATCH(TblTech[[#This Row],[Hour]],$M$2:$BZ$2,0)),$G$4:$G$79,0)),)</f>
        <v>0</v>
      </c>
    </row>
    <row r="39" spans="1:79" x14ac:dyDescent="0.2">
      <c r="A39" s="290">
        <f>TblRezone[[#This Row],[Hour]]</f>
        <v>36</v>
      </c>
      <c r="B39" s="291">
        <f ca="1">TblExplore[[#This Row],[Land-DB]]</f>
        <v>250</v>
      </c>
      <c r="C39" s="292">
        <f ca="1">TblProd[[#This Row],[Techpoints]]</f>
        <v>0</v>
      </c>
      <c r="D39" s="292">
        <f ca="1">TblProd[[#This Row],[Required]]</f>
        <v>3750</v>
      </c>
      <c r="E39" s="293"/>
      <c r="F39" s="294"/>
      <c r="G39" s="295" t="s">
        <v>580</v>
      </c>
      <c r="H39" s="296" t="s">
        <v>706</v>
      </c>
      <c r="I39" s="295" t="s">
        <v>1050</v>
      </c>
      <c r="J39" s="291"/>
      <c r="K39" s="95">
        <f ca="1">IF(TblTech[[#This Row],[Sum of tech]]&lt;&gt;OFFSET(TblTech[[#This Row],[Sum of tech]],-1,0),1,0)</f>
        <v>0</v>
      </c>
      <c r="L39" s="297">
        <f>COUNTIF(TblTech[[#This Row],[1-1]:[11-1]],1)</f>
        <v>0</v>
      </c>
      <c r="M39" s="298" cm="1">
        <f t="array" ref="M39">IF(AND(M$2&lt;&gt;0,TblTech[[#This Row],[Hour]:[Hour]]&gt;=M$2),1,0)</f>
        <v>0</v>
      </c>
      <c r="N39" s="298" cm="1">
        <f t="array" ref="N39">IF(AND(N$2&lt;&gt;0,TblTech[[#This Row],[Hour]:[Hour]]&gt;=N$2),1,0)</f>
        <v>0</v>
      </c>
      <c r="O39" s="298" cm="1">
        <f t="array" ref="O39">IF(AND(O$2&lt;&gt;0,TblTech[[#This Row],[Hour]:[Hour]]&gt;=O$2),1,0)</f>
        <v>0</v>
      </c>
      <c r="P39" s="298" cm="1">
        <f t="array" ref="P39">IF(AND(P$2&lt;&gt;0,TblTech[[#This Row],[Hour]:[Hour]]&gt;=P$2),1,0)</f>
        <v>0</v>
      </c>
      <c r="Q39" s="298" cm="1">
        <f t="array" ref="Q39">IF(AND(Q$2&lt;&gt;0,TblTech[[#This Row],[Hour]:[Hour]]&gt;=Q$2),1,0)</f>
        <v>0</v>
      </c>
      <c r="R39" s="298" cm="1">
        <f t="array" ref="R39">IF(AND(R$2&lt;&gt;0,TblTech[[#This Row],[Hour]:[Hour]]&gt;=R$2),1,0)</f>
        <v>0</v>
      </c>
      <c r="S39" s="298" cm="1">
        <f t="array" ref="S39">IF(AND(S$2&lt;&gt;0,TblTech[[#This Row],[Hour]:[Hour]]&gt;=S$2),1,0)</f>
        <v>0</v>
      </c>
      <c r="T39" s="298" cm="1">
        <f t="array" ref="T39">IF(AND(T$2&lt;&gt;0,TblTech[[#This Row],[Hour]:[Hour]]&gt;=T$2),1,0)</f>
        <v>0</v>
      </c>
      <c r="U39" s="298" cm="1">
        <f t="array" ref="U39">IF(AND(U$2&lt;&gt;0,TblTech[[#This Row],[Hour]:[Hour]]&gt;=U$2),1,0)</f>
        <v>0</v>
      </c>
      <c r="V39" s="298" cm="1">
        <f t="array" ref="V39">IF(AND(V$2&lt;&gt;0,TblTech[[#This Row],[Hour]:[Hour]]&gt;=V$2),1,0)</f>
        <v>0</v>
      </c>
      <c r="W39" s="298" cm="1">
        <f t="array" ref="W39">IF(AND(W$2&lt;&gt;0,TblTech[[#This Row],[Hour]:[Hour]]&gt;=W$2),1,0)</f>
        <v>0</v>
      </c>
      <c r="X39" s="298" cm="1">
        <f t="array" ref="X39">IF(AND(X$2&lt;&gt;0,TblTech[[#This Row],[Hour]:[Hour]]&gt;=X$2),1,0)</f>
        <v>0</v>
      </c>
      <c r="Y39" s="298" cm="1">
        <f t="array" ref="Y39">IF(AND(Y$2&lt;&gt;0,TblTech[[#This Row],[Hour]:[Hour]]&gt;=Y$2),1,0)</f>
        <v>0</v>
      </c>
      <c r="Z39" s="298" cm="1">
        <f t="array" ref="Z39">IF(AND(Z$2&lt;&gt;0,TblTech[[#This Row],[Hour]:[Hour]]&gt;=Z$2),1,0)</f>
        <v>0</v>
      </c>
      <c r="AA39" s="298" cm="1">
        <f t="array" ref="AA39">IF(AND(AA$2&lt;&gt;0,TblTech[[#This Row],[Hour]:[Hour]]&gt;=AA$2),1,0)</f>
        <v>0</v>
      </c>
      <c r="AB39" s="298" cm="1">
        <f t="array" ref="AB39">IF(AND(AB$2&lt;&gt;0,TblTech[[#This Row],[Hour]:[Hour]]&gt;=AB$2),1,0)</f>
        <v>0</v>
      </c>
      <c r="AC39" s="298" cm="1">
        <f t="array" ref="AC39">IF(AND(AC$2&lt;&gt;0,TblTech[[#This Row],[Hour]:[Hour]]&gt;=AC$2),1,0)</f>
        <v>0</v>
      </c>
      <c r="AD39" s="298" cm="1">
        <f t="array" ref="AD39">IF(AND(AD$2&lt;&gt;0,TblTech[[#This Row],[Hour]:[Hour]]&gt;=AD$2),1,0)</f>
        <v>0</v>
      </c>
      <c r="AE39" s="298" cm="1">
        <f t="array" ref="AE39">IF(AND(AE$2&lt;&gt;0,TblTech[[#This Row],[Hour]:[Hour]]&gt;=AE$2),1,0)</f>
        <v>0</v>
      </c>
      <c r="AF39" s="298" cm="1">
        <f t="array" ref="AF39">IF(AND(AF$2&lt;&gt;0,TblTech[[#This Row],[Hour]:[Hour]]&gt;=AF$2),1,0)</f>
        <v>0</v>
      </c>
      <c r="AG39" s="298" cm="1">
        <f t="array" ref="AG39">IF(AND(AG$2&lt;&gt;0,TblTech[[#This Row],[Hour]:[Hour]]&gt;=AG$2),1,0)</f>
        <v>0</v>
      </c>
      <c r="AH39" s="298" cm="1">
        <f t="array" ref="AH39">IF(AND(AH$2&lt;&gt;0,TblTech[[#This Row],[Hour]:[Hour]]&gt;=AH$2),1,0)</f>
        <v>0</v>
      </c>
      <c r="AI39" s="298" cm="1">
        <f t="array" ref="AI39">IF(AND(AI$2&lt;&gt;0,TblTech[[#This Row],[Hour]:[Hour]]&gt;=AI$2),1,0)</f>
        <v>0</v>
      </c>
      <c r="AJ39" s="298" cm="1">
        <f t="array" ref="AJ39">IF(AND(AJ$2&lt;&gt;0,TblTech[[#This Row],[Hour]:[Hour]]&gt;=AJ$2),1,0)</f>
        <v>0</v>
      </c>
      <c r="AK39" s="298" cm="1">
        <f t="array" ref="AK39">IF(AND(AK$2&lt;&gt;0,TblTech[[#This Row],[Hour]:[Hour]]&gt;=AK$2),1,0)</f>
        <v>0</v>
      </c>
      <c r="AL39" s="298" cm="1">
        <f t="array" ref="AL39">IF(AND(AL$2&lt;&gt;0,TblTech[[#This Row],[Hour]:[Hour]]&gt;=AL$2),1,0)</f>
        <v>0</v>
      </c>
      <c r="AM39" s="298" cm="1">
        <f t="array" ref="AM39">IF(AND(AM$2&lt;&gt;0,TblTech[[#This Row],[Hour]:[Hour]]&gt;=AM$2),1,0)</f>
        <v>0</v>
      </c>
      <c r="AN39" s="298" cm="1">
        <f t="array" ref="AN39">IF(AND(AN$2&lt;&gt;0,TblTech[[#This Row],[Hour]:[Hour]]&gt;=AN$2),1,0)</f>
        <v>0</v>
      </c>
      <c r="AO39" s="298" cm="1">
        <f t="array" ref="AO39">IF(AND(AO$2&lt;&gt;0,TblTech[[#This Row],[Hour]:[Hour]]&gt;=AO$2),1,0)</f>
        <v>0</v>
      </c>
      <c r="AP39" s="298" cm="1">
        <f t="array" ref="AP39">IF(AND(AP$2&lt;&gt;0,TblTech[[#This Row],[Hour]:[Hour]]&gt;=AP$2),1,0)</f>
        <v>0</v>
      </c>
      <c r="AQ39" s="298" cm="1">
        <f t="array" ref="AQ39">IF(AND(AQ$2&lt;&gt;0,TblTech[[#This Row],[Hour]:[Hour]]&gt;=AQ$2),1,0)</f>
        <v>0</v>
      </c>
      <c r="AR39" s="298" cm="1">
        <f t="array" ref="AR39">IF(AND(AR$2&lt;&gt;0,TblTech[[#This Row],[Hour]:[Hour]]&gt;=AR$2),1,0)</f>
        <v>0</v>
      </c>
      <c r="AS39" s="298" cm="1">
        <f t="array" ref="AS39">IF(AND(AS$2&lt;&gt;0,TblTech[[#This Row],[Hour]:[Hour]]&gt;=AS$2),1,0)</f>
        <v>0</v>
      </c>
      <c r="AT39" s="298" cm="1">
        <f t="array" ref="AT39">IF(AND(AT$2&lt;&gt;0,TblTech[[#This Row],[Hour]:[Hour]]&gt;=AT$2),1,0)</f>
        <v>0</v>
      </c>
      <c r="AU39" s="298" cm="1">
        <f t="array" ref="AU39">IF(AND(AU$2&lt;&gt;0,TblTech[[#This Row],[Hour]:[Hour]]&gt;=AU$2),1,0)</f>
        <v>0</v>
      </c>
      <c r="AV39" s="298" cm="1">
        <f t="array" ref="AV39">IF(AND(AV$2&lt;&gt;0,TblTech[[#This Row],[Hour]:[Hour]]&gt;=AV$2),1,0)</f>
        <v>0</v>
      </c>
      <c r="AW39" s="298" cm="1">
        <f t="array" ref="AW39">IF(AND(AW$2&lt;&gt;0,TblTech[[#This Row],[Hour]:[Hour]]&gt;=AW$2),1,0)</f>
        <v>0</v>
      </c>
      <c r="AX39" s="298" cm="1">
        <f t="array" ref="AX39">IF(AND(AX$2&lt;&gt;0,TblTech[[#This Row],[Hour]:[Hour]]&gt;=AX$2),1,0)</f>
        <v>0</v>
      </c>
      <c r="AY39" s="298" cm="1">
        <f t="array" ref="AY39">IF(AND(AY$2&lt;&gt;0,TblTech[[#This Row],[Hour]:[Hour]]&gt;=AY$2),1,0)</f>
        <v>0</v>
      </c>
      <c r="AZ39" s="298" cm="1">
        <f t="array" ref="AZ39">IF(AND(AZ$2&lt;&gt;0,TblTech[[#This Row],[Hour]:[Hour]]&gt;=AZ$2),1,0)</f>
        <v>0</v>
      </c>
      <c r="BA39" s="298" cm="1">
        <f t="array" ref="BA39">IF(AND(BA$2&lt;&gt;0,TblTech[[#This Row],[Hour]:[Hour]]&gt;=BA$2),1,0)</f>
        <v>0</v>
      </c>
      <c r="BB39" s="298" cm="1">
        <f t="array" ref="BB39">IF(AND(BB$2&lt;&gt;0,TblTech[[#This Row],[Hour]:[Hour]]&gt;=BB$2),1,0)</f>
        <v>0</v>
      </c>
      <c r="BC39" s="298" cm="1">
        <f t="array" ref="BC39">IF(AND(BC$2&lt;&gt;0,TblTech[[#This Row],[Hour]:[Hour]]&gt;=BC$2),1,0)</f>
        <v>0</v>
      </c>
      <c r="BD39" s="298" cm="1">
        <f t="array" ref="BD39">IF(AND(BD$2&lt;&gt;0,TblTech[[#This Row],[Hour]:[Hour]]&gt;=BD$2),1,0)</f>
        <v>0</v>
      </c>
      <c r="BE39" s="298" cm="1">
        <f t="array" ref="BE39">IF(AND(BE$2&lt;&gt;0,TblTech[[#This Row],[Hour]:[Hour]]&gt;=BE$2),1,0)</f>
        <v>0</v>
      </c>
      <c r="BF39" s="298" cm="1">
        <f t="array" ref="BF39">IF(AND(BF$2&lt;&gt;0,TblTech[[#This Row],[Hour]:[Hour]]&gt;=BF$2),1,0)</f>
        <v>0</v>
      </c>
      <c r="BG39" s="298" cm="1">
        <f t="array" ref="BG39">IF(AND(BG$2&lt;&gt;0,TblTech[[#This Row],[Hour]:[Hour]]&gt;=BG$2),1,0)</f>
        <v>0</v>
      </c>
      <c r="BH39" s="298" cm="1">
        <f t="array" ref="BH39">IF(AND(BH$2&lt;&gt;0,TblTech[[#This Row],[Hour]:[Hour]]&gt;=BH$2),1,0)</f>
        <v>0</v>
      </c>
      <c r="BI39" s="298" cm="1">
        <f t="array" ref="BI39">IF(AND(BI$2&lt;&gt;0,TblTech[[#This Row],[Hour]:[Hour]]&gt;=BI$2),1,0)</f>
        <v>0</v>
      </c>
      <c r="BJ39" s="298" cm="1">
        <f t="array" ref="BJ39">IF(AND(BJ$2&lt;&gt;0,TblTech[[#This Row],[Hour]:[Hour]]&gt;=BJ$2),1,0)</f>
        <v>0</v>
      </c>
      <c r="BK39" s="298" cm="1">
        <f t="array" ref="BK39">IF(AND(BK$2&lt;&gt;0,TblTech[[#This Row],[Hour]:[Hour]]&gt;=BK$2),1,0)</f>
        <v>0</v>
      </c>
      <c r="BL39" s="298" cm="1">
        <f t="array" ref="BL39">IF(AND(BL$2&lt;&gt;0,TblTech[[#This Row],[Hour]:[Hour]]&gt;=BL$2),1,0)</f>
        <v>0</v>
      </c>
      <c r="BM39" s="298" cm="1">
        <f t="array" ref="BM39">IF(AND(BM$2&lt;&gt;0,TblTech[[#This Row],[Hour]:[Hour]]&gt;=BM$2),1,0)</f>
        <v>0</v>
      </c>
      <c r="BN39" s="298" cm="1">
        <f t="array" ref="BN39">IF(AND(BN$2&lt;&gt;0,TblTech[[#This Row],[Hour]:[Hour]]&gt;=BN$2),1,0)</f>
        <v>0</v>
      </c>
      <c r="BO39" s="298" cm="1">
        <f t="array" ref="BO39">IF(AND(BO$2&lt;&gt;0,TblTech[[#This Row],[Hour]:[Hour]]&gt;=BO$2),1,0)</f>
        <v>0</v>
      </c>
      <c r="BP39" s="298" cm="1">
        <f t="array" ref="BP39">IF(AND(BP$2&lt;&gt;0,TblTech[[#This Row],[Hour]:[Hour]]&gt;=BP$2),1,0)</f>
        <v>0</v>
      </c>
      <c r="BQ39" s="298" cm="1">
        <f t="array" ref="BQ39">IF(AND(BQ$2&lt;&gt;0,TblTech[[#This Row],[Hour]:[Hour]]&gt;=BQ$2),1,0)</f>
        <v>0</v>
      </c>
      <c r="BR39" s="298" cm="1">
        <f t="array" ref="BR39">IF(AND(BR$2&lt;&gt;0,TblTech[[#This Row],[Hour]:[Hour]]&gt;=BR$2),1,0)</f>
        <v>0</v>
      </c>
      <c r="BS39" s="298" cm="1">
        <f t="array" ref="BS39">IF(AND(BS$2&lt;&gt;0,TblTech[[#This Row],[Hour]:[Hour]]&gt;=BS$2),1,0)</f>
        <v>0</v>
      </c>
      <c r="BT39" s="298" cm="1">
        <f t="array" ref="BT39">IF(AND(BT$2&lt;&gt;0,TblTech[[#This Row],[Hour]:[Hour]]&gt;=BT$2),1,0)</f>
        <v>0</v>
      </c>
      <c r="BU39" s="298" cm="1">
        <f t="array" ref="BU39">IF(AND(BU$2&lt;&gt;0,TblTech[[#This Row],[Hour]:[Hour]]&gt;=BU$2),1,0)</f>
        <v>0</v>
      </c>
      <c r="BV39" s="298" cm="1">
        <f t="array" ref="BV39">IF(AND(BV$2&lt;&gt;0,TblTech[[#This Row],[Hour]:[Hour]]&gt;=BV$2),1,0)</f>
        <v>0</v>
      </c>
      <c r="BW39" s="298" cm="1">
        <f t="array" ref="BW39">IF(AND(BW$2&lt;&gt;0,TblTech[[#This Row],[Hour]:[Hour]]&gt;=BW$2),1,0)</f>
        <v>0</v>
      </c>
      <c r="BX39" s="298" cm="1">
        <f t="array" ref="BX39">IF(AND(BX$2&lt;&gt;0,TblTech[[#This Row],[Hour]:[Hour]]&gt;=BX$2),1,0)</f>
        <v>0</v>
      </c>
      <c r="BY39" s="298" cm="1">
        <f t="array" ref="BY39">IF(AND(BY$2&lt;&gt;0,TblTech[[#This Row],[Hour]:[Hour]]&gt;=BY$2),1,0)</f>
        <v>0</v>
      </c>
      <c r="BZ39" s="298" cm="1">
        <f t="array" ref="BZ39">IF(AND(BZ$2&lt;&gt;0,TblTech[[#This Row],[Hour]:[Hour]]&gt;=BZ$2),1,0)</f>
        <v>0</v>
      </c>
      <c r="CA39" s="402">
        <f>IFERROR(INDEX($H$4:$H$79,MATCH(INDEX(TblTech[[#Headers],[1-1]:[11-1]],1,MATCH(TblTech[[#This Row],[Hour]],$M$2:$BZ$2,0)),$G$4:$G$79,0)),)</f>
        <v>0</v>
      </c>
    </row>
    <row r="40" spans="1:79" x14ac:dyDescent="0.2">
      <c r="A40" s="290">
        <f>TblRezone[[#This Row],[Hour]]</f>
        <v>37</v>
      </c>
      <c r="B40" s="291">
        <f ca="1">TblExplore[[#This Row],[Land-DB]]</f>
        <v>250</v>
      </c>
      <c r="C40" s="292">
        <f ca="1">TblProd[[#This Row],[Techpoints]]</f>
        <v>0</v>
      </c>
      <c r="D40" s="292">
        <f ca="1">TblProd[[#This Row],[Required]]</f>
        <v>3750</v>
      </c>
      <c r="E40" s="293"/>
      <c r="F40" s="294"/>
      <c r="G40" s="295" t="s">
        <v>581</v>
      </c>
      <c r="H40" s="296" t="s">
        <v>707</v>
      </c>
      <c r="I40" s="295" t="s">
        <v>1095</v>
      </c>
      <c r="J40" s="291"/>
      <c r="K40" s="95">
        <f ca="1">IF(TblTech[[#This Row],[Sum of tech]]&lt;&gt;OFFSET(TblTech[[#This Row],[Sum of tech]],-1,0),1,0)</f>
        <v>0</v>
      </c>
      <c r="L40" s="297">
        <f>COUNTIF(TblTech[[#This Row],[1-1]:[11-1]],1)</f>
        <v>0</v>
      </c>
      <c r="M40" s="298" cm="1">
        <f t="array" ref="M40">IF(AND(M$2&lt;&gt;0,TblTech[[#This Row],[Hour]:[Hour]]&gt;=M$2),1,0)</f>
        <v>0</v>
      </c>
      <c r="N40" s="298" cm="1">
        <f t="array" ref="N40">IF(AND(N$2&lt;&gt;0,TblTech[[#This Row],[Hour]:[Hour]]&gt;=N$2),1,0)</f>
        <v>0</v>
      </c>
      <c r="O40" s="298" cm="1">
        <f t="array" ref="O40">IF(AND(O$2&lt;&gt;0,TblTech[[#This Row],[Hour]:[Hour]]&gt;=O$2),1,0)</f>
        <v>0</v>
      </c>
      <c r="P40" s="298" cm="1">
        <f t="array" ref="P40">IF(AND(P$2&lt;&gt;0,TblTech[[#This Row],[Hour]:[Hour]]&gt;=P$2),1,0)</f>
        <v>0</v>
      </c>
      <c r="Q40" s="298" cm="1">
        <f t="array" ref="Q40">IF(AND(Q$2&lt;&gt;0,TblTech[[#This Row],[Hour]:[Hour]]&gt;=Q$2),1,0)</f>
        <v>0</v>
      </c>
      <c r="R40" s="298" cm="1">
        <f t="array" ref="R40">IF(AND(R$2&lt;&gt;0,TblTech[[#This Row],[Hour]:[Hour]]&gt;=R$2),1,0)</f>
        <v>0</v>
      </c>
      <c r="S40" s="298" cm="1">
        <f t="array" ref="S40">IF(AND(S$2&lt;&gt;0,TblTech[[#This Row],[Hour]:[Hour]]&gt;=S$2),1,0)</f>
        <v>0</v>
      </c>
      <c r="T40" s="298" cm="1">
        <f t="array" ref="T40">IF(AND(T$2&lt;&gt;0,TblTech[[#This Row],[Hour]:[Hour]]&gt;=T$2),1,0)</f>
        <v>0</v>
      </c>
      <c r="U40" s="298" cm="1">
        <f t="array" ref="U40">IF(AND(U$2&lt;&gt;0,TblTech[[#This Row],[Hour]:[Hour]]&gt;=U$2),1,0)</f>
        <v>0</v>
      </c>
      <c r="V40" s="298" cm="1">
        <f t="array" ref="V40">IF(AND(V$2&lt;&gt;0,TblTech[[#This Row],[Hour]:[Hour]]&gt;=V$2),1,0)</f>
        <v>0</v>
      </c>
      <c r="W40" s="298" cm="1">
        <f t="array" ref="W40">IF(AND(W$2&lt;&gt;0,TblTech[[#This Row],[Hour]:[Hour]]&gt;=W$2),1,0)</f>
        <v>0</v>
      </c>
      <c r="X40" s="298" cm="1">
        <f t="array" ref="X40">IF(AND(X$2&lt;&gt;0,TblTech[[#This Row],[Hour]:[Hour]]&gt;=X$2),1,0)</f>
        <v>0</v>
      </c>
      <c r="Y40" s="298" cm="1">
        <f t="array" ref="Y40">IF(AND(Y$2&lt;&gt;0,TblTech[[#This Row],[Hour]:[Hour]]&gt;=Y$2),1,0)</f>
        <v>0</v>
      </c>
      <c r="Z40" s="298" cm="1">
        <f t="array" ref="Z40">IF(AND(Z$2&lt;&gt;0,TblTech[[#This Row],[Hour]:[Hour]]&gt;=Z$2),1,0)</f>
        <v>0</v>
      </c>
      <c r="AA40" s="298" cm="1">
        <f t="array" ref="AA40">IF(AND(AA$2&lt;&gt;0,TblTech[[#This Row],[Hour]:[Hour]]&gt;=AA$2),1,0)</f>
        <v>0</v>
      </c>
      <c r="AB40" s="298" cm="1">
        <f t="array" ref="AB40">IF(AND(AB$2&lt;&gt;0,TblTech[[#This Row],[Hour]:[Hour]]&gt;=AB$2),1,0)</f>
        <v>0</v>
      </c>
      <c r="AC40" s="298" cm="1">
        <f t="array" ref="AC40">IF(AND(AC$2&lt;&gt;0,TblTech[[#This Row],[Hour]:[Hour]]&gt;=AC$2),1,0)</f>
        <v>0</v>
      </c>
      <c r="AD40" s="298" cm="1">
        <f t="array" ref="AD40">IF(AND(AD$2&lt;&gt;0,TblTech[[#This Row],[Hour]:[Hour]]&gt;=AD$2),1,0)</f>
        <v>0</v>
      </c>
      <c r="AE40" s="298" cm="1">
        <f t="array" ref="AE40">IF(AND(AE$2&lt;&gt;0,TblTech[[#This Row],[Hour]:[Hour]]&gt;=AE$2),1,0)</f>
        <v>0</v>
      </c>
      <c r="AF40" s="298" cm="1">
        <f t="array" ref="AF40">IF(AND(AF$2&lt;&gt;0,TblTech[[#This Row],[Hour]:[Hour]]&gt;=AF$2),1,0)</f>
        <v>0</v>
      </c>
      <c r="AG40" s="298" cm="1">
        <f t="array" ref="AG40">IF(AND(AG$2&lt;&gt;0,TblTech[[#This Row],[Hour]:[Hour]]&gt;=AG$2),1,0)</f>
        <v>0</v>
      </c>
      <c r="AH40" s="298" cm="1">
        <f t="array" ref="AH40">IF(AND(AH$2&lt;&gt;0,TblTech[[#This Row],[Hour]:[Hour]]&gt;=AH$2),1,0)</f>
        <v>0</v>
      </c>
      <c r="AI40" s="298" cm="1">
        <f t="array" ref="AI40">IF(AND(AI$2&lt;&gt;0,TblTech[[#This Row],[Hour]:[Hour]]&gt;=AI$2),1,0)</f>
        <v>0</v>
      </c>
      <c r="AJ40" s="298" cm="1">
        <f t="array" ref="AJ40">IF(AND(AJ$2&lt;&gt;0,TblTech[[#This Row],[Hour]:[Hour]]&gt;=AJ$2),1,0)</f>
        <v>0</v>
      </c>
      <c r="AK40" s="298" cm="1">
        <f t="array" ref="AK40">IF(AND(AK$2&lt;&gt;0,TblTech[[#This Row],[Hour]:[Hour]]&gt;=AK$2),1,0)</f>
        <v>0</v>
      </c>
      <c r="AL40" s="298" cm="1">
        <f t="array" ref="AL40">IF(AND(AL$2&lt;&gt;0,TblTech[[#This Row],[Hour]:[Hour]]&gt;=AL$2),1,0)</f>
        <v>0</v>
      </c>
      <c r="AM40" s="298" cm="1">
        <f t="array" ref="AM40">IF(AND(AM$2&lt;&gt;0,TblTech[[#This Row],[Hour]:[Hour]]&gt;=AM$2),1,0)</f>
        <v>0</v>
      </c>
      <c r="AN40" s="298" cm="1">
        <f t="array" ref="AN40">IF(AND(AN$2&lt;&gt;0,TblTech[[#This Row],[Hour]:[Hour]]&gt;=AN$2),1,0)</f>
        <v>0</v>
      </c>
      <c r="AO40" s="298" cm="1">
        <f t="array" ref="AO40">IF(AND(AO$2&lt;&gt;0,TblTech[[#This Row],[Hour]:[Hour]]&gt;=AO$2),1,0)</f>
        <v>0</v>
      </c>
      <c r="AP40" s="298" cm="1">
        <f t="array" ref="AP40">IF(AND(AP$2&lt;&gt;0,TblTech[[#This Row],[Hour]:[Hour]]&gt;=AP$2),1,0)</f>
        <v>0</v>
      </c>
      <c r="AQ40" s="298" cm="1">
        <f t="array" ref="AQ40">IF(AND(AQ$2&lt;&gt;0,TblTech[[#This Row],[Hour]:[Hour]]&gt;=AQ$2),1,0)</f>
        <v>0</v>
      </c>
      <c r="AR40" s="298" cm="1">
        <f t="array" ref="AR40">IF(AND(AR$2&lt;&gt;0,TblTech[[#This Row],[Hour]:[Hour]]&gt;=AR$2),1,0)</f>
        <v>0</v>
      </c>
      <c r="AS40" s="298" cm="1">
        <f t="array" ref="AS40">IF(AND(AS$2&lt;&gt;0,TblTech[[#This Row],[Hour]:[Hour]]&gt;=AS$2),1,0)</f>
        <v>0</v>
      </c>
      <c r="AT40" s="298" cm="1">
        <f t="array" ref="AT40">IF(AND(AT$2&lt;&gt;0,TblTech[[#This Row],[Hour]:[Hour]]&gt;=AT$2),1,0)</f>
        <v>0</v>
      </c>
      <c r="AU40" s="298" cm="1">
        <f t="array" ref="AU40">IF(AND(AU$2&lt;&gt;0,TblTech[[#This Row],[Hour]:[Hour]]&gt;=AU$2),1,0)</f>
        <v>0</v>
      </c>
      <c r="AV40" s="298" cm="1">
        <f t="array" ref="AV40">IF(AND(AV$2&lt;&gt;0,TblTech[[#This Row],[Hour]:[Hour]]&gt;=AV$2),1,0)</f>
        <v>0</v>
      </c>
      <c r="AW40" s="298" cm="1">
        <f t="array" ref="AW40">IF(AND(AW$2&lt;&gt;0,TblTech[[#This Row],[Hour]:[Hour]]&gt;=AW$2),1,0)</f>
        <v>0</v>
      </c>
      <c r="AX40" s="298" cm="1">
        <f t="array" ref="AX40">IF(AND(AX$2&lt;&gt;0,TblTech[[#This Row],[Hour]:[Hour]]&gt;=AX$2),1,0)</f>
        <v>0</v>
      </c>
      <c r="AY40" s="298" cm="1">
        <f t="array" ref="AY40">IF(AND(AY$2&lt;&gt;0,TblTech[[#This Row],[Hour]:[Hour]]&gt;=AY$2),1,0)</f>
        <v>0</v>
      </c>
      <c r="AZ40" s="298" cm="1">
        <f t="array" ref="AZ40">IF(AND(AZ$2&lt;&gt;0,TblTech[[#This Row],[Hour]:[Hour]]&gt;=AZ$2),1,0)</f>
        <v>0</v>
      </c>
      <c r="BA40" s="298" cm="1">
        <f t="array" ref="BA40">IF(AND(BA$2&lt;&gt;0,TblTech[[#This Row],[Hour]:[Hour]]&gt;=BA$2),1,0)</f>
        <v>0</v>
      </c>
      <c r="BB40" s="298" cm="1">
        <f t="array" ref="BB40">IF(AND(BB$2&lt;&gt;0,TblTech[[#This Row],[Hour]:[Hour]]&gt;=BB$2),1,0)</f>
        <v>0</v>
      </c>
      <c r="BC40" s="298" cm="1">
        <f t="array" ref="BC40">IF(AND(BC$2&lt;&gt;0,TblTech[[#This Row],[Hour]:[Hour]]&gt;=BC$2),1,0)</f>
        <v>0</v>
      </c>
      <c r="BD40" s="298" cm="1">
        <f t="array" ref="BD40">IF(AND(BD$2&lt;&gt;0,TblTech[[#This Row],[Hour]:[Hour]]&gt;=BD$2),1,0)</f>
        <v>0</v>
      </c>
      <c r="BE40" s="298" cm="1">
        <f t="array" ref="BE40">IF(AND(BE$2&lt;&gt;0,TblTech[[#This Row],[Hour]:[Hour]]&gt;=BE$2),1,0)</f>
        <v>0</v>
      </c>
      <c r="BF40" s="298" cm="1">
        <f t="array" ref="BF40">IF(AND(BF$2&lt;&gt;0,TblTech[[#This Row],[Hour]:[Hour]]&gt;=BF$2),1,0)</f>
        <v>0</v>
      </c>
      <c r="BG40" s="298" cm="1">
        <f t="array" ref="BG40">IF(AND(BG$2&lt;&gt;0,TblTech[[#This Row],[Hour]:[Hour]]&gt;=BG$2),1,0)</f>
        <v>0</v>
      </c>
      <c r="BH40" s="298" cm="1">
        <f t="array" ref="BH40">IF(AND(BH$2&lt;&gt;0,TblTech[[#This Row],[Hour]:[Hour]]&gt;=BH$2),1,0)</f>
        <v>0</v>
      </c>
      <c r="BI40" s="298" cm="1">
        <f t="array" ref="BI40">IF(AND(BI$2&lt;&gt;0,TblTech[[#This Row],[Hour]:[Hour]]&gt;=BI$2),1,0)</f>
        <v>0</v>
      </c>
      <c r="BJ40" s="298" cm="1">
        <f t="array" ref="BJ40">IF(AND(BJ$2&lt;&gt;0,TblTech[[#This Row],[Hour]:[Hour]]&gt;=BJ$2),1,0)</f>
        <v>0</v>
      </c>
      <c r="BK40" s="298" cm="1">
        <f t="array" ref="BK40">IF(AND(BK$2&lt;&gt;0,TblTech[[#This Row],[Hour]:[Hour]]&gt;=BK$2),1,0)</f>
        <v>0</v>
      </c>
      <c r="BL40" s="298" cm="1">
        <f t="array" ref="BL40">IF(AND(BL$2&lt;&gt;0,TblTech[[#This Row],[Hour]:[Hour]]&gt;=BL$2),1,0)</f>
        <v>0</v>
      </c>
      <c r="BM40" s="298" cm="1">
        <f t="array" ref="BM40">IF(AND(BM$2&lt;&gt;0,TblTech[[#This Row],[Hour]:[Hour]]&gt;=BM$2),1,0)</f>
        <v>0</v>
      </c>
      <c r="BN40" s="298" cm="1">
        <f t="array" ref="BN40">IF(AND(BN$2&lt;&gt;0,TblTech[[#This Row],[Hour]:[Hour]]&gt;=BN$2),1,0)</f>
        <v>0</v>
      </c>
      <c r="BO40" s="298" cm="1">
        <f t="array" ref="BO40">IF(AND(BO$2&lt;&gt;0,TblTech[[#This Row],[Hour]:[Hour]]&gt;=BO$2),1,0)</f>
        <v>0</v>
      </c>
      <c r="BP40" s="298" cm="1">
        <f t="array" ref="BP40">IF(AND(BP$2&lt;&gt;0,TblTech[[#This Row],[Hour]:[Hour]]&gt;=BP$2),1,0)</f>
        <v>0</v>
      </c>
      <c r="BQ40" s="298" cm="1">
        <f t="array" ref="BQ40">IF(AND(BQ$2&lt;&gt;0,TblTech[[#This Row],[Hour]:[Hour]]&gt;=BQ$2),1,0)</f>
        <v>0</v>
      </c>
      <c r="BR40" s="298" cm="1">
        <f t="array" ref="BR40">IF(AND(BR$2&lt;&gt;0,TblTech[[#This Row],[Hour]:[Hour]]&gt;=BR$2),1,0)</f>
        <v>0</v>
      </c>
      <c r="BS40" s="298" cm="1">
        <f t="array" ref="BS40">IF(AND(BS$2&lt;&gt;0,TblTech[[#This Row],[Hour]:[Hour]]&gt;=BS$2),1,0)</f>
        <v>0</v>
      </c>
      <c r="BT40" s="298" cm="1">
        <f t="array" ref="BT40">IF(AND(BT$2&lt;&gt;0,TblTech[[#This Row],[Hour]:[Hour]]&gt;=BT$2),1,0)</f>
        <v>0</v>
      </c>
      <c r="BU40" s="298" cm="1">
        <f t="array" ref="BU40">IF(AND(BU$2&lt;&gt;0,TblTech[[#This Row],[Hour]:[Hour]]&gt;=BU$2),1,0)</f>
        <v>0</v>
      </c>
      <c r="BV40" s="298" cm="1">
        <f t="array" ref="BV40">IF(AND(BV$2&lt;&gt;0,TblTech[[#This Row],[Hour]:[Hour]]&gt;=BV$2),1,0)</f>
        <v>0</v>
      </c>
      <c r="BW40" s="298" cm="1">
        <f t="array" ref="BW40">IF(AND(BW$2&lt;&gt;0,TblTech[[#This Row],[Hour]:[Hour]]&gt;=BW$2),1,0)</f>
        <v>0</v>
      </c>
      <c r="BX40" s="298" cm="1">
        <f t="array" ref="BX40">IF(AND(BX$2&lt;&gt;0,TblTech[[#This Row],[Hour]:[Hour]]&gt;=BX$2),1,0)</f>
        <v>0</v>
      </c>
      <c r="BY40" s="298" cm="1">
        <f t="array" ref="BY40">IF(AND(BY$2&lt;&gt;0,TblTech[[#This Row],[Hour]:[Hour]]&gt;=BY$2),1,0)</f>
        <v>0</v>
      </c>
      <c r="BZ40" s="298" cm="1">
        <f t="array" ref="BZ40">IF(AND(BZ$2&lt;&gt;0,TblTech[[#This Row],[Hour]:[Hour]]&gt;=BZ$2),1,0)</f>
        <v>0</v>
      </c>
      <c r="CA40" s="402">
        <f>IFERROR(INDEX($H$4:$H$79,MATCH(INDEX(TblTech[[#Headers],[1-1]:[11-1]],1,MATCH(TblTech[[#This Row],[Hour]],$M$2:$BZ$2,0)),$G$4:$G$79,0)),)</f>
        <v>0</v>
      </c>
    </row>
    <row r="41" spans="1:79" x14ac:dyDescent="0.2">
      <c r="A41" s="290">
        <f>TblRezone[[#This Row],[Hour]]</f>
        <v>38</v>
      </c>
      <c r="B41" s="291">
        <f ca="1">TblExplore[[#This Row],[Land-DB]]</f>
        <v>250</v>
      </c>
      <c r="C41" s="292">
        <f ca="1">TblProd[[#This Row],[Techpoints]]</f>
        <v>0</v>
      </c>
      <c r="D41" s="292">
        <f ca="1">TblProd[[#This Row],[Required]]</f>
        <v>3750</v>
      </c>
      <c r="E41" s="293"/>
      <c r="F41" s="294"/>
      <c r="G41" s="295" t="s">
        <v>582</v>
      </c>
      <c r="H41" s="296" t="s">
        <v>1055</v>
      </c>
      <c r="I41" s="295" t="s">
        <v>1051</v>
      </c>
      <c r="J41" s="291"/>
      <c r="K41" s="95">
        <f ca="1">IF(TblTech[[#This Row],[Sum of tech]]&lt;&gt;OFFSET(TblTech[[#This Row],[Sum of tech]],-1,0),1,0)</f>
        <v>0</v>
      </c>
      <c r="L41" s="297">
        <f>COUNTIF(TblTech[[#This Row],[1-1]:[11-1]],1)</f>
        <v>0</v>
      </c>
      <c r="M41" s="298" cm="1">
        <f t="array" ref="M41">IF(AND(M$2&lt;&gt;0,TblTech[[#This Row],[Hour]:[Hour]]&gt;=M$2),1,0)</f>
        <v>0</v>
      </c>
      <c r="N41" s="298" cm="1">
        <f t="array" ref="N41">IF(AND(N$2&lt;&gt;0,TblTech[[#This Row],[Hour]:[Hour]]&gt;=N$2),1,0)</f>
        <v>0</v>
      </c>
      <c r="O41" s="298" cm="1">
        <f t="array" ref="O41">IF(AND(O$2&lt;&gt;0,TblTech[[#This Row],[Hour]:[Hour]]&gt;=O$2),1,0)</f>
        <v>0</v>
      </c>
      <c r="P41" s="298" cm="1">
        <f t="array" ref="P41">IF(AND(P$2&lt;&gt;0,TblTech[[#This Row],[Hour]:[Hour]]&gt;=P$2),1,0)</f>
        <v>0</v>
      </c>
      <c r="Q41" s="298" cm="1">
        <f t="array" ref="Q41">IF(AND(Q$2&lt;&gt;0,TblTech[[#This Row],[Hour]:[Hour]]&gt;=Q$2),1,0)</f>
        <v>0</v>
      </c>
      <c r="R41" s="298" cm="1">
        <f t="array" ref="R41">IF(AND(R$2&lt;&gt;0,TblTech[[#This Row],[Hour]:[Hour]]&gt;=R$2),1,0)</f>
        <v>0</v>
      </c>
      <c r="S41" s="298" cm="1">
        <f t="array" ref="S41">IF(AND(S$2&lt;&gt;0,TblTech[[#This Row],[Hour]:[Hour]]&gt;=S$2),1,0)</f>
        <v>0</v>
      </c>
      <c r="T41" s="298" cm="1">
        <f t="array" ref="T41">IF(AND(T$2&lt;&gt;0,TblTech[[#This Row],[Hour]:[Hour]]&gt;=T$2),1,0)</f>
        <v>0</v>
      </c>
      <c r="U41" s="298" cm="1">
        <f t="array" ref="U41">IF(AND(U$2&lt;&gt;0,TblTech[[#This Row],[Hour]:[Hour]]&gt;=U$2),1,0)</f>
        <v>0</v>
      </c>
      <c r="V41" s="298" cm="1">
        <f t="array" ref="V41">IF(AND(V$2&lt;&gt;0,TblTech[[#This Row],[Hour]:[Hour]]&gt;=V$2),1,0)</f>
        <v>0</v>
      </c>
      <c r="W41" s="298" cm="1">
        <f t="array" ref="W41">IF(AND(W$2&lt;&gt;0,TblTech[[#This Row],[Hour]:[Hour]]&gt;=W$2),1,0)</f>
        <v>0</v>
      </c>
      <c r="X41" s="298" cm="1">
        <f t="array" ref="X41">IF(AND(X$2&lt;&gt;0,TblTech[[#This Row],[Hour]:[Hour]]&gt;=X$2),1,0)</f>
        <v>0</v>
      </c>
      <c r="Y41" s="298" cm="1">
        <f t="array" ref="Y41">IF(AND(Y$2&lt;&gt;0,TblTech[[#This Row],[Hour]:[Hour]]&gt;=Y$2),1,0)</f>
        <v>0</v>
      </c>
      <c r="Z41" s="298" cm="1">
        <f t="array" ref="Z41">IF(AND(Z$2&lt;&gt;0,TblTech[[#This Row],[Hour]:[Hour]]&gt;=Z$2),1,0)</f>
        <v>0</v>
      </c>
      <c r="AA41" s="298" cm="1">
        <f t="array" ref="AA41">IF(AND(AA$2&lt;&gt;0,TblTech[[#This Row],[Hour]:[Hour]]&gt;=AA$2),1,0)</f>
        <v>0</v>
      </c>
      <c r="AB41" s="298" cm="1">
        <f t="array" ref="AB41">IF(AND(AB$2&lt;&gt;0,TblTech[[#This Row],[Hour]:[Hour]]&gt;=AB$2),1,0)</f>
        <v>0</v>
      </c>
      <c r="AC41" s="298" cm="1">
        <f t="array" ref="AC41">IF(AND(AC$2&lt;&gt;0,TblTech[[#This Row],[Hour]:[Hour]]&gt;=AC$2),1,0)</f>
        <v>0</v>
      </c>
      <c r="AD41" s="298" cm="1">
        <f t="array" ref="AD41">IF(AND(AD$2&lt;&gt;0,TblTech[[#This Row],[Hour]:[Hour]]&gt;=AD$2),1,0)</f>
        <v>0</v>
      </c>
      <c r="AE41" s="298" cm="1">
        <f t="array" ref="AE41">IF(AND(AE$2&lt;&gt;0,TblTech[[#This Row],[Hour]:[Hour]]&gt;=AE$2),1,0)</f>
        <v>0</v>
      </c>
      <c r="AF41" s="298" cm="1">
        <f t="array" ref="AF41">IF(AND(AF$2&lt;&gt;0,TblTech[[#This Row],[Hour]:[Hour]]&gt;=AF$2),1,0)</f>
        <v>0</v>
      </c>
      <c r="AG41" s="298" cm="1">
        <f t="array" ref="AG41">IF(AND(AG$2&lt;&gt;0,TblTech[[#This Row],[Hour]:[Hour]]&gt;=AG$2),1,0)</f>
        <v>0</v>
      </c>
      <c r="AH41" s="298" cm="1">
        <f t="array" ref="AH41">IF(AND(AH$2&lt;&gt;0,TblTech[[#This Row],[Hour]:[Hour]]&gt;=AH$2),1,0)</f>
        <v>0</v>
      </c>
      <c r="AI41" s="298" cm="1">
        <f t="array" ref="AI41">IF(AND(AI$2&lt;&gt;0,TblTech[[#This Row],[Hour]:[Hour]]&gt;=AI$2),1,0)</f>
        <v>0</v>
      </c>
      <c r="AJ41" s="298" cm="1">
        <f t="array" ref="AJ41">IF(AND(AJ$2&lt;&gt;0,TblTech[[#This Row],[Hour]:[Hour]]&gt;=AJ$2),1,0)</f>
        <v>0</v>
      </c>
      <c r="AK41" s="298" cm="1">
        <f t="array" ref="AK41">IF(AND(AK$2&lt;&gt;0,TblTech[[#This Row],[Hour]:[Hour]]&gt;=AK$2),1,0)</f>
        <v>0</v>
      </c>
      <c r="AL41" s="298" cm="1">
        <f t="array" ref="AL41">IF(AND(AL$2&lt;&gt;0,TblTech[[#This Row],[Hour]:[Hour]]&gt;=AL$2),1,0)</f>
        <v>0</v>
      </c>
      <c r="AM41" s="298" cm="1">
        <f t="array" ref="AM41">IF(AND(AM$2&lt;&gt;0,TblTech[[#This Row],[Hour]:[Hour]]&gt;=AM$2),1,0)</f>
        <v>0</v>
      </c>
      <c r="AN41" s="298" cm="1">
        <f t="array" ref="AN41">IF(AND(AN$2&lt;&gt;0,TblTech[[#This Row],[Hour]:[Hour]]&gt;=AN$2),1,0)</f>
        <v>0</v>
      </c>
      <c r="AO41" s="298" cm="1">
        <f t="array" ref="AO41">IF(AND(AO$2&lt;&gt;0,TblTech[[#This Row],[Hour]:[Hour]]&gt;=AO$2),1,0)</f>
        <v>0</v>
      </c>
      <c r="AP41" s="298" cm="1">
        <f t="array" ref="AP41">IF(AND(AP$2&lt;&gt;0,TblTech[[#This Row],[Hour]:[Hour]]&gt;=AP$2),1,0)</f>
        <v>0</v>
      </c>
      <c r="AQ41" s="298" cm="1">
        <f t="array" ref="AQ41">IF(AND(AQ$2&lt;&gt;0,TblTech[[#This Row],[Hour]:[Hour]]&gt;=AQ$2),1,0)</f>
        <v>0</v>
      </c>
      <c r="AR41" s="298" cm="1">
        <f t="array" ref="AR41">IF(AND(AR$2&lt;&gt;0,TblTech[[#This Row],[Hour]:[Hour]]&gt;=AR$2),1,0)</f>
        <v>0</v>
      </c>
      <c r="AS41" s="298" cm="1">
        <f t="array" ref="AS41">IF(AND(AS$2&lt;&gt;0,TblTech[[#This Row],[Hour]:[Hour]]&gt;=AS$2),1,0)</f>
        <v>0</v>
      </c>
      <c r="AT41" s="298" cm="1">
        <f t="array" ref="AT41">IF(AND(AT$2&lt;&gt;0,TblTech[[#This Row],[Hour]:[Hour]]&gt;=AT$2),1,0)</f>
        <v>0</v>
      </c>
      <c r="AU41" s="298" cm="1">
        <f t="array" ref="AU41">IF(AND(AU$2&lt;&gt;0,TblTech[[#This Row],[Hour]:[Hour]]&gt;=AU$2),1,0)</f>
        <v>0</v>
      </c>
      <c r="AV41" s="298" cm="1">
        <f t="array" ref="AV41">IF(AND(AV$2&lt;&gt;0,TblTech[[#This Row],[Hour]:[Hour]]&gt;=AV$2),1,0)</f>
        <v>0</v>
      </c>
      <c r="AW41" s="298" cm="1">
        <f t="array" ref="AW41">IF(AND(AW$2&lt;&gt;0,TblTech[[#This Row],[Hour]:[Hour]]&gt;=AW$2),1,0)</f>
        <v>0</v>
      </c>
      <c r="AX41" s="298" cm="1">
        <f t="array" ref="AX41">IF(AND(AX$2&lt;&gt;0,TblTech[[#This Row],[Hour]:[Hour]]&gt;=AX$2),1,0)</f>
        <v>0</v>
      </c>
      <c r="AY41" s="298" cm="1">
        <f t="array" ref="AY41">IF(AND(AY$2&lt;&gt;0,TblTech[[#This Row],[Hour]:[Hour]]&gt;=AY$2),1,0)</f>
        <v>0</v>
      </c>
      <c r="AZ41" s="298" cm="1">
        <f t="array" ref="AZ41">IF(AND(AZ$2&lt;&gt;0,TblTech[[#This Row],[Hour]:[Hour]]&gt;=AZ$2),1,0)</f>
        <v>0</v>
      </c>
      <c r="BA41" s="298" cm="1">
        <f t="array" ref="BA41">IF(AND(BA$2&lt;&gt;0,TblTech[[#This Row],[Hour]:[Hour]]&gt;=BA$2),1,0)</f>
        <v>0</v>
      </c>
      <c r="BB41" s="298" cm="1">
        <f t="array" ref="BB41">IF(AND(BB$2&lt;&gt;0,TblTech[[#This Row],[Hour]:[Hour]]&gt;=BB$2),1,0)</f>
        <v>0</v>
      </c>
      <c r="BC41" s="298" cm="1">
        <f t="array" ref="BC41">IF(AND(BC$2&lt;&gt;0,TblTech[[#This Row],[Hour]:[Hour]]&gt;=BC$2),1,0)</f>
        <v>0</v>
      </c>
      <c r="BD41" s="298" cm="1">
        <f t="array" ref="BD41">IF(AND(BD$2&lt;&gt;0,TblTech[[#This Row],[Hour]:[Hour]]&gt;=BD$2),1,0)</f>
        <v>0</v>
      </c>
      <c r="BE41" s="298" cm="1">
        <f t="array" ref="BE41">IF(AND(BE$2&lt;&gt;0,TblTech[[#This Row],[Hour]:[Hour]]&gt;=BE$2),1,0)</f>
        <v>0</v>
      </c>
      <c r="BF41" s="298" cm="1">
        <f t="array" ref="BF41">IF(AND(BF$2&lt;&gt;0,TblTech[[#This Row],[Hour]:[Hour]]&gt;=BF$2),1,0)</f>
        <v>0</v>
      </c>
      <c r="BG41" s="298" cm="1">
        <f t="array" ref="BG41">IF(AND(BG$2&lt;&gt;0,TblTech[[#This Row],[Hour]:[Hour]]&gt;=BG$2),1,0)</f>
        <v>0</v>
      </c>
      <c r="BH41" s="298" cm="1">
        <f t="array" ref="BH41">IF(AND(BH$2&lt;&gt;0,TblTech[[#This Row],[Hour]:[Hour]]&gt;=BH$2),1,0)</f>
        <v>0</v>
      </c>
      <c r="BI41" s="298" cm="1">
        <f t="array" ref="BI41">IF(AND(BI$2&lt;&gt;0,TblTech[[#This Row],[Hour]:[Hour]]&gt;=BI$2),1,0)</f>
        <v>0</v>
      </c>
      <c r="BJ41" s="298" cm="1">
        <f t="array" ref="BJ41">IF(AND(BJ$2&lt;&gt;0,TblTech[[#This Row],[Hour]:[Hour]]&gt;=BJ$2),1,0)</f>
        <v>0</v>
      </c>
      <c r="BK41" s="298" cm="1">
        <f t="array" ref="BK41">IF(AND(BK$2&lt;&gt;0,TblTech[[#This Row],[Hour]:[Hour]]&gt;=BK$2),1,0)</f>
        <v>0</v>
      </c>
      <c r="BL41" s="298" cm="1">
        <f t="array" ref="BL41">IF(AND(BL$2&lt;&gt;0,TblTech[[#This Row],[Hour]:[Hour]]&gt;=BL$2),1,0)</f>
        <v>0</v>
      </c>
      <c r="BM41" s="298" cm="1">
        <f t="array" ref="BM41">IF(AND(BM$2&lt;&gt;0,TblTech[[#This Row],[Hour]:[Hour]]&gt;=BM$2),1,0)</f>
        <v>0</v>
      </c>
      <c r="BN41" s="298" cm="1">
        <f t="array" ref="BN41">IF(AND(BN$2&lt;&gt;0,TblTech[[#This Row],[Hour]:[Hour]]&gt;=BN$2),1,0)</f>
        <v>0</v>
      </c>
      <c r="BO41" s="298" cm="1">
        <f t="array" ref="BO41">IF(AND(BO$2&lt;&gt;0,TblTech[[#This Row],[Hour]:[Hour]]&gt;=BO$2),1,0)</f>
        <v>0</v>
      </c>
      <c r="BP41" s="298" cm="1">
        <f t="array" ref="BP41">IF(AND(BP$2&lt;&gt;0,TblTech[[#This Row],[Hour]:[Hour]]&gt;=BP$2),1,0)</f>
        <v>0</v>
      </c>
      <c r="BQ41" s="298" cm="1">
        <f t="array" ref="BQ41">IF(AND(BQ$2&lt;&gt;0,TblTech[[#This Row],[Hour]:[Hour]]&gt;=BQ$2),1,0)</f>
        <v>0</v>
      </c>
      <c r="BR41" s="298" cm="1">
        <f t="array" ref="BR41">IF(AND(BR$2&lt;&gt;0,TblTech[[#This Row],[Hour]:[Hour]]&gt;=BR$2),1,0)</f>
        <v>0</v>
      </c>
      <c r="BS41" s="298" cm="1">
        <f t="array" ref="BS41">IF(AND(BS$2&lt;&gt;0,TblTech[[#This Row],[Hour]:[Hour]]&gt;=BS$2),1,0)</f>
        <v>0</v>
      </c>
      <c r="BT41" s="298" cm="1">
        <f t="array" ref="BT41">IF(AND(BT$2&lt;&gt;0,TblTech[[#This Row],[Hour]:[Hour]]&gt;=BT$2),1,0)</f>
        <v>0</v>
      </c>
      <c r="BU41" s="298" cm="1">
        <f t="array" ref="BU41">IF(AND(BU$2&lt;&gt;0,TblTech[[#This Row],[Hour]:[Hour]]&gt;=BU$2),1,0)</f>
        <v>0</v>
      </c>
      <c r="BV41" s="298" cm="1">
        <f t="array" ref="BV41">IF(AND(BV$2&lt;&gt;0,TblTech[[#This Row],[Hour]:[Hour]]&gt;=BV$2),1,0)</f>
        <v>0</v>
      </c>
      <c r="BW41" s="298" cm="1">
        <f t="array" ref="BW41">IF(AND(BW$2&lt;&gt;0,TblTech[[#This Row],[Hour]:[Hour]]&gt;=BW$2),1,0)</f>
        <v>0</v>
      </c>
      <c r="BX41" s="298" cm="1">
        <f t="array" ref="BX41">IF(AND(BX$2&lt;&gt;0,TblTech[[#This Row],[Hour]:[Hour]]&gt;=BX$2),1,0)</f>
        <v>0</v>
      </c>
      <c r="BY41" s="298" cm="1">
        <f t="array" ref="BY41">IF(AND(BY$2&lt;&gt;0,TblTech[[#This Row],[Hour]:[Hour]]&gt;=BY$2),1,0)</f>
        <v>0</v>
      </c>
      <c r="BZ41" s="298" cm="1">
        <f t="array" ref="BZ41">IF(AND(BZ$2&lt;&gt;0,TblTech[[#This Row],[Hour]:[Hour]]&gt;=BZ$2),1,0)</f>
        <v>0</v>
      </c>
      <c r="CA41" s="402">
        <f>IFERROR(INDEX($H$4:$H$79,MATCH(INDEX(TblTech[[#Headers],[1-1]:[11-1]],1,MATCH(TblTech[[#This Row],[Hour]],$M$2:$BZ$2,0)),$G$4:$G$79,0)),)</f>
        <v>0</v>
      </c>
    </row>
    <row r="42" spans="1:79" x14ac:dyDescent="0.2">
      <c r="A42" s="290">
        <f>TblRezone[[#This Row],[Hour]]</f>
        <v>39</v>
      </c>
      <c r="B42" s="291">
        <f ca="1">TblExplore[[#This Row],[Land-DB]]</f>
        <v>250</v>
      </c>
      <c r="C42" s="292">
        <f ca="1">TblProd[[#This Row],[Techpoints]]</f>
        <v>0</v>
      </c>
      <c r="D42" s="292">
        <f ca="1">TblProd[[#This Row],[Required]]</f>
        <v>3750</v>
      </c>
      <c r="E42" s="293"/>
      <c r="F42" s="294"/>
      <c r="G42" s="295" t="s">
        <v>583</v>
      </c>
      <c r="H42" s="296" t="s">
        <v>709</v>
      </c>
      <c r="I42" s="295" t="s">
        <v>1090</v>
      </c>
      <c r="J42" s="291"/>
      <c r="K42" s="95">
        <f ca="1">IF(TblTech[[#This Row],[Sum of tech]]&lt;&gt;OFFSET(TblTech[[#This Row],[Sum of tech]],-1,0),1,0)</f>
        <v>0</v>
      </c>
      <c r="L42" s="297">
        <f>COUNTIF(TblTech[[#This Row],[1-1]:[11-1]],1)</f>
        <v>0</v>
      </c>
      <c r="M42" s="298" cm="1">
        <f t="array" ref="M42">IF(AND(M$2&lt;&gt;0,TblTech[[#This Row],[Hour]:[Hour]]&gt;=M$2),1,0)</f>
        <v>0</v>
      </c>
      <c r="N42" s="298" cm="1">
        <f t="array" ref="N42">IF(AND(N$2&lt;&gt;0,TblTech[[#This Row],[Hour]:[Hour]]&gt;=N$2),1,0)</f>
        <v>0</v>
      </c>
      <c r="O42" s="298" cm="1">
        <f t="array" ref="O42">IF(AND(O$2&lt;&gt;0,TblTech[[#This Row],[Hour]:[Hour]]&gt;=O$2),1,0)</f>
        <v>0</v>
      </c>
      <c r="P42" s="298" cm="1">
        <f t="array" ref="P42">IF(AND(P$2&lt;&gt;0,TblTech[[#This Row],[Hour]:[Hour]]&gt;=P$2),1,0)</f>
        <v>0</v>
      </c>
      <c r="Q42" s="298" cm="1">
        <f t="array" ref="Q42">IF(AND(Q$2&lt;&gt;0,TblTech[[#This Row],[Hour]:[Hour]]&gt;=Q$2),1,0)</f>
        <v>0</v>
      </c>
      <c r="R42" s="298" cm="1">
        <f t="array" ref="R42">IF(AND(R$2&lt;&gt;0,TblTech[[#This Row],[Hour]:[Hour]]&gt;=R$2),1,0)</f>
        <v>0</v>
      </c>
      <c r="S42" s="298" cm="1">
        <f t="array" ref="S42">IF(AND(S$2&lt;&gt;0,TblTech[[#This Row],[Hour]:[Hour]]&gt;=S$2),1,0)</f>
        <v>0</v>
      </c>
      <c r="T42" s="298" cm="1">
        <f t="array" ref="T42">IF(AND(T$2&lt;&gt;0,TblTech[[#This Row],[Hour]:[Hour]]&gt;=T$2),1,0)</f>
        <v>0</v>
      </c>
      <c r="U42" s="298" cm="1">
        <f t="array" ref="U42">IF(AND(U$2&lt;&gt;0,TblTech[[#This Row],[Hour]:[Hour]]&gt;=U$2),1,0)</f>
        <v>0</v>
      </c>
      <c r="V42" s="298" cm="1">
        <f t="array" ref="V42">IF(AND(V$2&lt;&gt;0,TblTech[[#This Row],[Hour]:[Hour]]&gt;=V$2),1,0)</f>
        <v>0</v>
      </c>
      <c r="W42" s="298" cm="1">
        <f t="array" ref="W42">IF(AND(W$2&lt;&gt;0,TblTech[[#This Row],[Hour]:[Hour]]&gt;=W$2),1,0)</f>
        <v>0</v>
      </c>
      <c r="X42" s="298" cm="1">
        <f t="array" ref="X42">IF(AND(X$2&lt;&gt;0,TblTech[[#This Row],[Hour]:[Hour]]&gt;=X$2),1,0)</f>
        <v>0</v>
      </c>
      <c r="Y42" s="298" cm="1">
        <f t="array" ref="Y42">IF(AND(Y$2&lt;&gt;0,TblTech[[#This Row],[Hour]:[Hour]]&gt;=Y$2),1,0)</f>
        <v>0</v>
      </c>
      <c r="Z42" s="298" cm="1">
        <f t="array" ref="Z42">IF(AND(Z$2&lt;&gt;0,TblTech[[#This Row],[Hour]:[Hour]]&gt;=Z$2),1,0)</f>
        <v>0</v>
      </c>
      <c r="AA42" s="298" cm="1">
        <f t="array" ref="AA42">IF(AND(AA$2&lt;&gt;0,TblTech[[#This Row],[Hour]:[Hour]]&gt;=AA$2),1,0)</f>
        <v>0</v>
      </c>
      <c r="AB42" s="298" cm="1">
        <f t="array" ref="AB42">IF(AND(AB$2&lt;&gt;0,TblTech[[#This Row],[Hour]:[Hour]]&gt;=AB$2),1,0)</f>
        <v>0</v>
      </c>
      <c r="AC42" s="298" cm="1">
        <f t="array" ref="AC42">IF(AND(AC$2&lt;&gt;0,TblTech[[#This Row],[Hour]:[Hour]]&gt;=AC$2),1,0)</f>
        <v>0</v>
      </c>
      <c r="AD42" s="298" cm="1">
        <f t="array" ref="AD42">IF(AND(AD$2&lt;&gt;0,TblTech[[#This Row],[Hour]:[Hour]]&gt;=AD$2),1,0)</f>
        <v>0</v>
      </c>
      <c r="AE42" s="298" cm="1">
        <f t="array" ref="AE42">IF(AND(AE$2&lt;&gt;0,TblTech[[#This Row],[Hour]:[Hour]]&gt;=AE$2),1,0)</f>
        <v>0</v>
      </c>
      <c r="AF42" s="298" cm="1">
        <f t="array" ref="AF42">IF(AND(AF$2&lt;&gt;0,TblTech[[#This Row],[Hour]:[Hour]]&gt;=AF$2),1,0)</f>
        <v>0</v>
      </c>
      <c r="AG42" s="298" cm="1">
        <f t="array" ref="AG42">IF(AND(AG$2&lt;&gt;0,TblTech[[#This Row],[Hour]:[Hour]]&gt;=AG$2),1,0)</f>
        <v>0</v>
      </c>
      <c r="AH42" s="298" cm="1">
        <f t="array" ref="AH42">IF(AND(AH$2&lt;&gt;0,TblTech[[#This Row],[Hour]:[Hour]]&gt;=AH$2),1,0)</f>
        <v>0</v>
      </c>
      <c r="AI42" s="298" cm="1">
        <f t="array" ref="AI42">IF(AND(AI$2&lt;&gt;0,TblTech[[#This Row],[Hour]:[Hour]]&gt;=AI$2),1,0)</f>
        <v>0</v>
      </c>
      <c r="AJ42" s="298" cm="1">
        <f t="array" ref="AJ42">IF(AND(AJ$2&lt;&gt;0,TblTech[[#This Row],[Hour]:[Hour]]&gt;=AJ$2),1,0)</f>
        <v>0</v>
      </c>
      <c r="AK42" s="298" cm="1">
        <f t="array" ref="AK42">IF(AND(AK$2&lt;&gt;0,TblTech[[#This Row],[Hour]:[Hour]]&gt;=AK$2),1,0)</f>
        <v>0</v>
      </c>
      <c r="AL42" s="298" cm="1">
        <f t="array" ref="AL42">IF(AND(AL$2&lt;&gt;0,TblTech[[#This Row],[Hour]:[Hour]]&gt;=AL$2),1,0)</f>
        <v>0</v>
      </c>
      <c r="AM42" s="298" cm="1">
        <f t="array" ref="AM42">IF(AND(AM$2&lt;&gt;0,TblTech[[#This Row],[Hour]:[Hour]]&gt;=AM$2),1,0)</f>
        <v>0</v>
      </c>
      <c r="AN42" s="298" cm="1">
        <f t="array" ref="AN42">IF(AND(AN$2&lt;&gt;0,TblTech[[#This Row],[Hour]:[Hour]]&gt;=AN$2),1,0)</f>
        <v>0</v>
      </c>
      <c r="AO42" s="298" cm="1">
        <f t="array" ref="AO42">IF(AND(AO$2&lt;&gt;0,TblTech[[#This Row],[Hour]:[Hour]]&gt;=AO$2),1,0)</f>
        <v>0</v>
      </c>
      <c r="AP42" s="298" cm="1">
        <f t="array" ref="AP42">IF(AND(AP$2&lt;&gt;0,TblTech[[#This Row],[Hour]:[Hour]]&gt;=AP$2),1,0)</f>
        <v>0</v>
      </c>
      <c r="AQ42" s="298" cm="1">
        <f t="array" ref="AQ42">IF(AND(AQ$2&lt;&gt;0,TblTech[[#This Row],[Hour]:[Hour]]&gt;=AQ$2),1,0)</f>
        <v>0</v>
      </c>
      <c r="AR42" s="298" cm="1">
        <f t="array" ref="AR42">IF(AND(AR$2&lt;&gt;0,TblTech[[#This Row],[Hour]:[Hour]]&gt;=AR$2),1,0)</f>
        <v>0</v>
      </c>
      <c r="AS42" s="298" cm="1">
        <f t="array" ref="AS42">IF(AND(AS$2&lt;&gt;0,TblTech[[#This Row],[Hour]:[Hour]]&gt;=AS$2),1,0)</f>
        <v>0</v>
      </c>
      <c r="AT42" s="298" cm="1">
        <f t="array" ref="AT42">IF(AND(AT$2&lt;&gt;0,TblTech[[#This Row],[Hour]:[Hour]]&gt;=AT$2),1,0)</f>
        <v>0</v>
      </c>
      <c r="AU42" s="298" cm="1">
        <f t="array" ref="AU42">IF(AND(AU$2&lt;&gt;0,TblTech[[#This Row],[Hour]:[Hour]]&gt;=AU$2),1,0)</f>
        <v>0</v>
      </c>
      <c r="AV42" s="298" cm="1">
        <f t="array" ref="AV42">IF(AND(AV$2&lt;&gt;0,TblTech[[#This Row],[Hour]:[Hour]]&gt;=AV$2),1,0)</f>
        <v>0</v>
      </c>
      <c r="AW42" s="298" cm="1">
        <f t="array" ref="AW42">IF(AND(AW$2&lt;&gt;0,TblTech[[#This Row],[Hour]:[Hour]]&gt;=AW$2),1,0)</f>
        <v>0</v>
      </c>
      <c r="AX42" s="298" cm="1">
        <f t="array" ref="AX42">IF(AND(AX$2&lt;&gt;0,TblTech[[#This Row],[Hour]:[Hour]]&gt;=AX$2),1,0)</f>
        <v>0</v>
      </c>
      <c r="AY42" s="298" cm="1">
        <f t="array" ref="AY42">IF(AND(AY$2&lt;&gt;0,TblTech[[#This Row],[Hour]:[Hour]]&gt;=AY$2),1,0)</f>
        <v>0</v>
      </c>
      <c r="AZ42" s="298" cm="1">
        <f t="array" ref="AZ42">IF(AND(AZ$2&lt;&gt;0,TblTech[[#This Row],[Hour]:[Hour]]&gt;=AZ$2),1,0)</f>
        <v>0</v>
      </c>
      <c r="BA42" s="298" cm="1">
        <f t="array" ref="BA42">IF(AND(BA$2&lt;&gt;0,TblTech[[#This Row],[Hour]:[Hour]]&gt;=BA$2),1,0)</f>
        <v>0</v>
      </c>
      <c r="BB42" s="298" cm="1">
        <f t="array" ref="BB42">IF(AND(BB$2&lt;&gt;0,TblTech[[#This Row],[Hour]:[Hour]]&gt;=BB$2),1,0)</f>
        <v>0</v>
      </c>
      <c r="BC42" s="298" cm="1">
        <f t="array" ref="BC42">IF(AND(BC$2&lt;&gt;0,TblTech[[#This Row],[Hour]:[Hour]]&gt;=BC$2),1,0)</f>
        <v>0</v>
      </c>
      <c r="BD42" s="298" cm="1">
        <f t="array" ref="BD42">IF(AND(BD$2&lt;&gt;0,TblTech[[#This Row],[Hour]:[Hour]]&gt;=BD$2),1,0)</f>
        <v>0</v>
      </c>
      <c r="BE42" s="298" cm="1">
        <f t="array" ref="BE42">IF(AND(BE$2&lt;&gt;0,TblTech[[#This Row],[Hour]:[Hour]]&gt;=BE$2),1,0)</f>
        <v>0</v>
      </c>
      <c r="BF42" s="298" cm="1">
        <f t="array" ref="BF42">IF(AND(BF$2&lt;&gt;0,TblTech[[#This Row],[Hour]:[Hour]]&gt;=BF$2),1,0)</f>
        <v>0</v>
      </c>
      <c r="BG42" s="298" cm="1">
        <f t="array" ref="BG42">IF(AND(BG$2&lt;&gt;0,TblTech[[#This Row],[Hour]:[Hour]]&gt;=BG$2),1,0)</f>
        <v>0</v>
      </c>
      <c r="BH42" s="298" cm="1">
        <f t="array" ref="BH42">IF(AND(BH$2&lt;&gt;0,TblTech[[#This Row],[Hour]:[Hour]]&gt;=BH$2),1,0)</f>
        <v>0</v>
      </c>
      <c r="BI42" s="298" cm="1">
        <f t="array" ref="BI42">IF(AND(BI$2&lt;&gt;0,TblTech[[#This Row],[Hour]:[Hour]]&gt;=BI$2),1,0)</f>
        <v>0</v>
      </c>
      <c r="BJ42" s="298" cm="1">
        <f t="array" ref="BJ42">IF(AND(BJ$2&lt;&gt;0,TblTech[[#This Row],[Hour]:[Hour]]&gt;=BJ$2),1,0)</f>
        <v>0</v>
      </c>
      <c r="BK42" s="298" cm="1">
        <f t="array" ref="BK42">IF(AND(BK$2&lt;&gt;0,TblTech[[#This Row],[Hour]:[Hour]]&gt;=BK$2),1,0)</f>
        <v>0</v>
      </c>
      <c r="BL42" s="298" cm="1">
        <f t="array" ref="BL42">IF(AND(BL$2&lt;&gt;0,TblTech[[#This Row],[Hour]:[Hour]]&gt;=BL$2),1,0)</f>
        <v>0</v>
      </c>
      <c r="BM42" s="298" cm="1">
        <f t="array" ref="BM42">IF(AND(BM$2&lt;&gt;0,TblTech[[#This Row],[Hour]:[Hour]]&gt;=BM$2),1,0)</f>
        <v>0</v>
      </c>
      <c r="BN42" s="298" cm="1">
        <f t="array" ref="BN42">IF(AND(BN$2&lt;&gt;0,TblTech[[#This Row],[Hour]:[Hour]]&gt;=BN$2),1,0)</f>
        <v>0</v>
      </c>
      <c r="BO42" s="298" cm="1">
        <f t="array" ref="BO42">IF(AND(BO$2&lt;&gt;0,TblTech[[#This Row],[Hour]:[Hour]]&gt;=BO$2),1,0)</f>
        <v>0</v>
      </c>
      <c r="BP42" s="298" cm="1">
        <f t="array" ref="BP42">IF(AND(BP$2&lt;&gt;0,TblTech[[#This Row],[Hour]:[Hour]]&gt;=BP$2),1,0)</f>
        <v>0</v>
      </c>
      <c r="BQ42" s="298" cm="1">
        <f t="array" ref="BQ42">IF(AND(BQ$2&lt;&gt;0,TblTech[[#This Row],[Hour]:[Hour]]&gt;=BQ$2),1,0)</f>
        <v>0</v>
      </c>
      <c r="BR42" s="298" cm="1">
        <f t="array" ref="BR42">IF(AND(BR$2&lt;&gt;0,TblTech[[#This Row],[Hour]:[Hour]]&gt;=BR$2),1,0)</f>
        <v>0</v>
      </c>
      <c r="BS42" s="298" cm="1">
        <f t="array" ref="BS42">IF(AND(BS$2&lt;&gt;0,TblTech[[#This Row],[Hour]:[Hour]]&gt;=BS$2),1,0)</f>
        <v>0</v>
      </c>
      <c r="BT42" s="298" cm="1">
        <f t="array" ref="BT42">IF(AND(BT$2&lt;&gt;0,TblTech[[#This Row],[Hour]:[Hour]]&gt;=BT$2),1,0)</f>
        <v>0</v>
      </c>
      <c r="BU42" s="298" cm="1">
        <f t="array" ref="BU42">IF(AND(BU$2&lt;&gt;0,TblTech[[#This Row],[Hour]:[Hour]]&gt;=BU$2),1,0)</f>
        <v>0</v>
      </c>
      <c r="BV42" s="298" cm="1">
        <f t="array" ref="BV42">IF(AND(BV$2&lt;&gt;0,TblTech[[#This Row],[Hour]:[Hour]]&gt;=BV$2),1,0)</f>
        <v>0</v>
      </c>
      <c r="BW42" s="298" cm="1">
        <f t="array" ref="BW42">IF(AND(BW$2&lt;&gt;0,TblTech[[#This Row],[Hour]:[Hour]]&gt;=BW$2),1,0)</f>
        <v>0</v>
      </c>
      <c r="BX42" s="298" cm="1">
        <f t="array" ref="BX42">IF(AND(BX$2&lt;&gt;0,TblTech[[#This Row],[Hour]:[Hour]]&gt;=BX$2),1,0)</f>
        <v>0</v>
      </c>
      <c r="BY42" s="298" cm="1">
        <f t="array" ref="BY42">IF(AND(BY$2&lt;&gt;0,TblTech[[#This Row],[Hour]:[Hour]]&gt;=BY$2),1,0)</f>
        <v>0</v>
      </c>
      <c r="BZ42" s="298" cm="1">
        <f t="array" ref="BZ42">IF(AND(BZ$2&lt;&gt;0,TblTech[[#This Row],[Hour]:[Hour]]&gt;=BZ$2),1,0)</f>
        <v>0</v>
      </c>
      <c r="CA42" s="402">
        <f>IFERROR(INDEX($H$4:$H$79,MATCH(INDEX(TblTech[[#Headers],[1-1]:[11-1]],1,MATCH(TblTech[[#This Row],[Hour]],$M$2:$BZ$2,0)),$G$4:$G$79,0)),)</f>
        <v>0</v>
      </c>
    </row>
    <row r="43" spans="1:79" x14ac:dyDescent="0.2">
      <c r="A43" s="290">
        <f>TblRezone[[#This Row],[Hour]]</f>
        <v>40</v>
      </c>
      <c r="B43" s="291">
        <f ca="1">TblExplore[[#This Row],[Land-DB]]</f>
        <v>250</v>
      </c>
      <c r="C43" s="292">
        <f ca="1">TblProd[[#This Row],[Techpoints]]</f>
        <v>0</v>
      </c>
      <c r="D43" s="292">
        <f ca="1">TblProd[[#This Row],[Required]]</f>
        <v>3750</v>
      </c>
      <c r="E43" s="293"/>
      <c r="F43" s="294"/>
      <c r="G43" s="295" t="s">
        <v>585</v>
      </c>
      <c r="H43" s="296" t="s">
        <v>1057</v>
      </c>
      <c r="I43" s="295" t="s">
        <v>741</v>
      </c>
      <c r="J43" s="291"/>
      <c r="K43" s="95">
        <f ca="1">IF(TblTech[[#This Row],[Sum of tech]]&lt;&gt;OFFSET(TblTech[[#This Row],[Sum of tech]],-1,0),1,0)</f>
        <v>0</v>
      </c>
      <c r="L43" s="297">
        <f>COUNTIF(TblTech[[#This Row],[1-1]:[11-1]],1)</f>
        <v>0</v>
      </c>
      <c r="M43" s="298" cm="1">
        <f t="array" ref="M43">IF(AND(M$2&lt;&gt;0,TblTech[[#This Row],[Hour]:[Hour]]&gt;=M$2),1,0)</f>
        <v>0</v>
      </c>
      <c r="N43" s="298" cm="1">
        <f t="array" ref="N43">IF(AND(N$2&lt;&gt;0,TblTech[[#This Row],[Hour]:[Hour]]&gt;=N$2),1,0)</f>
        <v>0</v>
      </c>
      <c r="O43" s="298" cm="1">
        <f t="array" ref="O43">IF(AND(O$2&lt;&gt;0,TblTech[[#This Row],[Hour]:[Hour]]&gt;=O$2),1,0)</f>
        <v>0</v>
      </c>
      <c r="P43" s="298" cm="1">
        <f t="array" ref="P43">IF(AND(P$2&lt;&gt;0,TblTech[[#This Row],[Hour]:[Hour]]&gt;=P$2),1,0)</f>
        <v>0</v>
      </c>
      <c r="Q43" s="298" cm="1">
        <f t="array" ref="Q43">IF(AND(Q$2&lt;&gt;0,TblTech[[#This Row],[Hour]:[Hour]]&gt;=Q$2),1,0)</f>
        <v>0</v>
      </c>
      <c r="R43" s="298" cm="1">
        <f t="array" ref="R43">IF(AND(R$2&lt;&gt;0,TblTech[[#This Row],[Hour]:[Hour]]&gt;=R$2),1,0)</f>
        <v>0</v>
      </c>
      <c r="S43" s="298" cm="1">
        <f t="array" ref="S43">IF(AND(S$2&lt;&gt;0,TblTech[[#This Row],[Hour]:[Hour]]&gt;=S$2),1,0)</f>
        <v>0</v>
      </c>
      <c r="T43" s="298" cm="1">
        <f t="array" ref="T43">IF(AND(T$2&lt;&gt;0,TblTech[[#This Row],[Hour]:[Hour]]&gt;=T$2),1,0)</f>
        <v>0</v>
      </c>
      <c r="U43" s="298" cm="1">
        <f t="array" ref="U43">IF(AND(U$2&lt;&gt;0,TblTech[[#This Row],[Hour]:[Hour]]&gt;=U$2),1,0)</f>
        <v>0</v>
      </c>
      <c r="V43" s="298" cm="1">
        <f t="array" ref="V43">IF(AND(V$2&lt;&gt;0,TblTech[[#This Row],[Hour]:[Hour]]&gt;=V$2),1,0)</f>
        <v>0</v>
      </c>
      <c r="W43" s="298" cm="1">
        <f t="array" ref="W43">IF(AND(W$2&lt;&gt;0,TblTech[[#This Row],[Hour]:[Hour]]&gt;=W$2),1,0)</f>
        <v>0</v>
      </c>
      <c r="X43" s="298" cm="1">
        <f t="array" ref="X43">IF(AND(X$2&lt;&gt;0,TblTech[[#This Row],[Hour]:[Hour]]&gt;=X$2),1,0)</f>
        <v>0</v>
      </c>
      <c r="Y43" s="298" cm="1">
        <f t="array" ref="Y43">IF(AND(Y$2&lt;&gt;0,TblTech[[#This Row],[Hour]:[Hour]]&gt;=Y$2),1,0)</f>
        <v>0</v>
      </c>
      <c r="Z43" s="298" cm="1">
        <f t="array" ref="Z43">IF(AND(Z$2&lt;&gt;0,TblTech[[#This Row],[Hour]:[Hour]]&gt;=Z$2),1,0)</f>
        <v>0</v>
      </c>
      <c r="AA43" s="298" cm="1">
        <f t="array" ref="AA43">IF(AND(AA$2&lt;&gt;0,TblTech[[#This Row],[Hour]:[Hour]]&gt;=AA$2),1,0)</f>
        <v>0</v>
      </c>
      <c r="AB43" s="298" cm="1">
        <f t="array" ref="AB43">IF(AND(AB$2&lt;&gt;0,TblTech[[#This Row],[Hour]:[Hour]]&gt;=AB$2),1,0)</f>
        <v>0</v>
      </c>
      <c r="AC43" s="298" cm="1">
        <f t="array" ref="AC43">IF(AND(AC$2&lt;&gt;0,TblTech[[#This Row],[Hour]:[Hour]]&gt;=AC$2),1,0)</f>
        <v>0</v>
      </c>
      <c r="AD43" s="298" cm="1">
        <f t="array" ref="AD43">IF(AND(AD$2&lt;&gt;0,TblTech[[#This Row],[Hour]:[Hour]]&gt;=AD$2),1,0)</f>
        <v>0</v>
      </c>
      <c r="AE43" s="298" cm="1">
        <f t="array" ref="AE43">IF(AND(AE$2&lt;&gt;0,TblTech[[#This Row],[Hour]:[Hour]]&gt;=AE$2),1,0)</f>
        <v>0</v>
      </c>
      <c r="AF43" s="298" cm="1">
        <f t="array" ref="AF43">IF(AND(AF$2&lt;&gt;0,TblTech[[#This Row],[Hour]:[Hour]]&gt;=AF$2),1,0)</f>
        <v>0</v>
      </c>
      <c r="AG43" s="298" cm="1">
        <f t="array" ref="AG43">IF(AND(AG$2&lt;&gt;0,TblTech[[#This Row],[Hour]:[Hour]]&gt;=AG$2),1,0)</f>
        <v>0</v>
      </c>
      <c r="AH43" s="298" cm="1">
        <f t="array" ref="AH43">IF(AND(AH$2&lt;&gt;0,TblTech[[#This Row],[Hour]:[Hour]]&gt;=AH$2),1,0)</f>
        <v>0</v>
      </c>
      <c r="AI43" s="298" cm="1">
        <f t="array" ref="AI43">IF(AND(AI$2&lt;&gt;0,TblTech[[#This Row],[Hour]:[Hour]]&gt;=AI$2),1,0)</f>
        <v>0</v>
      </c>
      <c r="AJ43" s="298" cm="1">
        <f t="array" ref="AJ43">IF(AND(AJ$2&lt;&gt;0,TblTech[[#This Row],[Hour]:[Hour]]&gt;=AJ$2),1,0)</f>
        <v>0</v>
      </c>
      <c r="AK43" s="298" cm="1">
        <f t="array" ref="AK43">IF(AND(AK$2&lt;&gt;0,TblTech[[#This Row],[Hour]:[Hour]]&gt;=AK$2),1,0)</f>
        <v>0</v>
      </c>
      <c r="AL43" s="298" cm="1">
        <f t="array" ref="AL43">IF(AND(AL$2&lt;&gt;0,TblTech[[#This Row],[Hour]:[Hour]]&gt;=AL$2),1,0)</f>
        <v>0</v>
      </c>
      <c r="AM43" s="298" cm="1">
        <f t="array" ref="AM43">IF(AND(AM$2&lt;&gt;0,TblTech[[#This Row],[Hour]:[Hour]]&gt;=AM$2),1,0)</f>
        <v>0</v>
      </c>
      <c r="AN43" s="298" cm="1">
        <f t="array" ref="AN43">IF(AND(AN$2&lt;&gt;0,TblTech[[#This Row],[Hour]:[Hour]]&gt;=AN$2),1,0)</f>
        <v>0</v>
      </c>
      <c r="AO43" s="298" cm="1">
        <f t="array" ref="AO43">IF(AND(AO$2&lt;&gt;0,TblTech[[#This Row],[Hour]:[Hour]]&gt;=AO$2),1,0)</f>
        <v>0</v>
      </c>
      <c r="AP43" s="298" cm="1">
        <f t="array" ref="AP43">IF(AND(AP$2&lt;&gt;0,TblTech[[#This Row],[Hour]:[Hour]]&gt;=AP$2),1,0)</f>
        <v>0</v>
      </c>
      <c r="AQ43" s="298" cm="1">
        <f t="array" ref="AQ43">IF(AND(AQ$2&lt;&gt;0,TblTech[[#This Row],[Hour]:[Hour]]&gt;=AQ$2),1,0)</f>
        <v>0</v>
      </c>
      <c r="AR43" s="298" cm="1">
        <f t="array" ref="AR43">IF(AND(AR$2&lt;&gt;0,TblTech[[#This Row],[Hour]:[Hour]]&gt;=AR$2),1,0)</f>
        <v>0</v>
      </c>
      <c r="AS43" s="298" cm="1">
        <f t="array" ref="AS43">IF(AND(AS$2&lt;&gt;0,TblTech[[#This Row],[Hour]:[Hour]]&gt;=AS$2),1,0)</f>
        <v>0</v>
      </c>
      <c r="AT43" s="298" cm="1">
        <f t="array" ref="AT43">IF(AND(AT$2&lt;&gt;0,TblTech[[#This Row],[Hour]:[Hour]]&gt;=AT$2),1,0)</f>
        <v>0</v>
      </c>
      <c r="AU43" s="298" cm="1">
        <f t="array" ref="AU43">IF(AND(AU$2&lt;&gt;0,TblTech[[#This Row],[Hour]:[Hour]]&gt;=AU$2),1,0)</f>
        <v>0</v>
      </c>
      <c r="AV43" s="298" cm="1">
        <f t="array" ref="AV43">IF(AND(AV$2&lt;&gt;0,TblTech[[#This Row],[Hour]:[Hour]]&gt;=AV$2),1,0)</f>
        <v>0</v>
      </c>
      <c r="AW43" s="298" cm="1">
        <f t="array" ref="AW43">IF(AND(AW$2&lt;&gt;0,TblTech[[#This Row],[Hour]:[Hour]]&gt;=AW$2),1,0)</f>
        <v>0</v>
      </c>
      <c r="AX43" s="298" cm="1">
        <f t="array" ref="AX43">IF(AND(AX$2&lt;&gt;0,TblTech[[#This Row],[Hour]:[Hour]]&gt;=AX$2),1,0)</f>
        <v>0</v>
      </c>
      <c r="AY43" s="298" cm="1">
        <f t="array" ref="AY43">IF(AND(AY$2&lt;&gt;0,TblTech[[#This Row],[Hour]:[Hour]]&gt;=AY$2),1,0)</f>
        <v>0</v>
      </c>
      <c r="AZ43" s="298" cm="1">
        <f t="array" ref="AZ43">IF(AND(AZ$2&lt;&gt;0,TblTech[[#This Row],[Hour]:[Hour]]&gt;=AZ$2),1,0)</f>
        <v>0</v>
      </c>
      <c r="BA43" s="298" cm="1">
        <f t="array" ref="BA43">IF(AND(BA$2&lt;&gt;0,TblTech[[#This Row],[Hour]:[Hour]]&gt;=BA$2),1,0)</f>
        <v>0</v>
      </c>
      <c r="BB43" s="298" cm="1">
        <f t="array" ref="BB43">IF(AND(BB$2&lt;&gt;0,TblTech[[#This Row],[Hour]:[Hour]]&gt;=BB$2),1,0)</f>
        <v>0</v>
      </c>
      <c r="BC43" s="298" cm="1">
        <f t="array" ref="BC43">IF(AND(BC$2&lt;&gt;0,TblTech[[#This Row],[Hour]:[Hour]]&gt;=BC$2),1,0)</f>
        <v>0</v>
      </c>
      <c r="BD43" s="298" cm="1">
        <f t="array" ref="BD43">IF(AND(BD$2&lt;&gt;0,TblTech[[#This Row],[Hour]:[Hour]]&gt;=BD$2),1,0)</f>
        <v>0</v>
      </c>
      <c r="BE43" s="298" cm="1">
        <f t="array" ref="BE43">IF(AND(BE$2&lt;&gt;0,TblTech[[#This Row],[Hour]:[Hour]]&gt;=BE$2),1,0)</f>
        <v>0</v>
      </c>
      <c r="BF43" s="298" cm="1">
        <f t="array" ref="BF43">IF(AND(BF$2&lt;&gt;0,TblTech[[#This Row],[Hour]:[Hour]]&gt;=BF$2),1,0)</f>
        <v>0</v>
      </c>
      <c r="BG43" s="298" cm="1">
        <f t="array" ref="BG43">IF(AND(BG$2&lt;&gt;0,TblTech[[#This Row],[Hour]:[Hour]]&gt;=BG$2),1,0)</f>
        <v>0</v>
      </c>
      <c r="BH43" s="298" cm="1">
        <f t="array" ref="BH43">IF(AND(BH$2&lt;&gt;0,TblTech[[#This Row],[Hour]:[Hour]]&gt;=BH$2),1,0)</f>
        <v>0</v>
      </c>
      <c r="BI43" s="298" cm="1">
        <f t="array" ref="BI43">IF(AND(BI$2&lt;&gt;0,TblTech[[#This Row],[Hour]:[Hour]]&gt;=BI$2),1,0)</f>
        <v>0</v>
      </c>
      <c r="BJ43" s="298" cm="1">
        <f t="array" ref="BJ43">IF(AND(BJ$2&lt;&gt;0,TblTech[[#This Row],[Hour]:[Hour]]&gt;=BJ$2),1,0)</f>
        <v>0</v>
      </c>
      <c r="BK43" s="298" cm="1">
        <f t="array" ref="BK43">IF(AND(BK$2&lt;&gt;0,TblTech[[#This Row],[Hour]:[Hour]]&gt;=BK$2),1,0)</f>
        <v>0</v>
      </c>
      <c r="BL43" s="298" cm="1">
        <f t="array" ref="BL43">IF(AND(BL$2&lt;&gt;0,TblTech[[#This Row],[Hour]:[Hour]]&gt;=BL$2),1,0)</f>
        <v>0</v>
      </c>
      <c r="BM43" s="298" cm="1">
        <f t="array" ref="BM43">IF(AND(BM$2&lt;&gt;0,TblTech[[#This Row],[Hour]:[Hour]]&gt;=BM$2),1,0)</f>
        <v>0</v>
      </c>
      <c r="BN43" s="298" cm="1">
        <f t="array" ref="BN43">IF(AND(BN$2&lt;&gt;0,TblTech[[#This Row],[Hour]:[Hour]]&gt;=BN$2),1,0)</f>
        <v>0</v>
      </c>
      <c r="BO43" s="298" cm="1">
        <f t="array" ref="BO43">IF(AND(BO$2&lt;&gt;0,TblTech[[#This Row],[Hour]:[Hour]]&gt;=BO$2),1,0)</f>
        <v>0</v>
      </c>
      <c r="BP43" s="298" cm="1">
        <f t="array" ref="BP43">IF(AND(BP$2&lt;&gt;0,TblTech[[#This Row],[Hour]:[Hour]]&gt;=BP$2),1,0)</f>
        <v>0</v>
      </c>
      <c r="BQ43" s="298" cm="1">
        <f t="array" ref="BQ43">IF(AND(BQ$2&lt;&gt;0,TblTech[[#This Row],[Hour]:[Hour]]&gt;=BQ$2),1,0)</f>
        <v>0</v>
      </c>
      <c r="BR43" s="298" cm="1">
        <f t="array" ref="BR43">IF(AND(BR$2&lt;&gt;0,TblTech[[#This Row],[Hour]:[Hour]]&gt;=BR$2),1,0)</f>
        <v>0</v>
      </c>
      <c r="BS43" s="298" cm="1">
        <f t="array" ref="BS43">IF(AND(BS$2&lt;&gt;0,TblTech[[#This Row],[Hour]:[Hour]]&gt;=BS$2),1,0)</f>
        <v>0</v>
      </c>
      <c r="BT43" s="298" cm="1">
        <f t="array" ref="BT43">IF(AND(BT$2&lt;&gt;0,TblTech[[#This Row],[Hour]:[Hour]]&gt;=BT$2),1,0)</f>
        <v>0</v>
      </c>
      <c r="BU43" s="298" cm="1">
        <f t="array" ref="BU43">IF(AND(BU$2&lt;&gt;0,TblTech[[#This Row],[Hour]:[Hour]]&gt;=BU$2),1,0)</f>
        <v>0</v>
      </c>
      <c r="BV43" s="298" cm="1">
        <f t="array" ref="BV43">IF(AND(BV$2&lt;&gt;0,TblTech[[#This Row],[Hour]:[Hour]]&gt;=BV$2),1,0)</f>
        <v>0</v>
      </c>
      <c r="BW43" s="298" cm="1">
        <f t="array" ref="BW43">IF(AND(BW$2&lt;&gt;0,TblTech[[#This Row],[Hour]:[Hour]]&gt;=BW$2),1,0)</f>
        <v>0</v>
      </c>
      <c r="BX43" s="298" cm="1">
        <f t="array" ref="BX43">IF(AND(BX$2&lt;&gt;0,TblTech[[#This Row],[Hour]:[Hour]]&gt;=BX$2),1,0)</f>
        <v>0</v>
      </c>
      <c r="BY43" s="298" cm="1">
        <f t="array" ref="BY43">IF(AND(BY$2&lt;&gt;0,TblTech[[#This Row],[Hour]:[Hour]]&gt;=BY$2),1,0)</f>
        <v>0</v>
      </c>
      <c r="BZ43" s="298" cm="1">
        <f t="array" ref="BZ43">IF(AND(BZ$2&lt;&gt;0,TblTech[[#This Row],[Hour]:[Hour]]&gt;=BZ$2),1,0)</f>
        <v>0</v>
      </c>
      <c r="CA43" s="402">
        <f>IFERROR(INDEX($H$4:$H$79,MATCH(INDEX(TblTech[[#Headers],[1-1]:[11-1]],1,MATCH(TblTech[[#This Row],[Hour]],$M$2:$BZ$2,0)),$G$4:$G$79,0)),)</f>
        <v>0</v>
      </c>
    </row>
    <row r="44" spans="1:79" x14ac:dyDescent="0.2">
      <c r="A44" s="290">
        <f>TblRezone[[#This Row],[Hour]]</f>
        <v>41</v>
      </c>
      <c r="B44" s="291">
        <f ca="1">TblExplore[[#This Row],[Land-DB]]</f>
        <v>250</v>
      </c>
      <c r="C44" s="292">
        <f ca="1">TblProd[[#This Row],[Techpoints]]</f>
        <v>0</v>
      </c>
      <c r="D44" s="292">
        <f ca="1">TblProd[[#This Row],[Required]]</f>
        <v>3750</v>
      </c>
      <c r="E44" s="293"/>
      <c r="F44" s="294"/>
      <c r="G44" s="295" t="s">
        <v>586</v>
      </c>
      <c r="H44" s="296" t="s">
        <v>708</v>
      </c>
      <c r="I44" s="295" t="s">
        <v>584</v>
      </c>
      <c r="J44" s="291"/>
      <c r="K44" s="95">
        <f ca="1">IF(TblTech[[#This Row],[Sum of tech]]&lt;&gt;OFFSET(TblTech[[#This Row],[Sum of tech]],-1,0),1,0)</f>
        <v>0</v>
      </c>
      <c r="L44" s="297">
        <f>COUNTIF(TblTech[[#This Row],[1-1]:[11-1]],1)</f>
        <v>0</v>
      </c>
      <c r="M44" s="298" cm="1">
        <f t="array" ref="M44">IF(AND(M$2&lt;&gt;0,TblTech[[#This Row],[Hour]:[Hour]]&gt;=M$2),1,0)</f>
        <v>0</v>
      </c>
      <c r="N44" s="298" cm="1">
        <f t="array" ref="N44">IF(AND(N$2&lt;&gt;0,TblTech[[#This Row],[Hour]:[Hour]]&gt;=N$2),1,0)</f>
        <v>0</v>
      </c>
      <c r="O44" s="298" cm="1">
        <f t="array" ref="O44">IF(AND(O$2&lt;&gt;0,TblTech[[#This Row],[Hour]:[Hour]]&gt;=O$2),1,0)</f>
        <v>0</v>
      </c>
      <c r="P44" s="298" cm="1">
        <f t="array" ref="P44">IF(AND(P$2&lt;&gt;0,TblTech[[#This Row],[Hour]:[Hour]]&gt;=P$2),1,0)</f>
        <v>0</v>
      </c>
      <c r="Q44" s="298" cm="1">
        <f t="array" ref="Q44">IF(AND(Q$2&lt;&gt;0,TblTech[[#This Row],[Hour]:[Hour]]&gt;=Q$2),1,0)</f>
        <v>0</v>
      </c>
      <c r="R44" s="298" cm="1">
        <f t="array" ref="R44">IF(AND(R$2&lt;&gt;0,TblTech[[#This Row],[Hour]:[Hour]]&gt;=R$2),1,0)</f>
        <v>0</v>
      </c>
      <c r="S44" s="298" cm="1">
        <f t="array" ref="S44">IF(AND(S$2&lt;&gt;0,TblTech[[#This Row],[Hour]:[Hour]]&gt;=S$2),1,0)</f>
        <v>0</v>
      </c>
      <c r="T44" s="298" cm="1">
        <f t="array" ref="T44">IF(AND(T$2&lt;&gt;0,TblTech[[#This Row],[Hour]:[Hour]]&gt;=T$2),1,0)</f>
        <v>0</v>
      </c>
      <c r="U44" s="298" cm="1">
        <f t="array" ref="U44">IF(AND(U$2&lt;&gt;0,TblTech[[#This Row],[Hour]:[Hour]]&gt;=U$2),1,0)</f>
        <v>0</v>
      </c>
      <c r="V44" s="298" cm="1">
        <f t="array" ref="V44">IF(AND(V$2&lt;&gt;0,TblTech[[#This Row],[Hour]:[Hour]]&gt;=V$2),1,0)</f>
        <v>0</v>
      </c>
      <c r="W44" s="298" cm="1">
        <f t="array" ref="W44">IF(AND(W$2&lt;&gt;0,TblTech[[#This Row],[Hour]:[Hour]]&gt;=W$2),1,0)</f>
        <v>0</v>
      </c>
      <c r="X44" s="298" cm="1">
        <f t="array" ref="X44">IF(AND(X$2&lt;&gt;0,TblTech[[#This Row],[Hour]:[Hour]]&gt;=X$2),1,0)</f>
        <v>0</v>
      </c>
      <c r="Y44" s="298" cm="1">
        <f t="array" ref="Y44">IF(AND(Y$2&lt;&gt;0,TblTech[[#This Row],[Hour]:[Hour]]&gt;=Y$2),1,0)</f>
        <v>0</v>
      </c>
      <c r="Z44" s="298" cm="1">
        <f t="array" ref="Z44">IF(AND(Z$2&lt;&gt;0,TblTech[[#This Row],[Hour]:[Hour]]&gt;=Z$2),1,0)</f>
        <v>0</v>
      </c>
      <c r="AA44" s="298" cm="1">
        <f t="array" ref="AA44">IF(AND(AA$2&lt;&gt;0,TblTech[[#This Row],[Hour]:[Hour]]&gt;=AA$2),1,0)</f>
        <v>0</v>
      </c>
      <c r="AB44" s="298" cm="1">
        <f t="array" ref="AB44">IF(AND(AB$2&lt;&gt;0,TblTech[[#This Row],[Hour]:[Hour]]&gt;=AB$2),1,0)</f>
        <v>0</v>
      </c>
      <c r="AC44" s="298" cm="1">
        <f t="array" ref="AC44">IF(AND(AC$2&lt;&gt;0,TblTech[[#This Row],[Hour]:[Hour]]&gt;=AC$2),1,0)</f>
        <v>0</v>
      </c>
      <c r="AD44" s="298" cm="1">
        <f t="array" ref="AD44">IF(AND(AD$2&lt;&gt;0,TblTech[[#This Row],[Hour]:[Hour]]&gt;=AD$2),1,0)</f>
        <v>0</v>
      </c>
      <c r="AE44" s="298" cm="1">
        <f t="array" ref="AE44">IF(AND(AE$2&lt;&gt;0,TblTech[[#This Row],[Hour]:[Hour]]&gt;=AE$2),1,0)</f>
        <v>0</v>
      </c>
      <c r="AF44" s="298" cm="1">
        <f t="array" ref="AF44">IF(AND(AF$2&lt;&gt;0,TblTech[[#This Row],[Hour]:[Hour]]&gt;=AF$2),1,0)</f>
        <v>0</v>
      </c>
      <c r="AG44" s="298" cm="1">
        <f t="array" ref="AG44">IF(AND(AG$2&lt;&gt;0,TblTech[[#This Row],[Hour]:[Hour]]&gt;=AG$2),1,0)</f>
        <v>0</v>
      </c>
      <c r="AH44" s="298" cm="1">
        <f t="array" ref="AH44">IF(AND(AH$2&lt;&gt;0,TblTech[[#This Row],[Hour]:[Hour]]&gt;=AH$2),1,0)</f>
        <v>0</v>
      </c>
      <c r="AI44" s="298" cm="1">
        <f t="array" ref="AI44">IF(AND(AI$2&lt;&gt;0,TblTech[[#This Row],[Hour]:[Hour]]&gt;=AI$2),1,0)</f>
        <v>0</v>
      </c>
      <c r="AJ44" s="298" cm="1">
        <f t="array" ref="AJ44">IF(AND(AJ$2&lt;&gt;0,TblTech[[#This Row],[Hour]:[Hour]]&gt;=AJ$2),1,0)</f>
        <v>0</v>
      </c>
      <c r="AK44" s="298" cm="1">
        <f t="array" ref="AK44">IF(AND(AK$2&lt;&gt;0,TblTech[[#This Row],[Hour]:[Hour]]&gt;=AK$2),1,0)</f>
        <v>0</v>
      </c>
      <c r="AL44" s="298" cm="1">
        <f t="array" ref="AL44">IF(AND(AL$2&lt;&gt;0,TblTech[[#This Row],[Hour]:[Hour]]&gt;=AL$2),1,0)</f>
        <v>0</v>
      </c>
      <c r="AM44" s="298" cm="1">
        <f t="array" ref="AM44">IF(AND(AM$2&lt;&gt;0,TblTech[[#This Row],[Hour]:[Hour]]&gt;=AM$2),1,0)</f>
        <v>0</v>
      </c>
      <c r="AN44" s="298" cm="1">
        <f t="array" ref="AN44">IF(AND(AN$2&lt;&gt;0,TblTech[[#This Row],[Hour]:[Hour]]&gt;=AN$2),1,0)</f>
        <v>0</v>
      </c>
      <c r="AO44" s="298" cm="1">
        <f t="array" ref="AO44">IF(AND(AO$2&lt;&gt;0,TblTech[[#This Row],[Hour]:[Hour]]&gt;=AO$2),1,0)</f>
        <v>0</v>
      </c>
      <c r="AP44" s="298" cm="1">
        <f t="array" ref="AP44">IF(AND(AP$2&lt;&gt;0,TblTech[[#This Row],[Hour]:[Hour]]&gt;=AP$2),1,0)</f>
        <v>0</v>
      </c>
      <c r="AQ44" s="298" cm="1">
        <f t="array" ref="AQ44">IF(AND(AQ$2&lt;&gt;0,TblTech[[#This Row],[Hour]:[Hour]]&gt;=AQ$2),1,0)</f>
        <v>0</v>
      </c>
      <c r="AR44" s="298" cm="1">
        <f t="array" ref="AR44">IF(AND(AR$2&lt;&gt;0,TblTech[[#This Row],[Hour]:[Hour]]&gt;=AR$2),1,0)</f>
        <v>0</v>
      </c>
      <c r="AS44" s="298" cm="1">
        <f t="array" ref="AS44">IF(AND(AS$2&lt;&gt;0,TblTech[[#This Row],[Hour]:[Hour]]&gt;=AS$2),1,0)</f>
        <v>0</v>
      </c>
      <c r="AT44" s="298" cm="1">
        <f t="array" ref="AT44">IF(AND(AT$2&lt;&gt;0,TblTech[[#This Row],[Hour]:[Hour]]&gt;=AT$2),1,0)</f>
        <v>0</v>
      </c>
      <c r="AU44" s="298" cm="1">
        <f t="array" ref="AU44">IF(AND(AU$2&lt;&gt;0,TblTech[[#This Row],[Hour]:[Hour]]&gt;=AU$2),1,0)</f>
        <v>0</v>
      </c>
      <c r="AV44" s="298" cm="1">
        <f t="array" ref="AV44">IF(AND(AV$2&lt;&gt;0,TblTech[[#This Row],[Hour]:[Hour]]&gt;=AV$2),1,0)</f>
        <v>0</v>
      </c>
      <c r="AW44" s="298" cm="1">
        <f t="array" ref="AW44">IF(AND(AW$2&lt;&gt;0,TblTech[[#This Row],[Hour]:[Hour]]&gt;=AW$2),1,0)</f>
        <v>0</v>
      </c>
      <c r="AX44" s="298" cm="1">
        <f t="array" ref="AX44">IF(AND(AX$2&lt;&gt;0,TblTech[[#This Row],[Hour]:[Hour]]&gt;=AX$2),1,0)</f>
        <v>0</v>
      </c>
      <c r="AY44" s="298" cm="1">
        <f t="array" ref="AY44">IF(AND(AY$2&lt;&gt;0,TblTech[[#This Row],[Hour]:[Hour]]&gt;=AY$2),1,0)</f>
        <v>0</v>
      </c>
      <c r="AZ44" s="298" cm="1">
        <f t="array" ref="AZ44">IF(AND(AZ$2&lt;&gt;0,TblTech[[#This Row],[Hour]:[Hour]]&gt;=AZ$2),1,0)</f>
        <v>0</v>
      </c>
      <c r="BA44" s="298" cm="1">
        <f t="array" ref="BA44">IF(AND(BA$2&lt;&gt;0,TblTech[[#This Row],[Hour]:[Hour]]&gt;=BA$2),1,0)</f>
        <v>0</v>
      </c>
      <c r="BB44" s="298" cm="1">
        <f t="array" ref="BB44">IF(AND(BB$2&lt;&gt;0,TblTech[[#This Row],[Hour]:[Hour]]&gt;=BB$2),1,0)</f>
        <v>0</v>
      </c>
      <c r="BC44" s="298" cm="1">
        <f t="array" ref="BC44">IF(AND(BC$2&lt;&gt;0,TblTech[[#This Row],[Hour]:[Hour]]&gt;=BC$2),1,0)</f>
        <v>0</v>
      </c>
      <c r="BD44" s="298" cm="1">
        <f t="array" ref="BD44">IF(AND(BD$2&lt;&gt;0,TblTech[[#This Row],[Hour]:[Hour]]&gt;=BD$2),1,0)</f>
        <v>0</v>
      </c>
      <c r="BE44" s="298" cm="1">
        <f t="array" ref="BE44">IF(AND(BE$2&lt;&gt;0,TblTech[[#This Row],[Hour]:[Hour]]&gt;=BE$2),1,0)</f>
        <v>0</v>
      </c>
      <c r="BF44" s="298" cm="1">
        <f t="array" ref="BF44">IF(AND(BF$2&lt;&gt;0,TblTech[[#This Row],[Hour]:[Hour]]&gt;=BF$2),1,0)</f>
        <v>0</v>
      </c>
      <c r="BG44" s="298" cm="1">
        <f t="array" ref="BG44">IF(AND(BG$2&lt;&gt;0,TblTech[[#This Row],[Hour]:[Hour]]&gt;=BG$2),1,0)</f>
        <v>0</v>
      </c>
      <c r="BH44" s="298" cm="1">
        <f t="array" ref="BH44">IF(AND(BH$2&lt;&gt;0,TblTech[[#This Row],[Hour]:[Hour]]&gt;=BH$2),1,0)</f>
        <v>0</v>
      </c>
      <c r="BI44" s="298" cm="1">
        <f t="array" ref="BI44">IF(AND(BI$2&lt;&gt;0,TblTech[[#This Row],[Hour]:[Hour]]&gt;=BI$2),1,0)</f>
        <v>0</v>
      </c>
      <c r="BJ44" s="298" cm="1">
        <f t="array" ref="BJ44">IF(AND(BJ$2&lt;&gt;0,TblTech[[#This Row],[Hour]:[Hour]]&gt;=BJ$2),1,0)</f>
        <v>0</v>
      </c>
      <c r="BK44" s="298" cm="1">
        <f t="array" ref="BK44">IF(AND(BK$2&lt;&gt;0,TblTech[[#This Row],[Hour]:[Hour]]&gt;=BK$2),1,0)</f>
        <v>0</v>
      </c>
      <c r="BL44" s="298" cm="1">
        <f t="array" ref="BL44">IF(AND(BL$2&lt;&gt;0,TblTech[[#This Row],[Hour]:[Hour]]&gt;=BL$2),1,0)</f>
        <v>0</v>
      </c>
      <c r="BM44" s="298" cm="1">
        <f t="array" ref="BM44">IF(AND(BM$2&lt;&gt;0,TblTech[[#This Row],[Hour]:[Hour]]&gt;=BM$2),1,0)</f>
        <v>0</v>
      </c>
      <c r="BN44" s="298" cm="1">
        <f t="array" ref="BN44">IF(AND(BN$2&lt;&gt;0,TblTech[[#This Row],[Hour]:[Hour]]&gt;=BN$2),1,0)</f>
        <v>0</v>
      </c>
      <c r="BO44" s="298" cm="1">
        <f t="array" ref="BO44">IF(AND(BO$2&lt;&gt;0,TblTech[[#This Row],[Hour]:[Hour]]&gt;=BO$2),1,0)</f>
        <v>0</v>
      </c>
      <c r="BP44" s="298" cm="1">
        <f t="array" ref="BP44">IF(AND(BP$2&lt;&gt;0,TblTech[[#This Row],[Hour]:[Hour]]&gt;=BP$2),1,0)</f>
        <v>0</v>
      </c>
      <c r="BQ44" s="298" cm="1">
        <f t="array" ref="BQ44">IF(AND(BQ$2&lt;&gt;0,TblTech[[#This Row],[Hour]:[Hour]]&gt;=BQ$2),1,0)</f>
        <v>0</v>
      </c>
      <c r="BR44" s="298" cm="1">
        <f t="array" ref="BR44">IF(AND(BR$2&lt;&gt;0,TblTech[[#This Row],[Hour]:[Hour]]&gt;=BR$2),1,0)</f>
        <v>0</v>
      </c>
      <c r="BS44" s="298" cm="1">
        <f t="array" ref="BS44">IF(AND(BS$2&lt;&gt;0,TblTech[[#This Row],[Hour]:[Hour]]&gt;=BS$2),1,0)</f>
        <v>0</v>
      </c>
      <c r="BT44" s="298" cm="1">
        <f t="array" ref="BT44">IF(AND(BT$2&lt;&gt;0,TblTech[[#This Row],[Hour]:[Hour]]&gt;=BT$2),1,0)</f>
        <v>0</v>
      </c>
      <c r="BU44" s="298" cm="1">
        <f t="array" ref="BU44">IF(AND(BU$2&lt;&gt;0,TblTech[[#This Row],[Hour]:[Hour]]&gt;=BU$2),1,0)</f>
        <v>0</v>
      </c>
      <c r="BV44" s="298" cm="1">
        <f t="array" ref="BV44">IF(AND(BV$2&lt;&gt;0,TblTech[[#This Row],[Hour]:[Hour]]&gt;=BV$2),1,0)</f>
        <v>0</v>
      </c>
      <c r="BW44" s="298" cm="1">
        <f t="array" ref="BW44">IF(AND(BW$2&lt;&gt;0,TblTech[[#This Row],[Hour]:[Hour]]&gt;=BW$2),1,0)</f>
        <v>0</v>
      </c>
      <c r="BX44" s="298" cm="1">
        <f t="array" ref="BX44">IF(AND(BX$2&lt;&gt;0,TblTech[[#This Row],[Hour]:[Hour]]&gt;=BX$2),1,0)</f>
        <v>0</v>
      </c>
      <c r="BY44" s="298" cm="1">
        <f t="array" ref="BY44">IF(AND(BY$2&lt;&gt;0,TblTech[[#This Row],[Hour]:[Hour]]&gt;=BY$2),1,0)</f>
        <v>0</v>
      </c>
      <c r="BZ44" s="298" cm="1">
        <f t="array" ref="BZ44">IF(AND(BZ$2&lt;&gt;0,TblTech[[#This Row],[Hour]:[Hour]]&gt;=BZ$2),1,0)</f>
        <v>0</v>
      </c>
      <c r="CA44" s="402">
        <f>IFERROR(INDEX($H$4:$H$79,MATCH(INDEX(TblTech[[#Headers],[1-1]:[11-1]],1,MATCH(TblTech[[#This Row],[Hour]],$M$2:$BZ$2,0)),$G$4:$G$79,0)),)</f>
        <v>0</v>
      </c>
    </row>
    <row r="45" spans="1:79" x14ac:dyDescent="0.2">
      <c r="A45" s="290">
        <f>TblRezone[[#This Row],[Hour]]</f>
        <v>42</v>
      </c>
      <c r="B45" s="291">
        <f ca="1">TblExplore[[#This Row],[Land-DB]]</f>
        <v>250</v>
      </c>
      <c r="C45" s="292">
        <f ca="1">TblProd[[#This Row],[Techpoints]]</f>
        <v>0</v>
      </c>
      <c r="D45" s="292">
        <f ca="1">TblProd[[#This Row],[Required]]</f>
        <v>3750</v>
      </c>
      <c r="E45" s="293"/>
      <c r="F45" s="294"/>
      <c r="G45" s="295"/>
      <c r="H45" s="296"/>
      <c r="I45" s="295"/>
      <c r="J45" s="291"/>
      <c r="K45" s="95">
        <f ca="1">IF(TblTech[[#This Row],[Sum of tech]]&lt;&gt;OFFSET(TblTech[[#This Row],[Sum of tech]],-1,0),1,0)</f>
        <v>0</v>
      </c>
      <c r="L45" s="297">
        <f>COUNTIF(TblTech[[#This Row],[1-1]:[11-1]],1)</f>
        <v>0</v>
      </c>
      <c r="M45" s="298" cm="1">
        <f t="array" ref="M45">IF(AND(M$2&lt;&gt;0,TblTech[[#This Row],[Hour]:[Hour]]&gt;=M$2),1,0)</f>
        <v>0</v>
      </c>
      <c r="N45" s="298" cm="1">
        <f t="array" ref="N45">IF(AND(N$2&lt;&gt;0,TblTech[[#This Row],[Hour]:[Hour]]&gt;=N$2),1,0)</f>
        <v>0</v>
      </c>
      <c r="O45" s="298" cm="1">
        <f t="array" ref="O45">IF(AND(O$2&lt;&gt;0,TblTech[[#This Row],[Hour]:[Hour]]&gt;=O$2),1,0)</f>
        <v>0</v>
      </c>
      <c r="P45" s="298" cm="1">
        <f t="array" ref="P45">IF(AND(P$2&lt;&gt;0,TblTech[[#This Row],[Hour]:[Hour]]&gt;=P$2),1,0)</f>
        <v>0</v>
      </c>
      <c r="Q45" s="298" cm="1">
        <f t="array" ref="Q45">IF(AND(Q$2&lt;&gt;0,TblTech[[#This Row],[Hour]:[Hour]]&gt;=Q$2),1,0)</f>
        <v>0</v>
      </c>
      <c r="R45" s="298" cm="1">
        <f t="array" ref="R45">IF(AND(R$2&lt;&gt;0,TblTech[[#This Row],[Hour]:[Hour]]&gt;=R$2),1,0)</f>
        <v>0</v>
      </c>
      <c r="S45" s="298" cm="1">
        <f t="array" ref="S45">IF(AND(S$2&lt;&gt;0,TblTech[[#This Row],[Hour]:[Hour]]&gt;=S$2),1,0)</f>
        <v>0</v>
      </c>
      <c r="T45" s="298" cm="1">
        <f t="array" ref="T45">IF(AND(T$2&lt;&gt;0,TblTech[[#This Row],[Hour]:[Hour]]&gt;=T$2),1,0)</f>
        <v>0</v>
      </c>
      <c r="U45" s="298" cm="1">
        <f t="array" ref="U45">IF(AND(U$2&lt;&gt;0,TblTech[[#This Row],[Hour]:[Hour]]&gt;=U$2),1,0)</f>
        <v>0</v>
      </c>
      <c r="V45" s="298" cm="1">
        <f t="array" ref="V45">IF(AND(V$2&lt;&gt;0,TblTech[[#This Row],[Hour]:[Hour]]&gt;=V$2),1,0)</f>
        <v>0</v>
      </c>
      <c r="W45" s="298" cm="1">
        <f t="array" ref="W45">IF(AND(W$2&lt;&gt;0,TblTech[[#This Row],[Hour]:[Hour]]&gt;=W$2),1,0)</f>
        <v>0</v>
      </c>
      <c r="X45" s="298" cm="1">
        <f t="array" ref="X45">IF(AND(X$2&lt;&gt;0,TblTech[[#This Row],[Hour]:[Hour]]&gt;=X$2),1,0)</f>
        <v>0</v>
      </c>
      <c r="Y45" s="298" cm="1">
        <f t="array" ref="Y45">IF(AND(Y$2&lt;&gt;0,TblTech[[#This Row],[Hour]:[Hour]]&gt;=Y$2),1,0)</f>
        <v>0</v>
      </c>
      <c r="Z45" s="298" cm="1">
        <f t="array" ref="Z45">IF(AND(Z$2&lt;&gt;0,TblTech[[#This Row],[Hour]:[Hour]]&gt;=Z$2),1,0)</f>
        <v>0</v>
      </c>
      <c r="AA45" s="298" cm="1">
        <f t="array" ref="AA45">IF(AND(AA$2&lt;&gt;0,TblTech[[#This Row],[Hour]:[Hour]]&gt;=AA$2),1,0)</f>
        <v>0</v>
      </c>
      <c r="AB45" s="298" cm="1">
        <f t="array" ref="AB45">IF(AND(AB$2&lt;&gt;0,TblTech[[#This Row],[Hour]:[Hour]]&gt;=AB$2),1,0)</f>
        <v>0</v>
      </c>
      <c r="AC45" s="298" cm="1">
        <f t="array" ref="AC45">IF(AND(AC$2&lt;&gt;0,TblTech[[#This Row],[Hour]:[Hour]]&gt;=AC$2),1,0)</f>
        <v>0</v>
      </c>
      <c r="AD45" s="298" cm="1">
        <f t="array" ref="AD45">IF(AND(AD$2&lt;&gt;0,TblTech[[#This Row],[Hour]:[Hour]]&gt;=AD$2),1,0)</f>
        <v>0</v>
      </c>
      <c r="AE45" s="298" cm="1">
        <f t="array" ref="AE45">IF(AND(AE$2&lt;&gt;0,TblTech[[#This Row],[Hour]:[Hour]]&gt;=AE$2),1,0)</f>
        <v>0</v>
      </c>
      <c r="AF45" s="298" cm="1">
        <f t="array" ref="AF45">IF(AND(AF$2&lt;&gt;0,TblTech[[#This Row],[Hour]:[Hour]]&gt;=AF$2),1,0)</f>
        <v>0</v>
      </c>
      <c r="AG45" s="298" cm="1">
        <f t="array" ref="AG45">IF(AND(AG$2&lt;&gt;0,TblTech[[#This Row],[Hour]:[Hour]]&gt;=AG$2),1,0)</f>
        <v>0</v>
      </c>
      <c r="AH45" s="298" cm="1">
        <f t="array" ref="AH45">IF(AND(AH$2&lt;&gt;0,TblTech[[#This Row],[Hour]:[Hour]]&gt;=AH$2),1,0)</f>
        <v>0</v>
      </c>
      <c r="AI45" s="298" cm="1">
        <f t="array" ref="AI45">IF(AND(AI$2&lt;&gt;0,TblTech[[#This Row],[Hour]:[Hour]]&gt;=AI$2),1,0)</f>
        <v>0</v>
      </c>
      <c r="AJ45" s="298" cm="1">
        <f t="array" ref="AJ45">IF(AND(AJ$2&lt;&gt;0,TblTech[[#This Row],[Hour]:[Hour]]&gt;=AJ$2),1,0)</f>
        <v>0</v>
      </c>
      <c r="AK45" s="298" cm="1">
        <f t="array" ref="AK45">IF(AND(AK$2&lt;&gt;0,TblTech[[#This Row],[Hour]:[Hour]]&gt;=AK$2),1,0)</f>
        <v>0</v>
      </c>
      <c r="AL45" s="298" cm="1">
        <f t="array" ref="AL45">IF(AND(AL$2&lt;&gt;0,TblTech[[#This Row],[Hour]:[Hour]]&gt;=AL$2),1,0)</f>
        <v>0</v>
      </c>
      <c r="AM45" s="298" cm="1">
        <f t="array" ref="AM45">IF(AND(AM$2&lt;&gt;0,TblTech[[#This Row],[Hour]:[Hour]]&gt;=AM$2),1,0)</f>
        <v>0</v>
      </c>
      <c r="AN45" s="298" cm="1">
        <f t="array" ref="AN45">IF(AND(AN$2&lt;&gt;0,TblTech[[#This Row],[Hour]:[Hour]]&gt;=AN$2),1,0)</f>
        <v>0</v>
      </c>
      <c r="AO45" s="298" cm="1">
        <f t="array" ref="AO45">IF(AND(AO$2&lt;&gt;0,TblTech[[#This Row],[Hour]:[Hour]]&gt;=AO$2),1,0)</f>
        <v>0</v>
      </c>
      <c r="AP45" s="298" cm="1">
        <f t="array" ref="AP45">IF(AND(AP$2&lt;&gt;0,TblTech[[#This Row],[Hour]:[Hour]]&gt;=AP$2),1,0)</f>
        <v>0</v>
      </c>
      <c r="AQ45" s="298" cm="1">
        <f t="array" ref="AQ45">IF(AND(AQ$2&lt;&gt;0,TblTech[[#This Row],[Hour]:[Hour]]&gt;=AQ$2),1,0)</f>
        <v>0</v>
      </c>
      <c r="AR45" s="298" cm="1">
        <f t="array" ref="AR45">IF(AND(AR$2&lt;&gt;0,TblTech[[#This Row],[Hour]:[Hour]]&gt;=AR$2),1,0)</f>
        <v>0</v>
      </c>
      <c r="AS45" s="298" cm="1">
        <f t="array" ref="AS45">IF(AND(AS$2&lt;&gt;0,TblTech[[#This Row],[Hour]:[Hour]]&gt;=AS$2),1,0)</f>
        <v>0</v>
      </c>
      <c r="AT45" s="298" cm="1">
        <f t="array" ref="AT45">IF(AND(AT$2&lt;&gt;0,TblTech[[#This Row],[Hour]:[Hour]]&gt;=AT$2),1,0)</f>
        <v>0</v>
      </c>
      <c r="AU45" s="298" cm="1">
        <f t="array" ref="AU45">IF(AND(AU$2&lt;&gt;0,TblTech[[#This Row],[Hour]:[Hour]]&gt;=AU$2),1,0)</f>
        <v>0</v>
      </c>
      <c r="AV45" s="298" cm="1">
        <f t="array" ref="AV45">IF(AND(AV$2&lt;&gt;0,TblTech[[#This Row],[Hour]:[Hour]]&gt;=AV$2),1,0)</f>
        <v>0</v>
      </c>
      <c r="AW45" s="298" cm="1">
        <f t="array" ref="AW45">IF(AND(AW$2&lt;&gt;0,TblTech[[#This Row],[Hour]:[Hour]]&gt;=AW$2),1,0)</f>
        <v>0</v>
      </c>
      <c r="AX45" s="298" cm="1">
        <f t="array" ref="AX45">IF(AND(AX$2&lt;&gt;0,TblTech[[#This Row],[Hour]:[Hour]]&gt;=AX$2),1,0)</f>
        <v>0</v>
      </c>
      <c r="AY45" s="298" cm="1">
        <f t="array" ref="AY45">IF(AND(AY$2&lt;&gt;0,TblTech[[#This Row],[Hour]:[Hour]]&gt;=AY$2),1,0)</f>
        <v>0</v>
      </c>
      <c r="AZ45" s="298" cm="1">
        <f t="array" ref="AZ45">IF(AND(AZ$2&lt;&gt;0,TblTech[[#This Row],[Hour]:[Hour]]&gt;=AZ$2),1,0)</f>
        <v>0</v>
      </c>
      <c r="BA45" s="298" cm="1">
        <f t="array" ref="BA45">IF(AND(BA$2&lt;&gt;0,TblTech[[#This Row],[Hour]:[Hour]]&gt;=BA$2),1,0)</f>
        <v>0</v>
      </c>
      <c r="BB45" s="298" cm="1">
        <f t="array" ref="BB45">IF(AND(BB$2&lt;&gt;0,TblTech[[#This Row],[Hour]:[Hour]]&gt;=BB$2),1,0)</f>
        <v>0</v>
      </c>
      <c r="BC45" s="298" cm="1">
        <f t="array" ref="BC45">IF(AND(BC$2&lt;&gt;0,TblTech[[#This Row],[Hour]:[Hour]]&gt;=BC$2),1,0)</f>
        <v>0</v>
      </c>
      <c r="BD45" s="298" cm="1">
        <f t="array" ref="BD45">IF(AND(BD$2&lt;&gt;0,TblTech[[#This Row],[Hour]:[Hour]]&gt;=BD$2),1,0)</f>
        <v>0</v>
      </c>
      <c r="BE45" s="298" cm="1">
        <f t="array" ref="BE45">IF(AND(BE$2&lt;&gt;0,TblTech[[#This Row],[Hour]:[Hour]]&gt;=BE$2),1,0)</f>
        <v>0</v>
      </c>
      <c r="BF45" s="298" cm="1">
        <f t="array" ref="BF45">IF(AND(BF$2&lt;&gt;0,TblTech[[#This Row],[Hour]:[Hour]]&gt;=BF$2),1,0)</f>
        <v>0</v>
      </c>
      <c r="BG45" s="298" cm="1">
        <f t="array" ref="BG45">IF(AND(BG$2&lt;&gt;0,TblTech[[#This Row],[Hour]:[Hour]]&gt;=BG$2),1,0)</f>
        <v>0</v>
      </c>
      <c r="BH45" s="298" cm="1">
        <f t="array" ref="BH45">IF(AND(BH$2&lt;&gt;0,TblTech[[#This Row],[Hour]:[Hour]]&gt;=BH$2),1,0)</f>
        <v>0</v>
      </c>
      <c r="BI45" s="298" cm="1">
        <f t="array" ref="BI45">IF(AND(BI$2&lt;&gt;0,TblTech[[#This Row],[Hour]:[Hour]]&gt;=BI$2),1,0)</f>
        <v>0</v>
      </c>
      <c r="BJ45" s="298" cm="1">
        <f t="array" ref="BJ45">IF(AND(BJ$2&lt;&gt;0,TblTech[[#This Row],[Hour]:[Hour]]&gt;=BJ$2),1,0)</f>
        <v>0</v>
      </c>
      <c r="BK45" s="298" cm="1">
        <f t="array" ref="BK45">IF(AND(BK$2&lt;&gt;0,TblTech[[#This Row],[Hour]:[Hour]]&gt;=BK$2),1,0)</f>
        <v>0</v>
      </c>
      <c r="BL45" s="298" cm="1">
        <f t="array" ref="BL45">IF(AND(BL$2&lt;&gt;0,TblTech[[#This Row],[Hour]:[Hour]]&gt;=BL$2),1,0)</f>
        <v>0</v>
      </c>
      <c r="BM45" s="298" cm="1">
        <f t="array" ref="BM45">IF(AND(BM$2&lt;&gt;0,TblTech[[#This Row],[Hour]:[Hour]]&gt;=BM$2),1,0)</f>
        <v>0</v>
      </c>
      <c r="BN45" s="298" cm="1">
        <f t="array" ref="BN45">IF(AND(BN$2&lt;&gt;0,TblTech[[#This Row],[Hour]:[Hour]]&gt;=BN$2),1,0)</f>
        <v>0</v>
      </c>
      <c r="BO45" s="298" cm="1">
        <f t="array" ref="BO45">IF(AND(BO$2&lt;&gt;0,TblTech[[#This Row],[Hour]:[Hour]]&gt;=BO$2),1,0)</f>
        <v>0</v>
      </c>
      <c r="BP45" s="298" cm="1">
        <f t="array" ref="BP45">IF(AND(BP$2&lt;&gt;0,TblTech[[#This Row],[Hour]:[Hour]]&gt;=BP$2),1,0)</f>
        <v>0</v>
      </c>
      <c r="BQ45" s="298" cm="1">
        <f t="array" ref="BQ45">IF(AND(BQ$2&lt;&gt;0,TblTech[[#This Row],[Hour]:[Hour]]&gt;=BQ$2),1,0)</f>
        <v>0</v>
      </c>
      <c r="BR45" s="298" cm="1">
        <f t="array" ref="BR45">IF(AND(BR$2&lt;&gt;0,TblTech[[#This Row],[Hour]:[Hour]]&gt;=BR$2),1,0)</f>
        <v>0</v>
      </c>
      <c r="BS45" s="298" cm="1">
        <f t="array" ref="BS45">IF(AND(BS$2&lt;&gt;0,TblTech[[#This Row],[Hour]:[Hour]]&gt;=BS$2),1,0)</f>
        <v>0</v>
      </c>
      <c r="BT45" s="298" cm="1">
        <f t="array" ref="BT45">IF(AND(BT$2&lt;&gt;0,TblTech[[#This Row],[Hour]:[Hour]]&gt;=BT$2),1,0)</f>
        <v>0</v>
      </c>
      <c r="BU45" s="298" cm="1">
        <f t="array" ref="BU45">IF(AND(BU$2&lt;&gt;0,TblTech[[#This Row],[Hour]:[Hour]]&gt;=BU$2),1,0)</f>
        <v>0</v>
      </c>
      <c r="BV45" s="298" cm="1">
        <f t="array" ref="BV45">IF(AND(BV$2&lt;&gt;0,TblTech[[#This Row],[Hour]:[Hour]]&gt;=BV$2),1,0)</f>
        <v>0</v>
      </c>
      <c r="BW45" s="298" cm="1">
        <f t="array" ref="BW45">IF(AND(BW$2&lt;&gt;0,TblTech[[#This Row],[Hour]:[Hour]]&gt;=BW$2),1,0)</f>
        <v>0</v>
      </c>
      <c r="BX45" s="298" cm="1">
        <f t="array" ref="BX45">IF(AND(BX$2&lt;&gt;0,TblTech[[#This Row],[Hour]:[Hour]]&gt;=BX$2),1,0)</f>
        <v>0</v>
      </c>
      <c r="BY45" s="298" cm="1">
        <f t="array" ref="BY45">IF(AND(BY$2&lt;&gt;0,TblTech[[#This Row],[Hour]:[Hour]]&gt;=BY$2),1,0)</f>
        <v>0</v>
      </c>
      <c r="BZ45" s="298" cm="1">
        <f t="array" ref="BZ45">IF(AND(BZ$2&lt;&gt;0,TblTech[[#This Row],[Hour]:[Hour]]&gt;=BZ$2),1,0)</f>
        <v>0</v>
      </c>
      <c r="CA45" s="402">
        <f>IFERROR(INDEX($H$4:$H$79,MATCH(INDEX(TblTech[[#Headers],[1-1]:[11-1]],1,MATCH(TblTech[[#This Row],[Hour]],$M$2:$BZ$2,0)),$G$4:$G$79,0)),)</f>
        <v>0</v>
      </c>
    </row>
    <row r="46" spans="1:79" x14ac:dyDescent="0.2">
      <c r="A46" s="290">
        <f>TblRezone[[#This Row],[Hour]]</f>
        <v>43</v>
      </c>
      <c r="B46" s="291">
        <f ca="1">TblExplore[[#This Row],[Land-DB]]</f>
        <v>250</v>
      </c>
      <c r="C46" s="292">
        <f ca="1">TblProd[[#This Row],[Techpoints]]</f>
        <v>0</v>
      </c>
      <c r="D46" s="292">
        <f ca="1">TblProd[[#This Row],[Required]]</f>
        <v>3750</v>
      </c>
      <c r="E46" s="293"/>
      <c r="F46" s="294"/>
      <c r="G46" s="295" t="s">
        <v>587</v>
      </c>
      <c r="H46" s="296" t="s">
        <v>712</v>
      </c>
      <c r="I46" s="295" t="s">
        <v>1052</v>
      </c>
      <c r="J46" s="291"/>
      <c r="K46" s="95">
        <f ca="1">IF(TblTech[[#This Row],[Sum of tech]]&lt;&gt;OFFSET(TblTech[[#This Row],[Sum of tech]],-1,0),1,0)</f>
        <v>0</v>
      </c>
      <c r="L46" s="297">
        <f>COUNTIF(TblTech[[#This Row],[1-1]:[11-1]],1)</f>
        <v>0</v>
      </c>
      <c r="M46" s="298" cm="1">
        <f t="array" ref="M46">IF(AND(M$2&lt;&gt;0,TblTech[[#This Row],[Hour]:[Hour]]&gt;=M$2),1,0)</f>
        <v>0</v>
      </c>
      <c r="N46" s="298" cm="1">
        <f t="array" ref="N46">IF(AND(N$2&lt;&gt;0,TblTech[[#This Row],[Hour]:[Hour]]&gt;=N$2),1,0)</f>
        <v>0</v>
      </c>
      <c r="O46" s="298" cm="1">
        <f t="array" ref="O46">IF(AND(O$2&lt;&gt;0,TblTech[[#This Row],[Hour]:[Hour]]&gt;=O$2),1,0)</f>
        <v>0</v>
      </c>
      <c r="P46" s="298" cm="1">
        <f t="array" ref="P46">IF(AND(P$2&lt;&gt;0,TblTech[[#This Row],[Hour]:[Hour]]&gt;=P$2),1,0)</f>
        <v>0</v>
      </c>
      <c r="Q46" s="298" cm="1">
        <f t="array" ref="Q46">IF(AND(Q$2&lt;&gt;0,TblTech[[#This Row],[Hour]:[Hour]]&gt;=Q$2),1,0)</f>
        <v>0</v>
      </c>
      <c r="R46" s="298" cm="1">
        <f t="array" ref="R46">IF(AND(R$2&lt;&gt;0,TblTech[[#This Row],[Hour]:[Hour]]&gt;=R$2),1,0)</f>
        <v>0</v>
      </c>
      <c r="S46" s="298" cm="1">
        <f t="array" ref="S46">IF(AND(S$2&lt;&gt;0,TblTech[[#This Row],[Hour]:[Hour]]&gt;=S$2),1,0)</f>
        <v>0</v>
      </c>
      <c r="T46" s="298" cm="1">
        <f t="array" ref="T46">IF(AND(T$2&lt;&gt;0,TblTech[[#This Row],[Hour]:[Hour]]&gt;=T$2),1,0)</f>
        <v>0</v>
      </c>
      <c r="U46" s="298" cm="1">
        <f t="array" ref="U46">IF(AND(U$2&lt;&gt;0,TblTech[[#This Row],[Hour]:[Hour]]&gt;=U$2),1,0)</f>
        <v>0</v>
      </c>
      <c r="V46" s="298" cm="1">
        <f t="array" ref="V46">IF(AND(V$2&lt;&gt;0,TblTech[[#This Row],[Hour]:[Hour]]&gt;=V$2),1,0)</f>
        <v>0</v>
      </c>
      <c r="W46" s="298" cm="1">
        <f t="array" ref="W46">IF(AND(W$2&lt;&gt;0,TblTech[[#This Row],[Hour]:[Hour]]&gt;=W$2),1,0)</f>
        <v>0</v>
      </c>
      <c r="X46" s="298" cm="1">
        <f t="array" ref="X46">IF(AND(X$2&lt;&gt;0,TblTech[[#This Row],[Hour]:[Hour]]&gt;=X$2),1,0)</f>
        <v>0</v>
      </c>
      <c r="Y46" s="298" cm="1">
        <f t="array" ref="Y46">IF(AND(Y$2&lt;&gt;0,TblTech[[#This Row],[Hour]:[Hour]]&gt;=Y$2),1,0)</f>
        <v>0</v>
      </c>
      <c r="Z46" s="298" cm="1">
        <f t="array" ref="Z46">IF(AND(Z$2&lt;&gt;0,TblTech[[#This Row],[Hour]:[Hour]]&gt;=Z$2),1,0)</f>
        <v>0</v>
      </c>
      <c r="AA46" s="298" cm="1">
        <f t="array" ref="AA46">IF(AND(AA$2&lt;&gt;0,TblTech[[#This Row],[Hour]:[Hour]]&gt;=AA$2),1,0)</f>
        <v>0</v>
      </c>
      <c r="AB46" s="298" cm="1">
        <f t="array" ref="AB46">IF(AND(AB$2&lt;&gt;0,TblTech[[#This Row],[Hour]:[Hour]]&gt;=AB$2),1,0)</f>
        <v>0</v>
      </c>
      <c r="AC46" s="298" cm="1">
        <f t="array" ref="AC46">IF(AND(AC$2&lt;&gt;0,TblTech[[#This Row],[Hour]:[Hour]]&gt;=AC$2),1,0)</f>
        <v>0</v>
      </c>
      <c r="AD46" s="298" cm="1">
        <f t="array" ref="AD46">IF(AND(AD$2&lt;&gt;0,TblTech[[#This Row],[Hour]:[Hour]]&gt;=AD$2),1,0)</f>
        <v>0</v>
      </c>
      <c r="AE46" s="298" cm="1">
        <f t="array" ref="AE46">IF(AND(AE$2&lt;&gt;0,TblTech[[#This Row],[Hour]:[Hour]]&gt;=AE$2),1,0)</f>
        <v>0</v>
      </c>
      <c r="AF46" s="298" cm="1">
        <f t="array" ref="AF46">IF(AND(AF$2&lt;&gt;0,TblTech[[#This Row],[Hour]:[Hour]]&gt;=AF$2),1,0)</f>
        <v>0</v>
      </c>
      <c r="AG46" s="298" cm="1">
        <f t="array" ref="AG46">IF(AND(AG$2&lt;&gt;0,TblTech[[#This Row],[Hour]:[Hour]]&gt;=AG$2),1,0)</f>
        <v>0</v>
      </c>
      <c r="AH46" s="298" cm="1">
        <f t="array" ref="AH46">IF(AND(AH$2&lt;&gt;0,TblTech[[#This Row],[Hour]:[Hour]]&gt;=AH$2),1,0)</f>
        <v>0</v>
      </c>
      <c r="AI46" s="298" cm="1">
        <f t="array" ref="AI46">IF(AND(AI$2&lt;&gt;0,TblTech[[#This Row],[Hour]:[Hour]]&gt;=AI$2),1,0)</f>
        <v>0</v>
      </c>
      <c r="AJ46" s="298" cm="1">
        <f t="array" ref="AJ46">IF(AND(AJ$2&lt;&gt;0,TblTech[[#This Row],[Hour]:[Hour]]&gt;=AJ$2),1,0)</f>
        <v>0</v>
      </c>
      <c r="AK46" s="298" cm="1">
        <f t="array" ref="AK46">IF(AND(AK$2&lt;&gt;0,TblTech[[#This Row],[Hour]:[Hour]]&gt;=AK$2),1,0)</f>
        <v>0</v>
      </c>
      <c r="AL46" s="298" cm="1">
        <f t="array" ref="AL46">IF(AND(AL$2&lt;&gt;0,TblTech[[#This Row],[Hour]:[Hour]]&gt;=AL$2),1,0)</f>
        <v>0</v>
      </c>
      <c r="AM46" s="298" cm="1">
        <f t="array" ref="AM46">IF(AND(AM$2&lt;&gt;0,TblTech[[#This Row],[Hour]:[Hour]]&gt;=AM$2),1,0)</f>
        <v>0</v>
      </c>
      <c r="AN46" s="298" cm="1">
        <f t="array" ref="AN46">IF(AND(AN$2&lt;&gt;0,TblTech[[#This Row],[Hour]:[Hour]]&gt;=AN$2),1,0)</f>
        <v>0</v>
      </c>
      <c r="AO46" s="298" cm="1">
        <f t="array" ref="AO46">IF(AND(AO$2&lt;&gt;0,TblTech[[#This Row],[Hour]:[Hour]]&gt;=AO$2),1,0)</f>
        <v>0</v>
      </c>
      <c r="AP46" s="298" cm="1">
        <f t="array" ref="AP46">IF(AND(AP$2&lt;&gt;0,TblTech[[#This Row],[Hour]:[Hour]]&gt;=AP$2),1,0)</f>
        <v>0</v>
      </c>
      <c r="AQ46" s="298" cm="1">
        <f t="array" ref="AQ46">IF(AND(AQ$2&lt;&gt;0,TblTech[[#This Row],[Hour]:[Hour]]&gt;=AQ$2),1,0)</f>
        <v>0</v>
      </c>
      <c r="AR46" s="298" cm="1">
        <f t="array" ref="AR46">IF(AND(AR$2&lt;&gt;0,TblTech[[#This Row],[Hour]:[Hour]]&gt;=AR$2),1,0)</f>
        <v>0</v>
      </c>
      <c r="AS46" s="298" cm="1">
        <f t="array" ref="AS46">IF(AND(AS$2&lt;&gt;0,TblTech[[#This Row],[Hour]:[Hour]]&gt;=AS$2),1,0)</f>
        <v>0</v>
      </c>
      <c r="AT46" s="298" cm="1">
        <f t="array" ref="AT46">IF(AND(AT$2&lt;&gt;0,TblTech[[#This Row],[Hour]:[Hour]]&gt;=AT$2),1,0)</f>
        <v>0</v>
      </c>
      <c r="AU46" s="298" cm="1">
        <f t="array" ref="AU46">IF(AND(AU$2&lt;&gt;0,TblTech[[#This Row],[Hour]:[Hour]]&gt;=AU$2),1,0)</f>
        <v>0</v>
      </c>
      <c r="AV46" s="298" cm="1">
        <f t="array" ref="AV46">IF(AND(AV$2&lt;&gt;0,TblTech[[#This Row],[Hour]:[Hour]]&gt;=AV$2),1,0)</f>
        <v>0</v>
      </c>
      <c r="AW46" s="298" cm="1">
        <f t="array" ref="AW46">IF(AND(AW$2&lt;&gt;0,TblTech[[#This Row],[Hour]:[Hour]]&gt;=AW$2),1,0)</f>
        <v>0</v>
      </c>
      <c r="AX46" s="298" cm="1">
        <f t="array" ref="AX46">IF(AND(AX$2&lt;&gt;0,TblTech[[#This Row],[Hour]:[Hour]]&gt;=AX$2),1,0)</f>
        <v>0</v>
      </c>
      <c r="AY46" s="298" cm="1">
        <f t="array" ref="AY46">IF(AND(AY$2&lt;&gt;0,TblTech[[#This Row],[Hour]:[Hour]]&gt;=AY$2),1,0)</f>
        <v>0</v>
      </c>
      <c r="AZ46" s="298" cm="1">
        <f t="array" ref="AZ46">IF(AND(AZ$2&lt;&gt;0,TblTech[[#This Row],[Hour]:[Hour]]&gt;=AZ$2),1,0)</f>
        <v>0</v>
      </c>
      <c r="BA46" s="298" cm="1">
        <f t="array" ref="BA46">IF(AND(BA$2&lt;&gt;0,TblTech[[#This Row],[Hour]:[Hour]]&gt;=BA$2),1,0)</f>
        <v>0</v>
      </c>
      <c r="BB46" s="298" cm="1">
        <f t="array" ref="BB46">IF(AND(BB$2&lt;&gt;0,TblTech[[#This Row],[Hour]:[Hour]]&gt;=BB$2),1,0)</f>
        <v>0</v>
      </c>
      <c r="BC46" s="298" cm="1">
        <f t="array" ref="BC46">IF(AND(BC$2&lt;&gt;0,TblTech[[#This Row],[Hour]:[Hour]]&gt;=BC$2),1,0)</f>
        <v>0</v>
      </c>
      <c r="BD46" s="298" cm="1">
        <f t="array" ref="BD46">IF(AND(BD$2&lt;&gt;0,TblTech[[#This Row],[Hour]:[Hour]]&gt;=BD$2),1,0)</f>
        <v>0</v>
      </c>
      <c r="BE46" s="298" cm="1">
        <f t="array" ref="BE46">IF(AND(BE$2&lt;&gt;0,TblTech[[#This Row],[Hour]:[Hour]]&gt;=BE$2),1,0)</f>
        <v>0</v>
      </c>
      <c r="BF46" s="298" cm="1">
        <f t="array" ref="BF46">IF(AND(BF$2&lt;&gt;0,TblTech[[#This Row],[Hour]:[Hour]]&gt;=BF$2),1,0)</f>
        <v>0</v>
      </c>
      <c r="BG46" s="298" cm="1">
        <f t="array" ref="BG46">IF(AND(BG$2&lt;&gt;0,TblTech[[#This Row],[Hour]:[Hour]]&gt;=BG$2),1,0)</f>
        <v>0</v>
      </c>
      <c r="BH46" s="298" cm="1">
        <f t="array" ref="BH46">IF(AND(BH$2&lt;&gt;0,TblTech[[#This Row],[Hour]:[Hour]]&gt;=BH$2),1,0)</f>
        <v>0</v>
      </c>
      <c r="BI46" s="298" cm="1">
        <f t="array" ref="BI46">IF(AND(BI$2&lt;&gt;0,TblTech[[#This Row],[Hour]:[Hour]]&gt;=BI$2),1,0)</f>
        <v>0</v>
      </c>
      <c r="BJ46" s="298" cm="1">
        <f t="array" ref="BJ46">IF(AND(BJ$2&lt;&gt;0,TblTech[[#This Row],[Hour]:[Hour]]&gt;=BJ$2),1,0)</f>
        <v>0</v>
      </c>
      <c r="BK46" s="298" cm="1">
        <f t="array" ref="BK46">IF(AND(BK$2&lt;&gt;0,TblTech[[#This Row],[Hour]:[Hour]]&gt;=BK$2),1,0)</f>
        <v>0</v>
      </c>
      <c r="BL46" s="298" cm="1">
        <f t="array" ref="BL46">IF(AND(BL$2&lt;&gt;0,TblTech[[#This Row],[Hour]:[Hour]]&gt;=BL$2),1,0)</f>
        <v>0</v>
      </c>
      <c r="BM46" s="298" cm="1">
        <f t="array" ref="BM46">IF(AND(BM$2&lt;&gt;0,TblTech[[#This Row],[Hour]:[Hour]]&gt;=BM$2),1,0)</f>
        <v>0</v>
      </c>
      <c r="BN46" s="298" cm="1">
        <f t="array" ref="BN46">IF(AND(BN$2&lt;&gt;0,TblTech[[#This Row],[Hour]:[Hour]]&gt;=BN$2),1,0)</f>
        <v>0</v>
      </c>
      <c r="BO46" s="298" cm="1">
        <f t="array" ref="BO46">IF(AND(BO$2&lt;&gt;0,TblTech[[#This Row],[Hour]:[Hour]]&gt;=BO$2),1,0)</f>
        <v>0</v>
      </c>
      <c r="BP46" s="298" cm="1">
        <f t="array" ref="BP46">IF(AND(BP$2&lt;&gt;0,TblTech[[#This Row],[Hour]:[Hour]]&gt;=BP$2),1,0)</f>
        <v>0</v>
      </c>
      <c r="BQ46" s="298" cm="1">
        <f t="array" ref="BQ46">IF(AND(BQ$2&lt;&gt;0,TblTech[[#This Row],[Hour]:[Hour]]&gt;=BQ$2),1,0)</f>
        <v>0</v>
      </c>
      <c r="BR46" s="298" cm="1">
        <f t="array" ref="BR46">IF(AND(BR$2&lt;&gt;0,TblTech[[#This Row],[Hour]:[Hour]]&gt;=BR$2),1,0)</f>
        <v>0</v>
      </c>
      <c r="BS46" s="298" cm="1">
        <f t="array" ref="BS46">IF(AND(BS$2&lt;&gt;0,TblTech[[#This Row],[Hour]:[Hour]]&gt;=BS$2),1,0)</f>
        <v>0</v>
      </c>
      <c r="BT46" s="298" cm="1">
        <f t="array" ref="BT46">IF(AND(BT$2&lt;&gt;0,TblTech[[#This Row],[Hour]:[Hour]]&gt;=BT$2),1,0)</f>
        <v>0</v>
      </c>
      <c r="BU46" s="298" cm="1">
        <f t="array" ref="BU46">IF(AND(BU$2&lt;&gt;0,TblTech[[#This Row],[Hour]:[Hour]]&gt;=BU$2),1,0)</f>
        <v>0</v>
      </c>
      <c r="BV46" s="298" cm="1">
        <f t="array" ref="BV46">IF(AND(BV$2&lt;&gt;0,TblTech[[#This Row],[Hour]:[Hour]]&gt;=BV$2),1,0)</f>
        <v>0</v>
      </c>
      <c r="BW46" s="298" cm="1">
        <f t="array" ref="BW46">IF(AND(BW$2&lt;&gt;0,TblTech[[#This Row],[Hour]:[Hour]]&gt;=BW$2),1,0)</f>
        <v>0</v>
      </c>
      <c r="BX46" s="298" cm="1">
        <f t="array" ref="BX46">IF(AND(BX$2&lt;&gt;0,TblTech[[#This Row],[Hour]:[Hour]]&gt;=BX$2),1,0)</f>
        <v>0</v>
      </c>
      <c r="BY46" s="298" cm="1">
        <f t="array" ref="BY46">IF(AND(BY$2&lt;&gt;0,TblTech[[#This Row],[Hour]:[Hour]]&gt;=BY$2),1,0)</f>
        <v>0</v>
      </c>
      <c r="BZ46" s="298" cm="1">
        <f t="array" ref="BZ46">IF(AND(BZ$2&lt;&gt;0,TblTech[[#This Row],[Hour]:[Hour]]&gt;=BZ$2),1,0)</f>
        <v>0</v>
      </c>
      <c r="CA46" s="402">
        <f>IFERROR(INDEX($H$4:$H$79,MATCH(INDEX(TblTech[[#Headers],[1-1]:[11-1]],1,MATCH(TblTech[[#This Row],[Hour]],$M$2:$BZ$2,0)),$G$4:$G$79,0)),)</f>
        <v>0</v>
      </c>
    </row>
    <row r="47" spans="1:79" x14ac:dyDescent="0.2">
      <c r="A47" s="290">
        <f>TblRezone[[#This Row],[Hour]]</f>
        <v>44</v>
      </c>
      <c r="B47" s="291">
        <f ca="1">TblExplore[[#This Row],[Land-DB]]</f>
        <v>250</v>
      </c>
      <c r="C47" s="292">
        <f ca="1">TblProd[[#This Row],[Techpoints]]</f>
        <v>0</v>
      </c>
      <c r="D47" s="292">
        <f ca="1">TblProd[[#This Row],[Required]]</f>
        <v>3750</v>
      </c>
      <c r="E47" s="293"/>
      <c r="F47" s="294"/>
      <c r="G47" s="295" t="s">
        <v>588</v>
      </c>
      <c r="H47" s="296" t="s">
        <v>711</v>
      </c>
      <c r="I47" s="295" t="s">
        <v>1093</v>
      </c>
      <c r="J47" s="291"/>
      <c r="K47" s="95">
        <f ca="1">IF(TblTech[[#This Row],[Sum of tech]]&lt;&gt;OFFSET(TblTech[[#This Row],[Sum of tech]],-1,0),1,0)</f>
        <v>0</v>
      </c>
      <c r="L47" s="297">
        <f>COUNTIF(TblTech[[#This Row],[1-1]:[11-1]],1)</f>
        <v>0</v>
      </c>
      <c r="M47" s="298" cm="1">
        <f t="array" ref="M47">IF(AND(M$2&lt;&gt;0,TblTech[[#This Row],[Hour]:[Hour]]&gt;=M$2),1,0)</f>
        <v>0</v>
      </c>
      <c r="N47" s="298" cm="1">
        <f t="array" ref="N47">IF(AND(N$2&lt;&gt;0,TblTech[[#This Row],[Hour]:[Hour]]&gt;=N$2),1,0)</f>
        <v>0</v>
      </c>
      <c r="O47" s="298" cm="1">
        <f t="array" ref="O47">IF(AND(O$2&lt;&gt;0,TblTech[[#This Row],[Hour]:[Hour]]&gt;=O$2),1,0)</f>
        <v>0</v>
      </c>
      <c r="P47" s="298" cm="1">
        <f t="array" ref="P47">IF(AND(P$2&lt;&gt;0,TblTech[[#This Row],[Hour]:[Hour]]&gt;=P$2),1,0)</f>
        <v>0</v>
      </c>
      <c r="Q47" s="298" cm="1">
        <f t="array" ref="Q47">IF(AND(Q$2&lt;&gt;0,TblTech[[#This Row],[Hour]:[Hour]]&gt;=Q$2),1,0)</f>
        <v>0</v>
      </c>
      <c r="R47" s="298" cm="1">
        <f t="array" ref="R47">IF(AND(R$2&lt;&gt;0,TblTech[[#This Row],[Hour]:[Hour]]&gt;=R$2),1,0)</f>
        <v>0</v>
      </c>
      <c r="S47" s="298" cm="1">
        <f t="array" ref="S47">IF(AND(S$2&lt;&gt;0,TblTech[[#This Row],[Hour]:[Hour]]&gt;=S$2),1,0)</f>
        <v>0</v>
      </c>
      <c r="T47" s="298" cm="1">
        <f t="array" ref="T47">IF(AND(T$2&lt;&gt;0,TblTech[[#This Row],[Hour]:[Hour]]&gt;=T$2),1,0)</f>
        <v>0</v>
      </c>
      <c r="U47" s="298" cm="1">
        <f t="array" ref="U47">IF(AND(U$2&lt;&gt;0,TblTech[[#This Row],[Hour]:[Hour]]&gt;=U$2),1,0)</f>
        <v>0</v>
      </c>
      <c r="V47" s="298" cm="1">
        <f t="array" ref="V47">IF(AND(V$2&lt;&gt;0,TblTech[[#This Row],[Hour]:[Hour]]&gt;=V$2),1,0)</f>
        <v>0</v>
      </c>
      <c r="W47" s="298" cm="1">
        <f t="array" ref="W47">IF(AND(W$2&lt;&gt;0,TblTech[[#This Row],[Hour]:[Hour]]&gt;=W$2),1,0)</f>
        <v>0</v>
      </c>
      <c r="X47" s="298" cm="1">
        <f t="array" ref="X47">IF(AND(X$2&lt;&gt;0,TblTech[[#This Row],[Hour]:[Hour]]&gt;=X$2),1,0)</f>
        <v>0</v>
      </c>
      <c r="Y47" s="298" cm="1">
        <f t="array" ref="Y47">IF(AND(Y$2&lt;&gt;0,TblTech[[#This Row],[Hour]:[Hour]]&gt;=Y$2),1,0)</f>
        <v>0</v>
      </c>
      <c r="Z47" s="298" cm="1">
        <f t="array" ref="Z47">IF(AND(Z$2&lt;&gt;0,TblTech[[#This Row],[Hour]:[Hour]]&gt;=Z$2),1,0)</f>
        <v>0</v>
      </c>
      <c r="AA47" s="298" cm="1">
        <f t="array" ref="AA47">IF(AND(AA$2&lt;&gt;0,TblTech[[#This Row],[Hour]:[Hour]]&gt;=AA$2),1,0)</f>
        <v>0</v>
      </c>
      <c r="AB47" s="298" cm="1">
        <f t="array" ref="AB47">IF(AND(AB$2&lt;&gt;0,TblTech[[#This Row],[Hour]:[Hour]]&gt;=AB$2),1,0)</f>
        <v>0</v>
      </c>
      <c r="AC47" s="298" cm="1">
        <f t="array" ref="AC47">IF(AND(AC$2&lt;&gt;0,TblTech[[#This Row],[Hour]:[Hour]]&gt;=AC$2),1,0)</f>
        <v>0</v>
      </c>
      <c r="AD47" s="298" cm="1">
        <f t="array" ref="AD47">IF(AND(AD$2&lt;&gt;0,TblTech[[#This Row],[Hour]:[Hour]]&gt;=AD$2),1,0)</f>
        <v>0</v>
      </c>
      <c r="AE47" s="298" cm="1">
        <f t="array" ref="AE47">IF(AND(AE$2&lt;&gt;0,TblTech[[#This Row],[Hour]:[Hour]]&gt;=AE$2),1,0)</f>
        <v>0</v>
      </c>
      <c r="AF47" s="298" cm="1">
        <f t="array" ref="AF47">IF(AND(AF$2&lt;&gt;0,TblTech[[#This Row],[Hour]:[Hour]]&gt;=AF$2),1,0)</f>
        <v>0</v>
      </c>
      <c r="AG47" s="298" cm="1">
        <f t="array" ref="AG47">IF(AND(AG$2&lt;&gt;0,TblTech[[#This Row],[Hour]:[Hour]]&gt;=AG$2),1,0)</f>
        <v>0</v>
      </c>
      <c r="AH47" s="298" cm="1">
        <f t="array" ref="AH47">IF(AND(AH$2&lt;&gt;0,TblTech[[#This Row],[Hour]:[Hour]]&gt;=AH$2),1,0)</f>
        <v>0</v>
      </c>
      <c r="AI47" s="298" cm="1">
        <f t="array" ref="AI47">IF(AND(AI$2&lt;&gt;0,TblTech[[#This Row],[Hour]:[Hour]]&gt;=AI$2),1,0)</f>
        <v>0</v>
      </c>
      <c r="AJ47" s="298" cm="1">
        <f t="array" ref="AJ47">IF(AND(AJ$2&lt;&gt;0,TblTech[[#This Row],[Hour]:[Hour]]&gt;=AJ$2),1,0)</f>
        <v>0</v>
      </c>
      <c r="AK47" s="298" cm="1">
        <f t="array" ref="AK47">IF(AND(AK$2&lt;&gt;0,TblTech[[#This Row],[Hour]:[Hour]]&gt;=AK$2),1,0)</f>
        <v>0</v>
      </c>
      <c r="AL47" s="298" cm="1">
        <f t="array" ref="AL47">IF(AND(AL$2&lt;&gt;0,TblTech[[#This Row],[Hour]:[Hour]]&gt;=AL$2),1,0)</f>
        <v>0</v>
      </c>
      <c r="AM47" s="298" cm="1">
        <f t="array" ref="AM47">IF(AND(AM$2&lt;&gt;0,TblTech[[#This Row],[Hour]:[Hour]]&gt;=AM$2),1,0)</f>
        <v>0</v>
      </c>
      <c r="AN47" s="298" cm="1">
        <f t="array" ref="AN47">IF(AND(AN$2&lt;&gt;0,TblTech[[#This Row],[Hour]:[Hour]]&gt;=AN$2),1,0)</f>
        <v>0</v>
      </c>
      <c r="AO47" s="298" cm="1">
        <f t="array" ref="AO47">IF(AND(AO$2&lt;&gt;0,TblTech[[#This Row],[Hour]:[Hour]]&gt;=AO$2),1,0)</f>
        <v>0</v>
      </c>
      <c r="AP47" s="298" cm="1">
        <f t="array" ref="AP47">IF(AND(AP$2&lt;&gt;0,TblTech[[#This Row],[Hour]:[Hour]]&gt;=AP$2),1,0)</f>
        <v>0</v>
      </c>
      <c r="AQ47" s="298" cm="1">
        <f t="array" ref="AQ47">IF(AND(AQ$2&lt;&gt;0,TblTech[[#This Row],[Hour]:[Hour]]&gt;=AQ$2),1,0)</f>
        <v>0</v>
      </c>
      <c r="AR47" s="298" cm="1">
        <f t="array" ref="AR47">IF(AND(AR$2&lt;&gt;0,TblTech[[#This Row],[Hour]:[Hour]]&gt;=AR$2),1,0)</f>
        <v>0</v>
      </c>
      <c r="AS47" s="298" cm="1">
        <f t="array" ref="AS47">IF(AND(AS$2&lt;&gt;0,TblTech[[#This Row],[Hour]:[Hour]]&gt;=AS$2),1,0)</f>
        <v>0</v>
      </c>
      <c r="AT47" s="298" cm="1">
        <f t="array" ref="AT47">IF(AND(AT$2&lt;&gt;0,TblTech[[#This Row],[Hour]:[Hour]]&gt;=AT$2),1,0)</f>
        <v>0</v>
      </c>
      <c r="AU47" s="298" cm="1">
        <f t="array" ref="AU47">IF(AND(AU$2&lt;&gt;0,TblTech[[#This Row],[Hour]:[Hour]]&gt;=AU$2),1,0)</f>
        <v>0</v>
      </c>
      <c r="AV47" s="298" cm="1">
        <f t="array" ref="AV47">IF(AND(AV$2&lt;&gt;0,TblTech[[#This Row],[Hour]:[Hour]]&gt;=AV$2),1,0)</f>
        <v>0</v>
      </c>
      <c r="AW47" s="298" cm="1">
        <f t="array" ref="AW47">IF(AND(AW$2&lt;&gt;0,TblTech[[#This Row],[Hour]:[Hour]]&gt;=AW$2),1,0)</f>
        <v>0</v>
      </c>
      <c r="AX47" s="298" cm="1">
        <f t="array" ref="AX47">IF(AND(AX$2&lt;&gt;0,TblTech[[#This Row],[Hour]:[Hour]]&gt;=AX$2),1,0)</f>
        <v>0</v>
      </c>
      <c r="AY47" s="298" cm="1">
        <f t="array" ref="AY47">IF(AND(AY$2&lt;&gt;0,TblTech[[#This Row],[Hour]:[Hour]]&gt;=AY$2),1,0)</f>
        <v>0</v>
      </c>
      <c r="AZ47" s="298" cm="1">
        <f t="array" ref="AZ47">IF(AND(AZ$2&lt;&gt;0,TblTech[[#This Row],[Hour]:[Hour]]&gt;=AZ$2),1,0)</f>
        <v>0</v>
      </c>
      <c r="BA47" s="298" cm="1">
        <f t="array" ref="BA47">IF(AND(BA$2&lt;&gt;0,TblTech[[#This Row],[Hour]:[Hour]]&gt;=BA$2),1,0)</f>
        <v>0</v>
      </c>
      <c r="BB47" s="298" cm="1">
        <f t="array" ref="BB47">IF(AND(BB$2&lt;&gt;0,TblTech[[#This Row],[Hour]:[Hour]]&gt;=BB$2),1,0)</f>
        <v>0</v>
      </c>
      <c r="BC47" s="298" cm="1">
        <f t="array" ref="BC47">IF(AND(BC$2&lt;&gt;0,TblTech[[#This Row],[Hour]:[Hour]]&gt;=BC$2),1,0)</f>
        <v>0</v>
      </c>
      <c r="BD47" s="298" cm="1">
        <f t="array" ref="BD47">IF(AND(BD$2&lt;&gt;0,TblTech[[#This Row],[Hour]:[Hour]]&gt;=BD$2),1,0)</f>
        <v>0</v>
      </c>
      <c r="BE47" s="298" cm="1">
        <f t="array" ref="BE47">IF(AND(BE$2&lt;&gt;0,TblTech[[#This Row],[Hour]:[Hour]]&gt;=BE$2),1,0)</f>
        <v>0</v>
      </c>
      <c r="BF47" s="298" cm="1">
        <f t="array" ref="BF47">IF(AND(BF$2&lt;&gt;0,TblTech[[#This Row],[Hour]:[Hour]]&gt;=BF$2),1,0)</f>
        <v>0</v>
      </c>
      <c r="BG47" s="298" cm="1">
        <f t="array" ref="BG47">IF(AND(BG$2&lt;&gt;0,TblTech[[#This Row],[Hour]:[Hour]]&gt;=BG$2),1,0)</f>
        <v>0</v>
      </c>
      <c r="BH47" s="298" cm="1">
        <f t="array" ref="BH47">IF(AND(BH$2&lt;&gt;0,TblTech[[#This Row],[Hour]:[Hour]]&gt;=BH$2),1,0)</f>
        <v>0</v>
      </c>
      <c r="BI47" s="298" cm="1">
        <f t="array" ref="BI47">IF(AND(BI$2&lt;&gt;0,TblTech[[#This Row],[Hour]:[Hour]]&gt;=BI$2),1,0)</f>
        <v>0</v>
      </c>
      <c r="BJ47" s="298" cm="1">
        <f t="array" ref="BJ47">IF(AND(BJ$2&lt;&gt;0,TblTech[[#This Row],[Hour]:[Hour]]&gt;=BJ$2),1,0)</f>
        <v>0</v>
      </c>
      <c r="BK47" s="298" cm="1">
        <f t="array" ref="BK47">IF(AND(BK$2&lt;&gt;0,TblTech[[#This Row],[Hour]:[Hour]]&gt;=BK$2),1,0)</f>
        <v>0</v>
      </c>
      <c r="BL47" s="298" cm="1">
        <f t="array" ref="BL47">IF(AND(BL$2&lt;&gt;0,TblTech[[#This Row],[Hour]:[Hour]]&gt;=BL$2),1,0)</f>
        <v>0</v>
      </c>
      <c r="BM47" s="298" cm="1">
        <f t="array" ref="BM47">IF(AND(BM$2&lt;&gt;0,TblTech[[#This Row],[Hour]:[Hour]]&gt;=BM$2),1,0)</f>
        <v>0</v>
      </c>
      <c r="BN47" s="298" cm="1">
        <f t="array" ref="BN47">IF(AND(BN$2&lt;&gt;0,TblTech[[#This Row],[Hour]:[Hour]]&gt;=BN$2),1,0)</f>
        <v>0</v>
      </c>
      <c r="BO47" s="298" cm="1">
        <f t="array" ref="BO47">IF(AND(BO$2&lt;&gt;0,TblTech[[#This Row],[Hour]:[Hour]]&gt;=BO$2),1,0)</f>
        <v>0</v>
      </c>
      <c r="BP47" s="298" cm="1">
        <f t="array" ref="BP47">IF(AND(BP$2&lt;&gt;0,TblTech[[#This Row],[Hour]:[Hour]]&gt;=BP$2),1,0)</f>
        <v>0</v>
      </c>
      <c r="BQ47" s="298" cm="1">
        <f t="array" ref="BQ47">IF(AND(BQ$2&lt;&gt;0,TblTech[[#This Row],[Hour]:[Hour]]&gt;=BQ$2),1,0)</f>
        <v>0</v>
      </c>
      <c r="BR47" s="298" cm="1">
        <f t="array" ref="BR47">IF(AND(BR$2&lt;&gt;0,TblTech[[#This Row],[Hour]:[Hour]]&gt;=BR$2),1,0)</f>
        <v>0</v>
      </c>
      <c r="BS47" s="298" cm="1">
        <f t="array" ref="BS47">IF(AND(BS$2&lt;&gt;0,TblTech[[#This Row],[Hour]:[Hour]]&gt;=BS$2),1,0)</f>
        <v>0</v>
      </c>
      <c r="BT47" s="298" cm="1">
        <f t="array" ref="BT47">IF(AND(BT$2&lt;&gt;0,TblTech[[#This Row],[Hour]:[Hour]]&gt;=BT$2),1,0)</f>
        <v>0</v>
      </c>
      <c r="BU47" s="298" cm="1">
        <f t="array" ref="BU47">IF(AND(BU$2&lt;&gt;0,TblTech[[#This Row],[Hour]:[Hour]]&gt;=BU$2),1,0)</f>
        <v>0</v>
      </c>
      <c r="BV47" s="298" cm="1">
        <f t="array" ref="BV47">IF(AND(BV$2&lt;&gt;0,TblTech[[#This Row],[Hour]:[Hour]]&gt;=BV$2),1,0)</f>
        <v>0</v>
      </c>
      <c r="BW47" s="298" cm="1">
        <f t="array" ref="BW47">IF(AND(BW$2&lt;&gt;0,TblTech[[#This Row],[Hour]:[Hour]]&gt;=BW$2),1,0)</f>
        <v>0</v>
      </c>
      <c r="BX47" s="298" cm="1">
        <f t="array" ref="BX47">IF(AND(BX$2&lt;&gt;0,TblTech[[#This Row],[Hour]:[Hour]]&gt;=BX$2),1,0)</f>
        <v>0</v>
      </c>
      <c r="BY47" s="298" cm="1">
        <f t="array" ref="BY47">IF(AND(BY$2&lt;&gt;0,TblTech[[#This Row],[Hour]:[Hour]]&gt;=BY$2),1,0)</f>
        <v>0</v>
      </c>
      <c r="BZ47" s="298" cm="1">
        <f t="array" ref="BZ47">IF(AND(BZ$2&lt;&gt;0,TblTech[[#This Row],[Hour]:[Hour]]&gt;=BZ$2),1,0)</f>
        <v>0</v>
      </c>
      <c r="CA47" s="402">
        <f>IFERROR(INDEX($H$4:$H$79,MATCH(INDEX(TblTech[[#Headers],[1-1]:[11-1]],1,MATCH(TblTech[[#This Row],[Hour]],$M$2:$BZ$2,0)),$G$4:$G$79,0)),)</f>
        <v>0</v>
      </c>
    </row>
    <row r="48" spans="1:79" x14ac:dyDescent="0.2">
      <c r="A48" s="290">
        <f>TblRezone[[#This Row],[Hour]]</f>
        <v>45</v>
      </c>
      <c r="B48" s="291">
        <f ca="1">TblExplore[[#This Row],[Land-DB]]</f>
        <v>250</v>
      </c>
      <c r="C48" s="292">
        <f ca="1">TblProd[[#This Row],[Techpoints]]</f>
        <v>0</v>
      </c>
      <c r="D48" s="292">
        <f ca="1">TblProd[[#This Row],[Required]]</f>
        <v>3750</v>
      </c>
      <c r="E48" s="293"/>
      <c r="F48" s="294"/>
      <c r="G48" s="295" t="s">
        <v>589</v>
      </c>
      <c r="H48" s="296" t="s">
        <v>713</v>
      </c>
      <c r="I48" s="295" t="s">
        <v>1049</v>
      </c>
      <c r="J48" s="291"/>
      <c r="K48" s="95">
        <f ca="1">IF(TblTech[[#This Row],[Sum of tech]]&lt;&gt;OFFSET(TblTech[[#This Row],[Sum of tech]],-1,0),1,0)</f>
        <v>0</v>
      </c>
      <c r="L48" s="297">
        <f>COUNTIF(TblTech[[#This Row],[1-1]:[11-1]],1)</f>
        <v>0</v>
      </c>
      <c r="M48" s="298" cm="1">
        <f t="array" ref="M48">IF(AND(M$2&lt;&gt;0,TblTech[[#This Row],[Hour]:[Hour]]&gt;=M$2),1,0)</f>
        <v>0</v>
      </c>
      <c r="N48" s="298" cm="1">
        <f t="array" ref="N48">IF(AND(N$2&lt;&gt;0,TblTech[[#This Row],[Hour]:[Hour]]&gt;=N$2),1,0)</f>
        <v>0</v>
      </c>
      <c r="O48" s="298" cm="1">
        <f t="array" ref="O48">IF(AND(O$2&lt;&gt;0,TblTech[[#This Row],[Hour]:[Hour]]&gt;=O$2),1,0)</f>
        <v>0</v>
      </c>
      <c r="P48" s="298" cm="1">
        <f t="array" ref="P48">IF(AND(P$2&lt;&gt;0,TblTech[[#This Row],[Hour]:[Hour]]&gt;=P$2),1,0)</f>
        <v>0</v>
      </c>
      <c r="Q48" s="298" cm="1">
        <f t="array" ref="Q48">IF(AND(Q$2&lt;&gt;0,TblTech[[#This Row],[Hour]:[Hour]]&gt;=Q$2),1,0)</f>
        <v>0</v>
      </c>
      <c r="R48" s="298" cm="1">
        <f t="array" ref="R48">IF(AND(R$2&lt;&gt;0,TblTech[[#This Row],[Hour]:[Hour]]&gt;=R$2),1,0)</f>
        <v>0</v>
      </c>
      <c r="S48" s="298" cm="1">
        <f t="array" ref="S48">IF(AND(S$2&lt;&gt;0,TblTech[[#This Row],[Hour]:[Hour]]&gt;=S$2),1,0)</f>
        <v>0</v>
      </c>
      <c r="T48" s="298" cm="1">
        <f t="array" ref="T48">IF(AND(T$2&lt;&gt;0,TblTech[[#This Row],[Hour]:[Hour]]&gt;=T$2),1,0)</f>
        <v>0</v>
      </c>
      <c r="U48" s="298" cm="1">
        <f t="array" ref="U48">IF(AND(U$2&lt;&gt;0,TblTech[[#This Row],[Hour]:[Hour]]&gt;=U$2),1,0)</f>
        <v>0</v>
      </c>
      <c r="V48" s="298" cm="1">
        <f t="array" ref="V48">IF(AND(V$2&lt;&gt;0,TblTech[[#This Row],[Hour]:[Hour]]&gt;=V$2),1,0)</f>
        <v>0</v>
      </c>
      <c r="W48" s="298" cm="1">
        <f t="array" ref="W48">IF(AND(W$2&lt;&gt;0,TblTech[[#This Row],[Hour]:[Hour]]&gt;=W$2),1,0)</f>
        <v>0</v>
      </c>
      <c r="X48" s="298" cm="1">
        <f t="array" ref="X48">IF(AND(X$2&lt;&gt;0,TblTech[[#This Row],[Hour]:[Hour]]&gt;=X$2),1,0)</f>
        <v>0</v>
      </c>
      <c r="Y48" s="298" cm="1">
        <f t="array" ref="Y48">IF(AND(Y$2&lt;&gt;0,TblTech[[#This Row],[Hour]:[Hour]]&gt;=Y$2),1,0)</f>
        <v>0</v>
      </c>
      <c r="Z48" s="298" cm="1">
        <f t="array" ref="Z48">IF(AND(Z$2&lt;&gt;0,TblTech[[#This Row],[Hour]:[Hour]]&gt;=Z$2),1,0)</f>
        <v>0</v>
      </c>
      <c r="AA48" s="298" cm="1">
        <f t="array" ref="AA48">IF(AND(AA$2&lt;&gt;0,TblTech[[#This Row],[Hour]:[Hour]]&gt;=AA$2),1,0)</f>
        <v>0</v>
      </c>
      <c r="AB48" s="298" cm="1">
        <f t="array" ref="AB48">IF(AND(AB$2&lt;&gt;0,TblTech[[#This Row],[Hour]:[Hour]]&gt;=AB$2),1,0)</f>
        <v>0</v>
      </c>
      <c r="AC48" s="298" cm="1">
        <f t="array" ref="AC48">IF(AND(AC$2&lt;&gt;0,TblTech[[#This Row],[Hour]:[Hour]]&gt;=AC$2),1,0)</f>
        <v>0</v>
      </c>
      <c r="AD48" s="298" cm="1">
        <f t="array" ref="AD48">IF(AND(AD$2&lt;&gt;0,TblTech[[#This Row],[Hour]:[Hour]]&gt;=AD$2),1,0)</f>
        <v>0</v>
      </c>
      <c r="AE48" s="298" cm="1">
        <f t="array" ref="AE48">IF(AND(AE$2&lt;&gt;0,TblTech[[#This Row],[Hour]:[Hour]]&gt;=AE$2),1,0)</f>
        <v>0</v>
      </c>
      <c r="AF48" s="298" cm="1">
        <f t="array" ref="AF48">IF(AND(AF$2&lt;&gt;0,TblTech[[#This Row],[Hour]:[Hour]]&gt;=AF$2),1,0)</f>
        <v>0</v>
      </c>
      <c r="AG48" s="298" cm="1">
        <f t="array" ref="AG48">IF(AND(AG$2&lt;&gt;0,TblTech[[#This Row],[Hour]:[Hour]]&gt;=AG$2),1,0)</f>
        <v>0</v>
      </c>
      <c r="AH48" s="298" cm="1">
        <f t="array" ref="AH48">IF(AND(AH$2&lt;&gt;0,TblTech[[#This Row],[Hour]:[Hour]]&gt;=AH$2),1,0)</f>
        <v>0</v>
      </c>
      <c r="AI48" s="298" cm="1">
        <f t="array" ref="AI48">IF(AND(AI$2&lt;&gt;0,TblTech[[#This Row],[Hour]:[Hour]]&gt;=AI$2),1,0)</f>
        <v>0</v>
      </c>
      <c r="AJ48" s="298" cm="1">
        <f t="array" ref="AJ48">IF(AND(AJ$2&lt;&gt;0,TblTech[[#This Row],[Hour]:[Hour]]&gt;=AJ$2),1,0)</f>
        <v>0</v>
      </c>
      <c r="AK48" s="298" cm="1">
        <f t="array" ref="AK48">IF(AND(AK$2&lt;&gt;0,TblTech[[#This Row],[Hour]:[Hour]]&gt;=AK$2),1,0)</f>
        <v>0</v>
      </c>
      <c r="AL48" s="298" cm="1">
        <f t="array" ref="AL48">IF(AND(AL$2&lt;&gt;0,TblTech[[#This Row],[Hour]:[Hour]]&gt;=AL$2),1,0)</f>
        <v>0</v>
      </c>
      <c r="AM48" s="298" cm="1">
        <f t="array" ref="AM48">IF(AND(AM$2&lt;&gt;0,TblTech[[#This Row],[Hour]:[Hour]]&gt;=AM$2),1,0)</f>
        <v>0</v>
      </c>
      <c r="AN48" s="298" cm="1">
        <f t="array" ref="AN48">IF(AND(AN$2&lt;&gt;0,TblTech[[#This Row],[Hour]:[Hour]]&gt;=AN$2),1,0)</f>
        <v>0</v>
      </c>
      <c r="AO48" s="298" cm="1">
        <f t="array" ref="AO48">IF(AND(AO$2&lt;&gt;0,TblTech[[#This Row],[Hour]:[Hour]]&gt;=AO$2),1,0)</f>
        <v>0</v>
      </c>
      <c r="AP48" s="298" cm="1">
        <f t="array" ref="AP48">IF(AND(AP$2&lt;&gt;0,TblTech[[#This Row],[Hour]:[Hour]]&gt;=AP$2),1,0)</f>
        <v>0</v>
      </c>
      <c r="AQ48" s="298" cm="1">
        <f t="array" ref="AQ48">IF(AND(AQ$2&lt;&gt;0,TblTech[[#This Row],[Hour]:[Hour]]&gt;=AQ$2),1,0)</f>
        <v>0</v>
      </c>
      <c r="AR48" s="298" cm="1">
        <f t="array" ref="AR48">IF(AND(AR$2&lt;&gt;0,TblTech[[#This Row],[Hour]:[Hour]]&gt;=AR$2),1,0)</f>
        <v>0</v>
      </c>
      <c r="AS48" s="298" cm="1">
        <f t="array" ref="AS48">IF(AND(AS$2&lt;&gt;0,TblTech[[#This Row],[Hour]:[Hour]]&gt;=AS$2),1,0)</f>
        <v>0</v>
      </c>
      <c r="AT48" s="298" cm="1">
        <f t="array" ref="AT48">IF(AND(AT$2&lt;&gt;0,TblTech[[#This Row],[Hour]:[Hour]]&gt;=AT$2),1,0)</f>
        <v>0</v>
      </c>
      <c r="AU48" s="298" cm="1">
        <f t="array" ref="AU48">IF(AND(AU$2&lt;&gt;0,TblTech[[#This Row],[Hour]:[Hour]]&gt;=AU$2),1,0)</f>
        <v>0</v>
      </c>
      <c r="AV48" s="298" cm="1">
        <f t="array" ref="AV48">IF(AND(AV$2&lt;&gt;0,TblTech[[#This Row],[Hour]:[Hour]]&gt;=AV$2),1,0)</f>
        <v>0</v>
      </c>
      <c r="AW48" s="298" cm="1">
        <f t="array" ref="AW48">IF(AND(AW$2&lt;&gt;0,TblTech[[#This Row],[Hour]:[Hour]]&gt;=AW$2),1,0)</f>
        <v>0</v>
      </c>
      <c r="AX48" s="298" cm="1">
        <f t="array" ref="AX48">IF(AND(AX$2&lt;&gt;0,TblTech[[#This Row],[Hour]:[Hour]]&gt;=AX$2),1,0)</f>
        <v>0</v>
      </c>
      <c r="AY48" s="298" cm="1">
        <f t="array" ref="AY48">IF(AND(AY$2&lt;&gt;0,TblTech[[#This Row],[Hour]:[Hour]]&gt;=AY$2),1,0)</f>
        <v>0</v>
      </c>
      <c r="AZ48" s="298" cm="1">
        <f t="array" ref="AZ48">IF(AND(AZ$2&lt;&gt;0,TblTech[[#This Row],[Hour]:[Hour]]&gt;=AZ$2),1,0)</f>
        <v>0</v>
      </c>
      <c r="BA48" s="298" cm="1">
        <f t="array" ref="BA48">IF(AND(BA$2&lt;&gt;0,TblTech[[#This Row],[Hour]:[Hour]]&gt;=BA$2),1,0)</f>
        <v>0</v>
      </c>
      <c r="BB48" s="298" cm="1">
        <f t="array" ref="BB48">IF(AND(BB$2&lt;&gt;0,TblTech[[#This Row],[Hour]:[Hour]]&gt;=BB$2),1,0)</f>
        <v>0</v>
      </c>
      <c r="BC48" s="298" cm="1">
        <f t="array" ref="BC48">IF(AND(BC$2&lt;&gt;0,TblTech[[#This Row],[Hour]:[Hour]]&gt;=BC$2),1,0)</f>
        <v>0</v>
      </c>
      <c r="BD48" s="298" cm="1">
        <f t="array" ref="BD48">IF(AND(BD$2&lt;&gt;0,TblTech[[#This Row],[Hour]:[Hour]]&gt;=BD$2),1,0)</f>
        <v>0</v>
      </c>
      <c r="BE48" s="298" cm="1">
        <f t="array" ref="BE48">IF(AND(BE$2&lt;&gt;0,TblTech[[#This Row],[Hour]:[Hour]]&gt;=BE$2),1,0)</f>
        <v>0</v>
      </c>
      <c r="BF48" s="298" cm="1">
        <f t="array" ref="BF48">IF(AND(BF$2&lt;&gt;0,TblTech[[#This Row],[Hour]:[Hour]]&gt;=BF$2),1,0)</f>
        <v>0</v>
      </c>
      <c r="BG48" s="298" cm="1">
        <f t="array" ref="BG48">IF(AND(BG$2&lt;&gt;0,TblTech[[#This Row],[Hour]:[Hour]]&gt;=BG$2),1,0)</f>
        <v>0</v>
      </c>
      <c r="BH48" s="298" cm="1">
        <f t="array" ref="BH48">IF(AND(BH$2&lt;&gt;0,TblTech[[#This Row],[Hour]:[Hour]]&gt;=BH$2),1,0)</f>
        <v>0</v>
      </c>
      <c r="BI48" s="298" cm="1">
        <f t="array" ref="BI48">IF(AND(BI$2&lt;&gt;0,TblTech[[#This Row],[Hour]:[Hour]]&gt;=BI$2),1,0)</f>
        <v>0</v>
      </c>
      <c r="BJ48" s="298" cm="1">
        <f t="array" ref="BJ48">IF(AND(BJ$2&lt;&gt;0,TblTech[[#This Row],[Hour]:[Hour]]&gt;=BJ$2),1,0)</f>
        <v>0</v>
      </c>
      <c r="BK48" s="298" cm="1">
        <f t="array" ref="BK48">IF(AND(BK$2&lt;&gt;0,TblTech[[#This Row],[Hour]:[Hour]]&gt;=BK$2),1,0)</f>
        <v>0</v>
      </c>
      <c r="BL48" s="298" cm="1">
        <f t="array" ref="BL48">IF(AND(BL$2&lt;&gt;0,TblTech[[#This Row],[Hour]:[Hour]]&gt;=BL$2),1,0)</f>
        <v>0</v>
      </c>
      <c r="BM48" s="298" cm="1">
        <f t="array" ref="BM48">IF(AND(BM$2&lt;&gt;0,TblTech[[#This Row],[Hour]:[Hour]]&gt;=BM$2),1,0)</f>
        <v>0</v>
      </c>
      <c r="BN48" s="298" cm="1">
        <f t="array" ref="BN48">IF(AND(BN$2&lt;&gt;0,TblTech[[#This Row],[Hour]:[Hour]]&gt;=BN$2),1,0)</f>
        <v>0</v>
      </c>
      <c r="BO48" s="298" cm="1">
        <f t="array" ref="BO48">IF(AND(BO$2&lt;&gt;0,TblTech[[#This Row],[Hour]:[Hour]]&gt;=BO$2),1,0)</f>
        <v>0</v>
      </c>
      <c r="BP48" s="298" cm="1">
        <f t="array" ref="BP48">IF(AND(BP$2&lt;&gt;0,TblTech[[#This Row],[Hour]:[Hour]]&gt;=BP$2),1,0)</f>
        <v>0</v>
      </c>
      <c r="BQ48" s="298" cm="1">
        <f t="array" ref="BQ48">IF(AND(BQ$2&lt;&gt;0,TblTech[[#This Row],[Hour]:[Hour]]&gt;=BQ$2),1,0)</f>
        <v>0</v>
      </c>
      <c r="BR48" s="298" cm="1">
        <f t="array" ref="BR48">IF(AND(BR$2&lt;&gt;0,TblTech[[#This Row],[Hour]:[Hour]]&gt;=BR$2),1,0)</f>
        <v>0</v>
      </c>
      <c r="BS48" s="298" cm="1">
        <f t="array" ref="BS48">IF(AND(BS$2&lt;&gt;0,TblTech[[#This Row],[Hour]:[Hour]]&gt;=BS$2),1,0)</f>
        <v>0</v>
      </c>
      <c r="BT48" s="298" cm="1">
        <f t="array" ref="BT48">IF(AND(BT$2&lt;&gt;0,TblTech[[#This Row],[Hour]:[Hour]]&gt;=BT$2),1,0)</f>
        <v>0</v>
      </c>
      <c r="BU48" s="298" cm="1">
        <f t="array" ref="BU48">IF(AND(BU$2&lt;&gt;0,TblTech[[#This Row],[Hour]:[Hour]]&gt;=BU$2),1,0)</f>
        <v>0</v>
      </c>
      <c r="BV48" s="298" cm="1">
        <f t="array" ref="BV48">IF(AND(BV$2&lt;&gt;0,TblTech[[#This Row],[Hour]:[Hour]]&gt;=BV$2),1,0)</f>
        <v>0</v>
      </c>
      <c r="BW48" s="298" cm="1">
        <f t="array" ref="BW48">IF(AND(BW$2&lt;&gt;0,TblTech[[#This Row],[Hour]:[Hour]]&gt;=BW$2),1,0)</f>
        <v>0</v>
      </c>
      <c r="BX48" s="298" cm="1">
        <f t="array" ref="BX48">IF(AND(BX$2&lt;&gt;0,TblTech[[#This Row],[Hour]:[Hour]]&gt;=BX$2),1,0)</f>
        <v>0</v>
      </c>
      <c r="BY48" s="298" cm="1">
        <f t="array" ref="BY48">IF(AND(BY$2&lt;&gt;0,TblTech[[#This Row],[Hour]:[Hour]]&gt;=BY$2),1,0)</f>
        <v>0</v>
      </c>
      <c r="BZ48" s="298" cm="1">
        <f t="array" ref="BZ48">IF(AND(BZ$2&lt;&gt;0,TblTech[[#This Row],[Hour]:[Hour]]&gt;=BZ$2),1,0)</f>
        <v>0</v>
      </c>
      <c r="CA48" s="402">
        <f>IFERROR(INDEX($H$4:$H$79,MATCH(INDEX(TblTech[[#Headers],[1-1]:[11-1]],1,MATCH(TblTech[[#This Row],[Hour]],$M$2:$BZ$2,0)),$G$4:$G$79,0)),)</f>
        <v>0</v>
      </c>
    </row>
    <row r="49" spans="1:79" x14ac:dyDescent="0.2">
      <c r="A49" s="290">
        <f>TblRezone[[#This Row],[Hour]]</f>
        <v>46</v>
      </c>
      <c r="B49" s="291">
        <f ca="1">TblExplore[[#This Row],[Land-DB]]</f>
        <v>250</v>
      </c>
      <c r="C49" s="292">
        <f ca="1">TblProd[[#This Row],[Techpoints]]</f>
        <v>0</v>
      </c>
      <c r="D49" s="292">
        <f ca="1">TblProd[[#This Row],[Required]]</f>
        <v>3750</v>
      </c>
      <c r="E49" s="293"/>
      <c r="F49" s="294"/>
      <c r="G49" s="295" t="s">
        <v>590</v>
      </c>
      <c r="H49" s="296" t="s">
        <v>714</v>
      </c>
      <c r="I49" s="295" t="s">
        <v>627</v>
      </c>
      <c r="J49" s="291"/>
      <c r="K49" s="95">
        <f ca="1">IF(TblTech[[#This Row],[Sum of tech]]&lt;&gt;OFFSET(TblTech[[#This Row],[Sum of tech]],-1,0),1,0)</f>
        <v>0</v>
      </c>
      <c r="L49" s="297">
        <f>COUNTIF(TblTech[[#This Row],[1-1]:[11-1]],1)</f>
        <v>0</v>
      </c>
      <c r="M49" s="298" cm="1">
        <f t="array" ref="M49">IF(AND(M$2&lt;&gt;0,TblTech[[#This Row],[Hour]:[Hour]]&gt;=M$2),1,0)</f>
        <v>0</v>
      </c>
      <c r="N49" s="298" cm="1">
        <f t="array" ref="N49">IF(AND(N$2&lt;&gt;0,TblTech[[#This Row],[Hour]:[Hour]]&gt;=N$2),1,0)</f>
        <v>0</v>
      </c>
      <c r="O49" s="298" cm="1">
        <f t="array" ref="O49">IF(AND(O$2&lt;&gt;0,TblTech[[#This Row],[Hour]:[Hour]]&gt;=O$2),1,0)</f>
        <v>0</v>
      </c>
      <c r="P49" s="298" cm="1">
        <f t="array" ref="P49">IF(AND(P$2&lt;&gt;0,TblTech[[#This Row],[Hour]:[Hour]]&gt;=P$2),1,0)</f>
        <v>0</v>
      </c>
      <c r="Q49" s="298" cm="1">
        <f t="array" ref="Q49">IF(AND(Q$2&lt;&gt;0,TblTech[[#This Row],[Hour]:[Hour]]&gt;=Q$2),1,0)</f>
        <v>0</v>
      </c>
      <c r="R49" s="298" cm="1">
        <f t="array" ref="R49">IF(AND(R$2&lt;&gt;0,TblTech[[#This Row],[Hour]:[Hour]]&gt;=R$2),1,0)</f>
        <v>0</v>
      </c>
      <c r="S49" s="298" cm="1">
        <f t="array" ref="S49">IF(AND(S$2&lt;&gt;0,TblTech[[#This Row],[Hour]:[Hour]]&gt;=S$2),1,0)</f>
        <v>0</v>
      </c>
      <c r="T49" s="298" cm="1">
        <f t="array" ref="T49">IF(AND(T$2&lt;&gt;0,TblTech[[#This Row],[Hour]:[Hour]]&gt;=T$2),1,0)</f>
        <v>0</v>
      </c>
      <c r="U49" s="298" cm="1">
        <f t="array" ref="U49">IF(AND(U$2&lt;&gt;0,TblTech[[#This Row],[Hour]:[Hour]]&gt;=U$2),1,0)</f>
        <v>0</v>
      </c>
      <c r="V49" s="298" cm="1">
        <f t="array" ref="V49">IF(AND(V$2&lt;&gt;0,TblTech[[#This Row],[Hour]:[Hour]]&gt;=V$2),1,0)</f>
        <v>0</v>
      </c>
      <c r="W49" s="298" cm="1">
        <f t="array" ref="W49">IF(AND(W$2&lt;&gt;0,TblTech[[#This Row],[Hour]:[Hour]]&gt;=W$2),1,0)</f>
        <v>0</v>
      </c>
      <c r="X49" s="298" cm="1">
        <f t="array" ref="X49">IF(AND(X$2&lt;&gt;0,TblTech[[#This Row],[Hour]:[Hour]]&gt;=X$2),1,0)</f>
        <v>0</v>
      </c>
      <c r="Y49" s="298" cm="1">
        <f t="array" ref="Y49">IF(AND(Y$2&lt;&gt;0,TblTech[[#This Row],[Hour]:[Hour]]&gt;=Y$2),1,0)</f>
        <v>0</v>
      </c>
      <c r="Z49" s="298" cm="1">
        <f t="array" ref="Z49">IF(AND(Z$2&lt;&gt;0,TblTech[[#This Row],[Hour]:[Hour]]&gt;=Z$2),1,0)</f>
        <v>0</v>
      </c>
      <c r="AA49" s="298" cm="1">
        <f t="array" ref="AA49">IF(AND(AA$2&lt;&gt;0,TblTech[[#This Row],[Hour]:[Hour]]&gt;=AA$2),1,0)</f>
        <v>0</v>
      </c>
      <c r="AB49" s="298" cm="1">
        <f t="array" ref="AB49">IF(AND(AB$2&lt;&gt;0,TblTech[[#This Row],[Hour]:[Hour]]&gt;=AB$2),1,0)</f>
        <v>0</v>
      </c>
      <c r="AC49" s="298" cm="1">
        <f t="array" ref="AC49">IF(AND(AC$2&lt;&gt;0,TblTech[[#This Row],[Hour]:[Hour]]&gt;=AC$2),1,0)</f>
        <v>0</v>
      </c>
      <c r="AD49" s="298" cm="1">
        <f t="array" ref="AD49">IF(AND(AD$2&lt;&gt;0,TblTech[[#This Row],[Hour]:[Hour]]&gt;=AD$2),1,0)</f>
        <v>0</v>
      </c>
      <c r="AE49" s="298" cm="1">
        <f t="array" ref="AE49">IF(AND(AE$2&lt;&gt;0,TblTech[[#This Row],[Hour]:[Hour]]&gt;=AE$2),1,0)</f>
        <v>0</v>
      </c>
      <c r="AF49" s="298" cm="1">
        <f t="array" ref="AF49">IF(AND(AF$2&lt;&gt;0,TblTech[[#This Row],[Hour]:[Hour]]&gt;=AF$2),1,0)</f>
        <v>0</v>
      </c>
      <c r="AG49" s="298" cm="1">
        <f t="array" ref="AG49">IF(AND(AG$2&lt;&gt;0,TblTech[[#This Row],[Hour]:[Hour]]&gt;=AG$2),1,0)</f>
        <v>0</v>
      </c>
      <c r="AH49" s="298" cm="1">
        <f t="array" ref="AH49">IF(AND(AH$2&lt;&gt;0,TblTech[[#This Row],[Hour]:[Hour]]&gt;=AH$2),1,0)</f>
        <v>0</v>
      </c>
      <c r="AI49" s="298" cm="1">
        <f t="array" ref="AI49">IF(AND(AI$2&lt;&gt;0,TblTech[[#This Row],[Hour]:[Hour]]&gt;=AI$2),1,0)</f>
        <v>0</v>
      </c>
      <c r="AJ49" s="298" cm="1">
        <f t="array" ref="AJ49">IF(AND(AJ$2&lt;&gt;0,TblTech[[#This Row],[Hour]:[Hour]]&gt;=AJ$2),1,0)</f>
        <v>0</v>
      </c>
      <c r="AK49" s="298" cm="1">
        <f t="array" ref="AK49">IF(AND(AK$2&lt;&gt;0,TblTech[[#This Row],[Hour]:[Hour]]&gt;=AK$2),1,0)</f>
        <v>0</v>
      </c>
      <c r="AL49" s="298" cm="1">
        <f t="array" ref="AL49">IF(AND(AL$2&lt;&gt;0,TblTech[[#This Row],[Hour]:[Hour]]&gt;=AL$2),1,0)</f>
        <v>0</v>
      </c>
      <c r="AM49" s="298" cm="1">
        <f t="array" ref="AM49">IF(AND(AM$2&lt;&gt;0,TblTech[[#This Row],[Hour]:[Hour]]&gt;=AM$2),1,0)</f>
        <v>0</v>
      </c>
      <c r="AN49" s="298" cm="1">
        <f t="array" ref="AN49">IF(AND(AN$2&lt;&gt;0,TblTech[[#This Row],[Hour]:[Hour]]&gt;=AN$2),1,0)</f>
        <v>0</v>
      </c>
      <c r="AO49" s="298" cm="1">
        <f t="array" ref="AO49">IF(AND(AO$2&lt;&gt;0,TblTech[[#This Row],[Hour]:[Hour]]&gt;=AO$2),1,0)</f>
        <v>0</v>
      </c>
      <c r="AP49" s="298" cm="1">
        <f t="array" ref="AP49">IF(AND(AP$2&lt;&gt;0,TblTech[[#This Row],[Hour]:[Hour]]&gt;=AP$2),1,0)</f>
        <v>0</v>
      </c>
      <c r="AQ49" s="298" cm="1">
        <f t="array" ref="AQ49">IF(AND(AQ$2&lt;&gt;0,TblTech[[#This Row],[Hour]:[Hour]]&gt;=AQ$2),1,0)</f>
        <v>0</v>
      </c>
      <c r="AR49" s="298" cm="1">
        <f t="array" ref="AR49">IF(AND(AR$2&lt;&gt;0,TblTech[[#This Row],[Hour]:[Hour]]&gt;=AR$2),1,0)</f>
        <v>0</v>
      </c>
      <c r="AS49" s="298" cm="1">
        <f t="array" ref="AS49">IF(AND(AS$2&lt;&gt;0,TblTech[[#This Row],[Hour]:[Hour]]&gt;=AS$2),1,0)</f>
        <v>0</v>
      </c>
      <c r="AT49" s="298" cm="1">
        <f t="array" ref="AT49">IF(AND(AT$2&lt;&gt;0,TblTech[[#This Row],[Hour]:[Hour]]&gt;=AT$2),1,0)</f>
        <v>0</v>
      </c>
      <c r="AU49" s="298" cm="1">
        <f t="array" ref="AU49">IF(AND(AU$2&lt;&gt;0,TblTech[[#This Row],[Hour]:[Hour]]&gt;=AU$2),1,0)</f>
        <v>0</v>
      </c>
      <c r="AV49" s="298" cm="1">
        <f t="array" ref="AV49">IF(AND(AV$2&lt;&gt;0,TblTech[[#This Row],[Hour]:[Hour]]&gt;=AV$2),1,0)</f>
        <v>0</v>
      </c>
      <c r="AW49" s="298" cm="1">
        <f t="array" ref="AW49">IF(AND(AW$2&lt;&gt;0,TblTech[[#This Row],[Hour]:[Hour]]&gt;=AW$2),1,0)</f>
        <v>0</v>
      </c>
      <c r="AX49" s="298" cm="1">
        <f t="array" ref="AX49">IF(AND(AX$2&lt;&gt;0,TblTech[[#This Row],[Hour]:[Hour]]&gt;=AX$2),1,0)</f>
        <v>0</v>
      </c>
      <c r="AY49" s="298" cm="1">
        <f t="array" ref="AY49">IF(AND(AY$2&lt;&gt;0,TblTech[[#This Row],[Hour]:[Hour]]&gt;=AY$2),1,0)</f>
        <v>0</v>
      </c>
      <c r="AZ49" s="298" cm="1">
        <f t="array" ref="AZ49">IF(AND(AZ$2&lt;&gt;0,TblTech[[#This Row],[Hour]:[Hour]]&gt;=AZ$2),1,0)</f>
        <v>0</v>
      </c>
      <c r="BA49" s="298" cm="1">
        <f t="array" ref="BA49">IF(AND(BA$2&lt;&gt;0,TblTech[[#This Row],[Hour]:[Hour]]&gt;=BA$2),1,0)</f>
        <v>0</v>
      </c>
      <c r="BB49" s="298" cm="1">
        <f t="array" ref="BB49">IF(AND(BB$2&lt;&gt;0,TblTech[[#This Row],[Hour]:[Hour]]&gt;=BB$2),1,0)</f>
        <v>0</v>
      </c>
      <c r="BC49" s="298" cm="1">
        <f t="array" ref="BC49">IF(AND(BC$2&lt;&gt;0,TblTech[[#This Row],[Hour]:[Hour]]&gt;=BC$2),1,0)</f>
        <v>0</v>
      </c>
      <c r="BD49" s="298" cm="1">
        <f t="array" ref="BD49">IF(AND(BD$2&lt;&gt;0,TblTech[[#This Row],[Hour]:[Hour]]&gt;=BD$2),1,0)</f>
        <v>0</v>
      </c>
      <c r="BE49" s="298" cm="1">
        <f t="array" ref="BE49">IF(AND(BE$2&lt;&gt;0,TblTech[[#This Row],[Hour]:[Hour]]&gt;=BE$2),1,0)</f>
        <v>0</v>
      </c>
      <c r="BF49" s="298" cm="1">
        <f t="array" ref="BF49">IF(AND(BF$2&lt;&gt;0,TblTech[[#This Row],[Hour]:[Hour]]&gt;=BF$2),1,0)</f>
        <v>0</v>
      </c>
      <c r="BG49" s="298" cm="1">
        <f t="array" ref="BG49">IF(AND(BG$2&lt;&gt;0,TblTech[[#This Row],[Hour]:[Hour]]&gt;=BG$2),1,0)</f>
        <v>0</v>
      </c>
      <c r="BH49" s="298" cm="1">
        <f t="array" ref="BH49">IF(AND(BH$2&lt;&gt;0,TblTech[[#This Row],[Hour]:[Hour]]&gt;=BH$2),1,0)</f>
        <v>0</v>
      </c>
      <c r="BI49" s="298" cm="1">
        <f t="array" ref="BI49">IF(AND(BI$2&lt;&gt;0,TblTech[[#This Row],[Hour]:[Hour]]&gt;=BI$2),1,0)</f>
        <v>0</v>
      </c>
      <c r="BJ49" s="298" cm="1">
        <f t="array" ref="BJ49">IF(AND(BJ$2&lt;&gt;0,TblTech[[#This Row],[Hour]:[Hour]]&gt;=BJ$2),1,0)</f>
        <v>0</v>
      </c>
      <c r="BK49" s="298" cm="1">
        <f t="array" ref="BK49">IF(AND(BK$2&lt;&gt;0,TblTech[[#This Row],[Hour]:[Hour]]&gt;=BK$2),1,0)</f>
        <v>0</v>
      </c>
      <c r="BL49" s="298" cm="1">
        <f t="array" ref="BL49">IF(AND(BL$2&lt;&gt;0,TblTech[[#This Row],[Hour]:[Hour]]&gt;=BL$2),1,0)</f>
        <v>0</v>
      </c>
      <c r="BM49" s="298" cm="1">
        <f t="array" ref="BM49">IF(AND(BM$2&lt;&gt;0,TblTech[[#This Row],[Hour]:[Hour]]&gt;=BM$2),1,0)</f>
        <v>0</v>
      </c>
      <c r="BN49" s="298" cm="1">
        <f t="array" ref="BN49">IF(AND(BN$2&lt;&gt;0,TblTech[[#This Row],[Hour]:[Hour]]&gt;=BN$2),1,0)</f>
        <v>0</v>
      </c>
      <c r="BO49" s="298" cm="1">
        <f t="array" ref="BO49">IF(AND(BO$2&lt;&gt;0,TblTech[[#This Row],[Hour]:[Hour]]&gt;=BO$2),1,0)</f>
        <v>0</v>
      </c>
      <c r="BP49" s="298" cm="1">
        <f t="array" ref="BP49">IF(AND(BP$2&lt;&gt;0,TblTech[[#This Row],[Hour]:[Hour]]&gt;=BP$2),1,0)</f>
        <v>0</v>
      </c>
      <c r="BQ49" s="298" cm="1">
        <f t="array" ref="BQ49">IF(AND(BQ$2&lt;&gt;0,TblTech[[#This Row],[Hour]:[Hour]]&gt;=BQ$2),1,0)</f>
        <v>0</v>
      </c>
      <c r="BR49" s="298" cm="1">
        <f t="array" ref="BR49">IF(AND(BR$2&lt;&gt;0,TblTech[[#This Row],[Hour]:[Hour]]&gt;=BR$2),1,0)</f>
        <v>0</v>
      </c>
      <c r="BS49" s="298" cm="1">
        <f t="array" ref="BS49">IF(AND(BS$2&lt;&gt;0,TblTech[[#This Row],[Hour]:[Hour]]&gt;=BS$2),1,0)</f>
        <v>0</v>
      </c>
      <c r="BT49" s="298" cm="1">
        <f t="array" ref="BT49">IF(AND(BT$2&lt;&gt;0,TblTech[[#This Row],[Hour]:[Hour]]&gt;=BT$2),1,0)</f>
        <v>0</v>
      </c>
      <c r="BU49" s="298" cm="1">
        <f t="array" ref="BU49">IF(AND(BU$2&lt;&gt;0,TblTech[[#This Row],[Hour]:[Hour]]&gt;=BU$2),1,0)</f>
        <v>0</v>
      </c>
      <c r="BV49" s="298" cm="1">
        <f t="array" ref="BV49">IF(AND(BV$2&lt;&gt;0,TblTech[[#This Row],[Hour]:[Hour]]&gt;=BV$2),1,0)</f>
        <v>0</v>
      </c>
      <c r="BW49" s="298" cm="1">
        <f t="array" ref="BW49">IF(AND(BW$2&lt;&gt;0,TblTech[[#This Row],[Hour]:[Hour]]&gt;=BW$2),1,0)</f>
        <v>0</v>
      </c>
      <c r="BX49" s="298" cm="1">
        <f t="array" ref="BX49">IF(AND(BX$2&lt;&gt;0,TblTech[[#This Row],[Hour]:[Hour]]&gt;=BX$2),1,0)</f>
        <v>0</v>
      </c>
      <c r="BY49" s="298" cm="1">
        <f t="array" ref="BY49">IF(AND(BY$2&lt;&gt;0,TblTech[[#This Row],[Hour]:[Hour]]&gt;=BY$2),1,0)</f>
        <v>0</v>
      </c>
      <c r="BZ49" s="298" cm="1">
        <f t="array" ref="BZ49">IF(AND(BZ$2&lt;&gt;0,TblTech[[#This Row],[Hour]:[Hour]]&gt;=BZ$2),1,0)</f>
        <v>0</v>
      </c>
      <c r="CA49" s="402">
        <f>IFERROR(INDEX($H$4:$H$79,MATCH(INDEX(TblTech[[#Headers],[1-1]:[11-1]],1,MATCH(TblTech[[#This Row],[Hour]],$M$2:$BZ$2,0)),$G$4:$G$79,0)),)</f>
        <v>0</v>
      </c>
    </row>
    <row r="50" spans="1:79" x14ac:dyDescent="0.2">
      <c r="A50" s="290">
        <f>TblRezone[[#This Row],[Hour]]</f>
        <v>47</v>
      </c>
      <c r="B50" s="291">
        <f ca="1">TblExplore[[#This Row],[Land-DB]]</f>
        <v>250</v>
      </c>
      <c r="C50" s="292">
        <f ca="1">TblProd[[#This Row],[Techpoints]]</f>
        <v>0</v>
      </c>
      <c r="D50" s="292">
        <f ca="1">TblProd[[#This Row],[Required]]</f>
        <v>3750</v>
      </c>
      <c r="E50" s="293"/>
      <c r="F50" s="294"/>
      <c r="G50" s="295" t="s">
        <v>591</v>
      </c>
      <c r="H50" s="296" t="s">
        <v>715</v>
      </c>
      <c r="I50" s="295" t="s">
        <v>1049</v>
      </c>
      <c r="J50" s="291"/>
      <c r="K50" s="95">
        <f ca="1">IF(TblTech[[#This Row],[Sum of tech]]&lt;&gt;OFFSET(TblTech[[#This Row],[Sum of tech]],-1,0),1,0)</f>
        <v>0</v>
      </c>
      <c r="L50" s="297">
        <f>COUNTIF(TblTech[[#This Row],[1-1]:[11-1]],1)</f>
        <v>0</v>
      </c>
      <c r="M50" s="298" cm="1">
        <f t="array" ref="M50">IF(AND(M$2&lt;&gt;0,TblTech[[#This Row],[Hour]:[Hour]]&gt;=M$2),1,0)</f>
        <v>0</v>
      </c>
      <c r="N50" s="298" cm="1">
        <f t="array" ref="N50">IF(AND(N$2&lt;&gt;0,TblTech[[#This Row],[Hour]:[Hour]]&gt;=N$2),1,0)</f>
        <v>0</v>
      </c>
      <c r="O50" s="298" cm="1">
        <f t="array" ref="O50">IF(AND(O$2&lt;&gt;0,TblTech[[#This Row],[Hour]:[Hour]]&gt;=O$2),1,0)</f>
        <v>0</v>
      </c>
      <c r="P50" s="298" cm="1">
        <f t="array" ref="P50">IF(AND(P$2&lt;&gt;0,TblTech[[#This Row],[Hour]:[Hour]]&gt;=P$2),1,0)</f>
        <v>0</v>
      </c>
      <c r="Q50" s="298" cm="1">
        <f t="array" ref="Q50">IF(AND(Q$2&lt;&gt;0,TblTech[[#This Row],[Hour]:[Hour]]&gt;=Q$2),1,0)</f>
        <v>0</v>
      </c>
      <c r="R50" s="298" cm="1">
        <f t="array" ref="R50">IF(AND(R$2&lt;&gt;0,TblTech[[#This Row],[Hour]:[Hour]]&gt;=R$2),1,0)</f>
        <v>0</v>
      </c>
      <c r="S50" s="298" cm="1">
        <f t="array" ref="S50">IF(AND(S$2&lt;&gt;0,TblTech[[#This Row],[Hour]:[Hour]]&gt;=S$2),1,0)</f>
        <v>0</v>
      </c>
      <c r="T50" s="298" cm="1">
        <f t="array" ref="T50">IF(AND(T$2&lt;&gt;0,TblTech[[#This Row],[Hour]:[Hour]]&gt;=T$2),1,0)</f>
        <v>0</v>
      </c>
      <c r="U50" s="298" cm="1">
        <f t="array" ref="U50">IF(AND(U$2&lt;&gt;0,TblTech[[#This Row],[Hour]:[Hour]]&gt;=U$2),1,0)</f>
        <v>0</v>
      </c>
      <c r="V50" s="298" cm="1">
        <f t="array" ref="V50">IF(AND(V$2&lt;&gt;0,TblTech[[#This Row],[Hour]:[Hour]]&gt;=V$2),1,0)</f>
        <v>0</v>
      </c>
      <c r="W50" s="298" cm="1">
        <f t="array" ref="W50">IF(AND(W$2&lt;&gt;0,TblTech[[#This Row],[Hour]:[Hour]]&gt;=W$2),1,0)</f>
        <v>0</v>
      </c>
      <c r="X50" s="298" cm="1">
        <f t="array" ref="X50">IF(AND(X$2&lt;&gt;0,TblTech[[#This Row],[Hour]:[Hour]]&gt;=X$2),1,0)</f>
        <v>0</v>
      </c>
      <c r="Y50" s="298" cm="1">
        <f t="array" ref="Y50">IF(AND(Y$2&lt;&gt;0,TblTech[[#This Row],[Hour]:[Hour]]&gt;=Y$2),1,0)</f>
        <v>0</v>
      </c>
      <c r="Z50" s="298" cm="1">
        <f t="array" ref="Z50">IF(AND(Z$2&lt;&gt;0,TblTech[[#This Row],[Hour]:[Hour]]&gt;=Z$2),1,0)</f>
        <v>0</v>
      </c>
      <c r="AA50" s="298" cm="1">
        <f t="array" ref="AA50">IF(AND(AA$2&lt;&gt;0,TblTech[[#This Row],[Hour]:[Hour]]&gt;=AA$2),1,0)</f>
        <v>0</v>
      </c>
      <c r="AB50" s="298" cm="1">
        <f t="array" ref="AB50">IF(AND(AB$2&lt;&gt;0,TblTech[[#This Row],[Hour]:[Hour]]&gt;=AB$2),1,0)</f>
        <v>0</v>
      </c>
      <c r="AC50" s="298" cm="1">
        <f t="array" ref="AC50">IF(AND(AC$2&lt;&gt;0,TblTech[[#This Row],[Hour]:[Hour]]&gt;=AC$2),1,0)</f>
        <v>0</v>
      </c>
      <c r="AD50" s="298" cm="1">
        <f t="array" ref="AD50">IF(AND(AD$2&lt;&gt;0,TblTech[[#This Row],[Hour]:[Hour]]&gt;=AD$2),1,0)</f>
        <v>0</v>
      </c>
      <c r="AE50" s="298" cm="1">
        <f t="array" ref="AE50">IF(AND(AE$2&lt;&gt;0,TblTech[[#This Row],[Hour]:[Hour]]&gt;=AE$2),1,0)</f>
        <v>0</v>
      </c>
      <c r="AF50" s="298" cm="1">
        <f t="array" ref="AF50">IF(AND(AF$2&lt;&gt;0,TblTech[[#This Row],[Hour]:[Hour]]&gt;=AF$2),1,0)</f>
        <v>0</v>
      </c>
      <c r="AG50" s="298" cm="1">
        <f t="array" ref="AG50">IF(AND(AG$2&lt;&gt;0,TblTech[[#This Row],[Hour]:[Hour]]&gt;=AG$2),1,0)</f>
        <v>0</v>
      </c>
      <c r="AH50" s="298" cm="1">
        <f t="array" ref="AH50">IF(AND(AH$2&lt;&gt;0,TblTech[[#This Row],[Hour]:[Hour]]&gt;=AH$2),1,0)</f>
        <v>0</v>
      </c>
      <c r="AI50" s="298" cm="1">
        <f t="array" ref="AI50">IF(AND(AI$2&lt;&gt;0,TblTech[[#This Row],[Hour]:[Hour]]&gt;=AI$2),1,0)</f>
        <v>0</v>
      </c>
      <c r="AJ50" s="298" cm="1">
        <f t="array" ref="AJ50">IF(AND(AJ$2&lt;&gt;0,TblTech[[#This Row],[Hour]:[Hour]]&gt;=AJ$2),1,0)</f>
        <v>0</v>
      </c>
      <c r="AK50" s="298" cm="1">
        <f t="array" ref="AK50">IF(AND(AK$2&lt;&gt;0,TblTech[[#This Row],[Hour]:[Hour]]&gt;=AK$2),1,0)</f>
        <v>0</v>
      </c>
      <c r="AL50" s="298" cm="1">
        <f t="array" ref="AL50">IF(AND(AL$2&lt;&gt;0,TblTech[[#This Row],[Hour]:[Hour]]&gt;=AL$2),1,0)</f>
        <v>0</v>
      </c>
      <c r="AM50" s="298" cm="1">
        <f t="array" ref="AM50">IF(AND(AM$2&lt;&gt;0,TblTech[[#This Row],[Hour]:[Hour]]&gt;=AM$2),1,0)</f>
        <v>0</v>
      </c>
      <c r="AN50" s="298" cm="1">
        <f t="array" ref="AN50">IF(AND(AN$2&lt;&gt;0,TblTech[[#This Row],[Hour]:[Hour]]&gt;=AN$2),1,0)</f>
        <v>0</v>
      </c>
      <c r="AO50" s="298" cm="1">
        <f t="array" ref="AO50">IF(AND(AO$2&lt;&gt;0,TblTech[[#This Row],[Hour]:[Hour]]&gt;=AO$2),1,0)</f>
        <v>0</v>
      </c>
      <c r="AP50" s="298" cm="1">
        <f t="array" ref="AP50">IF(AND(AP$2&lt;&gt;0,TblTech[[#This Row],[Hour]:[Hour]]&gt;=AP$2),1,0)</f>
        <v>0</v>
      </c>
      <c r="AQ50" s="298" cm="1">
        <f t="array" ref="AQ50">IF(AND(AQ$2&lt;&gt;0,TblTech[[#This Row],[Hour]:[Hour]]&gt;=AQ$2),1,0)</f>
        <v>0</v>
      </c>
      <c r="AR50" s="298" cm="1">
        <f t="array" ref="AR50">IF(AND(AR$2&lt;&gt;0,TblTech[[#This Row],[Hour]:[Hour]]&gt;=AR$2),1,0)</f>
        <v>0</v>
      </c>
      <c r="AS50" s="298" cm="1">
        <f t="array" ref="AS50">IF(AND(AS$2&lt;&gt;0,TblTech[[#This Row],[Hour]:[Hour]]&gt;=AS$2),1,0)</f>
        <v>0</v>
      </c>
      <c r="AT50" s="298" cm="1">
        <f t="array" ref="AT50">IF(AND(AT$2&lt;&gt;0,TblTech[[#This Row],[Hour]:[Hour]]&gt;=AT$2),1,0)</f>
        <v>0</v>
      </c>
      <c r="AU50" s="298" cm="1">
        <f t="array" ref="AU50">IF(AND(AU$2&lt;&gt;0,TblTech[[#This Row],[Hour]:[Hour]]&gt;=AU$2),1,0)</f>
        <v>0</v>
      </c>
      <c r="AV50" s="298" cm="1">
        <f t="array" ref="AV50">IF(AND(AV$2&lt;&gt;0,TblTech[[#This Row],[Hour]:[Hour]]&gt;=AV$2),1,0)</f>
        <v>0</v>
      </c>
      <c r="AW50" s="298" cm="1">
        <f t="array" ref="AW50">IF(AND(AW$2&lt;&gt;0,TblTech[[#This Row],[Hour]:[Hour]]&gt;=AW$2),1,0)</f>
        <v>0</v>
      </c>
      <c r="AX50" s="298" cm="1">
        <f t="array" ref="AX50">IF(AND(AX$2&lt;&gt;0,TblTech[[#This Row],[Hour]:[Hour]]&gt;=AX$2),1,0)</f>
        <v>0</v>
      </c>
      <c r="AY50" s="298" cm="1">
        <f t="array" ref="AY50">IF(AND(AY$2&lt;&gt;0,TblTech[[#This Row],[Hour]:[Hour]]&gt;=AY$2),1,0)</f>
        <v>0</v>
      </c>
      <c r="AZ50" s="298" cm="1">
        <f t="array" ref="AZ50">IF(AND(AZ$2&lt;&gt;0,TblTech[[#This Row],[Hour]:[Hour]]&gt;=AZ$2),1,0)</f>
        <v>0</v>
      </c>
      <c r="BA50" s="298" cm="1">
        <f t="array" ref="BA50">IF(AND(BA$2&lt;&gt;0,TblTech[[#This Row],[Hour]:[Hour]]&gt;=BA$2),1,0)</f>
        <v>0</v>
      </c>
      <c r="BB50" s="298" cm="1">
        <f t="array" ref="BB50">IF(AND(BB$2&lt;&gt;0,TblTech[[#This Row],[Hour]:[Hour]]&gt;=BB$2),1,0)</f>
        <v>0</v>
      </c>
      <c r="BC50" s="298" cm="1">
        <f t="array" ref="BC50">IF(AND(BC$2&lt;&gt;0,TblTech[[#This Row],[Hour]:[Hour]]&gt;=BC$2),1,0)</f>
        <v>0</v>
      </c>
      <c r="BD50" s="298" cm="1">
        <f t="array" ref="BD50">IF(AND(BD$2&lt;&gt;0,TblTech[[#This Row],[Hour]:[Hour]]&gt;=BD$2),1,0)</f>
        <v>0</v>
      </c>
      <c r="BE50" s="298" cm="1">
        <f t="array" ref="BE50">IF(AND(BE$2&lt;&gt;0,TblTech[[#This Row],[Hour]:[Hour]]&gt;=BE$2),1,0)</f>
        <v>0</v>
      </c>
      <c r="BF50" s="298" cm="1">
        <f t="array" ref="BF50">IF(AND(BF$2&lt;&gt;0,TblTech[[#This Row],[Hour]:[Hour]]&gt;=BF$2),1,0)</f>
        <v>0</v>
      </c>
      <c r="BG50" s="298" cm="1">
        <f t="array" ref="BG50">IF(AND(BG$2&lt;&gt;0,TblTech[[#This Row],[Hour]:[Hour]]&gt;=BG$2),1,0)</f>
        <v>0</v>
      </c>
      <c r="BH50" s="298" cm="1">
        <f t="array" ref="BH50">IF(AND(BH$2&lt;&gt;0,TblTech[[#This Row],[Hour]:[Hour]]&gt;=BH$2),1,0)</f>
        <v>0</v>
      </c>
      <c r="BI50" s="298" cm="1">
        <f t="array" ref="BI50">IF(AND(BI$2&lt;&gt;0,TblTech[[#This Row],[Hour]:[Hour]]&gt;=BI$2),1,0)</f>
        <v>0</v>
      </c>
      <c r="BJ50" s="298" cm="1">
        <f t="array" ref="BJ50">IF(AND(BJ$2&lt;&gt;0,TblTech[[#This Row],[Hour]:[Hour]]&gt;=BJ$2),1,0)</f>
        <v>0</v>
      </c>
      <c r="BK50" s="298" cm="1">
        <f t="array" ref="BK50">IF(AND(BK$2&lt;&gt;0,TblTech[[#This Row],[Hour]:[Hour]]&gt;=BK$2),1,0)</f>
        <v>0</v>
      </c>
      <c r="BL50" s="298" cm="1">
        <f t="array" ref="BL50">IF(AND(BL$2&lt;&gt;0,TblTech[[#This Row],[Hour]:[Hour]]&gt;=BL$2),1,0)</f>
        <v>0</v>
      </c>
      <c r="BM50" s="298" cm="1">
        <f t="array" ref="BM50">IF(AND(BM$2&lt;&gt;0,TblTech[[#This Row],[Hour]:[Hour]]&gt;=BM$2),1,0)</f>
        <v>0</v>
      </c>
      <c r="BN50" s="298" cm="1">
        <f t="array" ref="BN50">IF(AND(BN$2&lt;&gt;0,TblTech[[#This Row],[Hour]:[Hour]]&gt;=BN$2),1,0)</f>
        <v>0</v>
      </c>
      <c r="BO50" s="298" cm="1">
        <f t="array" ref="BO50">IF(AND(BO$2&lt;&gt;0,TblTech[[#This Row],[Hour]:[Hour]]&gt;=BO$2),1,0)</f>
        <v>0</v>
      </c>
      <c r="BP50" s="298" cm="1">
        <f t="array" ref="BP50">IF(AND(BP$2&lt;&gt;0,TblTech[[#This Row],[Hour]:[Hour]]&gt;=BP$2),1,0)</f>
        <v>0</v>
      </c>
      <c r="BQ50" s="298" cm="1">
        <f t="array" ref="BQ50">IF(AND(BQ$2&lt;&gt;0,TblTech[[#This Row],[Hour]:[Hour]]&gt;=BQ$2),1,0)</f>
        <v>0</v>
      </c>
      <c r="BR50" s="298" cm="1">
        <f t="array" ref="BR50">IF(AND(BR$2&lt;&gt;0,TblTech[[#This Row],[Hour]:[Hour]]&gt;=BR$2),1,0)</f>
        <v>0</v>
      </c>
      <c r="BS50" s="298" cm="1">
        <f t="array" ref="BS50">IF(AND(BS$2&lt;&gt;0,TblTech[[#This Row],[Hour]:[Hour]]&gt;=BS$2),1,0)</f>
        <v>0</v>
      </c>
      <c r="BT50" s="298" cm="1">
        <f t="array" ref="BT50">IF(AND(BT$2&lt;&gt;0,TblTech[[#This Row],[Hour]:[Hour]]&gt;=BT$2),1,0)</f>
        <v>0</v>
      </c>
      <c r="BU50" s="298" cm="1">
        <f t="array" ref="BU50">IF(AND(BU$2&lt;&gt;0,TblTech[[#This Row],[Hour]:[Hour]]&gt;=BU$2),1,0)</f>
        <v>0</v>
      </c>
      <c r="BV50" s="298" cm="1">
        <f t="array" ref="BV50">IF(AND(BV$2&lt;&gt;0,TblTech[[#This Row],[Hour]:[Hour]]&gt;=BV$2),1,0)</f>
        <v>0</v>
      </c>
      <c r="BW50" s="298" cm="1">
        <f t="array" ref="BW50">IF(AND(BW$2&lt;&gt;0,TblTech[[#This Row],[Hour]:[Hour]]&gt;=BW$2),1,0)</f>
        <v>0</v>
      </c>
      <c r="BX50" s="298" cm="1">
        <f t="array" ref="BX50">IF(AND(BX$2&lt;&gt;0,TblTech[[#This Row],[Hour]:[Hour]]&gt;=BX$2),1,0)</f>
        <v>0</v>
      </c>
      <c r="BY50" s="298" cm="1">
        <f t="array" ref="BY50">IF(AND(BY$2&lt;&gt;0,TblTech[[#This Row],[Hour]:[Hour]]&gt;=BY$2),1,0)</f>
        <v>0</v>
      </c>
      <c r="BZ50" s="298" cm="1">
        <f t="array" ref="BZ50">IF(AND(BZ$2&lt;&gt;0,TblTech[[#This Row],[Hour]:[Hour]]&gt;=BZ$2),1,0)</f>
        <v>0</v>
      </c>
      <c r="CA50" s="402">
        <f>IFERROR(INDEX($H$4:$H$79,MATCH(INDEX(TblTech[[#Headers],[1-1]:[11-1]],1,MATCH(TblTech[[#This Row],[Hour]],$M$2:$BZ$2,0)),$G$4:$G$79,0)),)</f>
        <v>0</v>
      </c>
    </row>
    <row r="51" spans="1:79" x14ac:dyDescent="0.2">
      <c r="A51" s="290">
        <f>TblRezone[[#This Row],[Hour]]</f>
        <v>48</v>
      </c>
      <c r="B51" s="291">
        <f ca="1">TblExplore[[#This Row],[Land-DB]]</f>
        <v>250</v>
      </c>
      <c r="C51" s="292">
        <f ca="1">TblProd[[#This Row],[Techpoints]]</f>
        <v>0</v>
      </c>
      <c r="D51" s="292">
        <f ca="1">TblProd[[#This Row],[Required]]</f>
        <v>3750</v>
      </c>
      <c r="E51" s="293"/>
      <c r="F51" s="294"/>
      <c r="G51" s="295" t="s">
        <v>592</v>
      </c>
      <c r="H51" s="296" t="s">
        <v>392</v>
      </c>
      <c r="I51" s="295" t="s">
        <v>1053</v>
      </c>
      <c r="J51" s="291"/>
      <c r="K51" s="95">
        <f ca="1">IF(TblTech[[#This Row],[Sum of tech]]&lt;&gt;OFFSET(TblTech[[#This Row],[Sum of tech]],-1,0),1,0)</f>
        <v>0</v>
      </c>
      <c r="L51" s="297">
        <f>COUNTIF(TblTech[[#This Row],[1-1]:[11-1]],1)</f>
        <v>0</v>
      </c>
      <c r="M51" s="298" cm="1">
        <f t="array" ref="M51">IF(AND(M$2&lt;&gt;0,TblTech[[#This Row],[Hour]:[Hour]]&gt;=M$2),1,0)</f>
        <v>0</v>
      </c>
      <c r="N51" s="298" cm="1">
        <f t="array" ref="N51">IF(AND(N$2&lt;&gt;0,TblTech[[#This Row],[Hour]:[Hour]]&gt;=N$2),1,0)</f>
        <v>0</v>
      </c>
      <c r="O51" s="298" cm="1">
        <f t="array" ref="O51">IF(AND(O$2&lt;&gt;0,TblTech[[#This Row],[Hour]:[Hour]]&gt;=O$2),1,0)</f>
        <v>0</v>
      </c>
      <c r="P51" s="298" cm="1">
        <f t="array" ref="P51">IF(AND(P$2&lt;&gt;0,TblTech[[#This Row],[Hour]:[Hour]]&gt;=P$2),1,0)</f>
        <v>0</v>
      </c>
      <c r="Q51" s="298" cm="1">
        <f t="array" ref="Q51">IF(AND(Q$2&lt;&gt;0,TblTech[[#This Row],[Hour]:[Hour]]&gt;=Q$2),1,0)</f>
        <v>0</v>
      </c>
      <c r="R51" s="298" cm="1">
        <f t="array" ref="R51">IF(AND(R$2&lt;&gt;0,TblTech[[#This Row],[Hour]:[Hour]]&gt;=R$2),1,0)</f>
        <v>0</v>
      </c>
      <c r="S51" s="298" cm="1">
        <f t="array" ref="S51">IF(AND(S$2&lt;&gt;0,TblTech[[#This Row],[Hour]:[Hour]]&gt;=S$2),1,0)</f>
        <v>0</v>
      </c>
      <c r="T51" s="298" cm="1">
        <f t="array" ref="T51">IF(AND(T$2&lt;&gt;0,TblTech[[#This Row],[Hour]:[Hour]]&gt;=T$2),1,0)</f>
        <v>0</v>
      </c>
      <c r="U51" s="298" cm="1">
        <f t="array" ref="U51">IF(AND(U$2&lt;&gt;0,TblTech[[#This Row],[Hour]:[Hour]]&gt;=U$2),1,0)</f>
        <v>0</v>
      </c>
      <c r="V51" s="298" cm="1">
        <f t="array" ref="V51">IF(AND(V$2&lt;&gt;0,TblTech[[#This Row],[Hour]:[Hour]]&gt;=V$2),1,0)</f>
        <v>0</v>
      </c>
      <c r="W51" s="298" cm="1">
        <f t="array" ref="W51">IF(AND(W$2&lt;&gt;0,TblTech[[#This Row],[Hour]:[Hour]]&gt;=W$2),1,0)</f>
        <v>0</v>
      </c>
      <c r="X51" s="298" cm="1">
        <f t="array" ref="X51">IF(AND(X$2&lt;&gt;0,TblTech[[#This Row],[Hour]:[Hour]]&gt;=X$2),1,0)</f>
        <v>0</v>
      </c>
      <c r="Y51" s="298" cm="1">
        <f t="array" ref="Y51">IF(AND(Y$2&lt;&gt;0,TblTech[[#This Row],[Hour]:[Hour]]&gt;=Y$2),1,0)</f>
        <v>0</v>
      </c>
      <c r="Z51" s="298" cm="1">
        <f t="array" ref="Z51">IF(AND(Z$2&lt;&gt;0,TblTech[[#This Row],[Hour]:[Hour]]&gt;=Z$2),1,0)</f>
        <v>0</v>
      </c>
      <c r="AA51" s="298" cm="1">
        <f t="array" ref="AA51">IF(AND(AA$2&lt;&gt;0,TblTech[[#This Row],[Hour]:[Hour]]&gt;=AA$2),1,0)</f>
        <v>0</v>
      </c>
      <c r="AB51" s="298" cm="1">
        <f t="array" ref="AB51">IF(AND(AB$2&lt;&gt;0,TblTech[[#This Row],[Hour]:[Hour]]&gt;=AB$2),1,0)</f>
        <v>0</v>
      </c>
      <c r="AC51" s="298" cm="1">
        <f t="array" ref="AC51">IF(AND(AC$2&lt;&gt;0,TblTech[[#This Row],[Hour]:[Hour]]&gt;=AC$2),1,0)</f>
        <v>0</v>
      </c>
      <c r="AD51" s="298" cm="1">
        <f t="array" ref="AD51">IF(AND(AD$2&lt;&gt;0,TblTech[[#This Row],[Hour]:[Hour]]&gt;=AD$2),1,0)</f>
        <v>0</v>
      </c>
      <c r="AE51" s="298" cm="1">
        <f t="array" ref="AE51">IF(AND(AE$2&lt;&gt;0,TblTech[[#This Row],[Hour]:[Hour]]&gt;=AE$2),1,0)</f>
        <v>0</v>
      </c>
      <c r="AF51" s="298" cm="1">
        <f t="array" ref="AF51">IF(AND(AF$2&lt;&gt;0,TblTech[[#This Row],[Hour]:[Hour]]&gt;=AF$2),1,0)</f>
        <v>0</v>
      </c>
      <c r="AG51" s="298" cm="1">
        <f t="array" ref="AG51">IF(AND(AG$2&lt;&gt;0,TblTech[[#This Row],[Hour]:[Hour]]&gt;=AG$2),1,0)</f>
        <v>0</v>
      </c>
      <c r="AH51" s="298" cm="1">
        <f t="array" ref="AH51">IF(AND(AH$2&lt;&gt;0,TblTech[[#This Row],[Hour]:[Hour]]&gt;=AH$2),1,0)</f>
        <v>0</v>
      </c>
      <c r="AI51" s="298" cm="1">
        <f t="array" ref="AI51">IF(AND(AI$2&lt;&gt;0,TblTech[[#This Row],[Hour]:[Hour]]&gt;=AI$2),1,0)</f>
        <v>0</v>
      </c>
      <c r="AJ51" s="298" cm="1">
        <f t="array" ref="AJ51">IF(AND(AJ$2&lt;&gt;0,TblTech[[#This Row],[Hour]:[Hour]]&gt;=AJ$2),1,0)</f>
        <v>0</v>
      </c>
      <c r="AK51" s="298" cm="1">
        <f t="array" ref="AK51">IF(AND(AK$2&lt;&gt;0,TblTech[[#This Row],[Hour]:[Hour]]&gt;=AK$2),1,0)</f>
        <v>0</v>
      </c>
      <c r="AL51" s="298" cm="1">
        <f t="array" ref="AL51">IF(AND(AL$2&lt;&gt;0,TblTech[[#This Row],[Hour]:[Hour]]&gt;=AL$2),1,0)</f>
        <v>0</v>
      </c>
      <c r="AM51" s="298" cm="1">
        <f t="array" ref="AM51">IF(AND(AM$2&lt;&gt;0,TblTech[[#This Row],[Hour]:[Hour]]&gt;=AM$2),1,0)</f>
        <v>0</v>
      </c>
      <c r="AN51" s="298" cm="1">
        <f t="array" ref="AN51">IF(AND(AN$2&lt;&gt;0,TblTech[[#This Row],[Hour]:[Hour]]&gt;=AN$2),1,0)</f>
        <v>0</v>
      </c>
      <c r="AO51" s="298" cm="1">
        <f t="array" ref="AO51">IF(AND(AO$2&lt;&gt;0,TblTech[[#This Row],[Hour]:[Hour]]&gt;=AO$2),1,0)</f>
        <v>0</v>
      </c>
      <c r="AP51" s="298" cm="1">
        <f t="array" ref="AP51">IF(AND(AP$2&lt;&gt;0,TblTech[[#This Row],[Hour]:[Hour]]&gt;=AP$2),1,0)</f>
        <v>0</v>
      </c>
      <c r="AQ51" s="298" cm="1">
        <f t="array" ref="AQ51">IF(AND(AQ$2&lt;&gt;0,TblTech[[#This Row],[Hour]:[Hour]]&gt;=AQ$2),1,0)</f>
        <v>0</v>
      </c>
      <c r="AR51" s="298" cm="1">
        <f t="array" ref="AR51">IF(AND(AR$2&lt;&gt;0,TblTech[[#This Row],[Hour]:[Hour]]&gt;=AR$2),1,0)</f>
        <v>0</v>
      </c>
      <c r="AS51" s="298" cm="1">
        <f t="array" ref="AS51">IF(AND(AS$2&lt;&gt;0,TblTech[[#This Row],[Hour]:[Hour]]&gt;=AS$2),1,0)</f>
        <v>0</v>
      </c>
      <c r="AT51" s="298" cm="1">
        <f t="array" ref="AT51">IF(AND(AT$2&lt;&gt;0,TblTech[[#This Row],[Hour]:[Hour]]&gt;=AT$2),1,0)</f>
        <v>0</v>
      </c>
      <c r="AU51" s="298" cm="1">
        <f t="array" ref="AU51">IF(AND(AU$2&lt;&gt;0,TblTech[[#This Row],[Hour]:[Hour]]&gt;=AU$2),1,0)</f>
        <v>0</v>
      </c>
      <c r="AV51" s="298" cm="1">
        <f t="array" ref="AV51">IF(AND(AV$2&lt;&gt;0,TblTech[[#This Row],[Hour]:[Hour]]&gt;=AV$2),1,0)</f>
        <v>0</v>
      </c>
      <c r="AW51" s="298" cm="1">
        <f t="array" ref="AW51">IF(AND(AW$2&lt;&gt;0,TblTech[[#This Row],[Hour]:[Hour]]&gt;=AW$2),1,0)</f>
        <v>0</v>
      </c>
      <c r="AX51" s="298" cm="1">
        <f t="array" ref="AX51">IF(AND(AX$2&lt;&gt;0,TblTech[[#This Row],[Hour]:[Hour]]&gt;=AX$2),1,0)</f>
        <v>0</v>
      </c>
      <c r="AY51" s="298" cm="1">
        <f t="array" ref="AY51">IF(AND(AY$2&lt;&gt;0,TblTech[[#This Row],[Hour]:[Hour]]&gt;=AY$2),1,0)</f>
        <v>0</v>
      </c>
      <c r="AZ51" s="298" cm="1">
        <f t="array" ref="AZ51">IF(AND(AZ$2&lt;&gt;0,TblTech[[#This Row],[Hour]:[Hour]]&gt;=AZ$2),1,0)</f>
        <v>0</v>
      </c>
      <c r="BA51" s="298" cm="1">
        <f t="array" ref="BA51">IF(AND(BA$2&lt;&gt;0,TblTech[[#This Row],[Hour]:[Hour]]&gt;=BA$2),1,0)</f>
        <v>0</v>
      </c>
      <c r="BB51" s="298" cm="1">
        <f t="array" ref="BB51">IF(AND(BB$2&lt;&gt;0,TblTech[[#This Row],[Hour]:[Hour]]&gt;=BB$2),1,0)</f>
        <v>0</v>
      </c>
      <c r="BC51" s="298" cm="1">
        <f t="array" ref="BC51">IF(AND(BC$2&lt;&gt;0,TblTech[[#This Row],[Hour]:[Hour]]&gt;=BC$2),1,0)</f>
        <v>0</v>
      </c>
      <c r="BD51" s="298" cm="1">
        <f t="array" ref="BD51">IF(AND(BD$2&lt;&gt;0,TblTech[[#This Row],[Hour]:[Hour]]&gt;=BD$2),1,0)</f>
        <v>0</v>
      </c>
      <c r="BE51" s="298" cm="1">
        <f t="array" ref="BE51">IF(AND(BE$2&lt;&gt;0,TblTech[[#This Row],[Hour]:[Hour]]&gt;=BE$2),1,0)</f>
        <v>0</v>
      </c>
      <c r="BF51" s="298" cm="1">
        <f t="array" ref="BF51">IF(AND(BF$2&lt;&gt;0,TblTech[[#This Row],[Hour]:[Hour]]&gt;=BF$2),1,0)</f>
        <v>0</v>
      </c>
      <c r="BG51" s="298" cm="1">
        <f t="array" ref="BG51">IF(AND(BG$2&lt;&gt;0,TblTech[[#This Row],[Hour]:[Hour]]&gt;=BG$2),1,0)</f>
        <v>0</v>
      </c>
      <c r="BH51" s="298" cm="1">
        <f t="array" ref="BH51">IF(AND(BH$2&lt;&gt;0,TblTech[[#This Row],[Hour]:[Hour]]&gt;=BH$2),1,0)</f>
        <v>0</v>
      </c>
      <c r="BI51" s="298" cm="1">
        <f t="array" ref="BI51">IF(AND(BI$2&lt;&gt;0,TblTech[[#This Row],[Hour]:[Hour]]&gt;=BI$2),1,0)</f>
        <v>0</v>
      </c>
      <c r="BJ51" s="298" cm="1">
        <f t="array" ref="BJ51">IF(AND(BJ$2&lt;&gt;0,TblTech[[#This Row],[Hour]:[Hour]]&gt;=BJ$2),1,0)</f>
        <v>0</v>
      </c>
      <c r="BK51" s="298" cm="1">
        <f t="array" ref="BK51">IF(AND(BK$2&lt;&gt;0,TblTech[[#This Row],[Hour]:[Hour]]&gt;=BK$2),1,0)</f>
        <v>0</v>
      </c>
      <c r="BL51" s="298" cm="1">
        <f t="array" ref="BL51">IF(AND(BL$2&lt;&gt;0,TblTech[[#This Row],[Hour]:[Hour]]&gt;=BL$2),1,0)</f>
        <v>0</v>
      </c>
      <c r="BM51" s="298" cm="1">
        <f t="array" ref="BM51">IF(AND(BM$2&lt;&gt;0,TblTech[[#This Row],[Hour]:[Hour]]&gt;=BM$2),1,0)</f>
        <v>0</v>
      </c>
      <c r="BN51" s="298" cm="1">
        <f t="array" ref="BN51">IF(AND(BN$2&lt;&gt;0,TblTech[[#This Row],[Hour]:[Hour]]&gt;=BN$2),1,0)</f>
        <v>0</v>
      </c>
      <c r="BO51" s="298" cm="1">
        <f t="array" ref="BO51">IF(AND(BO$2&lt;&gt;0,TblTech[[#This Row],[Hour]:[Hour]]&gt;=BO$2),1,0)</f>
        <v>0</v>
      </c>
      <c r="BP51" s="298" cm="1">
        <f t="array" ref="BP51">IF(AND(BP$2&lt;&gt;0,TblTech[[#This Row],[Hour]:[Hour]]&gt;=BP$2),1,0)</f>
        <v>0</v>
      </c>
      <c r="BQ51" s="298" cm="1">
        <f t="array" ref="BQ51">IF(AND(BQ$2&lt;&gt;0,TblTech[[#This Row],[Hour]:[Hour]]&gt;=BQ$2),1,0)</f>
        <v>0</v>
      </c>
      <c r="BR51" s="298" cm="1">
        <f t="array" ref="BR51">IF(AND(BR$2&lt;&gt;0,TblTech[[#This Row],[Hour]:[Hour]]&gt;=BR$2),1,0)</f>
        <v>0</v>
      </c>
      <c r="BS51" s="298" cm="1">
        <f t="array" ref="BS51">IF(AND(BS$2&lt;&gt;0,TblTech[[#This Row],[Hour]:[Hour]]&gt;=BS$2),1,0)</f>
        <v>0</v>
      </c>
      <c r="BT51" s="298" cm="1">
        <f t="array" ref="BT51">IF(AND(BT$2&lt;&gt;0,TblTech[[#This Row],[Hour]:[Hour]]&gt;=BT$2),1,0)</f>
        <v>0</v>
      </c>
      <c r="BU51" s="298" cm="1">
        <f t="array" ref="BU51">IF(AND(BU$2&lt;&gt;0,TblTech[[#This Row],[Hour]:[Hour]]&gt;=BU$2),1,0)</f>
        <v>0</v>
      </c>
      <c r="BV51" s="298" cm="1">
        <f t="array" ref="BV51">IF(AND(BV$2&lt;&gt;0,TblTech[[#This Row],[Hour]:[Hour]]&gt;=BV$2),1,0)</f>
        <v>0</v>
      </c>
      <c r="BW51" s="298" cm="1">
        <f t="array" ref="BW51">IF(AND(BW$2&lt;&gt;0,TblTech[[#This Row],[Hour]:[Hour]]&gt;=BW$2),1,0)</f>
        <v>0</v>
      </c>
      <c r="BX51" s="298" cm="1">
        <f t="array" ref="BX51">IF(AND(BX$2&lt;&gt;0,TblTech[[#This Row],[Hour]:[Hour]]&gt;=BX$2),1,0)</f>
        <v>0</v>
      </c>
      <c r="BY51" s="298" cm="1">
        <f t="array" ref="BY51">IF(AND(BY$2&lt;&gt;0,TblTech[[#This Row],[Hour]:[Hour]]&gt;=BY$2),1,0)</f>
        <v>0</v>
      </c>
      <c r="BZ51" s="298" cm="1">
        <f t="array" ref="BZ51">IF(AND(BZ$2&lt;&gt;0,TblTech[[#This Row],[Hour]:[Hour]]&gt;=BZ$2),1,0)</f>
        <v>0</v>
      </c>
      <c r="CA51" s="402">
        <f>IFERROR(INDEX($H$4:$H$79,MATCH(INDEX(TblTech[[#Headers],[1-1]:[11-1]],1,MATCH(TblTech[[#This Row],[Hour]],$M$2:$BZ$2,0)),$G$4:$G$79,0)),)</f>
        <v>0</v>
      </c>
    </row>
    <row r="52" spans="1:79" x14ac:dyDescent="0.2">
      <c r="A52" s="290">
        <f>TblRezone[[#This Row],[Hour]]</f>
        <v>49</v>
      </c>
      <c r="B52" s="291">
        <f ca="1">TblExplore[[#This Row],[Land-DB]]</f>
        <v>250</v>
      </c>
      <c r="C52" s="292">
        <f ca="1">TblProd[[#This Row],[Techpoints]]</f>
        <v>0</v>
      </c>
      <c r="D52" s="292">
        <f ca="1">TblProd[[#This Row],[Required]]</f>
        <v>3750</v>
      </c>
      <c r="E52" s="293"/>
      <c r="F52" s="294"/>
      <c r="G52" s="295" t="s">
        <v>593</v>
      </c>
      <c r="H52" s="296" t="s">
        <v>717</v>
      </c>
      <c r="I52" s="295" t="s">
        <v>628</v>
      </c>
      <c r="J52" s="291"/>
      <c r="K52" s="95">
        <f ca="1">IF(TblTech[[#This Row],[Sum of tech]]&lt;&gt;OFFSET(TblTech[[#This Row],[Sum of tech]],-1,0),1,0)</f>
        <v>0</v>
      </c>
      <c r="L52" s="297">
        <f>COUNTIF(TblTech[[#This Row],[1-1]:[11-1]],1)</f>
        <v>0</v>
      </c>
      <c r="M52" s="298" cm="1">
        <f t="array" ref="M52">IF(AND(M$2&lt;&gt;0,TblTech[[#This Row],[Hour]:[Hour]]&gt;=M$2),1,0)</f>
        <v>0</v>
      </c>
      <c r="N52" s="298" cm="1">
        <f t="array" ref="N52">IF(AND(N$2&lt;&gt;0,TblTech[[#This Row],[Hour]:[Hour]]&gt;=N$2),1,0)</f>
        <v>0</v>
      </c>
      <c r="O52" s="298" cm="1">
        <f t="array" ref="O52">IF(AND(O$2&lt;&gt;0,TblTech[[#This Row],[Hour]:[Hour]]&gt;=O$2),1,0)</f>
        <v>0</v>
      </c>
      <c r="P52" s="298" cm="1">
        <f t="array" ref="P52">IF(AND(P$2&lt;&gt;0,TblTech[[#This Row],[Hour]:[Hour]]&gt;=P$2),1,0)</f>
        <v>0</v>
      </c>
      <c r="Q52" s="298" cm="1">
        <f t="array" ref="Q52">IF(AND(Q$2&lt;&gt;0,TblTech[[#This Row],[Hour]:[Hour]]&gt;=Q$2),1,0)</f>
        <v>0</v>
      </c>
      <c r="R52" s="298" cm="1">
        <f t="array" ref="R52">IF(AND(R$2&lt;&gt;0,TblTech[[#This Row],[Hour]:[Hour]]&gt;=R$2),1,0)</f>
        <v>0</v>
      </c>
      <c r="S52" s="298" cm="1">
        <f t="array" ref="S52">IF(AND(S$2&lt;&gt;0,TblTech[[#This Row],[Hour]:[Hour]]&gt;=S$2),1,0)</f>
        <v>0</v>
      </c>
      <c r="T52" s="298" cm="1">
        <f t="array" ref="T52">IF(AND(T$2&lt;&gt;0,TblTech[[#This Row],[Hour]:[Hour]]&gt;=T$2),1,0)</f>
        <v>0</v>
      </c>
      <c r="U52" s="298" cm="1">
        <f t="array" ref="U52">IF(AND(U$2&lt;&gt;0,TblTech[[#This Row],[Hour]:[Hour]]&gt;=U$2),1,0)</f>
        <v>0</v>
      </c>
      <c r="V52" s="298" cm="1">
        <f t="array" ref="V52">IF(AND(V$2&lt;&gt;0,TblTech[[#This Row],[Hour]:[Hour]]&gt;=V$2),1,0)</f>
        <v>0</v>
      </c>
      <c r="W52" s="298" cm="1">
        <f t="array" ref="W52">IF(AND(W$2&lt;&gt;0,TblTech[[#This Row],[Hour]:[Hour]]&gt;=W$2),1,0)</f>
        <v>0</v>
      </c>
      <c r="X52" s="298" cm="1">
        <f t="array" ref="X52">IF(AND(X$2&lt;&gt;0,TblTech[[#This Row],[Hour]:[Hour]]&gt;=X$2),1,0)</f>
        <v>0</v>
      </c>
      <c r="Y52" s="298" cm="1">
        <f t="array" ref="Y52">IF(AND(Y$2&lt;&gt;0,TblTech[[#This Row],[Hour]:[Hour]]&gt;=Y$2),1,0)</f>
        <v>0</v>
      </c>
      <c r="Z52" s="298" cm="1">
        <f t="array" ref="Z52">IF(AND(Z$2&lt;&gt;0,TblTech[[#This Row],[Hour]:[Hour]]&gt;=Z$2),1,0)</f>
        <v>0</v>
      </c>
      <c r="AA52" s="298" cm="1">
        <f t="array" ref="AA52">IF(AND(AA$2&lt;&gt;0,TblTech[[#This Row],[Hour]:[Hour]]&gt;=AA$2),1,0)</f>
        <v>0</v>
      </c>
      <c r="AB52" s="298" cm="1">
        <f t="array" ref="AB52">IF(AND(AB$2&lt;&gt;0,TblTech[[#This Row],[Hour]:[Hour]]&gt;=AB$2),1,0)</f>
        <v>0</v>
      </c>
      <c r="AC52" s="298" cm="1">
        <f t="array" ref="AC52">IF(AND(AC$2&lt;&gt;0,TblTech[[#This Row],[Hour]:[Hour]]&gt;=AC$2),1,0)</f>
        <v>0</v>
      </c>
      <c r="AD52" s="298" cm="1">
        <f t="array" ref="AD52">IF(AND(AD$2&lt;&gt;0,TblTech[[#This Row],[Hour]:[Hour]]&gt;=AD$2),1,0)</f>
        <v>0</v>
      </c>
      <c r="AE52" s="298" cm="1">
        <f t="array" ref="AE52">IF(AND(AE$2&lt;&gt;0,TblTech[[#This Row],[Hour]:[Hour]]&gt;=AE$2),1,0)</f>
        <v>0</v>
      </c>
      <c r="AF52" s="298" cm="1">
        <f t="array" ref="AF52">IF(AND(AF$2&lt;&gt;0,TblTech[[#This Row],[Hour]:[Hour]]&gt;=AF$2),1,0)</f>
        <v>0</v>
      </c>
      <c r="AG52" s="298" cm="1">
        <f t="array" ref="AG52">IF(AND(AG$2&lt;&gt;0,TblTech[[#This Row],[Hour]:[Hour]]&gt;=AG$2),1,0)</f>
        <v>0</v>
      </c>
      <c r="AH52" s="298" cm="1">
        <f t="array" ref="AH52">IF(AND(AH$2&lt;&gt;0,TblTech[[#This Row],[Hour]:[Hour]]&gt;=AH$2),1,0)</f>
        <v>0</v>
      </c>
      <c r="AI52" s="298" cm="1">
        <f t="array" ref="AI52">IF(AND(AI$2&lt;&gt;0,TblTech[[#This Row],[Hour]:[Hour]]&gt;=AI$2),1,0)</f>
        <v>0</v>
      </c>
      <c r="AJ52" s="298" cm="1">
        <f t="array" ref="AJ52">IF(AND(AJ$2&lt;&gt;0,TblTech[[#This Row],[Hour]:[Hour]]&gt;=AJ$2),1,0)</f>
        <v>0</v>
      </c>
      <c r="AK52" s="298" cm="1">
        <f t="array" ref="AK52">IF(AND(AK$2&lt;&gt;0,TblTech[[#This Row],[Hour]:[Hour]]&gt;=AK$2),1,0)</f>
        <v>0</v>
      </c>
      <c r="AL52" s="298" cm="1">
        <f t="array" ref="AL52">IF(AND(AL$2&lt;&gt;0,TblTech[[#This Row],[Hour]:[Hour]]&gt;=AL$2),1,0)</f>
        <v>0</v>
      </c>
      <c r="AM52" s="298" cm="1">
        <f t="array" ref="AM52">IF(AND(AM$2&lt;&gt;0,TblTech[[#This Row],[Hour]:[Hour]]&gt;=AM$2),1,0)</f>
        <v>0</v>
      </c>
      <c r="AN52" s="298" cm="1">
        <f t="array" ref="AN52">IF(AND(AN$2&lt;&gt;0,TblTech[[#This Row],[Hour]:[Hour]]&gt;=AN$2),1,0)</f>
        <v>0</v>
      </c>
      <c r="AO52" s="298" cm="1">
        <f t="array" ref="AO52">IF(AND(AO$2&lt;&gt;0,TblTech[[#This Row],[Hour]:[Hour]]&gt;=AO$2),1,0)</f>
        <v>0</v>
      </c>
      <c r="AP52" s="298" cm="1">
        <f t="array" ref="AP52">IF(AND(AP$2&lt;&gt;0,TblTech[[#This Row],[Hour]:[Hour]]&gt;=AP$2),1,0)</f>
        <v>0</v>
      </c>
      <c r="AQ52" s="298" cm="1">
        <f t="array" ref="AQ52">IF(AND(AQ$2&lt;&gt;0,TblTech[[#This Row],[Hour]:[Hour]]&gt;=AQ$2),1,0)</f>
        <v>0</v>
      </c>
      <c r="AR52" s="298" cm="1">
        <f t="array" ref="AR52">IF(AND(AR$2&lt;&gt;0,TblTech[[#This Row],[Hour]:[Hour]]&gt;=AR$2),1,0)</f>
        <v>0</v>
      </c>
      <c r="AS52" s="298" cm="1">
        <f t="array" ref="AS52">IF(AND(AS$2&lt;&gt;0,TblTech[[#This Row],[Hour]:[Hour]]&gt;=AS$2),1,0)</f>
        <v>0</v>
      </c>
      <c r="AT52" s="298" cm="1">
        <f t="array" ref="AT52">IF(AND(AT$2&lt;&gt;0,TblTech[[#This Row],[Hour]:[Hour]]&gt;=AT$2),1,0)</f>
        <v>0</v>
      </c>
      <c r="AU52" s="298" cm="1">
        <f t="array" ref="AU52">IF(AND(AU$2&lt;&gt;0,TblTech[[#This Row],[Hour]:[Hour]]&gt;=AU$2),1,0)</f>
        <v>0</v>
      </c>
      <c r="AV52" s="298" cm="1">
        <f t="array" ref="AV52">IF(AND(AV$2&lt;&gt;0,TblTech[[#This Row],[Hour]:[Hour]]&gt;=AV$2),1,0)</f>
        <v>0</v>
      </c>
      <c r="AW52" s="298" cm="1">
        <f t="array" ref="AW52">IF(AND(AW$2&lt;&gt;0,TblTech[[#This Row],[Hour]:[Hour]]&gt;=AW$2),1,0)</f>
        <v>0</v>
      </c>
      <c r="AX52" s="298" cm="1">
        <f t="array" ref="AX52">IF(AND(AX$2&lt;&gt;0,TblTech[[#This Row],[Hour]:[Hour]]&gt;=AX$2),1,0)</f>
        <v>0</v>
      </c>
      <c r="AY52" s="298" cm="1">
        <f t="array" ref="AY52">IF(AND(AY$2&lt;&gt;0,TblTech[[#This Row],[Hour]:[Hour]]&gt;=AY$2),1,0)</f>
        <v>0</v>
      </c>
      <c r="AZ52" s="298" cm="1">
        <f t="array" ref="AZ52">IF(AND(AZ$2&lt;&gt;0,TblTech[[#This Row],[Hour]:[Hour]]&gt;=AZ$2),1,0)</f>
        <v>0</v>
      </c>
      <c r="BA52" s="298" cm="1">
        <f t="array" ref="BA52">IF(AND(BA$2&lt;&gt;0,TblTech[[#This Row],[Hour]:[Hour]]&gt;=BA$2),1,0)</f>
        <v>0</v>
      </c>
      <c r="BB52" s="298" cm="1">
        <f t="array" ref="BB52">IF(AND(BB$2&lt;&gt;0,TblTech[[#This Row],[Hour]:[Hour]]&gt;=BB$2),1,0)</f>
        <v>0</v>
      </c>
      <c r="BC52" s="298" cm="1">
        <f t="array" ref="BC52">IF(AND(BC$2&lt;&gt;0,TblTech[[#This Row],[Hour]:[Hour]]&gt;=BC$2),1,0)</f>
        <v>0</v>
      </c>
      <c r="BD52" s="298" cm="1">
        <f t="array" ref="BD52">IF(AND(BD$2&lt;&gt;0,TblTech[[#This Row],[Hour]:[Hour]]&gt;=BD$2),1,0)</f>
        <v>0</v>
      </c>
      <c r="BE52" s="298" cm="1">
        <f t="array" ref="BE52">IF(AND(BE$2&lt;&gt;0,TblTech[[#This Row],[Hour]:[Hour]]&gt;=BE$2),1,0)</f>
        <v>0</v>
      </c>
      <c r="BF52" s="298" cm="1">
        <f t="array" ref="BF52">IF(AND(BF$2&lt;&gt;0,TblTech[[#This Row],[Hour]:[Hour]]&gt;=BF$2),1,0)</f>
        <v>0</v>
      </c>
      <c r="BG52" s="298" cm="1">
        <f t="array" ref="BG52">IF(AND(BG$2&lt;&gt;0,TblTech[[#This Row],[Hour]:[Hour]]&gt;=BG$2),1,0)</f>
        <v>0</v>
      </c>
      <c r="BH52" s="298" cm="1">
        <f t="array" ref="BH52">IF(AND(BH$2&lt;&gt;0,TblTech[[#This Row],[Hour]:[Hour]]&gt;=BH$2),1,0)</f>
        <v>0</v>
      </c>
      <c r="BI52" s="298" cm="1">
        <f t="array" ref="BI52">IF(AND(BI$2&lt;&gt;0,TblTech[[#This Row],[Hour]:[Hour]]&gt;=BI$2),1,0)</f>
        <v>0</v>
      </c>
      <c r="BJ52" s="298" cm="1">
        <f t="array" ref="BJ52">IF(AND(BJ$2&lt;&gt;0,TblTech[[#This Row],[Hour]:[Hour]]&gt;=BJ$2),1,0)</f>
        <v>0</v>
      </c>
      <c r="BK52" s="298" cm="1">
        <f t="array" ref="BK52">IF(AND(BK$2&lt;&gt;0,TblTech[[#This Row],[Hour]:[Hour]]&gt;=BK$2),1,0)</f>
        <v>0</v>
      </c>
      <c r="BL52" s="298" cm="1">
        <f t="array" ref="BL52">IF(AND(BL$2&lt;&gt;0,TblTech[[#This Row],[Hour]:[Hour]]&gt;=BL$2),1,0)</f>
        <v>0</v>
      </c>
      <c r="BM52" s="298" cm="1">
        <f t="array" ref="BM52">IF(AND(BM$2&lt;&gt;0,TblTech[[#This Row],[Hour]:[Hour]]&gt;=BM$2),1,0)</f>
        <v>0</v>
      </c>
      <c r="BN52" s="298" cm="1">
        <f t="array" ref="BN52">IF(AND(BN$2&lt;&gt;0,TblTech[[#This Row],[Hour]:[Hour]]&gt;=BN$2),1,0)</f>
        <v>0</v>
      </c>
      <c r="BO52" s="298" cm="1">
        <f t="array" ref="BO52">IF(AND(BO$2&lt;&gt;0,TblTech[[#This Row],[Hour]:[Hour]]&gt;=BO$2),1,0)</f>
        <v>0</v>
      </c>
      <c r="BP52" s="298" cm="1">
        <f t="array" ref="BP52">IF(AND(BP$2&lt;&gt;0,TblTech[[#This Row],[Hour]:[Hour]]&gt;=BP$2),1,0)</f>
        <v>0</v>
      </c>
      <c r="BQ52" s="298" cm="1">
        <f t="array" ref="BQ52">IF(AND(BQ$2&lt;&gt;0,TblTech[[#This Row],[Hour]:[Hour]]&gt;=BQ$2),1,0)</f>
        <v>0</v>
      </c>
      <c r="BR52" s="298" cm="1">
        <f t="array" ref="BR52">IF(AND(BR$2&lt;&gt;0,TblTech[[#This Row],[Hour]:[Hour]]&gt;=BR$2),1,0)</f>
        <v>0</v>
      </c>
      <c r="BS52" s="298" cm="1">
        <f t="array" ref="BS52">IF(AND(BS$2&lt;&gt;0,TblTech[[#This Row],[Hour]:[Hour]]&gt;=BS$2),1,0)</f>
        <v>0</v>
      </c>
      <c r="BT52" s="298" cm="1">
        <f t="array" ref="BT52">IF(AND(BT$2&lt;&gt;0,TblTech[[#This Row],[Hour]:[Hour]]&gt;=BT$2),1,0)</f>
        <v>0</v>
      </c>
      <c r="BU52" s="298" cm="1">
        <f t="array" ref="BU52">IF(AND(BU$2&lt;&gt;0,TblTech[[#This Row],[Hour]:[Hour]]&gt;=BU$2),1,0)</f>
        <v>0</v>
      </c>
      <c r="BV52" s="298" cm="1">
        <f t="array" ref="BV52">IF(AND(BV$2&lt;&gt;0,TblTech[[#This Row],[Hour]:[Hour]]&gt;=BV$2),1,0)</f>
        <v>0</v>
      </c>
      <c r="BW52" s="298" cm="1">
        <f t="array" ref="BW52">IF(AND(BW$2&lt;&gt;0,TblTech[[#This Row],[Hour]:[Hour]]&gt;=BW$2),1,0)</f>
        <v>0</v>
      </c>
      <c r="BX52" s="298" cm="1">
        <f t="array" ref="BX52">IF(AND(BX$2&lt;&gt;0,TblTech[[#This Row],[Hour]:[Hour]]&gt;=BX$2),1,0)</f>
        <v>0</v>
      </c>
      <c r="BY52" s="298" cm="1">
        <f t="array" ref="BY52">IF(AND(BY$2&lt;&gt;0,TblTech[[#This Row],[Hour]:[Hour]]&gt;=BY$2),1,0)</f>
        <v>0</v>
      </c>
      <c r="BZ52" s="298" cm="1">
        <f t="array" ref="BZ52">IF(AND(BZ$2&lt;&gt;0,TblTech[[#This Row],[Hour]:[Hour]]&gt;=BZ$2),1,0)</f>
        <v>0</v>
      </c>
      <c r="CA52" s="402">
        <f>IFERROR(INDEX($H$4:$H$79,MATCH(INDEX(TblTech[[#Headers],[1-1]:[11-1]],1,MATCH(TblTech[[#This Row],[Hour]],$M$2:$BZ$2,0)),$G$4:$G$79,0)),)</f>
        <v>0</v>
      </c>
    </row>
    <row r="53" spans="1:79" x14ac:dyDescent="0.2">
      <c r="A53" s="290">
        <f>TblRezone[[#This Row],[Hour]]</f>
        <v>50</v>
      </c>
      <c r="B53" s="291">
        <f ca="1">TblExplore[[#This Row],[Land-DB]]</f>
        <v>250</v>
      </c>
      <c r="C53" s="292">
        <f ca="1">TblProd[[#This Row],[Techpoints]]</f>
        <v>0</v>
      </c>
      <c r="D53" s="292">
        <f ca="1">TblProd[[#This Row],[Required]]</f>
        <v>3750</v>
      </c>
      <c r="E53" s="293"/>
      <c r="F53" s="294"/>
      <c r="G53" s="295"/>
      <c r="H53" s="296"/>
      <c r="I53" s="295"/>
      <c r="J53" s="291"/>
      <c r="K53" s="95">
        <f ca="1">IF(TblTech[[#This Row],[Sum of tech]]&lt;&gt;OFFSET(TblTech[[#This Row],[Sum of tech]],-1,0),1,0)</f>
        <v>0</v>
      </c>
      <c r="L53" s="297">
        <f>COUNTIF(TblTech[[#This Row],[1-1]:[11-1]],1)</f>
        <v>0</v>
      </c>
      <c r="M53" s="298" cm="1">
        <f t="array" ref="M53">IF(AND(M$2&lt;&gt;0,TblTech[[#This Row],[Hour]:[Hour]]&gt;=M$2),1,0)</f>
        <v>0</v>
      </c>
      <c r="N53" s="298" cm="1">
        <f t="array" ref="N53">IF(AND(N$2&lt;&gt;0,TblTech[[#This Row],[Hour]:[Hour]]&gt;=N$2),1,0)</f>
        <v>0</v>
      </c>
      <c r="O53" s="298" cm="1">
        <f t="array" ref="O53">IF(AND(O$2&lt;&gt;0,TblTech[[#This Row],[Hour]:[Hour]]&gt;=O$2),1,0)</f>
        <v>0</v>
      </c>
      <c r="P53" s="298" cm="1">
        <f t="array" ref="P53">IF(AND(P$2&lt;&gt;0,TblTech[[#This Row],[Hour]:[Hour]]&gt;=P$2),1,0)</f>
        <v>0</v>
      </c>
      <c r="Q53" s="298" cm="1">
        <f t="array" ref="Q53">IF(AND(Q$2&lt;&gt;0,TblTech[[#This Row],[Hour]:[Hour]]&gt;=Q$2),1,0)</f>
        <v>0</v>
      </c>
      <c r="R53" s="298" cm="1">
        <f t="array" ref="R53">IF(AND(R$2&lt;&gt;0,TblTech[[#This Row],[Hour]:[Hour]]&gt;=R$2),1,0)</f>
        <v>0</v>
      </c>
      <c r="S53" s="298" cm="1">
        <f t="array" ref="S53">IF(AND(S$2&lt;&gt;0,TblTech[[#This Row],[Hour]:[Hour]]&gt;=S$2),1,0)</f>
        <v>0</v>
      </c>
      <c r="T53" s="298" cm="1">
        <f t="array" ref="T53">IF(AND(T$2&lt;&gt;0,TblTech[[#This Row],[Hour]:[Hour]]&gt;=T$2),1,0)</f>
        <v>0</v>
      </c>
      <c r="U53" s="298" cm="1">
        <f t="array" ref="U53">IF(AND(U$2&lt;&gt;0,TblTech[[#This Row],[Hour]:[Hour]]&gt;=U$2),1,0)</f>
        <v>0</v>
      </c>
      <c r="V53" s="298" cm="1">
        <f t="array" ref="V53">IF(AND(V$2&lt;&gt;0,TblTech[[#This Row],[Hour]:[Hour]]&gt;=V$2),1,0)</f>
        <v>0</v>
      </c>
      <c r="W53" s="298" cm="1">
        <f t="array" ref="W53">IF(AND(W$2&lt;&gt;0,TblTech[[#This Row],[Hour]:[Hour]]&gt;=W$2),1,0)</f>
        <v>0</v>
      </c>
      <c r="X53" s="298" cm="1">
        <f t="array" ref="X53">IF(AND(X$2&lt;&gt;0,TblTech[[#This Row],[Hour]:[Hour]]&gt;=X$2),1,0)</f>
        <v>0</v>
      </c>
      <c r="Y53" s="298" cm="1">
        <f t="array" ref="Y53">IF(AND(Y$2&lt;&gt;0,TblTech[[#This Row],[Hour]:[Hour]]&gt;=Y$2),1,0)</f>
        <v>0</v>
      </c>
      <c r="Z53" s="298" cm="1">
        <f t="array" ref="Z53">IF(AND(Z$2&lt;&gt;0,TblTech[[#This Row],[Hour]:[Hour]]&gt;=Z$2),1,0)</f>
        <v>0</v>
      </c>
      <c r="AA53" s="298" cm="1">
        <f t="array" ref="AA53">IF(AND(AA$2&lt;&gt;0,TblTech[[#This Row],[Hour]:[Hour]]&gt;=AA$2),1,0)</f>
        <v>0</v>
      </c>
      <c r="AB53" s="298" cm="1">
        <f t="array" ref="AB53">IF(AND(AB$2&lt;&gt;0,TblTech[[#This Row],[Hour]:[Hour]]&gt;=AB$2),1,0)</f>
        <v>0</v>
      </c>
      <c r="AC53" s="298" cm="1">
        <f t="array" ref="AC53">IF(AND(AC$2&lt;&gt;0,TblTech[[#This Row],[Hour]:[Hour]]&gt;=AC$2),1,0)</f>
        <v>0</v>
      </c>
      <c r="AD53" s="298" cm="1">
        <f t="array" ref="AD53">IF(AND(AD$2&lt;&gt;0,TblTech[[#This Row],[Hour]:[Hour]]&gt;=AD$2),1,0)</f>
        <v>0</v>
      </c>
      <c r="AE53" s="298" cm="1">
        <f t="array" ref="AE53">IF(AND(AE$2&lt;&gt;0,TblTech[[#This Row],[Hour]:[Hour]]&gt;=AE$2),1,0)</f>
        <v>0</v>
      </c>
      <c r="AF53" s="298" cm="1">
        <f t="array" ref="AF53">IF(AND(AF$2&lt;&gt;0,TblTech[[#This Row],[Hour]:[Hour]]&gt;=AF$2),1,0)</f>
        <v>0</v>
      </c>
      <c r="AG53" s="298" cm="1">
        <f t="array" ref="AG53">IF(AND(AG$2&lt;&gt;0,TblTech[[#This Row],[Hour]:[Hour]]&gt;=AG$2),1,0)</f>
        <v>0</v>
      </c>
      <c r="AH53" s="298" cm="1">
        <f t="array" ref="AH53">IF(AND(AH$2&lt;&gt;0,TblTech[[#This Row],[Hour]:[Hour]]&gt;=AH$2),1,0)</f>
        <v>0</v>
      </c>
      <c r="AI53" s="298" cm="1">
        <f t="array" ref="AI53">IF(AND(AI$2&lt;&gt;0,TblTech[[#This Row],[Hour]:[Hour]]&gt;=AI$2),1,0)</f>
        <v>0</v>
      </c>
      <c r="AJ53" s="298" cm="1">
        <f t="array" ref="AJ53">IF(AND(AJ$2&lt;&gt;0,TblTech[[#This Row],[Hour]:[Hour]]&gt;=AJ$2),1,0)</f>
        <v>0</v>
      </c>
      <c r="AK53" s="298" cm="1">
        <f t="array" ref="AK53">IF(AND(AK$2&lt;&gt;0,TblTech[[#This Row],[Hour]:[Hour]]&gt;=AK$2),1,0)</f>
        <v>0</v>
      </c>
      <c r="AL53" s="298" cm="1">
        <f t="array" ref="AL53">IF(AND(AL$2&lt;&gt;0,TblTech[[#This Row],[Hour]:[Hour]]&gt;=AL$2),1,0)</f>
        <v>0</v>
      </c>
      <c r="AM53" s="298" cm="1">
        <f t="array" ref="AM53">IF(AND(AM$2&lt;&gt;0,TblTech[[#This Row],[Hour]:[Hour]]&gt;=AM$2),1,0)</f>
        <v>0</v>
      </c>
      <c r="AN53" s="298" cm="1">
        <f t="array" ref="AN53">IF(AND(AN$2&lt;&gt;0,TblTech[[#This Row],[Hour]:[Hour]]&gt;=AN$2),1,0)</f>
        <v>0</v>
      </c>
      <c r="AO53" s="298" cm="1">
        <f t="array" ref="AO53">IF(AND(AO$2&lt;&gt;0,TblTech[[#This Row],[Hour]:[Hour]]&gt;=AO$2),1,0)</f>
        <v>0</v>
      </c>
      <c r="AP53" s="298" cm="1">
        <f t="array" ref="AP53">IF(AND(AP$2&lt;&gt;0,TblTech[[#This Row],[Hour]:[Hour]]&gt;=AP$2),1,0)</f>
        <v>0</v>
      </c>
      <c r="AQ53" s="298" cm="1">
        <f t="array" ref="AQ53">IF(AND(AQ$2&lt;&gt;0,TblTech[[#This Row],[Hour]:[Hour]]&gt;=AQ$2),1,0)</f>
        <v>0</v>
      </c>
      <c r="AR53" s="298" cm="1">
        <f t="array" ref="AR53">IF(AND(AR$2&lt;&gt;0,TblTech[[#This Row],[Hour]:[Hour]]&gt;=AR$2),1,0)</f>
        <v>0</v>
      </c>
      <c r="AS53" s="298" cm="1">
        <f t="array" ref="AS53">IF(AND(AS$2&lt;&gt;0,TblTech[[#This Row],[Hour]:[Hour]]&gt;=AS$2),1,0)</f>
        <v>0</v>
      </c>
      <c r="AT53" s="298" cm="1">
        <f t="array" ref="AT53">IF(AND(AT$2&lt;&gt;0,TblTech[[#This Row],[Hour]:[Hour]]&gt;=AT$2),1,0)</f>
        <v>0</v>
      </c>
      <c r="AU53" s="298" cm="1">
        <f t="array" ref="AU53">IF(AND(AU$2&lt;&gt;0,TblTech[[#This Row],[Hour]:[Hour]]&gt;=AU$2),1,0)</f>
        <v>0</v>
      </c>
      <c r="AV53" s="298" cm="1">
        <f t="array" ref="AV53">IF(AND(AV$2&lt;&gt;0,TblTech[[#This Row],[Hour]:[Hour]]&gt;=AV$2),1,0)</f>
        <v>0</v>
      </c>
      <c r="AW53" s="298" cm="1">
        <f t="array" ref="AW53">IF(AND(AW$2&lt;&gt;0,TblTech[[#This Row],[Hour]:[Hour]]&gt;=AW$2),1,0)</f>
        <v>0</v>
      </c>
      <c r="AX53" s="298" cm="1">
        <f t="array" ref="AX53">IF(AND(AX$2&lt;&gt;0,TblTech[[#This Row],[Hour]:[Hour]]&gt;=AX$2),1,0)</f>
        <v>0</v>
      </c>
      <c r="AY53" s="298" cm="1">
        <f t="array" ref="AY53">IF(AND(AY$2&lt;&gt;0,TblTech[[#This Row],[Hour]:[Hour]]&gt;=AY$2),1,0)</f>
        <v>0</v>
      </c>
      <c r="AZ53" s="298" cm="1">
        <f t="array" ref="AZ53">IF(AND(AZ$2&lt;&gt;0,TblTech[[#This Row],[Hour]:[Hour]]&gt;=AZ$2),1,0)</f>
        <v>0</v>
      </c>
      <c r="BA53" s="298" cm="1">
        <f t="array" ref="BA53">IF(AND(BA$2&lt;&gt;0,TblTech[[#This Row],[Hour]:[Hour]]&gt;=BA$2),1,0)</f>
        <v>0</v>
      </c>
      <c r="BB53" s="298" cm="1">
        <f t="array" ref="BB53">IF(AND(BB$2&lt;&gt;0,TblTech[[#This Row],[Hour]:[Hour]]&gt;=BB$2),1,0)</f>
        <v>0</v>
      </c>
      <c r="BC53" s="298" cm="1">
        <f t="array" ref="BC53">IF(AND(BC$2&lt;&gt;0,TblTech[[#This Row],[Hour]:[Hour]]&gt;=BC$2),1,0)</f>
        <v>0</v>
      </c>
      <c r="BD53" s="298" cm="1">
        <f t="array" ref="BD53">IF(AND(BD$2&lt;&gt;0,TblTech[[#This Row],[Hour]:[Hour]]&gt;=BD$2),1,0)</f>
        <v>0</v>
      </c>
      <c r="BE53" s="298" cm="1">
        <f t="array" ref="BE53">IF(AND(BE$2&lt;&gt;0,TblTech[[#This Row],[Hour]:[Hour]]&gt;=BE$2),1,0)</f>
        <v>0</v>
      </c>
      <c r="BF53" s="298" cm="1">
        <f t="array" ref="BF53">IF(AND(BF$2&lt;&gt;0,TblTech[[#This Row],[Hour]:[Hour]]&gt;=BF$2),1,0)</f>
        <v>0</v>
      </c>
      <c r="BG53" s="298" cm="1">
        <f t="array" ref="BG53">IF(AND(BG$2&lt;&gt;0,TblTech[[#This Row],[Hour]:[Hour]]&gt;=BG$2),1,0)</f>
        <v>0</v>
      </c>
      <c r="BH53" s="298" cm="1">
        <f t="array" ref="BH53">IF(AND(BH$2&lt;&gt;0,TblTech[[#This Row],[Hour]:[Hour]]&gt;=BH$2),1,0)</f>
        <v>0</v>
      </c>
      <c r="BI53" s="298" cm="1">
        <f t="array" ref="BI53">IF(AND(BI$2&lt;&gt;0,TblTech[[#This Row],[Hour]:[Hour]]&gt;=BI$2),1,0)</f>
        <v>0</v>
      </c>
      <c r="BJ53" s="298" cm="1">
        <f t="array" ref="BJ53">IF(AND(BJ$2&lt;&gt;0,TblTech[[#This Row],[Hour]:[Hour]]&gt;=BJ$2),1,0)</f>
        <v>0</v>
      </c>
      <c r="BK53" s="298" cm="1">
        <f t="array" ref="BK53">IF(AND(BK$2&lt;&gt;0,TblTech[[#This Row],[Hour]:[Hour]]&gt;=BK$2),1,0)</f>
        <v>0</v>
      </c>
      <c r="BL53" s="298" cm="1">
        <f t="array" ref="BL53">IF(AND(BL$2&lt;&gt;0,TblTech[[#This Row],[Hour]:[Hour]]&gt;=BL$2),1,0)</f>
        <v>0</v>
      </c>
      <c r="BM53" s="298" cm="1">
        <f t="array" ref="BM53">IF(AND(BM$2&lt;&gt;0,TblTech[[#This Row],[Hour]:[Hour]]&gt;=BM$2),1,0)</f>
        <v>0</v>
      </c>
      <c r="BN53" s="298" cm="1">
        <f t="array" ref="BN53">IF(AND(BN$2&lt;&gt;0,TblTech[[#This Row],[Hour]:[Hour]]&gt;=BN$2),1,0)</f>
        <v>0</v>
      </c>
      <c r="BO53" s="298" cm="1">
        <f t="array" ref="BO53">IF(AND(BO$2&lt;&gt;0,TblTech[[#This Row],[Hour]:[Hour]]&gt;=BO$2),1,0)</f>
        <v>0</v>
      </c>
      <c r="BP53" s="298" cm="1">
        <f t="array" ref="BP53">IF(AND(BP$2&lt;&gt;0,TblTech[[#This Row],[Hour]:[Hour]]&gt;=BP$2),1,0)</f>
        <v>0</v>
      </c>
      <c r="BQ53" s="298" cm="1">
        <f t="array" ref="BQ53">IF(AND(BQ$2&lt;&gt;0,TblTech[[#This Row],[Hour]:[Hour]]&gt;=BQ$2),1,0)</f>
        <v>0</v>
      </c>
      <c r="BR53" s="298" cm="1">
        <f t="array" ref="BR53">IF(AND(BR$2&lt;&gt;0,TblTech[[#This Row],[Hour]:[Hour]]&gt;=BR$2),1,0)</f>
        <v>0</v>
      </c>
      <c r="BS53" s="298" cm="1">
        <f t="array" ref="BS53">IF(AND(BS$2&lt;&gt;0,TblTech[[#This Row],[Hour]:[Hour]]&gt;=BS$2),1,0)</f>
        <v>0</v>
      </c>
      <c r="BT53" s="298" cm="1">
        <f t="array" ref="BT53">IF(AND(BT$2&lt;&gt;0,TblTech[[#This Row],[Hour]:[Hour]]&gt;=BT$2),1,0)</f>
        <v>0</v>
      </c>
      <c r="BU53" s="298" cm="1">
        <f t="array" ref="BU53">IF(AND(BU$2&lt;&gt;0,TblTech[[#This Row],[Hour]:[Hour]]&gt;=BU$2),1,0)</f>
        <v>0</v>
      </c>
      <c r="BV53" s="298" cm="1">
        <f t="array" ref="BV53">IF(AND(BV$2&lt;&gt;0,TblTech[[#This Row],[Hour]:[Hour]]&gt;=BV$2),1,0)</f>
        <v>0</v>
      </c>
      <c r="BW53" s="298" cm="1">
        <f t="array" ref="BW53">IF(AND(BW$2&lt;&gt;0,TblTech[[#This Row],[Hour]:[Hour]]&gt;=BW$2),1,0)</f>
        <v>0</v>
      </c>
      <c r="BX53" s="298" cm="1">
        <f t="array" ref="BX53">IF(AND(BX$2&lt;&gt;0,TblTech[[#This Row],[Hour]:[Hour]]&gt;=BX$2),1,0)</f>
        <v>0</v>
      </c>
      <c r="BY53" s="298" cm="1">
        <f t="array" ref="BY53">IF(AND(BY$2&lt;&gt;0,TblTech[[#This Row],[Hour]:[Hour]]&gt;=BY$2),1,0)</f>
        <v>0</v>
      </c>
      <c r="BZ53" s="298" cm="1">
        <f t="array" ref="BZ53">IF(AND(BZ$2&lt;&gt;0,TblTech[[#This Row],[Hour]:[Hour]]&gt;=BZ$2),1,0)</f>
        <v>0</v>
      </c>
      <c r="CA53" s="402">
        <f>IFERROR(INDEX($H$4:$H$79,MATCH(INDEX(TblTech[[#Headers],[1-1]:[11-1]],1,MATCH(TblTech[[#This Row],[Hour]],$M$2:$BZ$2,0)),$G$4:$G$79,0)),)</f>
        <v>0</v>
      </c>
    </row>
    <row r="54" spans="1:79" x14ac:dyDescent="0.2">
      <c r="A54" s="290">
        <f>TblRezone[[#This Row],[Hour]]</f>
        <v>51</v>
      </c>
      <c r="B54" s="291">
        <f ca="1">TblExplore[[#This Row],[Land-DB]]</f>
        <v>250</v>
      </c>
      <c r="C54" s="292">
        <f ca="1">TblProd[[#This Row],[Techpoints]]</f>
        <v>0</v>
      </c>
      <c r="D54" s="292">
        <f ca="1">TblProd[[#This Row],[Required]]</f>
        <v>3750</v>
      </c>
      <c r="E54" s="293"/>
      <c r="F54" s="294"/>
      <c r="G54" s="295" t="s">
        <v>594</v>
      </c>
      <c r="H54" s="296" t="s">
        <v>718</v>
      </c>
      <c r="I54" s="295" t="s">
        <v>561</v>
      </c>
      <c r="J54" s="291"/>
      <c r="K54" s="95">
        <f ca="1">IF(TblTech[[#This Row],[Sum of tech]]&lt;&gt;OFFSET(TblTech[[#This Row],[Sum of tech]],-1,0),1,0)</f>
        <v>0</v>
      </c>
      <c r="L54" s="297">
        <f>COUNTIF(TblTech[[#This Row],[1-1]:[11-1]],1)</f>
        <v>0</v>
      </c>
      <c r="M54" s="298" cm="1">
        <f t="array" ref="M54">IF(AND(M$2&lt;&gt;0,TblTech[[#This Row],[Hour]:[Hour]]&gt;=M$2),1,0)</f>
        <v>0</v>
      </c>
      <c r="N54" s="298" cm="1">
        <f t="array" ref="N54">IF(AND(N$2&lt;&gt;0,TblTech[[#This Row],[Hour]:[Hour]]&gt;=N$2),1,0)</f>
        <v>0</v>
      </c>
      <c r="O54" s="298" cm="1">
        <f t="array" ref="O54">IF(AND(O$2&lt;&gt;0,TblTech[[#This Row],[Hour]:[Hour]]&gt;=O$2),1,0)</f>
        <v>0</v>
      </c>
      <c r="P54" s="298" cm="1">
        <f t="array" ref="P54">IF(AND(P$2&lt;&gt;0,TblTech[[#This Row],[Hour]:[Hour]]&gt;=P$2),1,0)</f>
        <v>0</v>
      </c>
      <c r="Q54" s="298" cm="1">
        <f t="array" ref="Q54">IF(AND(Q$2&lt;&gt;0,TblTech[[#This Row],[Hour]:[Hour]]&gt;=Q$2),1,0)</f>
        <v>0</v>
      </c>
      <c r="R54" s="298" cm="1">
        <f t="array" ref="R54">IF(AND(R$2&lt;&gt;0,TblTech[[#This Row],[Hour]:[Hour]]&gt;=R$2),1,0)</f>
        <v>0</v>
      </c>
      <c r="S54" s="298" cm="1">
        <f t="array" ref="S54">IF(AND(S$2&lt;&gt;0,TblTech[[#This Row],[Hour]:[Hour]]&gt;=S$2),1,0)</f>
        <v>0</v>
      </c>
      <c r="T54" s="298" cm="1">
        <f t="array" ref="T54">IF(AND(T$2&lt;&gt;0,TblTech[[#This Row],[Hour]:[Hour]]&gt;=T$2),1,0)</f>
        <v>0</v>
      </c>
      <c r="U54" s="298" cm="1">
        <f t="array" ref="U54">IF(AND(U$2&lt;&gt;0,TblTech[[#This Row],[Hour]:[Hour]]&gt;=U$2),1,0)</f>
        <v>0</v>
      </c>
      <c r="V54" s="298" cm="1">
        <f t="array" ref="V54">IF(AND(V$2&lt;&gt;0,TblTech[[#This Row],[Hour]:[Hour]]&gt;=V$2),1,0)</f>
        <v>0</v>
      </c>
      <c r="W54" s="298" cm="1">
        <f t="array" ref="W54">IF(AND(W$2&lt;&gt;0,TblTech[[#This Row],[Hour]:[Hour]]&gt;=W$2),1,0)</f>
        <v>0</v>
      </c>
      <c r="X54" s="298" cm="1">
        <f t="array" ref="X54">IF(AND(X$2&lt;&gt;0,TblTech[[#This Row],[Hour]:[Hour]]&gt;=X$2),1,0)</f>
        <v>0</v>
      </c>
      <c r="Y54" s="298" cm="1">
        <f t="array" ref="Y54">IF(AND(Y$2&lt;&gt;0,TblTech[[#This Row],[Hour]:[Hour]]&gt;=Y$2),1,0)</f>
        <v>0</v>
      </c>
      <c r="Z54" s="298" cm="1">
        <f t="array" ref="Z54">IF(AND(Z$2&lt;&gt;0,TblTech[[#This Row],[Hour]:[Hour]]&gt;=Z$2),1,0)</f>
        <v>0</v>
      </c>
      <c r="AA54" s="298" cm="1">
        <f t="array" ref="AA54">IF(AND(AA$2&lt;&gt;0,TblTech[[#This Row],[Hour]:[Hour]]&gt;=AA$2),1,0)</f>
        <v>0</v>
      </c>
      <c r="AB54" s="298" cm="1">
        <f t="array" ref="AB54">IF(AND(AB$2&lt;&gt;0,TblTech[[#This Row],[Hour]:[Hour]]&gt;=AB$2),1,0)</f>
        <v>0</v>
      </c>
      <c r="AC54" s="298" cm="1">
        <f t="array" ref="AC54">IF(AND(AC$2&lt;&gt;0,TblTech[[#This Row],[Hour]:[Hour]]&gt;=AC$2),1,0)</f>
        <v>0</v>
      </c>
      <c r="AD54" s="298" cm="1">
        <f t="array" ref="AD54">IF(AND(AD$2&lt;&gt;0,TblTech[[#This Row],[Hour]:[Hour]]&gt;=AD$2),1,0)</f>
        <v>0</v>
      </c>
      <c r="AE54" s="298" cm="1">
        <f t="array" ref="AE54">IF(AND(AE$2&lt;&gt;0,TblTech[[#This Row],[Hour]:[Hour]]&gt;=AE$2),1,0)</f>
        <v>0</v>
      </c>
      <c r="AF54" s="298" cm="1">
        <f t="array" ref="AF54">IF(AND(AF$2&lt;&gt;0,TblTech[[#This Row],[Hour]:[Hour]]&gt;=AF$2),1,0)</f>
        <v>0</v>
      </c>
      <c r="AG54" s="298" cm="1">
        <f t="array" ref="AG54">IF(AND(AG$2&lt;&gt;0,TblTech[[#This Row],[Hour]:[Hour]]&gt;=AG$2),1,0)</f>
        <v>0</v>
      </c>
      <c r="AH54" s="298" cm="1">
        <f t="array" ref="AH54">IF(AND(AH$2&lt;&gt;0,TblTech[[#This Row],[Hour]:[Hour]]&gt;=AH$2),1,0)</f>
        <v>0</v>
      </c>
      <c r="AI54" s="298" cm="1">
        <f t="array" ref="AI54">IF(AND(AI$2&lt;&gt;0,TblTech[[#This Row],[Hour]:[Hour]]&gt;=AI$2),1,0)</f>
        <v>0</v>
      </c>
      <c r="AJ54" s="298" cm="1">
        <f t="array" ref="AJ54">IF(AND(AJ$2&lt;&gt;0,TblTech[[#This Row],[Hour]:[Hour]]&gt;=AJ$2),1,0)</f>
        <v>0</v>
      </c>
      <c r="AK54" s="298" cm="1">
        <f t="array" ref="AK54">IF(AND(AK$2&lt;&gt;0,TblTech[[#This Row],[Hour]:[Hour]]&gt;=AK$2),1,0)</f>
        <v>0</v>
      </c>
      <c r="AL54" s="298" cm="1">
        <f t="array" ref="AL54">IF(AND(AL$2&lt;&gt;0,TblTech[[#This Row],[Hour]:[Hour]]&gt;=AL$2),1,0)</f>
        <v>0</v>
      </c>
      <c r="AM54" s="298" cm="1">
        <f t="array" ref="AM54">IF(AND(AM$2&lt;&gt;0,TblTech[[#This Row],[Hour]:[Hour]]&gt;=AM$2),1,0)</f>
        <v>0</v>
      </c>
      <c r="AN54" s="298" cm="1">
        <f t="array" ref="AN54">IF(AND(AN$2&lt;&gt;0,TblTech[[#This Row],[Hour]:[Hour]]&gt;=AN$2),1,0)</f>
        <v>0</v>
      </c>
      <c r="AO54" s="298" cm="1">
        <f t="array" ref="AO54">IF(AND(AO$2&lt;&gt;0,TblTech[[#This Row],[Hour]:[Hour]]&gt;=AO$2),1,0)</f>
        <v>0</v>
      </c>
      <c r="AP54" s="298" cm="1">
        <f t="array" ref="AP54">IF(AND(AP$2&lt;&gt;0,TblTech[[#This Row],[Hour]:[Hour]]&gt;=AP$2),1,0)</f>
        <v>0</v>
      </c>
      <c r="AQ54" s="298" cm="1">
        <f t="array" ref="AQ54">IF(AND(AQ$2&lt;&gt;0,TblTech[[#This Row],[Hour]:[Hour]]&gt;=AQ$2),1,0)</f>
        <v>0</v>
      </c>
      <c r="AR54" s="298" cm="1">
        <f t="array" ref="AR54">IF(AND(AR$2&lt;&gt;0,TblTech[[#This Row],[Hour]:[Hour]]&gt;=AR$2),1,0)</f>
        <v>0</v>
      </c>
      <c r="AS54" s="298" cm="1">
        <f t="array" ref="AS54">IF(AND(AS$2&lt;&gt;0,TblTech[[#This Row],[Hour]:[Hour]]&gt;=AS$2),1,0)</f>
        <v>0</v>
      </c>
      <c r="AT54" s="298" cm="1">
        <f t="array" ref="AT54">IF(AND(AT$2&lt;&gt;0,TblTech[[#This Row],[Hour]:[Hour]]&gt;=AT$2),1,0)</f>
        <v>0</v>
      </c>
      <c r="AU54" s="298" cm="1">
        <f t="array" ref="AU54">IF(AND(AU$2&lt;&gt;0,TblTech[[#This Row],[Hour]:[Hour]]&gt;=AU$2),1,0)</f>
        <v>0</v>
      </c>
      <c r="AV54" s="298" cm="1">
        <f t="array" ref="AV54">IF(AND(AV$2&lt;&gt;0,TblTech[[#This Row],[Hour]:[Hour]]&gt;=AV$2),1,0)</f>
        <v>0</v>
      </c>
      <c r="AW54" s="298" cm="1">
        <f t="array" ref="AW54">IF(AND(AW$2&lt;&gt;0,TblTech[[#This Row],[Hour]:[Hour]]&gt;=AW$2),1,0)</f>
        <v>0</v>
      </c>
      <c r="AX54" s="298" cm="1">
        <f t="array" ref="AX54">IF(AND(AX$2&lt;&gt;0,TblTech[[#This Row],[Hour]:[Hour]]&gt;=AX$2),1,0)</f>
        <v>0</v>
      </c>
      <c r="AY54" s="298" cm="1">
        <f t="array" ref="AY54">IF(AND(AY$2&lt;&gt;0,TblTech[[#This Row],[Hour]:[Hour]]&gt;=AY$2),1,0)</f>
        <v>0</v>
      </c>
      <c r="AZ54" s="298" cm="1">
        <f t="array" ref="AZ54">IF(AND(AZ$2&lt;&gt;0,TblTech[[#This Row],[Hour]:[Hour]]&gt;=AZ$2),1,0)</f>
        <v>0</v>
      </c>
      <c r="BA54" s="298" cm="1">
        <f t="array" ref="BA54">IF(AND(BA$2&lt;&gt;0,TblTech[[#This Row],[Hour]:[Hour]]&gt;=BA$2),1,0)</f>
        <v>0</v>
      </c>
      <c r="BB54" s="298" cm="1">
        <f t="array" ref="BB54">IF(AND(BB$2&lt;&gt;0,TblTech[[#This Row],[Hour]:[Hour]]&gt;=BB$2),1,0)</f>
        <v>0</v>
      </c>
      <c r="BC54" s="298" cm="1">
        <f t="array" ref="BC54">IF(AND(BC$2&lt;&gt;0,TblTech[[#This Row],[Hour]:[Hour]]&gt;=BC$2),1,0)</f>
        <v>0</v>
      </c>
      <c r="BD54" s="298" cm="1">
        <f t="array" ref="BD54">IF(AND(BD$2&lt;&gt;0,TblTech[[#This Row],[Hour]:[Hour]]&gt;=BD$2),1,0)</f>
        <v>0</v>
      </c>
      <c r="BE54" s="298" cm="1">
        <f t="array" ref="BE54">IF(AND(BE$2&lt;&gt;0,TblTech[[#This Row],[Hour]:[Hour]]&gt;=BE$2),1,0)</f>
        <v>0</v>
      </c>
      <c r="BF54" s="298" cm="1">
        <f t="array" ref="BF54">IF(AND(BF$2&lt;&gt;0,TblTech[[#This Row],[Hour]:[Hour]]&gt;=BF$2),1,0)</f>
        <v>0</v>
      </c>
      <c r="BG54" s="298" cm="1">
        <f t="array" ref="BG54">IF(AND(BG$2&lt;&gt;0,TblTech[[#This Row],[Hour]:[Hour]]&gt;=BG$2),1,0)</f>
        <v>0</v>
      </c>
      <c r="BH54" s="298" cm="1">
        <f t="array" ref="BH54">IF(AND(BH$2&lt;&gt;0,TblTech[[#This Row],[Hour]:[Hour]]&gt;=BH$2),1,0)</f>
        <v>0</v>
      </c>
      <c r="BI54" s="298" cm="1">
        <f t="array" ref="BI54">IF(AND(BI$2&lt;&gt;0,TblTech[[#This Row],[Hour]:[Hour]]&gt;=BI$2),1,0)</f>
        <v>0</v>
      </c>
      <c r="BJ54" s="298" cm="1">
        <f t="array" ref="BJ54">IF(AND(BJ$2&lt;&gt;0,TblTech[[#This Row],[Hour]:[Hour]]&gt;=BJ$2),1,0)</f>
        <v>0</v>
      </c>
      <c r="BK54" s="298" cm="1">
        <f t="array" ref="BK54">IF(AND(BK$2&lt;&gt;0,TblTech[[#This Row],[Hour]:[Hour]]&gt;=BK$2),1,0)</f>
        <v>0</v>
      </c>
      <c r="BL54" s="298" cm="1">
        <f t="array" ref="BL54">IF(AND(BL$2&lt;&gt;0,TblTech[[#This Row],[Hour]:[Hour]]&gt;=BL$2),1,0)</f>
        <v>0</v>
      </c>
      <c r="BM54" s="298" cm="1">
        <f t="array" ref="BM54">IF(AND(BM$2&lt;&gt;0,TblTech[[#This Row],[Hour]:[Hour]]&gt;=BM$2),1,0)</f>
        <v>0</v>
      </c>
      <c r="BN54" s="298" cm="1">
        <f t="array" ref="BN54">IF(AND(BN$2&lt;&gt;0,TblTech[[#This Row],[Hour]:[Hour]]&gt;=BN$2),1,0)</f>
        <v>0</v>
      </c>
      <c r="BO54" s="298" cm="1">
        <f t="array" ref="BO54">IF(AND(BO$2&lt;&gt;0,TblTech[[#This Row],[Hour]:[Hour]]&gt;=BO$2),1,0)</f>
        <v>0</v>
      </c>
      <c r="BP54" s="298" cm="1">
        <f t="array" ref="BP54">IF(AND(BP$2&lt;&gt;0,TblTech[[#This Row],[Hour]:[Hour]]&gt;=BP$2),1,0)</f>
        <v>0</v>
      </c>
      <c r="BQ54" s="298" cm="1">
        <f t="array" ref="BQ54">IF(AND(BQ$2&lt;&gt;0,TblTech[[#This Row],[Hour]:[Hour]]&gt;=BQ$2),1,0)</f>
        <v>0</v>
      </c>
      <c r="BR54" s="298" cm="1">
        <f t="array" ref="BR54">IF(AND(BR$2&lt;&gt;0,TblTech[[#This Row],[Hour]:[Hour]]&gt;=BR$2),1,0)</f>
        <v>0</v>
      </c>
      <c r="BS54" s="298" cm="1">
        <f t="array" ref="BS54">IF(AND(BS$2&lt;&gt;0,TblTech[[#This Row],[Hour]:[Hour]]&gt;=BS$2),1,0)</f>
        <v>0</v>
      </c>
      <c r="BT54" s="298" cm="1">
        <f t="array" ref="BT54">IF(AND(BT$2&lt;&gt;0,TblTech[[#This Row],[Hour]:[Hour]]&gt;=BT$2),1,0)</f>
        <v>0</v>
      </c>
      <c r="BU54" s="298" cm="1">
        <f t="array" ref="BU54">IF(AND(BU$2&lt;&gt;0,TblTech[[#This Row],[Hour]:[Hour]]&gt;=BU$2),1,0)</f>
        <v>0</v>
      </c>
      <c r="BV54" s="298" cm="1">
        <f t="array" ref="BV54">IF(AND(BV$2&lt;&gt;0,TblTech[[#This Row],[Hour]:[Hour]]&gt;=BV$2),1,0)</f>
        <v>0</v>
      </c>
      <c r="BW54" s="298" cm="1">
        <f t="array" ref="BW54">IF(AND(BW$2&lt;&gt;0,TblTech[[#This Row],[Hour]:[Hour]]&gt;=BW$2),1,0)</f>
        <v>0</v>
      </c>
      <c r="BX54" s="298" cm="1">
        <f t="array" ref="BX54">IF(AND(BX$2&lt;&gt;0,TblTech[[#This Row],[Hour]:[Hour]]&gt;=BX$2),1,0)</f>
        <v>0</v>
      </c>
      <c r="BY54" s="298" cm="1">
        <f t="array" ref="BY54">IF(AND(BY$2&lt;&gt;0,TblTech[[#This Row],[Hour]:[Hour]]&gt;=BY$2),1,0)</f>
        <v>0</v>
      </c>
      <c r="BZ54" s="298" cm="1">
        <f t="array" ref="BZ54">IF(AND(BZ$2&lt;&gt;0,TblTech[[#This Row],[Hour]:[Hour]]&gt;=BZ$2),1,0)</f>
        <v>0</v>
      </c>
      <c r="CA54" s="402">
        <f>IFERROR(INDEX($H$4:$H$79,MATCH(INDEX(TblTech[[#Headers],[1-1]:[11-1]],1,MATCH(TblTech[[#This Row],[Hour]],$M$2:$BZ$2,0)),$G$4:$G$79,0)),)</f>
        <v>0</v>
      </c>
    </row>
    <row r="55" spans="1:79" x14ac:dyDescent="0.2">
      <c r="A55" s="290">
        <f>TblRezone[[#This Row],[Hour]]</f>
        <v>52</v>
      </c>
      <c r="B55" s="291">
        <f ca="1">TblExplore[[#This Row],[Land-DB]]</f>
        <v>250</v>
      </c>
      <c r="C55" s="292">
        <f ca="1">TblProd[[#This Row],[Techpoints]]</f>
        <v>0</v>
      </c>
      <c r="D55" s="292">
        <f ca="1">TblProd[[#This Row],[Required]]</f>
        <v>3750</v>
      </c>
      <c r="E55" s="293"/>
      <c r="F55" s="294"/>
      <c r="G55" s="295" t="s">
        <v>595</v>
      </c>
      <c r="H55" s="296" t="s">
        <v>719</v>
      </c>
      <c r="I55" s="295" t="s">
        <v>596</v>
      </c>
      <c r="J55" s="291"/>
      <c r="K55" s="95">
        <f ca="1">IF(TblTech[[#This Row],[Sum of tech]]&lt;&gt;OFFSET(TblTech[[#This Row],[Sum of tech]],-1,0),1,0)</f>
        <v>0</v>
      </c>
      <c r="L55" s="297">
        <f>COUNTIF(TblTech[[#This Row],[1-1]:[11-1]],1)</f>
        <v>0</v>
      </c>
      <c r="M55" s="298" cm="1">
        <f t="array" ref="M55">IF(AND(M$2&lt;&gt;0,TblTech[[#This Row],[Hour]:[Hour]]&gt;=M$2),1,0)</f>
        <v>0</v>
      </c>
      <c r="N55" s="298" cm="1">
        <f t="array" ref="N55">IF(AND(N$2&lt;&gt;0,TblTech[[#This Row],[Hour]:[Hour]]&gt;=N$2),1,0)</f>
        <v>0</v>
      </c>
      <c r="O55" s="298" cm="1">
        <f t="array" ref="O55">IF(AND(O$2&lt;&gt;0,TblTech[[#This Row],[Hour]:[Hour]]&gt;=O$2),1,0)</f>
        <v>0</v>
      </c>
      <c r="P55" s="298" cm="1">
        <f t="array" ref="P55">IF(AND(P$2&lt;&gt;0,TblTech[[#This Row],[Hour]:[Hour]]&gt;=P$2),1,0)</f>
        <v>0</v>
      </c>
      <c r="Q55" s="298" cm="1">
        <f t="array" ref="Q55">IF(AND(Q$2&lt;&gt;0,TblTech[[#This Row],[Hour]:[Hour]]&gt;=Q$2),1,0)</f>
        <v>0</v>
      </c>
      <c r="R55" s="298" cm="1">
        <f t="array" ref="R55">IF(AND(R$2&lt;&gt;0,TblTech[[#This Row],[Hour]:[Hour]]&gt;=R$2),1,0)</f>
        <v>0</v>
      </c>
      <c r="S55" s="298" cm="1">
        <f t="array" ref="S55">IF(AND(S$2&lt;&gt;0,TblTech[[#This Row],[Hour]:[Hour]]&gt;=S$2),1,0)</f>
        <v>0</v>
      </c>
      <c r="T55" s="298" cm="1">
        <f t="array" ref="T55">IF(AND(T$2&lt;&gt;0,TblTech[[#This Row],[Hour]:[Hour]]&gt;=T$2),1,0)</f>
        <v>0</v>
      </c>
      <c r="U55" s="298" cm="1">
        <f t="array" ref="U55">IF(AND(U$2&lt;&gt;0,TblTech[[#This Row],[Hour]:[Hour]]&gt;=U$2),1,0)</f>
        <v>0</v>
      </c>
      <c r="V55" s="298" cm="1">
        <f t="array" ref="V55">IF(AND(V$2&lt;&gt;0,TblTech[[#This Row],[Hour]:[Hour]]&gt;=V$2),1,0)</f>
        <v>0</v>
      </c>
      <c r="W55" s="298" cm="1">
        <f t="array" ref="W55">IF(AND(W$2&lt;&gt;0,TblTech[[#This Row],[Hour]:[Hour]]&gt;=W$2),1,0)</f>
        <v>0</v>
      </c>
      <c r="X55" s="298" cm="1">
        <f t="array" ref="X55">IF(AND(X$2&lt;&gt;0,TblTech[[#This Row],[Hour]:[Hour]]&gt;=X$2),1,0)</f>
        <v>0</v>
      </c>
      <c r="Y55" s="298" cm="1">
        <f t="array" ref="Y55">IF(AND(Y$2&lt;&gt;0,TblTech[[#This Row],[Hour]:[Hour]]&gt;=Y$2),1,0)</f>
        <v>0</v>
      </c>
      <c r="Z55" s="298" cm="1">
        <f t="array" ref="Z55">IF(AND(Z$2&lt;&gt;0,TblTech[[#This Row],[Hour]:[Hour]]&gt;=Z$2),1,0)</f>
        <v>0</v>
      </c>
      <c r="AA55" s="298" cm="1">
        <f t="array" ref="AA55">IF(AND(AA$2&lt;&gt;0,TblTech[[#This Row],[Hour]:[Hour]]&gt;=AA$2),1,0)</f>
        <v>0</v>
      </c>
      <c r="AB55" s="298" cm="1">
        <f t="array" ref="AB55">IF(AND(AB$2&lt;&gt;0,TblTech[[#This Row],[Hour]:[Hour]]&gt;=AB$2),1,0)</f>
        <v>0</v>
      </c>
      <c r="AC55" s="298" cm="1">
        <f t="array" ref="AC55">IF(AND(AC$2&lt;&gt;0,TblTech[[#This Row],[Hour]:[Hour]]&gt;=AC$2),1,0)</f>
        <v>0</v>
      </c>
      <c r="AD55" s="298" cm="1">
        <f t="array" ref="AD55">IF(AND(AD$2&lt;&gt;0,TblTech[[#This Row],[Hour]:[Hour]]&gt;=AD$2),1,0)</f>
        <v>0</v>
      </c>
      <c r="AE55" s="298" cm="1">
        <f t="array" ref="AE55">IF(AND(AE$2&lt;&gt;0,TblTech[[#This Row],[Hour]:[Hour]]&gt;=AE$2),1,0)</f>
        <v>0</v>
      </c>
      <c r="AF55" s="298" cm="1">
        <f t="array" ref="AF55">IF(AND(AF$2&lt;&gt;0,TblTech[[#This Row],[Hour]:[Hour]]&gt;=AF$2),1,0)</f>
        <v>0</v>
      </c>
      <c r="AG55" s="298" cm="1">
        <f t="array" ref="AG55">IF(AND(AG$2&lt;&gt;0,TblTech[[#This Row],[Hour]:[Hour]]&gt;=AG$2),1,0)</f>
        <v>0</v>
      </c>
      <c r="AH55" s="298" cm="1">
        <f t="array" ref="AH55">IF(AND(AH$2&lt;&gt;0,TblTech[[#This Row],[Hour]:[Hour]]&gt;=AH$2),1,0)</f>
        <v>0</v>
      </c>
      <c r="AI55" s="298" cm="1">
        <f t="array" ref="AI55">IF(AND(AI$2&lt;&gt;0,TblTech[[#This Row],[Hour]:[Hour]]&gt;=AI$2),1,0)</f>
        <v>0</v>
      </c>
      <c r="AJ55" s="298" cm="1">
        <f t="array" ref="AJ55">IF(AND(AJ$2&lt;&gt;0,TblTech[[#This Row],[Hour]:[Hour]]&gt;=AJ$2),1,0)</f>
        <v>0</v>
      </c>
      <c r="AK55" s="298" cm="1">
        <f t="array" ref="AK55">IF(AND(AK$2&lt;&gt;0,TblTech[[#This Row],[Hour]:[Hour]]&gt;=AK$2),1,0)</f>
        <v>0</v>
      </c>
      <c r="AL55" s="298" cm="1">
        <f t="array" ref="AL55">IF(AND(AL$2&lt;&gt;0,TblTech[[#This Row],[Hour]:[Hour]]&gt;=AL$2),1,0)</f>
        <v>0</v>
      </c>
      <c r="AM55" s="298" cm="1">
        <f t="array" ref="AM55">IF(AND(AM$2&lt;&gt;0,TblTech[[#This Row],[Hour]:[Hour]]&gt;=AM$2),1,0)</f>
        <v>0</v>
      </c>
      <c r="AN55" s="298" cm="1">
        <f t="array" ref="AN55">IF(AND(AN$2&lt;&gt;0,TblTech[[#This Row],[Hour]:[Hour]]&gt;=AN$2),1,0)</f>
        <v>0</v>
      </c>
      <c r="AO55" s="298" cm="1">
        <f t="array" ref="AO55">IF(AND(AO$2&lt;&gt;0,TblTech[[#This Row],[Hour]:[Hour]]&gt;=AO$2),1,0)</f>
        <v>0</v>
      </c>
      <c r="AP55" s="298" cm="1">
        <f t="array" ref="AP55">IF(AND(AP$2&lt;&gt;0,TblTech[[#This Row],[Hour]:[Hour]]&gt;=AP$2),1,0)</f>
        <v>0</v>
      </c>
      <c r="AQ55" s="298" cm="1">
        <f t="array" ref="AQ55">IF(AND(AQ$2&lt;&gt;0,TblTech[[#This Row],[Hour]:[Hour]]&gt;=AQ$2),1,0)</f>
        <v>0</v>
      </c>
      <c r="AR55" s="298" cm="1">
        <f t="array" ref="AR55">IF(AND(AR$2&lt;&gt;0,TblTech[[#This Row],[Hour]:[Hour]]&gt;=AR$2),1,0)</f>
        <v>0</v>
      </c>
      <c r="AS55" s="298" cm="1">
        <f t="array" ref="AS55">IF(AND(AS$2&lt;&gt;0,TblTech[[#This Row],[Hour]:[Hour]]&gt;=AS$2),1,0)</f>
        <v>0</v>
      </c>
      <c r="AT55" s="298" cm="1">
        <f t="array" ref="AT55">IF(AND(AT$2&lt;&gt;0,TblTech[[#This Row],[Hour]:[Hour]]&gt;=AT$2),1,0)</f>
        <v>0</v>
      </c>
      <c r="AU55" s="298" cm="1">
        <f t="array" ref="AU55">IF(AND(AU$2&lt;&gt;0,TblTech[[#This Row],[Hour]:[Hour]]&gt;=AU$2),1,0)</f>
        <v>0</v>
      </c>
      <c r="AV55" s="298" cm="1">
        <f t="array" ref="AV55">IF(AND(AV$2&lt;&gt;0,TblTech[[#This Row],[Hour]:[Hour]]&gt;=AV$2),1,0)</f>
        <v>0</v>
      </c>
      <c r="AW55" s="298" cm="1">
        <f t="array" ref="AW55">IF(AND(AW$2&lt;&gt;0,TblTech[[#This Row],[Hour]:[Hour]]&gt;=AW$2),1,0)</f>
        <v>0</v>
      </c>
      <c r="AX55" s="298" cm="1">
        <f t="array" ref="AX55">IF(AND(AX$2&lt;&gt;0,TblTech[[#This Row],[Hour]:[Hour]]&gt;=AX$2),1,0)</f>
        <v>0</v>
      </c>
      <c r="AY55" s="298" cm="1">
        <f t="array" ref="AY55">IF(AND(AY$2&lt;&gt;0,TblTech[[#This Row],[Hour]:[Hour]]&gt;=AY$2),1,0)</f>
        <v>0</v>
      </c>
      <c r="AZ55" s="298" cm="1">
        <f t="array" ref="AZ55">IF(AND(AZ$2&lt;&gt;0,TblTech[[#This Row],[Hour]:[Hour]]&gt;=AZ$2),1,0)</f>
        <v>0</v>
      </c>
      <c r="BA55" s="298" cm="1">
        <f t="array" ref="BA55">IF(AND(BA$2&lt;&gt;0,TblTech[[#This Row],[Hour]:[Hour]]&gt;=BA$2),1,0)</f>
        <v>0</v>
      </c>
      <c r="BB55" s="298" cm="1">
        <f t="array" ref="BB55">IF(AND(BB$2&lt;&gt;0,TblTech[[#This Row],[Hour]:[Hour]]&gt;=BB$2),1,0)</f>
        <v>0</v>
      </c>
      <c r="BC55" s="298" cm="1">
        <f t="array" ref="BC55">IF(AND(BC$2&lt;&gt;0,TblTech[[#This Row],[Hour]:[Hour]]&gt;=BC$2),1,0)</f>
        <v>0</v>
      </c>
      <c r="BD55" s="298" cm="1">
        <f t="array" ref="BD55">IF(AND(BD$2&lt;&gt;0,TblTech[[#This Row],[Hour]:[Hour]]&gt;=BD$2),1,0)</f>
        <v>0</v>
      </c>
      <c r="BE55" s="298" cm="1">
        <f t="array" ref="BE55">IF(AND(BE$2&lt;&gt;0,TblTech[[#This Row],[Hour]:[Hour]]&gt;=BE$2),1,0)</f>
        <v>0</v>
      </c>
      <c r="BF55" s="298" cm="1">
        <f t="array" ref="BF55">IF(AND(BF$2&lt;&gt;0,TblTech[[#This Row],[Hour]:[Hour]]&gt;=BF$2),1,0)</f>
        <v>0</v>
      </c>
      <c r="BG55" s="298" cm="1">
        <f t="array" ref="BG55">IF(AND(BG$2&lt;&gt;0,TblTech[[#This Row],[Hour]:[Hour]]&gt;=BG$2),1,0)</f>
        <v>0</v>
      </c>
      <c r="BH55" s="298" cm="1">
        <f t="array" ref="BH55">IF(AND(BH$2&lt;&gt;0,TblTech[[#This Row],[Hour]:[Hour]]&gt;=BH$2),1,0)</f>
        <v>0</v>
      </c>
      <c r="BI55" s="298" cm="1">
        <f t="array" ref="BI55">IF(AND(BI$2&lt;&gt;0,TblTech[[#This Row],[Hour]:[Hour]]&gt;=BI$2),1,0)</f>
        <v>0</v>
      </c>
      <c r="BJ55" s="298" cm="1">
        <f t="array" ref="BJ55">IF(AND(BJ$2&lt;&gt;0,TblTech[[#This Row],[Hour]:[Hour]]&gt;=BJ$2),1,0)</f>
        <v>0</v>
      </c>
      <c r="BK55" s="298" cm="1">
        <f t="array" ref="BK55">IF(AND(BK$2&lt;&gt;0,TblTech[[#This Row],[Hour]:[Hour]]&gt;=BK$2),1,0)</f>
        <v>0</v>
      </c>
      <c r="BL55" s="298" cm="1">
        <f t="array" ref="BL55">IF(AND(BL$2&lt;&gt;0,TblTech[[#This Row],[Hour]:[Hour]]&gt;=BL$2),1,0)</f>
        <v>0</v>
      </c>
      <c r="BM55" s="298" cm="1">
        <f t="array" ref="BM55">IF(AND(BM$2&lt;&gt;0,TblTech[[#This Row],[Hour]:[Hour]]&gt;=BM$2),1,0)</f>
        <v>0</v>
      </c>
      <c r="BN55" s="298" cm="1">
        <f t="array" ref="BN55">IF(AND(BN$2&lt;&gt;0,TblTech[[#This Row],[Hour]:[Hour]]&gt;=BN$2),1,0)</f>
        <v>0</v>
      </c>
      <c r="BO55" s="298" cm="1">
        <f t="array" ref="BO55">IF(AND(BO$2&lt;&gt;0,TblTech[[#This Row],[Hour]:[Hour]]&gt;=BO$2),1,0)</f>
        <v>0</v>
      </c>
      <c r="BP55" s="298" cm="1">
        <f t="array" ref="BP55">IF(AND(BP$2&lt;&gt;0,TblTech[[#This Row],[Hour]:[Hour]]&gt;=BP$2),1,0)</f>
        <v>0</v>
      </c>
      <c r="BQ55" s="298" cm="1">
        <f t="array" ref="BQ55">IF(AND(BQ$2&lt;&gt;0,TblTech[[#This Row],[Hour]:[Hour]]&gt;=BQ$2),1,0)</f>
        <v>0</v>
      </c>
      <c r="BR55" s="298" cm="1">
        <f t="array" ref="BR55">IF(AND(BR$2&lt;&gt;0,TblTech[[#This Row],[Hour]:[Hour]]&gt;=BR$2),1,0)</f>
        <v>0</v>
      </c>
      <c r="BS55" s="298" cm="1">
        <f t="array" ref="BS55">IF(AND(BS$2&lt;&gt;0,TblTech[[#This Row],[Hour]:[Hour]]&gt;=BS$2),1,0)</f>
        <v>0</v>
      </c>
      <c r="BT55" s="298" cm="1">
        <f t="array" ref="BT55">IF(AND(BT$2&lt;&gt;0,TblTech[[#This Row],[Hour]:[Hour]]&gt;=BT$2),1,0)</f>
        <v>0</v>
      </c>
      <c r="BU55" s="298" cm="1">
        <f t="array" ref="BU55">IF(AND(BU$2&lt;&gt;0,TblTech[[#This Row],[Hour]:[Hour]]&gt;=BU$2),1,0)</f>
        <v>0</v>
      </c>
      <c r="BV55" s="298" cm="1">
        <f t="array" ref="BV55">IF(AND(BV$2&lt;&gt;0,TblTech[[#This Row],[Hour]:[Hour]]&gt;=BV$2),1,0)</f>
        <v>0</v>
      </c>
      <c r="BW55" s="298" cm="1">
        <f t="array" ref="BW55">IF(AND(BW$2&lt;&gt;0,TblTech[[#This Row],[Hour]:[Hour]]&gt;=BW$2),1,0)</f>
        <v>0</v>
      </c>
      <c r="BX55" s="298" cm="1">
        <f t="array" ref="BX55">IF(AND(BX$2&lt;&gt;0,TblTech[[#This Row],[Hour]:[Hour]]&gt;=BX$2),1,0)</f>
        <v>0</v>
      </c>
      <c r="BY55" s="298" cm="1">
        <f t="array" ref="BY55">IF(AND(BY$2&lt;&gt;0,TblTech[[#This Row],[Hour]:[Hour]]&gt;=BY$2),1,0)</f>
        <v>0</v>
      </c>
      <c r="BZ55" s="298" cm="1">
        <f t="array" ref="BZ55">IF(AND(BZ$2&lt;&gt;0,TblTech[[#This Row],[Hour]:[Hour]]&gt;=BZ$2),1,0)</f>
        <v>0</v>
      </c>
      <c r="CA55" s="402">
        <f>IFERROR(INDEX($H$4:$H$79,MATCH(INDEX(TblTech[[#Headers],[1-1]:[11-1]],1,MATCH(TblTech[[#This Row],[Hour]],$M$2:$BZ$2,0)),$G$4:$G$79,0)),)</f>
        <v>0</v>
      </c>
    </row>
    <row r="56" spans="1:79" x14ac:dyDescent="0.2">
      <c r="A56" s="290">
        <f>TblRezone[[#This Row],[Hour]]</f>
        <v>53</v>
      </c>
      <c r="B56" s="291">
        <f ca="1">TblExplore[[#This Row],[Land-DB]]</f>
        <v>250</v>
      </c>
      <c r="C56" s="292">
        <f ca="1">TblProd[[#This Row],[Techpoints]]</f>
        <v>0</v>
      </c>
      <c r="D56" s="292">
        <f ca="1">TblProd[[#This Row],[Required]]</f>
        <v>3750</v>
      </c>
      <c r="E56" s="293"/>
      <c r="F56" s="294"/>
      <c r="G56" s="295" t="s">
        <v>597</v>
      </c>
      <c r="H56" s="296" t="s">
        <v>1058</v>
      </c>
      <c r="I56" s="295" t="s">
        <v>1099</v>
      </c>
      <c r="J56" s="291"/>
      <c r="K56" s="95">
        <f ca="1">IF(TblTech[[#This Row],[Sum of tech]]&lt;&gt;OFFSET(TblTech[[#This Row],[Sum of tech]],-1,0),1,0)</f>
        <v>0</v>
      </c>
      <c r="L56" s="297">
        <f>COUNTIF(TblTech[[#This Row],[1-1]:[11-1]],1)</f>
        <v>0</v>
      </c>
      <c r="M56" s="298" cm="1">
        <f t="array" ref="M56">IF(AND(M$2&lt;&gt;0,TblTech[[#This Row],[Hour]:[Hour]]&gt;=M$2),1,0)</f>
        <v>0</v>
      </c>
      <c r="N56" s="298" cm="1">
        <f t="array" ref="N56">IF(AND(N$2&lt;&gt;0,TblTech[[#This Row],[Hour]:[Hour]]&gt;=N$2),1,0)</f>
        <v>0</v>
      </c>
      <c r="O56" s="298" cm="1">
        <f t="array" ref="O56">IF(AND(O$2&lt;&gt;0,TblTech[[#This Row],[Hour]:[Hour]]&gt;=O$2),1,0)</f>
        <v>0</v>
      </c>
      <c r="P56" s="298" cm="1">
        <f t="array" ref="P56">IF(AND(P$2&lt;&gt;0,TblTech[[#This Row],[Hour]:[Hour]]&gt;=P$2),1,0)</f>
        <v>0</v>
      </c>
      <c r="Q56" s="298" cm="1">
        <f t="array" ref="Q56">IF(AND(Q$2&lt;&gt;0,TblTech[[#This Row],[Hour]:[Hour]]&gt;=Q$2),1,0)</f>
        <v>0</v>
      </c>
      <c r="R56" s="298" cm="1">
        <f t="array" ref="R56">IF(AND(R$2&lt;&gt;0,TblTech[[#This Row],[Hour]:[Hour]]&gt;=R$2),1,0)</f>
        <v>0</v>
      </c>
      <c r="S56" s="298" cm="1">
        <f t="array" ref="S56">IF(AND(S$2&lt;&gt;0,TblTech[[#This Row],[Hour]:[Hour]]&gt;=S$2),1,0)</f>
        <v>0</v>
      </c>
      <c r="T56" s="298" cm="1">
        <f t="array" ref="T56">IF(AND(T$2&lt;&gt;0,TblTech[[#This Row],[Hour]:[Hour]]&gt;=T$2),1,0)</f>
        <v>0</v>
      </c>
      <c r="U56" s="298" cm="1">
        <f t="array" ref="U56">IF(AND(U$2&lt;&gt;0,TblTech[[#This Row],[Hour]:[Hour]]&gt;=U$2),1,0)</f>
        <v>0</v>
      </c>
      <c r="V56" s="298" cm="1">
        <f t="array" ref="V56">IF(AND(V$2&lt;&gt;0,TblTech[[#This Row],[Hour]:[Hour]]&gt;=V$2),1,0)</f>
        <v>0</v>
      </c>
      <c r="W56" s="298" cm="1">
        <f t="array" ref="W56">IF(AND(W$2&lt;&gt;0,TblTech[[#This Row],[Hour]:[Hour]]&gt;=W$2),1,0)</f>
        <v>0</v>
      </c>
      <c r="X56" s="298" cm="1">
        <f t="array" ref="X56">IF(AND(X$2&lt;&gt;0,TblTech[[#This Row],[Hour]:[Hour]]&gt;=X$2),1,0)</f>
        <v>0</v>
      </c>
      <c r="Y56" s="298" cm="1">
        <f t="array" ref="Y56">IF(AND(Y$2&lt;&gt;0,TblTech[[#This Row],[Hour]:[Hour]]&gt;=Y$2),1,0)</f>
        <v>0</v>
      </c>
      <c r="Z56" s="298" cm="1">
        <f t="array" ref="Z56">IF(AND(Z$2&lt;&gt;0,TblTech[[#This Row],[Hour]:[Hour]]&gt;=Z$2),1,0)</f>
        <v>0</v>
      </c>
      <c r="AA56" s="298" cm="1">
        <f t="array" ref="AA56">IF(AND(AA$2&lt;&gt;0,TblTech[[#This Row],[Hour]:[Hour]]&gt;=AA$2),1,0)</f>
        <v>0</v>
      </c>
      <c r="AB56" s="298" cm="1">
        <f t="array" ref="AB56">IF(AND(AB$2&lt;&gt;0,TblTech[[#This Row],[Hour]:[Hour]]&gt;=AB$2),1,0)</f>
        <v>0</v>
      </c>
      <c r="AC56" s="298" cm="1">
        <f t="array" ref="AC56">IF(AND(AC$2&lt;&gt;0,TblTech[[#This Row],[Hour]:[Hour]]&gt;=AC$2),1,0)</f>
        <v>0</v>
      </c>
      <c r="AD56" s="298" cm="1">
        <f t="array" ref="AD56">IF(AND(AD$2&lt;&gt;0,TblTech[[#This Row],[Hour]:[Hour]]&gt;=AD$2),1,0)</f>
        <v>0</v>
      </c>
      <c r="AE56" s="298" cm="1">
        <f t="array" ref="AE56">IF(AND(AE$2&lt;&gt;0,TblTech[[#This Row],[Hour]:[Hour]]&gt;=AE$2),1,0)</f>
        <v>0</v>
      </c>
      <c r="AF56" s="298" cm="1">
        <f t="array" ref="AF56">IF(AND(AF$2&lt;&gt;0,TblTech[[#This Row],[Hour]:[Hour]]&gt;=AF$2),1,0)</f>
        <v>0</v>
      </c>
      <c r="AG56" s="298" cm="1">
        <f t="array" ref="AG56">IF(AND(AG$2&lt;&gt;0,TblTech[[#This Row],[Hour]:[Hour]]&gt;=AG$2),1,0)</f>
        <v>0</v>
      </c>
      <c r="AH56" s="298" cm="1">
        <f t="array" ref="AH56">IF(AND(AH$2&lt;&gt;0,TblTech[[#This Row],[Hour]:[Hour]]&gt;=AH$2),1,0)</f>
        <v>0</v>
      </c>
      <c r="AI56" s="298" cm="1">
        <f t="array" ref="AI56">IF(AND(AI$2&lt;&gt;0,TblTech[[#This Row],[Hour]:[Hour]]&gt;=AI$2),1,0)</f>
        <v>0</v>
      </c>
      <c r="AJ56" s="298" cm="1">
        <f t="array" ref="AJ56">IF(AND(AJ$2&lt;&gt;0,TblTech[[#This Row],[Hour]:[Hour]]&gt;=AJ$2),1,0)</f>
        <v>0</v>
      </c>
      <c r="AK56" s="298" cm="1">
        <f t="array" ref="AK56">IF(AND(AK$2&lt;&gt;0,TblTech[[#This Row],[Hour]:[Hour]]&gt;=AK$2),1,0)</f>
        <v>0</v>
      </c>
      <c r="AL56" s="298" cm="1">
        <f t="array" ref="AL56">IF(AND(AL$2&lt;&gt;0,TblTech[[#This Row],[Hour]:[Hour]]&gt;=AL$2),1,0)</f>
        <v>0</v>
      </c>
      <c r="AM56" s="298" cm="1">
        <f t="array" ref="AM56">IF(AND(AM$2&lt;&gt;0,TblTech[[#This Row],[Hour]:[Hour]]&gt;=AM$2),1,0)</f>
        <v>0</v>
      </c>
      <c r="AN56" s="298" cm="1">
        <f t="array" ref="AN56">IF(AND(AN$2&lt;&gt;0,TblTech[[#This Row],[Hour]:[Hour]]&gt;=AN$2),1,0)</f>
        <v>0</v>
      </c>
      <c r="AO56" s="298" cm="1">
        <f t="array" ref="AO56">IF(AND(AO$2&lt;&gt;0,TblTech[[#This Row],[Hour]:[Hour]]&gt;=AO$2),1,0)</f>
        <v>0</v>
      </c>
      <c r="AP56" s="298" cm="1">
        <f t="array" ref="AP56">IF(AND(AP$2&lt;&gt;0,TblTech[[#This Row],[Hour]:[Hour]]&gt;=AP$2),1,0)</f>
        <v>0</v>
      </c>
      <c r="AQ56" s="298" cm="1">
        <f t="array" ref="AQ56">IF(AND(AQ$2&lt;&gt;0,TblTech[[#This Row],[Hour]:[Hour]]&gt;=AQ$2),1,0)</f>
        <v>0</v>
      </c>
      <c r="AR56" s="298" cm="1">
        <f t="array" ref="AR56">IF(AND(AR$2&lt;&gt;0,TblTech[[#This Row],[Hour]:[Hour]]&gt;=AR$2),1,0)</f>
        <v>0</v>
      </c>
      <c r="AS56" s="298" cm="1">
        <f t="array" ref="AS56">IF(AND(AS$2&lt;&gt;0,TblTech[[#This Row],[Hour]:[Hour]]&gt;=AS$2),1,0)</f>
        <v>0</v>
      </c>
      <c r="AT56" s="298" cm="1">
        <f t="array" ref="AT56">IF(AND(AT$2&lt;&gt;0,TblTech[[#This Row],[Hour]:[Hour]]&gt;=AT$2),1,0)</f>
        <v>0</v>
      </c>
      <c r="AU56" s="298" cm="1">
        <f t="array" ref="AU56">IF(AND(AU$2&lt;&gt;0,TblTech[[#This Row],[Hour]:[Hour]]&gt;=AU$2),1,0)</f>
        <v>0</v>
      </c>
      <c r="AV56" s="298" cm="1">
        <f t="array" ref="AV56">IF(AND(AV$2&lt;&gt;0,TblTech[[#This Row],[Hour]:[Hour]]&gt;=AV$2),1,0)</f>
        <v>0</v>
      </c>
      <c r="AW56" s="298" cm="1">
        <f t="array" ref="AW56">IF(AND(AW$2&lt;&gt;0,TblTech[[#This Row],[Hour]:[Hour]]&gt;=AW$2),1,0)</f>
        <v>0</v>
      </c>
      <c r="AX56" s="298" cm="1">
        <f t="array" ref="AX56">IF(AND(AX$2&lt;&gt;0,TblTech[[#This Row],[Hour]:[Hour]]&gt;=AX$2),1,0)</f>
        <v>0</v>
      </c>
      <c r="AY56" s="298" cm="1">
        <f t="array" ref="AY56">IF(AND(AY$2&lt;&gt;0,TblTech[[#This Row],[Hour]:[Hour]]&gt;=AY$2),1,0)</f>
        <v>0</v>
      </c>
      <c r="AZ56" s="298" cm="1">
        <f t="array" ref="AZ56">IF(AND(AZ$2&lt;&gt;0,TblTech[[#This Row],[Hour]:[Hour]]&gt;=AZ$2),1,0)</f>
        <v>0</v>
      </c>
      <c r="BA56" s="298" cm="1">
        <f t="array" ref="BA56">IF(AND(BA$2&lt;&gt;0,TblTech[[#This Row],[Hour]:[Hour]]&gt;=BA$2),1,0)</f>
        <v>0</v>
      </c>
      <c r="BB56" s="298" cm="1">
        <f t="array" ref="BB56">IF(AND(BB$2&lt;&gt;0,TblTech[[#This Row],[Hour]:[Hour]]&gt;=BB$2),1,0)</f>
        <v>0</v>
      </c>
      <c r="BC56" s="298" cm="1">
        <f t="array" ref="BC56">IF(AND(BC$2&lt;&gt;0,TblTech[[#This Row],[Hour]:[Hour]]&gt;=BC$2),1,0)</f>
        <v>0</v>
      </c>
      <c r="BD56" s="298" cm="1">
        <f t="array" ref="BD56">IF(AND(BD$2&lt;&gt;0,TblTech[[#This Row],[Hour]:[Hour]]&gt;=BD$2),1,0)</f>
        <v>0</v>
      </c>
      <c r="BE56" s="298" cm="1">
        <f t="array" ref="BE56">IF(AND(BE$2&lt;&gt;0,TblTech[[#This Row],[Hour]:[Hour]]&gt;=BE$2),1,0)</f>
        <v>0</v>
      </c>
      <c r="BF56" s="298" cm="1">
        <f t="array" ref="BF56">IF(AND(BF$2&lt;&gt;0,TblTech[[#This Row],[Hour]:[Hour]]&gt;=BF$2),1,0)</f>
        <v>0</v>
      </c>
      <c r="BG56" s="298" cm="1">
        <f t="array" ref="BG56">IF(AND(BG$2&lt;&gt;0,TblTech[[#This Row],[Hour]:[Hour]]&gt;=BG$2),1,0)</f>
        <v>0</v>
      </c>
      <c r="BH56" s="298" cm="1">
        <f t="array" ref="BH56">IF(AND(BH$2&lt;&gt;0,TblTech[[#This Row],[Hour]:[Hour]]&gt;=BH$2),1,0)</f>
        <v>0</v>
      </c>
      <c r="BI56" s="298" cm="1">
        <f t="array" ref="BI56">IF(AND(BI$2&lt;&gt;0,TblTech[[#This Row],[Hour]:[Hour]]&gt;=BI$2),1,0)</f>
        <v>0</v>
      </c>
      <c r="BJ56" s="298" cm="1">
        <f t="array" ref="BJ56">IF(AND(BJ$2&lt;&gt;0,TblTech[[#This Row],[Hour]:[Hour]]&gt;=BJ$2),1,0)</f>
        <v>0</v>
      </c>
      <c r="BK56" s="298" cm="1">
        <f t="array" ref="BK56">IF(AND(BK$2&lt;&gt;0,TblTech[[#This Row],[Hour]:[Hour]]&gt;=BK$2),1,0)</f>
        <v>0</v>
      </c>
      <c r="BL56" s="298" cm="1">
        <f t="array" ref="BL56">IF(AND(BL$2&lt;&gt;0,TblTech[[#This Row],[Hour]:[Hour]]&gt;=BL$2),1,0)</f>
        <v>0</v>
      </c>
      <c r="BM56" s="298" cm="1">
        <f t="array" ref="BM56">IF(AND(BM$2&lt;&gt;0,TblTech[[#This Row],[Hour]:[Hour]]&gt;=BM$2),1,0)</f>
        <v>0</v>
      </c>
      <c r="BN56" s="298" cm="1">
        <f t="array" ref="BN56">IF(AND(BN$2&lt;&gt;0,TblTech[[#This Row],[Hour]:[Hour]]&gt;=BN$2),1,0)</f>
        <v>0</v>
      </c>
      <c r="BO56" s="298" cm="1">
        <f t="array" ref="BO56">IF(AND(BO$2&lt;&gt;0,TblTech[[#This Row],[Hour]:[Hour]]&gt;=BO$2),1,0)</f>
        <v>0</v>
      </c>
      <c r="BP56" s="298" cm="1">
        <f t="array" ref="BP56">IF(AND(BP$2&lt;&gt;0,TblTech[[#This Row],[Hour]:[Hour]]&gt;=BP$2),1,0)</f>
        <v>0</v>
      </c>
      <c r="BQ56" s="298" cm="1">
        <f t="array" ref="BQ56">IF(AND(BQ$2&lt;&gt;0,TblTech[[#This Row],[Hour]:[Hour]]&gt;=BQ$2),1,0)</f>
        <v>0</v>
      </c>
      <c r="BR56" s="298" cm="1">
        <f t="array" ref="BR56">IF(AND(BR$2&lt;&gt;0,TblTech[[#This Row],[Hour]:[Hour]]&gt;=BR$2),1,0)</f>
        <v>0</v>
      </c>
      <c r="BS56" s="298" cm="1">
        <f t="array" ref="BS56">IF(AND(BS$2&lt;&gt;0,TblTech[[#This Row],[Hour]:[Hour]]&gt;=BS$2),1,0)</f>
        <v>0</v>
      </c>
      <c r="BT56" s="298" cm="1">
        <f t="array" ref="BT56">IF(AND(BT$2&lt;&gt;0,TblTech[[#This Row],[Hour]:[Hour]]&gt;=BT$2),1,0)</f>
        <v>0</v>
      </c>
      <c r="BU56" s="298" cm="1">
        <f t="array" ref="BU56">IF(AND(BU$2&lt;&gt;0,TblTech[[#This Row],[Hour]:[Hour]]&gt;=BU$2),1,0)</f>
        <v>0</v>
      </c>
      <c r="BV56" s="298" cm="1">
        <f t="array" ref="BV56">IF(AND(BV$2&lt;&gt;0,TblTech[[#This Row],[Hour]:[Hour]]&gt;=BV$2),1,0)</f>
        <v>0</v>
      </c>
      <c r="BW56" s="298" cm="1">
        <f t="array" ref="BW56">IF(AND(BW$2&lt;&gt;0,TblTech[[#This Row],[Hour]:[Hour]]&gt;=BW$2),1,0)</f>
        <v>0</v>
      </c>
      <c r="BX56" s="298" cm="1">
        <f t="array" ref="BX56">IF(AND(BX$2&lt;&gt;0,TblTech[[#This Row],[Hour]:[Hour]]&gt;=BX$2),1,0)</f>
        <v>0</v>
      </c>
      <c r="BY56" s="298" cm="1">
        <f t="array" ref="BY56">IF(AND(BY$2&lt;&gt;0,TblTech[[#This Row],[Hour]:[Hour]]&gt;=BY$2),1,0)</f>
        <v>0</v>
      </c>
      <c r="BZ56" s="298" cm="1">
        <f t="array" ref="BZ56">IF(AND(BZ$2&lt;&gt;0,TblTech[[#This Row],[Hour]:[Hour]]&gt;=BZ$2),1,0)</f>
        <v>0</v>
      </c>
      <c r="CA56" s="402">
        <f>IFERROR(INDEX($H$4:$H$79,MATCH(INDEX(TblTech[[#Headers],[1-1]:[11-1]],1,MATCH(TblTech[[#This Row],[Hour]],$M$2:$BZ$2,0)),$G$4:$G$79,0)),)</f>
        <v>0</v>
      </c>
    </row>
    <row r="57" spans="1:79" x14ac:dyDescent="0.2">
      <c r="A57" s="290">
        <f>TblRezone[[#This Row],[Hour]]</f>
        <v>54</v>
      </c>
      <c r="B57" s="291">
        <f ca="1">TblExplore[[#This Row],[Land-DB]]</f>
        <v>250</v>
      </c>
      <c r="C57" s="292">
        <f ca="1">TblProd[[#This Row],[Techpoints]]</f>
        <v>0</v>
      </c>
      <c r="D57" s="292">
        <f ca="1">TblProd[[#This Row],[Required]]</f>
        <v>3750</v>
      </c>
      <c r="E57" s="293"/>
      <c r="F57" s="294"/>
      <c r="G57" s="295" t="s">
        <v>598</v>
      </c>
      <c r="H57" s="296" t="s">
        <v>720</v>
      </c>
      <c r="I57" s="295" t="s">
        <v>599</v>
      </c>
      <c r="J57" s="291"/>
      <c r="K57" s="95">
        <f ca="1">IF(TblTech[[#This Row],[Sum of tech]]&lt;&gt;OFFSET(TblTech[[#This Row],[Sum of tech]],-1,0),1,0)</f>
        <v>0</v>
      </c>
      <c r="L57" s="297">
        <f>COUNTIF(TblTech[[#This Row],[1-1]:[11-1]],1)</f>
        <v>0</v>
      </c>
      <c r="M57" s="298" cm="1">
        <f t="array" ref="M57">IF(AND(M$2&lt;&gt;0,TblTech[[#This Row],[Hour]:[Hour]]&gt;=M$2),1,0)</f>
        <v>0</v>
      </c>
      <c r="N57" s="298" cm="1">
        <f t="array" ref="N57">IF(AND(N$2&lt;&gt;0,TblTech[[#This Row],[Hour]:[Hour]]&gt;=N$2),1,0)</f>
        <v>0</v>
      </c>
      <c r="O57" s="298" cm="1">
        <f t="array" ref="O57">IF(AND(O$2&lt;&gt;0,TblTech[[#This Row],[Hour]:[Hour]]&gt;=O$2),1,0)</f>
        <v>0</v>
      </c>
      <c r="P57" s="298" cm="1">
        <f t="array" ref="P57">IF(AND(P$2&lt;&gt;0,TblTech[[#This Row],[Hour]:[Hour]]&gt;=P$2),1,0)</f>
        <v>0</v>
      </c>
      <c r="Q57" s="298" cm="1">
        <f t="array" ref="Q57">IF(AND(Q$2&lt;&gt;0,TblTech[[#This Row],[Hour]:[Hour]]&gt;=Q$2),1,0)</f>
        <v>0</v>
      </c>
      <c r="R57" s="298" cm="1">
        <f t="array" ref="R57">IF(AND(R$2&lt;&gt;0,TblTech[[#This Row],[Hour]:[Hour]]&gt;=R$2),1,0)</f>
        <v>0</v>
      </c>
      <c r="S57" s="298" cm="1">
        <f t="array" ref="S57">IF(AND(S$2&lt;&gt;0,TblTech[[#This Row],[Hour]:[Hour]]&gt;=S$2),1,0)</f>
        <v>0</v>
      </c>
      <c r="T57" s="298" cm="1">
        <f t="array" ref="T57">IF(AND(T$2&lt;&gt;0,TblTech[[#This Row],[Hour]:[Hour]]&gt;=T$2),1,0)</f>
        <v>0</v>
      </c>
      <c r="U57" s="298" cm="1">
        <f t="array" ref="U57">IF(AND(U$2&lt;&gt;0,TblTech[[#This Row],[Hour]:[Hour]]&gt;=U$2),1,0)</f>
        <v>0</v>
      </c>
      <c r="V57" s="298" cm="1">
        <f t="array" ref="V57">IF(AND(V$2&lt;&gt;0,TblTech[[#This Row],[Hour]:[Hour]]&gt;=V$2),1,0)</f>
        <v>0</v>
      </c>
      <c r="W57" s="298" cm="1">
        <f t="array" ref="W57">IF(AND(W$2&lt;&gt;0,TblTech[[#This Row],[Hour]:[Hour]]&gt;=W$2),1,0)</f>
        <v>0</v>
      </c>
      <c r="X57" s="298" cm="1">
        <f t="array" ref="X57">IF(AND(X$2&lt;&gt;0,TblTech[[#This Row],[Hour]:[Hour]]&gt;=X$2),1,0)</f>
        <v>0</v>
      </c>
      <c r="Y57" s="298" cm="1">
        <f t="array" ref="Y57">IF(AND(Y$2&lt;&gt;0,TblTech[[#This Row],[Hour]:[Hour]]&gt;=Y$2),1,0)</f>
        <v>0</v>
      </c>
      <c r="Z57" s="298" cm="1">
        <f t="array" ref="Z57">IF(AND(Z$2&lt;&gt;0,TblTech[[#This Row],[Hour]:[Hour]]&gt;=Z$2),1,0)</f>
        <v>0</v>
      </c>
      <c r="AA57" s="298" cm="1">
        <f t="array" ref="AA57">IF(AND(AA$2&lt;&gt;0,TblTech[[#This Row],[Hour]:[Hour]]&gt;=AA$2),1,0)</f>
        <v>0</v>
      </c>
      <c r="AB57" s="298" cm="1">
        <f t="array" ref="AB57">IF(AND(AB$2&lt;&gt;0,TblTech[[#This Row],[Hour]:[Hour]]&gt;=AB$2),1,0)</f>
        <v>0</v>
      </c>
      <c r="AC57" s="298" cm="1">
        <f t="array" ref="AC57">IF(AND(AC$2&lt;&gt;0,TblTech[[#This Row],[Hour]:[Hour]]&gt;=AC$2),1,0)</f>
        <v>0</v>
      </c>
      <c r="AD57" s="298" cm="1">
        <f t="array" ref="AD57">IF(AND(AD$2&lt;&gt;0,TblTech[[#This Row],[Hour]:[Hour]]&gt;=AD$2),1,0)</f>
        <v>0</v>
      </c>
      <c r="AE57" s="298" cm="1">
        <f t="array" ref="AE57">IF(AND(AE$2&lt;&gt;0,TblTech[[#This Row],[Hour]:[Hour]]&gt;=AE$2),1,0)</f>
        <v>0</v>
      </c>
      <c r="AF57" s="298" cm="1">
        <f t="array" ref="AF57">IF(AND(AF$2&lt;&gt;0,TblTech[[#This Row],[Hour]:[Hour]]&gt;=AF$2),1,0)</f>
        <v>0</v>
      </c>
      <c r="AG57" s="298" cm="1">
        <f t="array" ref="AG57">IF(AND(AG$2&lt;&gt;0,TblTech[[#This Row],[Hour]:[Hour]]&gt;=AG$2),1,0)</f>
        <v>0</v>
      </c>
      <c r="AH57" s="298" cm="1">
        <f t="array" ref="AH57">IF(AND(AH$2&lt;&gt;0,TblTech[[#This Row],[Hour]:[Hour]]&gt;=AH$2),1,0)</f>
        <v>0</v>
      </c>
      <c r="AI57" s="298" cm="1">
        <f t="array" ref="AI57">IF(AND(AI$2&lt;&gt;0,TblTech[[#This Row],[Hour]:[Hour]]&gt;=AI$2),1,0)</f>
        <v>0</v>
      </c>
      <c r="AJ57" s="298" cm="1">
        <f t="array" ref="AJ57">IF(AND(AJ$2&lt;&gt;0,TblTech[[#This Row],[Hour]:[Hour]]&gt;=AJ$2),1,0)</f>
        <v>0</v>
      </c>
      <c r="AK57" s="298" cm="1">
        <f t="array" ref="AK57">IF(AND(AK$2&lt;&gt;0,TblTech[[#This Row],[Hour]:[Hour]]&gt;=AK$2),1,0)</f>
        <v>0</v>
      </c>
      <c r="AL57" s="298" cm="1">
        <f t="array" ref="AL57">IF(AND(AL$2&lt;&gt;0,TblTech[[#This Row],[Hour]:[Hour]]&gt;=AL$2),1,0)</f>
        <v>0</v>
      </c>
      <c r="AM57" s="298" cm="1">
        <f t="array" ref="AM57">IF(AND(AM$2&lt;&gt;0,TblTech[[#This Row],[Hour]:[Hour]]&gt;=AM$2),1,0)</f>
        <v>0</v>
      </c>
      <c r="AN57" s="298" cm="1">
        <f t="array" ref="AN57">IF(AND(AN$2&lt;&gt;0,TblTech[[#This Row],[Hour]:[Hour]]&gt;=AN$2),1,0)</f>
        <v>0</v>
      </c>
      <c r="AO57" s="298" cm="1">
        <f t="array" ref="AO57">IF(AND(AO$2&lt;&gt;0,TblTech[[#This Row],[Hour]:[Hour]]&gt;=AO$2),1,0)</f>
        <v>0</v>
      </c>
      <c r="AP57" s="298" cm="1">
        <f t="array" ref="AP57">IF(AND(AP$2&lt;&gt;0,TblTech[[#This Row],[Hour]:[Hour]]&gt;=AP$2),1,0)</f>
        <v>0</v>
      </c>
      <c r="AQ57" s="298" cm="1">
        <f t="array" ref="AQ57">IF(AND(AQ$2&lt;&gt;0,TblTech[[#This Row],[Hour]:[Hour]]&gt;=AQ$2),1,0)</f>
        <v>0</v>
      </c>
      <c r="AR57" s="298" cm="1">
        <f t="array" ref="AR57">IF(AND(AR$2&lt;&gt;0,TblTech[[#This Row],[Hour]:[Hour]]&gt;=AR$2),1,0)</f>
        <v>0</v>
      </c>
      <c r="AS57" s="298" cm="1">
        <f t="array" ref="AS57">IF(AND(AS$2&lt;&gt;0,TblTech[[#This Row],[Hour]:[Hour]]&gt;=AS$2),1,0)</f>
        <v>0</v>
      </c>
      <c r="AT57" s="298" cm="1">
        <f t="array" ref="AT57">IF(AND(AT$2&lt;&gt;0,TblTech[[#This Row],[Hour]:[Hour]]&gt;=AT$2),1,0)</f>
        <v>0</v>
      </c>
      <c r="AU57" s="298" cm="1">
        <f t="array" ref="AU57">IF(AND(AU$2&lt;&gt;0,TblTech[[#This Row],[Hour]:[Hour]]&gt;=AU$2),1,0)</f>
        <v>0</v>
      </c>
      <c r="AV57" s="298" cm="1">
        <f t="array" ref="AV57">IF(AND(AV$2&lt;&gt;0,TblTech[[#This Row],[Hour]:[Hour]]&gt;=AV$2),1,0)</f>
        <v>0</v>
      </c>
      <c r="AW57" s="298" cm="1">
        <f t="array" ref="AW57">IF(AND(AW$2&lt;&gt;0,TblTech[[#This Row],[Hour]:[Hour]]&gt;=AW$2),1,0)</f>
        <v>0</v>
      </c>
      <c r="AX57" s="298" cm="1">
        <f t="array" ref="AX57">IF(AND(AX$2&lt;&gt;0,TblTech[[#This Row],[Hour]:[Hour]]&gt;=AX$2),1,0)</f>
        <v>0</v>
      </c>
      <c r="AY57" s="298" cm="1">
        <f t="array" ref="AY57">IF(AND(AY$2&lt;&gt;0,TblTech[[#This Row],[Hour]:[Hour]]&gt;=AY$2),1,0)</f>
        <v>0</v>
      </c>
      <c r="AZ57" s="298" cm="1">
        <f t="array" ref="AZ57">IF(AND(AZ$2&lt;&gt;0,TblTech[[#This Row],[Hour]:[Hour]]&gt;=AZ$2),1,0)</f>
        <v>0</v>
      </c>
      <c r="BA57" s="298" cm="1">
        <f t="array" ref="BA57">IF(AND(BA$2&lt;&gt;0,TblTech[[#This Row],[Hour]:[Hour]]&gt;=BA$2),1,0)</f>
        <v>0</v>
      </c>
      <c r="BB57" s="298" cm="1">
        <f t="array" ref="BB57">IF(AND(BB$2&lt;&gt;0,TblTech[[#This Row],[Hour]:[Hour]]&gt;=BB$2),1,0)</f>
        <v>0</v>
      </c>
      <c r="BC57" s="298" cm="1">
        <f t="array" ref="BC57">IF(AND(BC$2&lt;&gt;0,TblTech[[#This Row],[Hour]:[Hour]]&gt;=BC$2),1,0)</f>
        <v>0</v>
      </c>
      <c r="BD57" s="298" cm="1">
        <f t="array" ref="BD57">IF(AND(BD$2&lt;&gt;0,TblTech[[#This Row],[Hour]:[Hour]]&gt;=BD$2),1,0)</f>
        <v>0</v>
      </c>
      <c r="BE57" s="298" cm="1">
        <f t="array" ref="BE57">IF(AND(BE$2&lt;&gt;0,TblTech[[#This Row],[Hour]:[Hour]]&gt;=BE$2),1,0)</f>
        <v>0</v>
      </c>
      <c r="BF57" s="298" cm="1">
        <f t="array" ref="BF57">IF(AND(BF$2&lt;&gt;0,TblTech[[#This Row],[Hour]:[Hour]]&gt;=BF$2),1,0)</f>
        <v>0</v>
      </c>
      <c r="BG57" s="298" cm="1">
        <f t="array" ref="BG57">IF(AND(BG$2&lt;&gt;0,TblTech[[#This Row],[Hour]:[Hour]]&gt;=BG$2),1,0)</f>
        <v>0</v>
      </c>
      <c r="BH57" s="298" cm="1">
        <f t="array" ref="BH57">IF(AND(BH$2&lt;&gt;0,TblTech[[#This Row],[Hour]:[Hour]]&gt;=BH$2),1,0)</f>
        <v>0</v>
      </c>
      <c r="BI57" s="298" cm="1">
        <f t="array" ref="BI57">IF(AND(BI$2&lt;&gt;0,TblTech[[#This Row],[Hour]:[Hour]]&gt;=BI$2),1,0)</f>
        <v>0</v>
      </c>
      <c r="BJ57" s="298" cm="1">
        <f t="array" ref="BJ57">IF(AND(BJ$2&lt;&gt;0,TblTech[[#This Row],[Hour]:[Hour]]&gt;=BJ$2),1,0)</f>
        <v>0</v>
      </c>
      <c r="BK57" s="298" cm="1">
        <f t="array" ref="BK57">IF(AND(BK$2&lt;&gt;0,TblTech[[#This Row],[Hour]:[Hour]]&gt;=BK$2),1,0)</f>
        <v>0</v>
      </c>
      <c r="BL57" s="298" cm="1">
        <f t="array" ref="BL57">IF(AND(BL$2&lt;&gt;0,TblTech[[#This Row],[Hour]:[Hour]]&gt;=BL$2),1,0)</f>
        <v>0</v>
      </c>
      <c r="BM57" s="298" cm="1">
        <f t="array" ref="BM57">IF(AND(BM$2&lt;&gt;0,TblTech[[#This Row],[Hour]:[Hour]]&gt;=BM$2),1,0)</f>
        <v>0</v>
      </c>
      <c r="BN57" s="298" cm="1">
        <f t="array" ref="BN57">IF(AND(BN$2&lt;&gt;0,TblTech[[#This Row],[Hour]:[Hour]]&gt;=BN$2),1,0)</f>
        <v>0</v>
      </c>
      <c r="BO57" s="298" cm="1">
        <f t="array" ref="BO57">IF(AND(BO$2&lt;&gt;0,TblTech[[#This Row],[Hour]:[Hour]]&gt;=BO$2),1,0)</f>
        <v>0</v>
      </c>
      <c r="BP57" s="298" cm="1">
        <f t="array" ref="BP57">IF(AND(BP$2&lt;&gt;0,TblTech[[#This Row],[Hour]:[Hour]]&gt;=BP$2),1,0)</f>
        <v>0</v>
      </c>
      <c r="BQ57" s="298" cm="1">
        <f t="array" ref="BQ57">IF(AND(BQ$2&lt;&gt;0,TblTech[[#This Row],[Hour]:[Hour]]&gt;=BQ$2),1,0)</f>
        <v>0</v>
      </c>
      <c r="BR57" s="298" cm="1">
        <f t="array" ref="BR57">IF(AND(BR$2&lt;&gt;0,TblTech[[#This Row],[Hour]:[Hour]]&gt;=BR$2),1,0)</f>
        <v>0</v>
      </c>
      <c r="BS57" s="298" cm="1">
        <f t="array" ref="BS57">IF(AND(BS$2&lt;&gt;0,TblTech[[#This Row],[Hour]:[Hour]]&gt;=BS$2),1,0)</f>
        <v>0</v>
      </c>
      <c r="BT57" s="298" cm="1">
        <f t="array" ref="BT57">IF(AND(BT$2&lt;&gt;0,TblTech[[#This Row],[Hour]:[Hour]]&gt;=BT$2),1,0)</f>
        <v>0</v>
      </c>
      <c r="BU57" s="298" cm="1">
        <f t="array" ref="BU57">IF(AND(BU$2&lt;&gt;0,TblTech[[#This Row],[Hour]:[Hour]]&gt;=BU$2),1,0)</f>
        <v>0</v>
      </c>
      <c r="BV57" s="298" cm="1">
        <f t="array" ref="BV57">IF(AND(BV$2&lt;&gt;0,TblTech[[#This Row],[Hour]:[Hour]]&gt;=BV$2),1,0)</f>
        <v>0</v>
      </c>
      <c r="BW57" s="298" cm="1">
        <f t="array" ref="BW57">IF(AND(BW$2&lt;&gt;0,TblTech[[#This Row],[Hour]:[Hour]]&gt;=BW$2),1,0)</f>
        <v>0</v>
      </c>
      <c r="BX57" s="298" cm="1">
        <f t="array" ref="BX57">IF(AND(BX$2&lt;&gt;0,TblTech[[#This Row],[Hour]:[Hour]]&gt;=BX$2),1,0)</f>
        <v>0</v>
      </c>
      <c r="BY57" s="298" cm="1">
        <f t="array" ref="BY57">IF(AND(BY$2&lt;&gt;0,TblTech[[#This Row],[Hour]:[Hour]]&gt;=BY$2),1,0)</f>
        <v>0</v>
      </c>
      <c r="BZ57" s="298" cm="1">
        <f t="array" ref="BZ57">IF(AND(BZ$2&lt;&gt;0,TblTech[[#This Row],[Hour]:[Hour]]&gt;=BZ$2),1,0)</f>
        <v>0</v>
      </c>
      <c r="CA57" s="402">
        <f>IFERROR(INDEX($H$4:$H$79,MATCH(INDEX(TblTech[[#Headers],[1-1]:[11-1]],1,MATCH(TblTech[[#This Row],[Hour]],$M$2:$BZ$2,0)),$G$4:$G$79,0)),)</f>
        <v>0</v>
      </c>
    </row>
    <row r="58" spans="1:79" x14ac:dyDescent="0.2">
      <c r="A58" s="290">
        <f>TblRezone[[#This Row],[Hour]]</f>
        <v>55</v>
      </c>
      <c r="B58" s="291">
        <f ca="1">TblExplore[[#This Row],[Land-DB]]</f>
        <v>250</v>
      </c>
      <c r="C58" s="292">
        <f ca="1">TblProd[[#This Row],[Techpoints]]</f>
        <v>0</v>
      </c>
      <c r="D58" s="292">
        <f ca="1">TblProd[[#This Row],[Required]]</f>
        <v>3750</v>
      </c>
      <c r="E58" s="293"/>
      <c r="F58" s="294"/>
      <c r="G58" s="295" t="s">
        <v>600</v>
      </c>
      <c r="H58" s="296" t="s">
        <v>716</v>
      </c>
      <c r="I58" s="295" t="s">
        <v>1108</v>
      </c>
      <c r="J58" s="291"/>
      <c r="K58" s="95">
        <f ca="1">IF(TblTech[[#This Row],[Sum of tech]]&lt;&gt;OFFSET(TblTech[[#This Row],[Sum of tech]],-1,0),1,0)</f>
        <v>0</v>
      </c>
      <c r="L58" s="297">
        <f>COUNTIF(TblTech[[#This Row],[1-1]:[11-1]],1)</f>
        <v>0</v>
      </c>
      <c r="M58" s="298" cm="1">
        <f t="array" ref="M58">IF(AND(M$2&lt;&gt;0,TblTech[[#This Row],[Hour]:[Hour]]&gt;=M$2),1,0)</f>
        <v>0</v>
      </c>
      <c r="N58" s="298" cm="1">
        <f t="array" ref="N58">IF(AND(N$2&lt;&gt;0,TblTech[[#This Row],[Hour]:[Hour]]&gt;=N$2),1,0)</f>
        <v>0</v>
      </c>
      <c r="O58" s="298" cm="1">
        <f t="array" ref="O58">IF(AND(O$2&lt;&gt;0,TblTech[[#This Row],[Hour]:[Hour]]&gt;=O$2),1,0)</f>
        <v>0</v>
      </c>
      <c r="P58" s="298" cm="1">
        <f t="array" ref="P58">IF(AND(P$2&lt;&gt;0,TblTech[[#This Row],[Hour]:[Hour]]&gt;=P$2),1,0)</f>
        <v>0</v>
      </c>
      <c r="Q58" s="298" cm="1">
        <f t="array" ref="Q58">IF(AND(Q$2&lt;&gt;0,TblTech[[#This Row],[Hour]:[Hour]]&gt;=Q$2),1,0)</f>
        <v>0</v>
      </c>
      <c r="R58" s="298" cm="1">
        <f t="array" ref="R58">IF(AND(R$2&lt;&gt;0,TblTech[[#This Row],[Hour]:[Hour]]&gt;=R$2),1,0)</f>
        <v>0</v>
      </c>
      <c r="S58" s="298" cm="1">
        <f t="array" ref="S58">IF(AND(S$2&lt;&gt;0,TblTech[[#This Row],[Hour]:[Hour]]&gt;=S$2),1,0)</f>
        <v>0</v>
      </c>
      <c r="T58" s="298" cm="1">
        <f t="array" ref="T58">IF(AND(T$2&lt;&gt;0,TblTech[[#This Row],[Hour]:[Hour]]&gt;=T$2),1,0)</f>
        <v>0</v>
      </c>
      <c r="U58" s="298" cm="1">
        <f t="array" ref="U58">IF(AND(U$2&lt;&gt;0,TblTech[[#This Row],[Hour]:[Hour]]&gt;=U$2),1,0)</f>
        <v>0</v>
      </c>
      <c r="V58" s="298" cm="1">
        <f t="array" ref="V58">IF(AND(V$2&lt;&gt;0,TblTech[[#This Row],[Hour]:[Hour]]&gt;=V$2),1,0)</f>
        <v>0</v>
      </c>
      <c r="W58" s="298" cm="1">
        <f t="array" ref="W58">IF(AND(W$2&lt;&gt;0,TblTech[[#This Row],[Hour]:[Hour]]&gt;=W$2),1,0)</f>
        <v>0</v>
      </c>
      <c r="X58" s="298" cm="1">
        <f t="array" ref="X58">IF(AND(X$2&lt;&gt;0,TblTech[[#This Row],[Hour]:[Hour]]&gt;=X$2),1,0)</f>
        <v>0</v>
      </c>
      <c r="Y58" s="298" cm="1">
        <f t="array" ref="Y58">IF(AND(Y$2&lt;&gt;0,TblTech[[#This Row],[Hour]:[Hour]]&gt;=Y$2),1,0)</f>
        <v>0</v>
      </c>
      <c r="Z58" s="298" cm="1">
        <f t="array" ref="Z58">IF(AND(Z$2&lt;&gt;0,TblTech[[#This Row],[Hour]:[Hour]]&gt;=Z$2),1,0)</f>
        <v>0</v>
      </c>
      <c r="AA58" s="298" cm="1">
        <f t="array" ref="AA58">IF(AND(AA$2&lt;&gt;0,TblTech[[#This Row],[Hour]:[Hour]]&gt;=AA$2),1,0)</f>
        <v>0</v>
      </c>
      <c r="AB58" s="298" cm="1">
        <f t="array" ref="AB58">IF(AND(AB$2&lt;&gt;0,TblTech[[#This Row],[Hour]:[Hour]]&gt;=AB$2),1,0)</f>
        <v>0</v>
      </c>
      <c r="AC58" s="298" cm="1">
        <f t="array" ref="AC58">IF(AND(AC$2&lt;&gt;0,TblTech[[#This Row],[Hour]:[Hour]]&gt;=AC$2),1,0)</f>
        <v>0</v>
      </c>
      <c r="AD58" s="298" cm="1">
        <f t="array" ref="AD58">IF(AND(AD$2&lt;&gt;0,TblTech[[#This Row],[Hour]:[Hour]]&gt;=AD$2),1,0)</f>
        <v>0</v>
      </c>
      <c r="AE58" s="298" cm="1">
        <f t="array" ref="AE58">IF(AND(AE$2&lt;&gt;0,TblTech[[#This Row],[Hour]:[Hour]]&gt;=AE$2),1,0)</f>
        <v>0</v>
      </c>
      <c r="AF58" s="298" cm="1">
        <f t="array" ref="AF58">IF(AND(AF$2&lt;&gt;0,TblTech[[#This Row],[Hour]:[Hour]]&gt;=AF$2),1,0)</f>
        <v>0</v>
      </c>
      <c r="AG58" s="298" cm="1">
        <f t="array" ref="AG58">IF(AND(AG$2&lt;&gt;0,TblTech[[#This Row],[Hour]:[Hour]]&gt;=AG$2),1,0)</f>
        <v>0</v>
      </c>
      <c r="AH58" s="298" cm="1">
        <f t="array" ref="AH58">IF(AND(AH$2&lt;&gt;0,TblTech[[#This Row],[Hour]:[Hour]]&gt;=AH$2),1,0)</f>
        <v>0</v>
      </c>
      <c r="AI58" s="298" cm="1">
        <f t="array" ref="AI58">IF(AND(AI$2&lt;&gt;0,TblTech[[#This Row],[Hour]:[Hour]]&gt;=AI$2),1,0)</f>
        <v>0</v>
      </c>
      <c r="AJ58" s="298" cm="1">
        <f t="array" ref="AJ58">IF(AND(AJ$2&lt;&gt;0,TblTech[[#This Row],[Hour]:[Hour]]&gt;=AJ$2),1,0)</f>
        <v>0</v>
      </c>
      <c r="AK58" s="298" cm="1">
        <f t="array" ref="AK58">IF(AND(AK$2&lt;&gt;0,TblTech[[#This Row],[Hour]:[Hour]]&gt;=AK$2),1,0)</f>
        <v>0</v>
      </c>
      <c r="AL58" s="298" cm="1">
        <f t="array" ref="AL58">IF(AND(AL$2&lt;&gt;0,TblTech[[#This Row],[Hour]:[Hour]]&gt;=AL$2),1,0)</f>
        <v>0</v>
      </c>
      <c r="AM58" s="298" cm="1">
        <f t="array" ref="AM58">IF(AND(AM$2&lt;&gt;0,TblTech[[#This Row],[Hour]:[Hour]]&gt;=AM$2),1,0)</f>
        <v>0</v>
      </c>
      <c r="AN58" s="298" cm="1">
        <f t="array" ref="AN58">IF(AND(AN$2&lt;&gt;0,TblTech[[#This Row],[Hour]:[Hour]]&gt;=AN$2),1,0)</f>
        <v>0</v>
      </c>
      <c r="AO58" s="298" cm="1">
        <f t="array" ref="AO58">IF(AND(AO$2&lt;&gt;0,TblTech[[#This Row],[Hour]:[Hour]]&gt;=AO$2),1,0)</f>
        <v>0</v>
      </c>
      <c r="AP58" s="298" cm="1">
        <f t="array" ref="AP58">IF(AND(AP$2&lt;&gt;0,TblTech[[#This Row],[Hour]:[Hour]]&gt;=AP$2),1,0)</f>
        <v>0</v>
      </c>
      <c r="AQ58" s="298" cm="1">
        <f t="array" ref="AQ58">IF(AND(AQ$2&lt;&gt;0,TblTech[[#This Row],[Hour]:[Hour]]&gt;=AQ$2),1,0)</f>
        <v>0</v>
      </c>
      <c r="AR58" s="298" cm="1">
        <f t="array" ref="AR58">IF(AND(AR$2&lt;&gt;0,TblTech[[#This Row],[Hour]:[Hour]]&gt;=AR$2),1,0)</f>
        <v>0</v>
      </c>
      <c r="AS58" s="298" cm="1">
        <f t="array" ref="AS58">IF(AND(AS$2&lt;&gt;0,TblTech[[#This Row],[Hour]:[Hour]]&gt;=AS$2),1,0)</f>
        <v>0</v>
      </c>
      <c r="AT58" s="298" cm="1">
        <f t="array" ref="AT58">IF(AND(AT$2&lt;&gt;0,TblTech[[#This Row],[Hour]:[Hour]]&gt;=AT$2),1,0)</f>
        <v>0</v>
      </c>
      <c r="AU58" s="298" cm="1">
        <f t="array" ref="AU58">IF(AND(AU$2&lt;&gt;0,TblTech[[#This Row],[Hour]:[Hour]]&gt;=AU$2),1,0)</f>
        <v>0</v>
      </c>
      <c r="AV58" s="298" cm="1">
        <f t="array" ref="AV58">IF(AND(AV$2&lt;&gt;0,TblTech[[#This Row],[Hour]:[Hour]]&gt;=AV$2),1,0)</f>
        <v>0</v>
      </c>
      <c r="AW58" s="298" cm="1">
        <f t="array" ref="AW58">IF(AND(AW$2&lt;&gt;0,TblTech[[#This Row],[Hour]:[Hour]]&gt;=AW$2),1,0)</f>
        <v>0</v>
      </c>
      <c r="AX58" s="298" cm="1">
        <f t="array" ref="AX58">IF(AND(AX$2&lt;&gt;0,TblTech[[#This Row],[Hour]:[Hour]]&gt;=AX$2),1,0)</f>
        <v>0</v>
      </c>
      <c r="AY58" s="298" cm="1">
        <f t="array" ref="AY58">IF(AND(AY$2&lt;&gt;0,TblTech[[#This Row],[Hour]:[Hour]]&gt;=AY$2),1,0)</f>
        <v>0</v>
      </c>
      <c r="AZ58" s="298" cm="1">
        <f t="array" ref="AZ58">IF(AND(AZ$2&lt;&gt;0,TblTech[[#This Row],[Hour]:[Hour]]&gt;=AZ$2),1,0)</f>
        <v>0</v>
      </c>
      <c r="BA58" s="298" cm="1">
        <f t="array" ref="BA58">IF(AND(BA$2&lt;&gt;0,TblTech[[#This Row],[Hour]:[Hour]]&gt;=BA$2),1,0)</f>
        <v>0</v>
      </c>
      <c r="BB58" s="298" cm="1">
        <f t="array" ref="BB58">IF(AND(BB$2&lt;&gt;0,TblTech[[#This Row],[Hour]:[Hour]]&gt;=BB$2),1,0)</f>
        <v>0</v>
      </c>
      <c r="BC58" s="298" cm="1">
        <f t="array" ref="BC58">IF(AND(BC$2&lt;&gt;0,TblTech[[#This Row],[Hour]:[Hour]]&gt;=BC$2),1,0)</f>
        <v>0</v>
      </c>
      <c r="BD58" s="298" cm="1">
        <f t="array" ref="BD58">IF(AND(BD$2&lt;&gt;0,TblTech[[#This Row],[Hour]:[Hour]]&gt;=BD$2),1,0)</f>
        <v>0</v>
      </c>
      <c r="BE58" s="298" cm="1">
        <f t="array" ref="BE58">IF(AND(BE$2&lt;&gt;0,TblTech[[#This Row],[Hour]:[Hour]]&gt;=BE$2),1,0)</f>
        <v>0</v>
      </c>
      <c r="BF58" s="298" cm="1">
        <f t="array" ref="BF58">IF(AND(BF$2&lt;&gt;0,TblTech[[#This Row],[Hour]:[Hour]]&gt;=BF$2),1,0)</f>
        <v>0</v>
      </c>
      <c r="BG58" s="298" cm="1">
        <f t="array" ref="BG58">IF(AND(BG$2&lt;&gt;0,TblTech[[#This Row],[Hour]:[Hour]]&gt;=BG$2),1,0)</f>
        <v>0</v>
      </c>
      <c r="BH58" s="298" cm="1">
        <f t="array" ref="BH58">IF(AND(BH$2&lt;&gt;0,TblTech[[#This Row],[Hour]:[Hour]]&gt;=BH$2),1,0)</f>
        <v>0</v>
      </c>
      <c r="BI58" s="298" cm="1">
        <f t="array" ref="BI58">IF(AND(BI$2&lt;&gt;0,TblTech[[#This Row],[Hour]:[Hour]]&gt;=BI$2),1,0)</f>
        <v>0</v>
      </c>
      <c r="BJ58" s="298" cm="1">
        <f t="array" ref="BJ58">IF(AND(BJ$2&lt;&gt;0,TblTech[[#This Row],[Hour]:[Hour]]&gt;=BJ$2),1,0)</f>
        <v>0</v>
      </c>
      <c r="BK58" s="298" cm="1">
        <f t="array" ref="BK58">IF(AND(BK$2&lt;&gt;0,TblTech[[#This Row],[Hour]:[Hour]]&gt;=BK$2),1,0)</f>
        <v>0</v>
      </c>
      <c r="BL58" s="298" cm="1">
        <f t="array" ref="BL58">IF(AND(BL$2&lt;&gt;0,TblTech[[#This Row],[Hour]:[Hour]]&gt;=BL$2),1,0)</f>
        <v>0</v>
      </c>
      <c r="BM58" s="298" cm="1">
        <f t="array" ref="BM58">IF(AND(BM$2&lt;&gt;0,TblTech[[#This Row],[Hour]:[Hour]]&gt;=BM$2),1,0)</f>
        <v>0</v>
      </c>
      <c r="BN58" s="298" cm="1">
        <f t="array" ref="BN58">IF(AND(BN$2&lt;&gt;0,TblTech[[#This Row],[Hour]:[Hour]]&gt;=BN$2),1,0)</f>
        <v>0</v>
      </c>
      <c r="BO58" s="298" cm="1">
        <f t="array" ref="BO58">IF(AND(BO$2&lt;&gt;0,TblTech[[#This Row],[Hour]:[Hour]]&gt;=BO$2),1,0)</f>
        <v>0</v>
      </c>
      <c r="BP58" s="298" cm="1">
        <f t="array" ref="BP58">IF(AND(BP$2&lt;&gt;0,TblTech[[#This Row],[Hour]:[Hour]]&gt;=BP$2),1,0)</f>
        <v>0</v>
      </c>
      <c r="BQ58" s="298" cm="1">
        <f t="array" ref="BQ58">IF(AND(BQ$2&lt;&gt;0,TblTech[[#This Row],[Hour]:[Hour]]&gt;=BQ$2),1,0)</f>
        <v>0</v>
      </c>
      <c r="BR58" s="298" cm="1">
        <f t="array" ref="BR58">IF(AND(BR$2&lt;&gt;0,TblTech[[#This Row],[Hour]:[Hour]]&gt;=BR$2),1,0)</f>
        <v>0</v>
      </c>
      <c r="BS58" s="298" cm="1">
        <f t="array" ref="BS58">IF(AND(BS$2&lt;&gt;0,TblTech[[#This Row],[Hour]:[Hour]]&gt;=BS$2),1,0)</f>
        <v>0</v>
      </c>
      <c r="BT58" s="298" cm="1">
        <f t="array" ref="BT58">IF(AND(BT$2&lt;&gt;0,TblTech[[#This Row],[Hour]:[Hour]]&gt;=BT$2),1,0)</f>
        <v>0</v>
      </c>
      <c r="BU58" s="298" cm="1">
        <f t="array" ref="BU58">IF(AND(BU$2&lt;&gt;0,TblTech[[#This Row],[Hour]:[Hour]]&gt;=BU$2),1,0)</f>
        <v>0</v>
      </c>
      <c r="BV58" s="298" cm="1">
        <f t="array" ref="BV58">IF(AND(BV$2&lt;&gt;0,TblTech[[#This Row],[Hour]:[Hour]]&gt;=BV$2),1,0)</f>
        <v>0</v>
      </c>
      <c r="BW58" s="298" cm="1">
        <f t="array" ref="BW58">IF(AND(BW$2&lt;&gt;0,TblTech[[#This Row],[Hour]:[Hour]]&gt;=BW$2),1,0)</f>
        <v>0</v>
      </c>
      <c r="BX58" s="298" cm="1">
        <f t="array" ref="BX58">IF(AND(BX$2&lt;&gt;0,TblTech[[#This Row],[Hour]:[Hour]]&gt;=BX$2),1,0)</f>
        <v>0</v>
      </c>
      <c r="BY58" s="298" cm="1">
        <f t="array" ref="BY58">IF(AND(BY$2&lt;&gt;0,TblTech[[#This Row],[Hour]:[Hour]]&gt;=BY$2),1,0)</f>
        <v>0</v>
      </c>
      <c r="BZ58" s="298" cm="1">
        <f t="array" ref="BZ58">IF(AND(BZ$2&lt;&gt;0,TblTech[[#This Row],[Hour]:[Hour]]&gt;=BZ$2),1,0)</f>
        <v>0</v>
      </c>
      <c r="CA58" s="402">
        <f>IFERROR(INDEX($H$4:$H$79,MATCH(INDEX(TblTech[[#Headers],[1-1]:[11-1]],1,MATCH(TblTech[[#This Row],[Hour]],$M$2:$BZ$2,0)),$G$4:$G$79,0)),)</f>
        <v>0</v>
      </c>
    </row>
    <row r="59" spans="1:79" x14ac:dyDescent="0.2">
      <c r="A59" s="290">
        <f>TblRezone[[#This Row],[Hour]]</f>
        <v>56</v>
      </c>
      <c r="B59" s="291">
        <f ca="1">TblExplore[[#This Row],[Land-DB]]</f>
        <v>250</v>
      </c>
      <c r="C59" s="292">
        <f ca="1">TblProd[[#This Row],[Techpoints]]</f>
        <v>0</v>
      </c>
      <c r="D59" s="292">
        <f ca="1">TblProd[[#This Row],[Required]]</f>
        <v>3750</v>
      </c>
      <c r="E59" s="293"/>
      <c r="F59" s="294"/>
      <c r="G59" s="295" t="s">
        <v>601</v>
      </c>
      <c r="H59" s="296" t="s">
        <v>722</v>
      </c>
      <c r="I59" s="295" t="s">
        <v>742</v>
      </c>
      <c r="J59" s="291"/>
      <c r="K59" s="95">
        <f ca="1">IF(TblTech[[#This Row],[Sum of tech]]&lt;&gt;OFFSET(TblTech[[#This Row],[Sum of tech]],-1,0),1,0)</f>
        <v>0</v>
      </c>
      <c r="L59" s="297">
        <f>COUNTIF(TblTech[[#This Row],[1-1]:[11-1]],1)</f>
        <v>0</v>
      </c>
      <c r="M59" s="298" cm="1">
        <f t="array" ref="M59">IF(AND(M$2&lt;&gt;0,TblTech[[#This Row],[Hour]:[Hour]]&gt;=M$2),1,0)</f>
        <v>0</v>
      </c>
      <c r="N59" s="298" cm="1">
        <f t="array" ref="N59">IF(AND(N$2&lt;&gt;0,TblTech[[#This Row],[Hour]:[Hour]]&gt;=N$2),1,0)</f>
        <v>0</v>
      </c>
      <c r="O59" s="298" cm="1">
        <f t="array" ref="O59">IF(AND(O$2&lt;&gt;0,TblTech[[#This Row],[Hour]:[Hour]]&gt;=O$2),1,0)</f>
        <v>0</v>
      </c>
      <c r="P59" s="298" cm="1">
        <f t="array" ref="P59">IF(AND(P$2&lt;&gt;0,TblTech[[#This Row],[Hour]:[Hour]]&gt;=P$2),1,0)</f>
        <v>0</v>
      </c>
      <c r="Q59" s="298" cm="1">
        <f t="array" ref="Q59">IF(AND(Q$2&lt;&gt;0,TblTech[[#This Row],[Hour]:[Hour]]&gt;=Q$2),1,0)</f>
        <v>0</v>
      </c>
      <c r="R59" s="298" cm="1">
        <f t="array" ref="R59">IF(AND(R$2&lt;&gt;0,TblTech[[#This Row],[Hour]:[Hour]]&gt;=R$2),1,0)</f>
        <v>0</v>
      </c>
      <c r="S59" s="298" cm="1">
        <f t="array" ref="S59">IF(AND(S$2&lt;&gt;0,TblTech[[#This Row],[Hour]:[Hour]]&gt;=S$2),1,0)</f>
        <v>0</v>
      </c>
      <c r="T59" s="298" cm="1">
        <f t="array" ref="T59">IF(AND(T$2&lt;&gt;0,TblTech[[#This Row],[Hour]:[Hour]]&gt;=T$2),1,0)</f>
        <v>0</v>
      </c>
      <c r="U59" s="298" cm="1">
        <f t="array" ref="U59">IF(AND(U$2&lt;&gt;0,TblTech[[#This Row],[Hour]:[Hour]]&gt;=U$2),1,0)</f>
        <v>0</v>
      </c>
      <c r="V59" s="298" cm="1">
        <f t="array" ref="V59">IF(AND(V$2&lt;&gt;0,TblTech[[#This Row],[Hour]:[Hour]]&gt;=V$2),1,0)</f>
        <v>0</v>
      </c>
      <c r="W59" s="298" cm="1">
        <f t="array" ref="W59">IF(AND(W$2&lt;&gt;0,TblTech[[#This Row],[Hour]:[Hour]]&gt;=W$2),1,0)</f>
        <v>0</v>
      </c>
      <c r="X59" s="298" cm="1">
        <f t="array" ref="X59">IF(AND(X$2&lt;&gt;0,TblTech[[#This Row],[Hour]:[Hour]]&gt;=X$2),1,0)</f>
        <v>0</v>
      </c>
      <c r="Y59" s="298" cm="1">
        <f t="array" ref="Y59">IF(AND(Y$2&lt;&gt;0,TblTech[[#This Row],[Hour]:[Hour]]&gt;=Y$2),1,0)</f>
        <v>0</v>
      </c>
      <c r="Z59" s="298" cm="1">
        <f t="array" ref="Z59">IF(AND(Z$2&lt;&gt;0,TblTech[[#This Row],[Hour]:[Hour]]&gt;=Z$2),1,0)</f>
        <v>0</v>
      </c>
      <c r="AA59" s="298" cm="1">
        <f t="array" ref="AA59">IF(AND(AA$2&lt;&gt;0,TblTech[[#This Row],[Hour]:[Hour]]&gt;=AA$2),1,0)</f>
        <v>0</v>
      </c>
      <c r="AB59" s="298" cm="1">
        <f t="array" ref="AB59">IF(AND(AB$2&lt;&gt;0,TblTech[[#This Row],[Hour]:[Hour]]&gt;=AB$2),1,0)</f>
        <v>0</v>
      </c>
      <c r="AC59" s="298" cm="1">
        <f t="array" ref="AC59">IF(AND(AC$2&lt;&gt;0,TblTech[[#This Row],[Hour]:[Hour]]&gt;=AC$2),1,0)</f>
        <v>0</v>
      </c>
      <c r="AD59" s="298" cm="1">
        <f t="array" ref="AD59">IF(AND(AD$2&lt;&gt;0,TblTech[[#This Row],[Hour]:[Hour]]&gt;=AD$2),1,0)</f>
        <v>0</v>
      </c>
      <c r="AE59" s="298" cm="1">
        <f t="array" ref="AE59">IF(AND(AE$2&lt;&gt;0,TblTech[[#This Row],[Hour]:[Hour]]&gt;=AE$2),1,0)</f>
        <v>0</v>
      </c>
      <c r="AF59" s="298" cm="1">
        <f t="array" ref="AF59">IF(AND(AF$2&lt;&gt;0,TblTech[[#This Row],[Hour]:[Hour]]&gt;=AF$2),1,0)</f>
        <v>0</v>
      </c>
      <c r="AG59" s="298" cm="1">
        <f t="array" ref="AG59">IF(AND(AG$2&lt;&gt;0,TblTech[[#This Row],[Hour]:[Hour]]&gt;=AG$2),1,0)</f>
        <v>0</v>
      </c>
      <c r="AH59" s="298" cm="1">
        <f t="array" ref="AH59">IF(AND(AH$2&lt;&gt;0,TblTech[[#This Row],[Hour]:[Hour]]&gt;=AH$2),1,0)</f>
        <v>0</v>
      </c>
      <c r="AI59" s="298" cm="1">
        <f t="array" ref="AI59">IF(AND(AI$2&lt;&gt;0,TblTech[[#This Row],[Hour]:[Hour]]&gt;=AI$2),1,0)</f>
        <v>0</v>
      </c>
      <c r="AJ59" s="298" cm="1">
        <f t="array" ref="AJ59">IF(AND(AJ$2&lt;&gt;0,TblTech[[#This Row],[Hour]:[Hour]]&gt;=AJ$2),1,0)</f>
        <v>0</v>
      </c>
      <c r="AK59" s="298" cm="1">
        <f t="array" ref="AK59">IF(AND(AK$2&lt;&gt;0,TblTech[[#This Row],[Hour]:[Hour]]&gt;=AK$2),1,0)</f>
        <v>0</v>
      </c>
      <c r="AL59" s="298" cm="1">
        <f t="array" ref="AL59">IF(AND(AL$2&lt;&gt;0,TblTech[[#This Row],[Hour]:[Hour]]&gt;=AL$2),1,0)</f>
        <v>0</v>
      </c>
      <c r="AM59" s="298" cm="1">
        <f t="array" ref="AM59">IF(AND(AM$2&lt;&gt;0,TblTech[[#This Row],[Hour]:[Hour]]&gt;=AM$2),1,0)</f>
        <v>0</v>
      </c>
      <c r="AN59" s="298" cm="1">
        <f t="array" ref="AN59">IF(AND(AN$2&lt;&gt;0,TblTech[[#This Row],[Hour]:[Hour]]&gt;=AN$2),1,0)</f>
        <v>0</v>
      </c>
      <c r="AO59" s="298" cm="1">
        <f t="array" ref="AO59">IF(AND(AO$2&lt;&gt;0,TblTech[[#This Row],[Hour]:[Hour]]&gt;=AO$2),1,0)</f>
        <v>0</v>
      </c>
      <c r="AP59" s="298" cm="1">
        <f t="array" ref="AP59">IF(AND(AP$2&lt;&gt;0,TblTech[[#This Row],[Hour]:[Hour]]&gt;=AP$2),1,0)</f>
        <v>0</v>
      </c>
      <c r="AQ59" s="298" cm="1">
        <f t="array" ref="AQ59">IF(AND(AQ$2&lt;&gt;0,TblTech[[#This Row],[Hour]:[Hour]]&gt;=AQ$2),1,0)</f>
        <v>0</v>
      </c>
      <c r="AR59" s="298" cm="1">
        <f t="array" ref="AR59">IF(AND(AR$2&lt;&gt;0,TblTech[[#This Row],[Hour]:[Hour]]&gt;=AR$2),1,0)</f>
        <v>0</v>
      </c>
      <c r="AS59" s="298" cm="1">
        <f t="array" ref="AS59">IF(AND(AS$2&lt;&gt;0,TblTech[[#This Row],[Hour]:[Hour]]&gt;=AS$2),1,0)</f>
        <v>0</v>
      </c>
      <c r="AT59" s="298" cm="1">
        <f t="array" ref="AT59">IF(AND(AT$2&lt;&gt;0,TblTech[[#This Row],[Hour]:[Hour]]&gt;=AT$2),1,0)</f>
        <v>0</v>
      </c>
      <c r="AU59" s="298" cm="1">
        <f t="array" ref="AU59">IF(AND(AU$2&lt;&gt;0,TblTech[[#This Row],[Hour]:[Hour]]&gt;=AU$2),1,0)</f>
        <v>0</v>
      </c>
      <c r="AV59" s="298" cm="1">
        <f t="array" ref="AV59">IF(AND(AV$2&lt;&gt;0,TblTech[[#This Row],[Hour]:[Hour]]&gt;=AV$2),1,0)</f>
        <v>0</v>
      </c>
      <c r="AW59" s="298" cm="1">
        <f t="array" ref="AW59">IF(AND(AW$2&lt;&gt;0,TblTech[[#This Row],[Hour]:[Hour]]&gt;=AW$2),1,0)</f>
        <v>0</v>
      </c>
      <c r="AX59" s="298" cm="1">
        <f t="array" ref="AX59">IF(AND(AX$2&lt;&gt;0,TblTech[[#This Row],[Hour]:[Hour]]&gt;=AX$2),1,0)</f>
        <v>0</v>
      </c>
      <c r="AY59" s="298" cm="1">
        <f t="array" ref="AY59">IF(AND(AY$2&lt;&gt;0,TblTech[[#This Row],[Hour]:[Hour]]&gt;=AY$2),1,0)</f>
        <v>0</v>
      </c>
      <c r="AZ59" s="298" cm="1">
        <f t="array" ref="AZ59">IF(AND(AZ$2&lt;&gt;0,TblTech[[#This Row],[Hour]:[Hour]]&gt;=AZ$2),1,0)</f>
        <v>0</v>
      </c>
      <c r="BA59" s="298" cm="1">
        <f t="array" ref="BA59">IF(AND(BA$2&lt;&gt;0,TblTech[[#This Row],[Hour]:[Hour]]&gt;=BA$2),1,0)</f>
        <v>0</v>
      </c>
      <c r="BB59" s="298" cm="1">
        <f t="array" ref="BB59">IF(AND(BB$2&lt;&gt;0,TblTech[[#This Row],[Hour]:[Hour]]&gt;=BB$2),1,0)</f>
        <v>0</v>
      </c>
      <c r="BC59" s="298" cm="1">
        <f t="array" ref="BC59">IF(AND(BC$2&lt;&gt;0,TblTech[[#This Row],[Hour]:[Hour]]&gt;=BC$2),1,0)</f>
        <v>0</v>
      </c>
      <c r="BD59" s="298" cm="1">
        <f t="array" ref="BD59">IF(AND(BD$2&lt;&gt;0,TblTech[[#This Row],[Hour]:[Hour]]&gt;=BD$2),1,0)</f>
        <v>0</v>
      </c>
      <c r="BE59" s="298" cm="1">
        <f t="array" ref="BE59">IF(AND(BE$2&lt;&gt;0,TblTech[[#This Row],[Hour]:[Hour]]&gt;=BE$2),1,0)</f>
        <v>0</v>
      </c>
      <c r="BF59" s="298" cm="1">
        <f t="array" ref="BF59">IF(AND(BF$2&lt;&gt;0,TblTech[[#This Row],[Hour]:[Hour]]&gt;=BF$2),1,0)</f>
        <v>0</v>
      </c>
      <c r="BG59" s="298" cm="1">
        <f t="array" ref="BG59">IF(AND(BG$2&lt;&gt;0,TblTech[[#This Row],[Hour]:[Hour]]&gt;=BG$2),1,0)</f>
        <v>0</v>
      </c>
      <c r="BH59" s="298" cm="1">
        <f t="array" ref="BH59">IF(AND(BH$2&lt;&gt;0,TblTech[[#This Row],[Hour]:[Hour]]&gt;=BH$2),1,0)</f>
        <v>0</v>
      </c>
      <c r="BI59" s="298" cm="1">
        <f t="array" ref="BI59">IF(AND(BI$2&lt;&gt;0,TblTech[[#This Row],[Hour]:[Hour]]&gt;=BI$2),1,0)</f>
        <v>0</v>
      </c>
      <c r="BJ59" s="298" cm="1">
        <f t="array" ref="BJ59">IF(AND(BJ$2&lt;&gt;0,TblTech[[#This Row],[Hour]:[Hour]]&gt;=BJ$2),1,0)</f>
        <v>0</v>
      </c>
      <c r="BK59" s="298" cm="1">
        <f t="array" ref="BK59">IF(AND(BK$2&lt;&gt;0,TblTech[[#This Row],[Hour]:[Hour]]&gt;=BK$2),1,0)</f>
        <v>0</v>
      </c>
      <c r="BL59" s="298" cm="1">
        <f t="array" ref="BL59">IF(AND(BL$2&lt;&gt;0,TblTech[[#This Row],[Hour]:[Hour]]&gt;=BL$2),1,0)</f>
        <v>0</v>
      </c>
      <c r="BM59" s="298" cm="1">
        <f t="array" ref="BM59">IF(AND(BM$2&lt;&gt;0,TblTech[[#This Row],[Hour]:[Hour]]&gt;=BM$2),1,0)</f>
        <v>0</v>
      </c>
      <c r="BN59" s="298" cm="1">
        <f t="array" ref="BN59">IF(AND(BN$2&lt;&gt;0,TblTech[[#This Row],[Hour]:[Hour]]&gt;=BN$2),1,0)</f>
        <v>0</v>
      </c>
      <c r="BO59" s="298" cm="1">
        <f t="array" ref="BO59">IF(AND(BO$2&lt;&gt;0,TblTech[[#This Row],[Hour]:[Hour]]&gt;=BO$2),1,0)</f>
        <v>0</v>
      </c>
      <c r="BP59" s="298" cm="1">
        <f t="array" ref="BP59">IF(AND(BP$2&lt;&gt;0,TblTech[[#This Row],[Hour]:[Hour]]&gt;=BP$2),1,0)</f>
        <v>0</v>
      </c>
      <c r="BQ59" s="298" cm="1">
        <f t="array" ref="BQ59">IF(AND(BQ$2&lt;&gt;0,TblTech[[#This Row],[Hour]:[Hour]]&gt;=BQ$2),1,0)</f>
        <v>0</v>
      </c>
      <c r="BR59" s="298" cm="1">
        <f t="array" ref="BR59">IF(AND(BR$2&lt;&gt;0,TblTech[[#This Row],[Hour]:[Hour]]&gt;=BR$2),1,0)</f>
        <v>0</v>
      </c>
      <c r="BS59" s="298" cm="1">
        <f t="array" ref="BS59">IF(AND(BS$2&lt;&gt;0,TblTech[[#This Row],[Hour]:[Hour]]&gt;=BS$2),1,0)</f>
        <v>0</v>
      </c>
      <c r="BT59" s="298" cm="1">
        <f t="array" ref="BT59">IF(AND(BT$2&lt;&gt;0,TblTech[[#This Row],[Hour]:[Hour]]&gt;=BT$2),1,0)</f>
        <v>0</v>
      </c>
      <c r="BU59" s="298" cm="1">
        <f t="array" ref="BU59">IF(AND(BU$2&lt;&gt;0,TblTech[[#This Row],[Hour]:[Hour]]&gt;=BU$2),1,0)</f>
        <v>0</v>
      </c>
      <c r="BV59" s="298" cm="1">
        <f t="array" ref="BV59">IF(AND(BV$2&lt;&gt;0,TblTech[[#This Row],[Hour]:[Hour]]&gt;=BV$2),1,0)</f>
        <v>0</v>
      </c>
      <c r="BW59" s="298" cm="1">
        <f t="array" ref="BW59">IF(AND(BW$2&lt;&gt;0,TblTech[[#This Row],[Hour]:[Hour]]&gt;=BW$2),1,0)</f>
        <v>0</v>
      </c>
      <c r="BX59" s="298" cm="1">
        <f t="array" ref="BX59">IF(AND(BX$2&lt;&gt;0,TblTech[[#This Row],[Hour]:[Hour]]&gt;=BX$2),1,0)</f>
        <v>0</v>
      </c>
      <c r="BY59" s="298" cm="1">
        <f t="array" ref="BY59">IF(AND(BY$2&lt;&gt;0,TblTech[[#This Row],[Hour]:[Hour]]&gt;=BY$2),1,0)</f>
        <v>0</v>
      </c>
      <c r="BZ59" s="298" cm="1">
        <f t="array" ref="BZ59">IF(AND(BZ$2&lt;&gt;0,TblTech[[#This Row],[Hour]:[Hour]]&gt;=BZ$2),1,0)</f>
        <v>0</v>
      </c>
      <c r="CA59" s="402">
        <f>IFERROR(INDEX($H$4:$H$79,MATCH(INDEX(TblTech[[#Headers],[1-1]:[11-1]],1,MATCH(TblTech[[#This Row],[Hour]],$M$2:$BZ$2,0)),$G$4:$G$79,0)),)</f>
        <v>0</v>
      </c>
    </row>
    <row r="60" spans="1:79" x14ac:dyDescent="0.2">
      <c r="A60" s="290">
        <f>TblRezone[[#This Row],[Hour]]</f>
        <v>57</v>
      </c>
      <c r="B60" s="291">
        <f ca="1">TblExplore[[#This Row],[Land-DB]]</f>
        <v>250</v>
      </c>
      <c r="C60" s="292">
        <f ca="1">TblProd[[#This Row],[Techpoints]]</f>
        <v>0</v>
      </c>
      <c r="D60" s="292">
        <f ca="1">TblProd[[#This Row],[Required]]</f>
        <v>3750</v>
      </c>
      <c r="E60" s="293"/>
      <c r="F60" s="294"/>
      <c r="G60" s="295"/>
      <c r="H60" s="296"/>
      <c r="I60" s="295"/>
      <c r="J60" s="291"/>
      <c r="K60" s="95">
        <f ca="1">IF(TblTech[[#This Row],[Sum of tech]]&lt;&gt;OFFSET(TblTech[[#This Row],[Sum of tech]],-1,0),1,0)</f>
        <v>0</v>
      </c>
      <c r="L60" s="297">
        <f>COUNTIF(TblTech[[#This Row],[1-1]:[11-1]],1)</f>
        <v>0</v>
      </c>
      <c r="M60" s="298" cm="1">
        <f t="array" ref="M60">IF(AND(M$2&lt;&gt;0,TblTech[[#This Row],[Hour]:[Hour]]&gt;=M$2),1,0)</f>
        <v>0</v>
      </c>
      <c r="N60" s="298" cm="1">
        <f t="array" ref="N60">IF(AND(N$2&lt;&gt;0,TblTech[[#This Row],[Hour]:[Hour]]&gt;=N$2),1,0)</f>
        <v>0</v>
      </c>
      <c r="O60" s="298" cm="1">
        <f t="array" ref="O60">IF(AND(O$2&lt;&gt;0,TblTech[[#This Row],[Hour]:[Hour]]&gt;=O$2),1,0)</f>
        <v>0</v>
      </c>
      <c r="P60" s="298" cm="1">
        <f t="array" ref="P60">IF(AND(P$2&lt;&gt;0,TblTech[[#This Row],[Hour]:[Hour]]&gt;=P$2),1,0)</f>
        <v>0</v>
      </c>
      <c r="Q60" s="298" cm="1">
        <f t="array" ref="Q60">IF(AND(Q$2&lt;&gt;0,TblTech[[#This Row],[Hour]:[Hour]]&gt;=Q$2),1,0)</f>
        <v>0</v>
      </c>
      <c r="R60" s="298" cm="1">
        <f t="array" ref="R60">IF(AND(R$2&lt;&gt;0,TblTech[[#This Row],[Hour]:[Hour]]&gt;=R$2),1,0)</f>
        <v>0</v>
      </c>
      <c r="S60" s="298" cm="1">
        <f t="array" ref="S60">IF(AND(S$2&lt;&gt;0,TblTech[[#This Row],[Hour]:[Hour]]&gt;=S$2),1,0)</f>
        <v>0</v>
      </c>
      <c r="T60" s="298" cm="1">
        <f t="array" ref="T60">IF(AND(T$2&lt;&gt;0,TblTech[[#This Row],[Hour]:[Hour]]&gt;=T$2),1,0)</f>
        <v>0</v>
      </c>
      <c r="U60" s="298" cm="1">
        <f t="array" ref="U60">IF(AND(U$2&lt;&gt;0,TblTech[[#This Row],[Hour]:[Hour]]&gt;=U$2),1,0)</f>
        <v>0</v>
      </c>
      <c r="V60" s="298" cm="1">
        <f t="array" ref="V60">IF(AND(V$2&lt;&gt;0,TblTech[[#This Row],[Hour]:[Hour]]&gt;=V$2),1,0)</f>
        <v>0</v>
      </c>
      <c r="W60" s="298" cm="1">
        <f t="array" ref="W60">IF(AND(W$2&lt;&gt;0,TblTech[[#This Row],[Hour]:[Hour]]&gt;=W$2),1,0)</f>
        <v>0</v>
      </c>
      <c r="X60" s="298" cm="1">
        <f t="array" ref="X60">IF(AND(X$2&lt;&gt;0,TblTech[[#This Row],[Hour]:[Hour]]&gt;=X$2),1,0)</f>
        <v>0</v>
      </c>
      <c r="Y60" s="298" cm="1">
        <f t="array" ref="Y60">IF(AND(Y$2&lt;&gt;0,TblTech[[#This Row],[Hour]:[Hour]]&gt;=Y$2),1,0)</f>
        <v>0</v>
      </c>
      <c r="Z60" s="298" cm="1">
        <f t="array" ref="Z60">IF(AND(Z$2&lt;&gt;0,TblTech[[#This Row],[Hour]:[Hour]]&gt;=Z$2),1,0)</f>
        <v>0</v>
      </c>
      <c r="AA60" s="298" cm="1">
        <f t="array" ref="AA60">IF(AND(AA$2&lt;&gt;0,TblTech[[#This Row],[Hour]:[Hour]]&gt;=AA$2),1,0)</f>
        <v>0</v>
      </c>
      <c r="AB60" s="298" cm="1">
        <f t="array" ref="AB60">IF(AND(AB$2&lt;&gt;0,TblTech[[#This Row],[Hour]:[Hour]]&gt;=AB$2),1,0)</f>
        <v>0</v>
      </c>
      <c r="AC60" s="298" cm="1">
        <f t="array" ref="AC60">IF(AND(AC$2&lt;&gt;0,TblTech[[#This Row],[Hour]:[Hour]]&gt;=AC$2),1,0)</f>
        <v>0</v>
      </c>
      <c r="AD60" s="298" cm="1">
        <f t="array" ref="AD60">IF(AND(AD$2&lt;&gt;0,TblTech[[#This Row],[Hour]:[Hour]]&gt;=AD$2),1,0)</f>
        <v>0</v>
      </c>
      <c r="AE60" s="298" cm="1">
        <f t="array" ref="AE60">IF(AND(AE$2&lt;&gt;0,TblTech[[#This Row],[Hour]:[Hour]]&gt;=AE$2),1,0)</f>
        <v>0</v>
      </c>
      <c r="AF60" s="298" cm="1">
        <f t="array" ref="AF60">IF(AND(AF$2&lt;&gt;0,TblTech[[#This Row],[Hour]:[Hour]]&gt;=AF$2),1,0)</f>
        <v>0</v>
      </c>
      <c r="AG60" s="298" cm="1">
        <f t="array" ref="AG60">IF(AND(AG$2&lt;&gt;0,TblTech[[#This Row],[Hour]:[Hour]]&gt;=AG$2),1,0)</f>
        <v>0</v>
      </c>
      <c r="AH60" s="298" cm="1">
        <f t="array" ref="AH60">IF(AND(AH$2&lt;&gt;0,TblTech[[#This Row],[Hour]:[Hour]]&gt;=AH$2),1,0)</f>
        <v>0</v>
      </c>
      <c r="AI60" s="298" cm="1">
        <f t="array" ref="AI60">IF(AND(AI$2&lt;&gt;0,TblTech[[#This Row],[Hour]:[Hour]]&gt;=AI$2),1,0)</f>
        <v>0</v>
      </c>
      <c r="AJ60" s="298" cm="1">
        <f t="array" ref="AJ60">IF(AND(AJ$2&lt;&gt;0,TblTech[[#This Row],[Hour]:[Hour]]&gt;=AJ$2),1,0)</f>
        <v>0</v>
      </c>
      <c r="AK60" s="298" cm="1">
        <f t="array" ref="AK60">IF(AND(AK$2&lt;&gt;0,TblTech[[#This Row],[Hour]:[Hour]]&gt;=AK$2),1,0)</f>
        <v>0</v>
      </c>
      <c r="AL60" s="298" cm="1">
        <f t="array" ref="AL60">IF(AND(AL$2&lt;&gt;0,TblTech[[#This Row],[Hour]:[Hour]]&gt;=AL$2),1,0)</f>
        <v>0</v>
      </c>
      <c r="AM60" s="298" cm="1">
        <f t="array" ref="AM60">IF(AND(AM$2&lt;&gt;0,TblTech[[#This Row],[Hour]:[Hour]]&gt;=AM$2),1,0)</f>
        <v>0</v>
      </c>
      <c r="AN60" s="298" cm="1">
        <f t="array" ref="AN60">IF(AND(AN$2&lt;&gt;0,TblTech[[#This Row],[Hour]:[Hour]]&gt;=AN$2),1,0)</f>
        <v>0</v>
      </c>
      <c r="AO60" s="298" cm="1">
        <f t="array" ref="AO60">IF(AND(AO$2&lt;&gt;0,TblTech[[#This Row],[Hour]:[Hour]]&gt;=AO$2),1,0)</f>
        <v>0</v>
      </c>
      <c r="AP60" s="298" cm="1">
        <f t="array" ref="AP60">IF(AND(AP$2&lt;&gt;0,TblTech[[#This Row],[Hour]:[Hour]]&gt;=AP$2),1,0)</f>
        <v>0</v>
      </c>
      <c r="AQ60" s="298" cm="1">
        <f t="array" ref="AQ60">IF(AND(AQ$2&lt;&gt;0,TblTech[[#This Row],[Hour]:[Hour]]&gt;=AQ$2),1,0)</f>
        <v>0</v>
      </c>
      <c r="AR60" s="298" cm="1">
        <f t="array" ref="AR60">IF(AND(AR$2&lt;&gt;0,TblTech[[#This Row],[Hour]:[Hour]]&gt;=AR$2),1,0)</f>
        <v>0</v>
      </c>
      <c r="AS60" s="298" cm="1">
        <f t="array" ref="AS60">IF(AND(AS$2&lt;&gt;0,TblTech[[#This Row],[Hour]:[Hour]]&gt;=AS$2),1,0)</f>
        <v>0</v>
      </c>
      <c r="AT60" s="298" cm="1">
        <f t="array" ref="AT60">IF(AND(AT$2&lt;&gt;0,TblTech[[#This Row],[Hour]:[Hour]]&gt;=AT$2),1,0)</f>
        <v>0</v>
      </c>
      <c r="AU60" s="298" cm="1">
        <f t="array" ref="AU60">IF(AND(AU$2&lt;&gt;0,TblTech[[#This Row],[Hour]:[Hour]]&gt;=AU$2),1,0)</f>
        <v>0</v>
      </c>
      <c r="AV60" s="298" cm="1">
        <f t="array" ref="AV60">IF(AND(AV$2&lt;&gt;0,TblTech[[#This Row],[Hour]:[Hour]]&gt;=AV$2),1,0)</f>
        <v>0</v>
      </c>
      <c r="AW60" s="298" cm="1">
        <f t="array" ref="AW60">IF(AND(AW$2&lt;&gt;0,TblTech[[#This Row],[Hour]:[Hour]]&gt;=AW$2),1,0)</f>
        <v>0</v>
      </c>
      <c r="AX60" s="298" cm="1">
        <f t="array" ref="AX60">IF(AND(AX$2&lt;&gt;0,TblTech[[#This Row],[Hour]:[Hour]]&gt;=AX$2),1,0)</f>
        <v>0</v>
      </c>
      <c r="AY60" s="298" cm="1">
        <f t="array" ref="AY60">IF(AND(AY$2&lt;&gt;0,TblTech[[#This Row],[Hour]:[Hour]]&gt;=AY$2),1,0)</f>
        <v>0</v>
      </c>
      <c r="AZ60" s="298" cm="1">
        <f t="array" ref="AZ60">IF(AND(AZ$2&lt;&gt;0,TblTech[[#This Row],[Hour]:[Hour]]&gt;=AZ$2),1,0)</f>
        <v>0</v>
      </c>
      <c r="BA60" s="298" cm="1">
        <f t="array" ref="BA60">IF(AND(BA$2&lt;&gt;0,TblTech[[#This Row],[Hour]:[Hour]]&gt;=BA$2),1,0)</f>
        <v>0</v>
      </c>
      <c r="BB60" s="298" cm="1">
        <f t="array" ref="BB60">IF(AND(BB$2&lt;&gt;0,TblTech[[#This Row],[Hour]:[Hour]]&gt;=BB$2),1,0)</f>
        <v>0</v>
      </c>
      <c r="BC60" s="298" cm="1">
        <f t="array" ref="BC60">IF(AND(BC$2&lt;&gt;0,TblTech[[#This Row],[Hour]:[Hour]]&gt;=BC$2),1,0)</f>
        <v>0</v>
      </c>
      <c r="BD60" s="298" cm="1">
        <f t="array" ref="BD60">IF(AND(BD$2&lt;&gt;0,TblTech[[#This Row],[Hour]:[Hour]]&gt;=BD$2),1,0)</f>
        <v>0</v>
      </c>
      <c r="BE60" s="298" cm="1">
        <f t="array" ref="BE60">IF(AND(BE$2&lt;&gt;0,TblTech[[#This Row],[Hour]:[Hour]]&gt;=BE$2),1,0)</f>
        <v>0</v>
      </c>
      <c r="BF60" s="298" cm="1">
        <f t="array" ref="BF60">IF(AND(BF$2&lt;&gt;0,TblTech[[#This Row],[Hour]:[Hour]]&gt;=BF$2),1,0)</f>
        <v>0</v>
      </c>
      <c r="BG60" s="298" cm="1">
        <f t="array" ref="BG60">IF(AND(BG$2&lt;&gt;0,TblTech[[#This Row],[Hour]:[Hour]]&gt;=BG$2),1,0)</f>
        <v>0</v>
      </c>
      <c r="BH60" s="298" cm="1">
        <f t="array" ref="BH60">IF(AND(BH$2&lt;&gt;0,TblTech[[#This Row],[Hour]:[Hour]]&gt;=BH$2),1,0)</f>
        <v>0</v>
      </c>
      <c r="BI60" s="298" cm="1">
        <f t="array" ref="BI60">IF(AND(BI$2&lt;&gt;0,TblTech[[#This Row],[Hour]:[Hour]]&gt;=BI$2),1,0)</f>
        <v>0</v>
      </c>
      <c r="BJ60" s="298" cm="1">
        <f t="array" ref="BJ60">IF(AND(BJ$2&lt;&gt;0,TblTech[[#This Row],[Hour]:[Hour]]&gt;=BJ$2),1,0)</f>
        <v>0</v>
      </c>
      <c r="BK60" s="298" cm="1">
        <f t="array" ref="BK60">IF(AND(BK$2&lt;&gt;0,TblTech[[#This Row],[Hour]:[Hour]]&gt;=BK$2),1,0)</f>
        <v>0</v>
      </c>
      <c r="BL60" s="298" cm="1">
        <f t="array" ref="BL60">IF(AND(BL$2&lt;&gt;0,TblTech[[#This Row],[Hour]:[Hour]]&gt;=BL$2),1,0)</f>
        <v>0</v>
      </c>
      <c r="BM60" s="298" cm="1">
        <f t="array" ref="BM60">IF(AND(BM$2&lt;&gt;0,TblTech[[#This Row],[Hour]:[Hour]]&gt;=BM$2),1,0)</f>
        <v>0</v>
      </c>
      <c r="BN60" s="298" cm="1">
        <f t="array" ref="BN60">IF(AND(BN$2&lt;&gt;0,TblTech[[#This Row],[Hour]:[Hour]]&gt;=BN$2),1,0)</f>
        <v>0</v>
      </c>
      <c r="BO60" s="298" cm="1">
        <f t="array" ref="BO60">IF(AND(BO$2&lt;&gt;0,TblTech[[#This Row],[Hour]:[Hour]]&gt;=BO$2),1,0)</f>
        <v>0</v>
      </c>
      <c r="BP60" s="298" cm="1">
        <f t="array" ref="BP60">IF(AND(BP$2&lt;&gt;0,TblTech[[#This Row],[Hour]:[Hour]]&gt;=BP$2),1,0)</f>
        <v>0</v>
      </c>
      <c r="BQ60" s="298" cm="1">
        <f t="array" ref="BQ60">IF(AND(BQ$2&lt;&gt;0,TblTech[[#This Row],[Hour]:[Hour]]&gt;=BQ$2),1,0)</f>
        <v>0</v>
      </c>
      <c r="BR60" s="298" cm="1">
        <f t="array" ref="BR60">IF(AND(BR$2&lt;&gt;0,TblTech[[#This Row],[Hour]:[Hour]]&gt;=BR$2),1,0)</f>
        <v>0</v>
      </c>
      <c r="BS60" s="298" cm="1">
        <f t="array" ref="BS60">IF(AND(BS$2&lt;&gt;0,TblTech[[#This Row],[Hour]:[Hour]]&gt;=BS$2),1,0)</f>
        <v>0</v>
      </c>
      <c r="BT60" s="298" cm="1">
        <f t="array" ref="BT60">IF(AND(BT$2&lt;&gt;0,TblTech[[#This Row],[Hour]:[Hour]]&gt;=BT$2),1,0)</f>
        <v>0</v>
      </c>
      <c r="BU60" s="298" cm="1">
        <f t="array" ref="BU60">IF(AND(BU$2&lt;&gt;0,TblTech[[#This Row],[Hour]:[Hour]]&gt;=BU$2),1,0)</f>
        <v>0</v>
      </c>
      <c r="BV60" s="298" cm="1">
        <f t="array" ref="BV60">IF(AND(BV$2&lt;&gt;0,TblTech[[#This Row],[Hour]:[Hour]]&gt;=BV$2),1,0)</f>
        <v>0</v>
      </c>
      <c r="BW60" s="298" cm="1">
        <f t="array" ref="BW60">IF(AND(BW$2&lt;&gt;0,TblTech[[#This Row],[Hour]:[Hour]]&gt;=BW$2),1,0)</f>
        <v>0</v>
      </c>
      <c r="BX60" s="298" cm="1">
        <f t="array" ref="BX60">IF(AND(BX$2&lt;&gt;0,TblTech[[#This Row],[Hour]:[Hour]]&gt;=BX$2),1,0)</f>
        <v>0</v>
      </c>
      <c r="BY60" s="298" cm="1">
        <f t="array" ref="BY60">IF(AND(BY$2&lt;&gt;0,TblTech[[#This Row],[Hour]:[Hour]]&gt;=BY$2),1,0)</f>
        <v>0</v>
      </c>
      <c r="BZ60" s="298" cm="1">
        <f t="array" ref="BZ60">IF(AND(BZ$2&lt;&gt;0,TblTech[[#This Row],[Hour]:[Hour]]&gt;=BZ$2),1,0)</f>
        <v>0</v>
      </c>
      <c r="CA60" s="402">
        <f>IFERROR(INDEX($H$4:$H$79,MATCH(INDEX(TblTech[[#Headers],[1-1]:[11-1]],1,MATCH(TblTech[[#This Row],[Hour]],$M$2:$BZ$2,0)),$G$4:$G$79,0)),)</f>
        <v>0</v>
      </c>
    </row>
    <row r="61" spans="1:79" x14ac:dyDescent="0.2">
      <c r="A61" s="290">
        <f>TblRezone[[#This Row],[Hour]]</f>
        <v>58</v>
      </c>
      <c r="B61" s="291">
        <f ca="1">TblExplore[[#This Row],[Land-DB]]</f>
        <v>250</v>
      </c>
      <c r="C61" s="292">
        <f ca="1">TblProd[[#This Row],[Techpoints]]</f>
        <v>0</v>
      </c>
      <c r="D61" s="292">
        <f ca="1">TblProd[[#This Row],[Required]]</f>
        <v>3750</v>
      </c>
      <c r="E61" s="293"/>
      <c r="F61" s="294"/>
      <c r="G61" s="295" t="s">
        <v>602</v>
      </c>
      <c r="H61" s="296" t="s">
        <v>723</v>
      </c>
      <c r="I61" s="295" t="s">
        <v>603</v>
      </c>
      <c r="J61" s="291"/>
      <c r="K61" s="95">
        <f ca="1">IF(TblTech[[#This Row],[Sum of tech]]&lt;&gt;OFFSET(TblTech[[#This Row],[Sum of tech]],-1,0),1,0)</f>
        <v>0</v>
      </c>
      <c r="L61" s="297">
        <f>COUNTIF(TblTech[[#This Row],[1-1]:[11-1]],1)</f>
        <v>0</v>
      </c>
      <c r="M61" s="298" cm="1">
        <f t="array" ref="M61">IF(AND(M$2&lt;&gt;0,TblTech[[#This Row],[Hour]:[Hour]]&gt;=M$2),1,0)</f>
        <v>0</v>
      </c>
      <c r="N61" s="298" cm="1">
        <f t="array" ref="N61">IF(AND(N$2&lt;&gt;0,TblTech[[#This Row],[Hour]:[Hour]]&gt;=N$2),1,0)</f>
        <v>0</v>
      </c>
      <c r="O61" s="298" cm="1">
        <f t="array" ref="O61">IF(AND(O$2&lt;&gt;0,TblTech[[#This Row],[Hour]:[Hour]]&gt;=O$2),1,0)</f>
        <v>0</v>
      </c>
      <c r="P61" s="298" cm="1">
        <f t="array" ref="P61">IF(AND(P$2&lt;&gt;0,TblTech[[#This Row],[Hour]:[Hour]]&gt;=P$2),1,0)</f>
        <v>0</v>
      </c>
      <c r="Q61" s="298" cm="1">
        <f t="array" ref="Q61">IF(AND(Q$2&lt;&gt;0,TblTech[[#This Row],[Hour]:[Hour]]&gt;=Q$2),1,0)</f>
        <v>0</v>
      </c>
      <c r="R61" s="298" cm="1">
        <f t="array" ref="R61">IF(AND(R$2&lt;&gt;0,TblTech[[#This Row],[Hour]:[Hour]]&gt;=R$2),1,0)</f>
        <v>0</v>
      </c>
      <c r="S61" s="298" cm="1">
        <f t="array" ref="S61">IF(AND(S$2&lt;&gt;0,TblTech[[#This Row],[Hour]:[Hour]]&gt;=S$2),1,0)</f>
        <v>0</v>
      </c>
      <c r="T61" s="298" cm="1">
        <f t="array" ref="T61">IF(AND(T$2&lt;&gt;0,TblTech[[#This Row],[Hour]:[Hour]]&gt;=T$2),1,0)</f>
        <v>0</v>
      </c>
      <c r="U61" s="298" cm="1">
        <f t="array" ref="U61">IF(AND(U$2&lt;&gt;0,TblTech[[#This Row],[Hour]:[Hour]]&gt;=U$2),1,0)</f>
        <v>0</v>
      </c>
      <c r="V61" s="298" cm="1">
        <f t="array" ref="V61">IF(AND(V$2&lt;&gt;0,TblTech[[#This Row],[Hour]:[Hour]]&gt;=V$2),1,0)</f>
        <v>0</v>
      </c>
      <c r="W61" s="298" cm="1">
        <f t="array" ref="W61">IF(AND(W$2&lt;&gt;0,TblTech[[#This Row],[Hour]:[Hour]]&gt;=W$2),1,0)</f>
        <v>0</v>
      </c>
      <c r="X61" s="298" cm="1">
        <f t="array" ref="X61">IF(AND(X$2&lt;&gt;0,TblTech[[#This Row],[Hour]:[Hour]]&gt;=X$2),1,0)</f>
        <v>0</v>
      </c>
      <c r="Y61" s="298" cm="1">
        <f t="array" ref="Y61">IF(AND(Y$2&lt;&gt;0,TblTech[[#This Row],[Hour]:[Hour]]&gt;=Y$2),1,0)</f>
        <v>0</v>
      </c>
      <c r="Z61" s="298" cm="1">
        <f t="array" ref="Z61">IF(AND(Z$2&lt;&gt;0,TblTech[[#This Row],[Hour]:[Hour]]&gt;=Z$2),1,0)</f>
        <v>0</v>
      </c>
      <c r="AA61" s="298" cm="1">
        <f t="array" ref="AA61">IF(AND(AA$2&lt;&gt;0,TblTech[[#This Row],[Hour]:[Hour]]&gt;=AA$2),1,0)</f>
        <v>0</v>
      </c>
      <c r="AB61" s="298" cm="1">
        <f t="array" ref="AB61">IF(AND(AB$2&lt;&gt;0,TblTech[[#This Row],[Hour]:[Hour]]&gt;=AB$2),1,0)</f>
        <v>0</v>
      </c>
      <c r="AC61" s="298" cm="1">
        <f t="array" ref="AC61">IF(AND(AC$2&lt;&gt;0,TblTech[[#This Row],[Hour]:[Hour]]&gt;=AC$2),1,0)</f>
        <v>0</v>
      </c>
      <c r="AD61" s="298" cm="1">
        <f t="array" ref="AD61">IF(AND(AD$2&lt;&gt;0,TblTech[[#This Row],[Hour]:[Hour]]&gt;=AD$2),1,0)</f>
        <v>0</v>
      </c>
      <c r="AE61" s="298" cm="1">
        <f t="array" ref="AE61">IF(AND(AE$2&lt;&gt;0,TblTech[[#This Row],[Hour]:[Hour]]&gt;=AE$2),1,0)</f>
        <v>0</v>
      </c>
      <c r="AF61" s="298" cm="1">
        <f t="array" ref="AF61">IF(AND(AF$2&lt;&gt;0,TblTech[[#This Row],[Hour]:[Hour]]&gt;=AF$2),1,0)</f>
        <v>0</v>
      </c>
      <c r="AG61" s="298" cm="1">
        <f t="array" ref="AG61">IF(AND(AG$2&lt;&gt;0,TblTech[[#This Row],[Hour]:[Hour]]&gt;=AG$2),1,0)</f>
        <v>0</v>
      </c>
      <c r="AH61" s="298" cm="1">
        <f t="array" ref="AH61">IF(AND(AH$2&lt;&gt;0,TblTech[[#This Row],[Hour]:[Hour]]&gt;=AH$2),1,0)</f>
        <v>0</v>
      </c>
      <c r="AI61" s="298" cm="1">
        <f t="array" ref="AI61">IF(AND(AI$2&lt;&gt;0,TblTech[[#This Row],[Hour]:[Hour]]&gt;=AI$2),1,0)</f>
        <v>0</v>
      </c>
      <c r="AJ61" s="298" cm="1">
        <f t="array" ref="AJ61">IF(AND(AJ$2&lt;&gt;0,TblTech[[#This Row],[Hour]:[Hour]]&gt;=AJ$2),1,0)</f>
        <v>0</v>
      </c>
      <c r="AK61" s="298" cm="1">
        <f t="array" ref="AK61">IF(AND(AK$2&lt;&gt;0,TblTech[[#This Row],[Hour]:[Hour]]&gt;=AK$2),1,0)</f>
        <v>0</v>
      </c>
      <c r="AL61" s="298" cm="1">
        <f t="array" ref="AL61">IF(AND(AL$2&lt;&gt;0,TblTech[[#This Row],[Hour]:[Hour]]&gt;=AL$2),1,0)</f>
        <v>0</v>
      </c>
      <c r="AM61" s="298" cm="1">
        <f t="array" ref="AM61">IF(AND(AM$2&lt;&gt;0,TblTech[[#This Row],[Hour]:[Hour]]&gt;=AM$2),1,0)</f>
        <v>0</v>
      </c>
      <c r="AN61" s="298" cm="1">
        <f t="array" ref="AN61">IF(AND(AN$2&lt;&gt;0,TblTech[[#This Row],[Hour]:[Hour]]&gt;=AN$2),1,0)</f>
        <v>0</v>
      </c>
      <c r="AO61" s="298" cm="1">
        <f t="array" ref="AO61">IF(AND(AO$2&lt;&gt;0,TblTech[[#This Row],[Hour]:[Hour]]&gt;=AO$2),1,0)</f>
        <v>0</v>
      </c>
      <c r="AP61" s="298" cm="1">
        <f t="array" ref="AP61">IF(AND(AP$2&lt;&gt;0,TblTech[[#This Row],[Hour]:[Hour]]&gt;=AP$2),1,0)</f>
        <v>0</v>
      </c>
      <c r="AQ61" s="298" cm="1">
        <f t="array" ref="AQ61">IF(AND(AQ$2&lt;&gt;0,TblTech[[#This Row],[Hour]:[Hour]]&gt;=AQ$2),1,0)</f>
        <v>0</v>
      </c>
      <c r="AR61" s="298" cm="1">
        <f t="array" ref="AR61">IF(AND(AR$2&lt;&gt;0,TblTech[[#This Row],[Hour]:[Hour]]&gt;=AR$2),1,0)</f>
        <v>0</v>
      </c>
      <c r="AS61" s="298" cm="1">
        <f t="array" ref="AS61">IF(AND(AS$2&lt;&gt;0,TblTech[[#This Row],[Hour]:[Hour]]&gt;=AS$2),1,0)</f>
        <v>0</v>
      </c>
      <c r="AT61" s="298" cm="1">
        <f t="array" ref="AT61">IF(AND(AT$2&lt;&gt;0,TblTech[[#This Row],[Hour]:[Hour]]&gt;=AT$2),1,0)</f>
        <v>0</v>
      </c>
      <c r="AU61" s="298" cm="1">
        <f t="array" ref="AU61">IF(AND(AU$2&lt;&gt;0,TblTech[[#This Row],[Hour]:[Hour]]&gt;=AU$2),1,0)</f>
        <v>0</v>
      </c>
      <c r="AV61" s="298" cm="1">
        <f t="array" ref="AV61">IF(AND(AV$2&lt;&gt;0,TblTech[[#This Row],[Hour]:[Hour]]&gt;=AV$2),1,0)</f>
        <v>0</v>
      </c>
      <c r="AW61" s="298" cm="1">
        <f t="array" ref="AW61">IF(AND(AW$2&lt;&gt;0,TblTech[[#This Row],[Hour]:[Hour]]&gt;=AW$2),1,0)</f>
        <v>0</v>
      </c>
      <c r="AX61" s="298" cm="1">
        <f t="array" ref="AX61">IF(AND(AX$2&lt;&gt;0,TblTech[[#This Row],[Hour]:[Hour]]&gt;=AX$2),1,0)</f>
        <v>0</v>
      </c>
      <c r="AY61" s="298" cm="1">
        <f t="array" ref="AY61">IF(AND(AY$2&lt;&gt;0,TblTech[[#This Row],[Hour]:[Hour]]&gt;=AY$2),1,0)</f>
        <v>0</v>
      </c>
      <c r="AZ61" s="298" cm="1">
        <f t="array" ref="AZ61">IF(AND(AZ$2&lt;&gt;0,TblTech[[#This Row],[Hour]:[Hour]]&gt;=AZ$2),1,0)</f>
        <v>0</v>
      </c>
      <c r="BA61" s="298" cm="1">
        <f t="array" ref="BA61">IF(AND(BA$2&lt;&gt;0,TblTech[[#This Row],[Hour]:[Hour]]&gt;=BA$2),1,0)</f>
        <v>0</v>
      </c>
      <c r="BB61" s="298" cm="1">
        <f t="array" ref="BB61">IF(AND(BB$2&lt;&gt;0,TblTech[[#This Row],[Hour]:[Hour]]&gt;=BB$2),1,0)</f>
        <v>0</v>
      </c>
      <c r="BC61" s="298" cm="1">
        <f t="array" ref="BC61">IF(AND(BC$2&lt;&gt;0,TblTech[[#This Row],[Hour]:[Hour]]&gt;=BC$2),1,0)</f>
        <v>0</v>
      </c>
      <c r="BD61" s="298" cm="1">
        <f t="array" ref="BD61">IF(AND(BD$2&lt;&gt;0,TblTech[[#This Row],[Hour]:[Hour]]&gt;=BD$2),1,0)</f>
        <v>0</v>
      </c>
      <c r="BE61" s="298" cm="1">
        <f t="array" ref="BE61">IF(AND(BE$2&lt;&gt;0,TblTech[[#This Row],[Hour]:[Hour]]&gt;=BE$2),1,0)</f>
        <v>0</v>
      </c>
      <c r="BF61" s="298" cm="1">
        <f t="array" ref="BF61">IF(AND(BF$2&lt;&gt;0,TblTech[[#This Row],[Hour]:[Hour]]&gt;=BF$2),1,0)</f>
        <v>0</v>
      </c>
      <c r="BG61" s="298" cm="1">
        <f t="array" ref="BG61">IF(AND(BG$2&lt;&gt;0,TblTech[[#This Row],[Hour]:[Hour]]&gt;=BG$2),1,0)</f>
        <v>0</v>
      </c>
      <c r="BH61" s="298" cm="1">
        <f t="array" ref="BH61">IF(AND(BH$2&lt;&gt;0,TblTech[[#This Row],[Hour]:[Hour]]&gt;=BH$2),1,0)</f>
        <v>0</v>
      </c>
      <c r="BI61" s="298" cm="1">
        <f t="array" ref="BI61">IF(AND(BI$2&lt;&gt;0,TblTech[[#This Row],[Hour]:[Hour]]&gt;=BI$2),1,0)</f>
        <v>0</v>
      </c>
      <c r="BJ61" s="298" cm="1">
        <f t="array" ref="BJ61">IF(AND(BJ$2&lt;&gt;0,TblTech[[#This Row],[Hour]:[Hour]]&gt;=BJ$2),1,0)</f>
        <v>0</v>
      </c>
      <c r="BK61" s="298" cm="1">
        <f t="array" ref="BK61">IF(AND(BK$2&lt;&gt;0,TblTech[[#This Row],[Hour]:[Hour]]&gt;=BK$2),1,0)</f>
        <v>0</v>
      </c>
      <c r="BL61" s="298" cm="1">
        <f t="array" ref="BL61">IF(AND(BL$2&lt;&gt;0,TblTech[[#This Row],[Hour]:[Hour]]&gt;=BL$2),1,0)</f>
        <v>0</v>
      </c>
      <c r="BM61" s="298" cm="1">
        <f t="array" ref="BM61">IF(AND(BM$2&lt;&gt;0,TblTech[[#This Row],[Hour]:[Hour]]&gt;=BM$2),1,0)</f>
        <v>0</v>
      </c>
      <c r="BN61" s="298" cm="1">
        <f t="array" ref="BN61">IF(AND(BN$2&lt;&gt;0,TblTech[[#This Row],[Hour]:[Hour]]&gt;=BN$2),1,0)</f>
        <v>0</v>
      </c>
      <c r="BO61" s="298" cm="1">
        <f t="array" ref="BO61">IF(AND(BO$2&lt;&gt;0,TblTech[[#This Row],[Hour]:[Hour]]&gt;=BO$2),1,0)</f>
        <v>0</v>
      </c>
      <c r="BP61" s="298" cm="1">
        <f t="array" ref="BP61">IF(AND(BP$2&lt;&gt;0,TblTech[[#This Row],[Hour]:[Hour]]&gt;=BP$2),1,0)</f>
        <v>0</v>
      </c>
      <c r="BQ61" s="298" cm="1">
        <f t="array" ref="BQ61">IF(AND(BQ$2&lt;&gt;0,TblTech[[#This Row],[Hour]:[Hour]]&gt;=BQ$2),1,0)</f>
        <v>0</v>
      </c>
      <c r="BR61" s="298" cm="1">
        <f t="array" ref="BR61">IF(AND(BR$2&lt;&gt;0,TblTech[[#This Row],[Hour]:[Hour]]&gt;=BR$2),1,0)</f>
        <v>0</v>
      </c>
      <c r="BS61" s="298" cm="1">
        <f t="array" ref="BS61">IF(AND(BS$2&lt;&gt;0,TblTech[[#This Row],[Hour]:[Hour]]&gt;=BS$2),1,0)</f>
        <v>0</v>
      </c>
      <c r="BT61" s="298" cm="1">
        <f t="array" ref="BT61">IF(AND(BT$2&lt;&gt;0,TblTech[[#This Row],[Hour]:[Hour]]&gt;=BT$2),1,0)</f>
        <v>0</v>
      </c>
      <c r="BU61" s="298" cm="1">
        <f t="array" ref="BU61">IF(AND(BU$2&lt;&gt;0,TblTech[[#This Row],[Hour]:[Hour]]&gt;=BU$2),1,0)</f>
        <v>0</v>
      </c>
      <c r="BV61" s="298" cm="1">
        <f t="array" ref="BV61">IF(AND(BV$2&lt;&gt;0,TblTech[[#This Row],[Hour]:[Hour]]&gt;=BV$2),1,0)</f>
        <v>0</v>
      </c>
      <c r="BW61" s="298" cm="1">
        <f t="array" ref="BW61">IF(AND(BW$2&lt;&gt;0,TblTech[[#This Row],[Hour]:[Hour]]&gt;=BW$2),1,0)</f>
        <v>0</v>
      </c>
      <c r="BX61" s="298" cm="1">
        <f t="array" ref="BX61">IF(AND(BX$2&lt;&gt;0,TblTech[[#This Row],[Hour]:[Hour]]&gt;=BX$2),1,0)</f>
        <v>0</v>
      </c>
      <c r="BY61" s="298" cm="1">
        <f t="array" ref="BY61">IF(AND(BY$2&lt;&gt;0,TblTech[[#This Row],[Hour]:[Hour]]&gt;=BY$2),1,0)</f>
        <v>0</v>
      </c>
      <c r="BZ61" s="298" cm="1">
        <f t="array" ref="BZ61">IF(AND(BZ$2&lt;&gt;0,TblTech[[#This Row],[Hour]:[Hour]]&gt;=BZ$2),1,0)</f>
        <v>0</v>
      </c>
      <c r="CA61" s="402">
        <f>IFERROR(INDEX($H$4:$H$79,MATCH(INDEX(TblTech[[#Headers],[1-1]:[11-1]],1,MATCH(TblTech[[#This Row],[Hour]],$M$2:$BZ$2,0)),$G$4:$G$79,0)),)</f>
        <v>0</v>
      </c>
    </row>
    <row r="62" spans="1:79" x14ac:dyDescent="0.2">
      <c r="A62" s="290">
        <f>TblRezone[[#This Row],[Hour]]</f>
        <v>59</v>
      </c>
      <c r="B62" s="291">
        <f ca="1">TblExplore[[#This Row],[Land-DB]]</f>
        <v>250</v>
      </c>
      <c r="C62" s="292">
        <f ca="1">TblProd[[#This Row],[Techpoints]]</f>
        <v>0</v>
      </c>
      <c r="D62" s="292">
        <f ca="1">TblProd[[#This Row],[Required]]</f>
        <v>3750</v>
      </c>
      <c r="E62" s="293"/>
      <c r="F62" s="294"/>
      <c r="G62" s="295" t="s">
        <v>604</v>
      </c>
      <c r="H62" s="296" t="s">
        <v>727</v>
      </c>
      <c r="I62" s="295" t="s">
        <v>1054</v>
      </c>
      <c r="J62" s="291"/>
      <c r="K62" s="95">
        <f ca="1">IF(TblTech[[#This Row],[Sum of tech]]&lt;&gt;OFFSET(TblTech[[#This Row],[Sum of tech]],-1,0),1,0)</f>
        <v>0</v>
      </c>
      <c r="L62" s="297">
        <f>COUNTIF(TblTech[[#This Row],[1-1]:[11-1]],1)</f>
        <v>0</v>
      </c>
      <c r="M62" s="298" cm="1">
        <f t="array" ref="M62">IF(AND(M$2&lt;&gt;0,TblTech[[#This Row],[Hour]:[Hour]]&gt;=M$2),1,0)</f>
        <v>0</v>
      </c>
      <c r="N62" s="298" cm="1">
        <f t="array" ref="N62">IF(AND(N$2&lt;&gt;0,TblTech[[#This Row],[Hour]:[Hour]]&gt;=N$2),1,0)</f>
        <v>0</v>
      </c>
      <c r="O62" s="298" cm="1">
        <f t="array" ref="O62">IF(AND(O$2&lt;&gt;0,TblTech[[#This Row],[Hour]:[Hour]]&gt;=O$2),1,0)</f>
        <v>0</v>
      </c>
      <c r="P62" s="298" cm="1">
        <f t="array" ref="P62">IF(AND(P$2&lt;&gt;0,TblTech[[#This Row],[Hour]:[Hour]]&gt;=P$2),1,0)</f>
        <v>0</v>
      </c>
      <c r="Q62" s="298" cm="1">
        <f t="array" ref="Q62">IF(AND(Q$2&lt;&gt;0,TblTech[[#This Row],[Hour]:[Hour]]&gt;=Q$2),1,0)</f>
        <v>0</v>
      </c>
      <c r="R62" s="298" cm="1">
        <f t="array" ref="R62">IF(AND(R$2&lt;&gt;0,TblTech[[#This Row],[Hour]:[Hour]]&gt;=R$2),1,0)</f>
        <v>0</v>
      </c>
      <c r="S62" s="298" cm="1">
        <f t="array" ref="S62">IF(AND(S$2&lt;&gt;0,TblTech[[#This Row],[Hour]:[Hour]]&gt;=S$2),1,0)</f>
        <v>0</v>
      </c>
      <c r="T62" s="298" cm="1">
        <f t="array" ref="T62">IF(AND(T$2&lt;&gt;0,TblTech[[#This Row],[Hour]:[Hour]]&gt;=T$2),1,0)</f>
        <v>0</v>
      </c>
      <c r="U62" s="298" cm="1">
        <f t="array" ref="U62">IF(AND(U$2&lt;&gt;0,TblTech[[#This Row],[Hour]:[Hour]]&gt;=U$2),1,0)</f>
        <v>0</v>
      </c>
      <c r="V62" s="298" cm="1">
        <f t="array" ref="V62">IF(AND(V$2&lt;&gt;0,TblTech[[#This Row],[Hour]:[Hour]]&gt;=V$2),1,0)</f>
        <v>0</v>
      </c>
      <c r="W62" s="298" cm="1">
        <f t="array" ref="W62">IF(AND(W$2&lt;&gt;0,TblTech[[#This Row],[Hour]:[Hour]]&gt;=W$2),1,0)</f>
        <v>0</v>
      </c>
      <c r="X62" s="298" cm="1">
        <f t="array" ref="X62">IF(AND(X$2&lt;&gt;0,TblTech[[#This Row],[Hour]:[Hour]]&gt;=X$2),1,0)</f>
        <v>0</v>
      </c>
      <c r="Y62" s="298" cm="1">
        <f t="array" ref="Y62">IF(AND(Y$2&lt;&gt;0,TblTech[[#This Row],[Hour]:[Hour]]&gt;=Y$2),1,0)</f>
        <v>0</v>
      </c>
      <c r="Z62" s="298" cm="1">
        <f t="array" ref="Z62">IF(AND(Z$2&lt;&gt;0,TblTech[[#This Row],[Hour]:[Hour]]&gt;=Z$2),1,0)</f>
        <v>0</v>
      </c>
      <c r="AA62" s="298" cm="1">
        <f t="array" ref="AA62">IF(AND(AA$2&lt;&gt;0,TblTech[[#This Row],[Hour]:[Hour]]&gt;=AA$2),1,0)</f>
        <v>0</v>
      </c>
      <c r="AB62" s="298" cm="1">
        <f t="array" ref="AB62">IF(AND(AB$2&lt;&gt;0,TblTech[[#This Row],[Hour]:[Hour]]&gt;=AB$2),1,0)</f>
        <v>0</v>
      </c>
      <c r="AC62" s="298" cm="1">
        <f t="array" ref="AC62">IF(AND(AC$2&lt;&gt;0,TblTech[[#This Row],[Hour]:[Hour]]&gt;=AC$2),1,0)</f>
        <v>0</v>
      </c>
      <c r="AD62" s="298" cm="1">
        <f t="array" ref="AD62">IF(AND(AD$2&lt;&gt;0,TblTech[[#This Row],[Hour]:[Hour]]&gt;=AD$2),1,0)</f>
        <v>0</v>
      </c>
      <c r="AE62" s="298" cm="1">
        <f t="array" ref="AE62">IF(AND(AE$2&lt;&gt;0,TblTech[[#This Row],[Hour]:[Hour]]&gt;=AE$2),1,0)</f>
        <v>0</v>
      </c>
      <c r="AF62" s="298" cm="1">
        <f t="array" ref="AF62">IF(AND(AF$2&lt;&gt;0,TblTech[[#This Row],[Hour]:[Hour]]&gt;=AF$2),1,0)</f>
        <v>0</v>
      </c>
      <c r="AG62" s="298" cm="1">
        <f t="array" ref="AG62">IF(AND(AG$2&lt;&gt;0,TblTech[[#This Row],[Hour]:[Hour]]&gt;=AG$2),1,0)</f>
        <v>0</v>
      </c>
      <c r="AH62" s="298" cm="1">
        <f t="array" ref="AH62">IF(AND(AH$2&lt;&gt;0,TblTech[[#This Row],[Hour]:[Hour]]&gt;=AH$2),1,0)</f>
        <v>0</v>
      </c>
      <c r="AI62" s="298" cm="1">
        <f t="array" ref="AI62">IF(AND(AI$2&lt;&gt;0,TblTech[[#This Row],[Hour]:[Hour]]&gt;=AI$2),1,0)</f>
        <v>0</v>
      </c>
      <c r="AJ62" s="298" cm="1">
        <f t="array" ref="AJ62">IF(AND(AJ$2&lt;&gt;0,TblTech[[#This Row],[Hour]:[Hour]]&gt;=AJ$2),1,0)</f>
        <v>0</v>
      </c>
      <c r="AK62" s="298" cm="1">
        <f t="array" ref="AK62">IF(AND(AK$2&lt;&gt;0,TblTech[[#This Row],[Hour]:[Hour]]&gt;=AK$2),1,0)</f>
        <v>0</v>
      </c>
      <c r="AL62" s="298" cm="1">
        <f t="array" ref="AL62">IF(AND(AL$2&lt;&gt;0,TblTech[[#This Row],[Hour]:[Hour]]&gt;=AL$2),1,0)</f>
        <v>0</v>
      </c>
      <c r="AM62" s="298" cm="1">
        <f t="array" ref="AM62">IF(AND(AM$2&lt;&gt;0,TblTech[[#This Row],[Hour]:[Hour]]&gt;=AM$2),1,0)</f>
        <v>0</v>
      </c>
      <c r="AN62" s="298" cm="1">
        <f t="array" ref="AN62">IF(AND(AN$2&lt;&gt;0,TblTech[[#This Row],[Hour]:[Hour]]&gt;=AN$2),1,0)</f>
        <v>0</v>
      </c>
      <c r="AO62" s="298" cm="1">
        <f t="array" ref="AO62">IF(AND(AO$2&lt;&gt;0,TblTech[[#This Row],[Hour]:[Hour]]&gt;=AO$2),1,0)</f>
        <v>0</v>
      </c>
      <c r="AP62" s="298" cm="1">
        <f t="array" ref="AP62">IF(AND(AP$2&lt;&gt;0,TblTech[[#This Row],[Hour]:[Hour]]&gt;=AP$2),1,0)</f>
        <v>0</v>
      </c>
      <c r="AQ62" s="298" cm="1">
        <f t="array" ref="AQ62">IF(AND(AQ$2&lt;&gt;0,TblTech[[#This Row],[Hour]:[Hour]]&gt;=AQ$2),1,0)</f>
        <v>0</v>
      </c>
      <c r="AR62" s="298" cm="1">
        <f t="array" ref="AR62">IF(AND(AR$2&lt;&gt;0,TblTech[[#This Row],[Hour]:[Hour]]&gt;=AR$2),1,0)</f>
        <v>0</v>
      </c>
      <c r="AS62" s="298" cm="1">
        <f t="array" ref="AS62">IF(AND(AS$2&lt;&gt;0,TblTech[[#This Row],[Hour]:[Hour]]&gt;=AS$2),1,0)</f>
        <v>0</v>
      </c>
      <c r="AT62" s="298" cm="1">
        <f t="array" ref="AT62">IF(AND(AT$2&lt;&gt;0,TblTech[[#This Row],[Hour]:[Hour]]&gt;=AT$2),1,0)</f>
        <v>0</v>
      </c>
      <c r="AU62" s="298" cm="1">
        <f t="array" ref="AU62">IF(AND(AU$2&lt;&gt;0,TblTech[[#This Row],[Hour]:[Hour]]&gt;=AU$2),1,0)</f>
        <v>0</v>
      </c>
      <c r="AV62" s="298" cm="1">
        <f t="array" ref="AV62">IF(AND(AV$2&lt;&gt;0,TblTech[[#This Row],[Hour]:[Hour]]&gt;=AV$2),1,0)</f>
        <v>0</v>
      </c>
      <c r="AW62" s="298" cm="1">
        <f t="array" ref="AW62">IF(AND(AW$2&lt;&gt;0,TblTech[[#This Row],[Hour]:[Hour]]&gt;=AW$2),1,0)</f>
        <v>0</v>
      </c>
      <c r="AX62" s="298" cm="1">
        <f t="array" ref="AX62">IF(AND(AX$2&lt;&gt;0,TblTech[[#This Row],[Hour]:[Hour]]&gt;=AX$2),1,0)</f>
        <v>0</v>
      </c>
      <c r="AY62" s="298" cm="1">
        <f t="array" ref="AY62">IF(AND(AY$2&lt;&gt;0,TblTech[[#This Row],[Hour]:[Hour]]&gt;=AY$2),1,0)</f>
        <v>0</v>
      </c>
      <c r="AZ62" s="298" cm="1">
        <f t="array" ref="AZ62">IF(AND(AZ$2&lt;&gt;0,TblTech[[#This Row],[Hour]:[Hour]]&gt;=AZ$2),1,0)</f>
        <v>0</v>
      </c>
      <c r="BA62" s="298" cm="1">
        <f t="array" ref="BA62">IF(AND(BA$2&lt;&gt;0,TblTech[[#This Row],[Hour]:[Hour]]&gt;=BA$2),1,0)</f>
        <v>0</v>
      </c>
      <c r="BB62" s="298" cm="1">
        <f t="array" ref="BB62">IF(AND(BB$2&lt;&gt;0,TblTech[[#This Row],[Hour]:[Hour]]&gt;=BB$2),1,0)</f>
        <v>0</v>
      </c>
      <c r="BC62" s="298" cm="1">
        <f t="array" ref="BC62">IF(AND(BC$2&lt;&gt;0,TblTech[[#This Row],[Hour]:[Hour]]&gt;=BC$2),1,0)</f>
        <v>0</v>
      </c>
      <c r="BD62" s="298" cm="1">
        <f t="array" ref="BD62">IF(AND(BD$2&lt;&gt;0,TblTech[[#This Row],[Hour]:[Hour]]&gt;=BD$2),1,0)</f>
        <v>0</v>
      </c>
      <c r="BE62" s="298" cm="1">
        <f t="array" ref="BE62">IF(AND(BE$2&lt;&gt;0,TblTech[[#This Row],[Hour]:[Hour]]&gt;=BE$2),1,0)</f>
        <v>0</v>
      </c>
      <c r="BF62" s="298" cm="1">
        <f t="array" ref="BF62">IF(AND(BF$2&lt;&gt;0,TblTech[[#This Row],[Hour]:[Hour]]&gt;=BF$2),1,0)</f>
        <v>0</v>
      </c>
      <c r="BG62" s="298" cm="1">
        <f t="array" ref="BG62">IF(AND(BG$2&lt;&gt;0,TblTech[[#This Row],[Hour]:[Hour]]&gt;=BG$2),1,0)</f>
        <v>0</v>
      </c>
      <c r="BH62" s="298" cm="1">
        <f t="array" ref="BH62">IF(AND(BH$2&lt;&gt;0,TblTech[[#This Row],[Hour]:[Hour]]&gt;=BH$2),1,0)</f>
        <v>0</v>
      </c>
      <c r="BI62" s="298" cm="1">
        <f t="array" ref="BI62">IF(AND(BI$2&lt;&gt;0,TblTech[[#This Row],[Hour]:[Hour]]&gt;=BI$2),1,0)</f>
        <v>0</v>
      </c>
      <c r="BJ62" s="298" cm="1">
        <f t="array" ref="BJ62">IF(AND(BJ$2&lt;&gt;0,TblTech[[#This Row],[Hour]:[Hour]]&gt;=BJ$2),1,0)</f>
        <v>0</v>
      </c>
      <c r="BK62" s="298" cm="1">
        <f t="array" ref="BK62">IF(AND(BK$2&lt;&gt;0,TblTech[[#This Row],[Hour]:[Hour]]&gt;=BK$2),1,0)</f>
        <v>0</v>
      </c>
      <c r="BL62" s="298" cm="1">
        <f t="array" ref="BL62">IF(AND(BL$2&lt;&gt;0,TblTech[[#This Row],[Hour]:[Hour]]&gt;=BL$2),1,0)</f>
        <v>0</v>
      </c>
      <c r="BM62" s="298" cm="1">
        <f t="array" ref="BM62">IF(AND(BM$2&lt;&gt;0,TblTech[[#This Row],[Hour]:[Hour]]&gt;=BM$2),1,0)</f>
        <v>0</v>
      </c>
      <c r="BN62" s="298" cm="1">
        <f t="array" ref="BN62">IF(AND(BN$2&lt;&gt;0,TblTech[[#This Row],[Hour]:[Hour]]&gt;=BN$2),1,0)</f>
        <v>0</v>
      </c>
      <c r="BO62" s="298" cm="1">
        <f t="array" ref="BO62">IF(AND(BO$2&lt;&gt;0,TblTech[[#This Row],[Hour]:[Hour]]&gt;=BO$2),1,0)</f>
        <v>0</v>
      </c>
      <c r="BP62" s="298" cm="1">
        <f t="array" ref="BP62">IF(AND(BP$2&lt;&gt;0,TblTech[[#This Row],[Hour]:[Hour]]&gt;=BP$2),1,0)</f>
        <v>0</v>
      </c>
      <c r="BQ62" s="298" cm="1">
        <f t="array" ref="BQ62">IF(AND(BQ$2&lt;&gt;0,TblTech[[#This Row],[Hour]:[Hour]]&gt;=BQ$2),1,0)</f>
        <v>0</v>
      </c>
      <c r="BR62" s="298" cm="1">
        <f t="array" ref="BR62">IF(AND(BR$2&lt;&gt;0,TblTech[[#This Row],[Hour]:[Hour]]&gt;=BR$2),1,0)</f>
        <v>0</v>
      </c>
      <c r="BS62" s="298" cm="1">
        <f t="array" ref="BS62">IF(AND(BS$2&lt;&gt;0,TblTech[[#This Row],[Hour]:[Hour]]&gt;=BS$2),1,0)</f>
        <v>0</v>
      </c>
      <c r="BT62" s="298" cm="1">
        <f t="array" ref="BT62">IF(AND(BT$2&lt;&gt;0,TblTech[[#This Row],[Hour]:[Hour]]&gt;=BT$2),1,0)</f>
        <v>0</v>
      </c>
      <c r="BU62" s="298" cm="1">
        <f t="array" ref="BU62">IF(AND(BU$2&lt;&gt;0,TblTech[[#This Row],[Hour]:[Hour]]&gt;=BU$2),1,0)</f>
        <v>0</v>
      </c>
      <c r="BV62" s="298" cm="1">
        <f t="array" ref="BV62">IF(AND(BV$2&lt;&gt;0,TblTech[[#This Row],[Hour]:[Hour]]&gt;=BV$2),1,0)</f>
        <v>0</v>
      </c>
      <c r="BW62" s="298" cm="1">
        <f t="array" ref="BW62">IF(AND(BW$2&lt;&gt;0,TblTech[[#This Row],[Hour]:[Hour]]&gt;=BW$2),1,0)</f>
        <v>0</v>
      </c>
      <c r="BX62" s="298" cm="1">
        <f t="array" ref="BX62">IF(AND(BX$2&lt;&gt;0,TblTech[[#This Row],[Hour]:[Hour]]&gt;=BX$2),1,0)</f>
        <v>0</v>
      </c>
      <c r="BY62" s="298" cm="1">
        <f t="array" ref="BY62">IF(AND(BY$2&lt;&gt;0,TblTech[[#This Row],[Hour]:[Hour]]&gt;=BY$2),1,0)</f>
        <v>0</v>
      </c>
      <c r="BZ62" s="298" cm="1">
        <f t="array" ref="BZ62">IF(AND(BZ$2&lt;&gt;0,TblTech[[#This Row],[Hour]:[Hour]]&gt;=BZ$2),1,0)</f>
        <v>0</v>
      </c>
      <c r="CA62" s="402">
        <f>IFERROR(INDEX($H$4:$H$79,MATCH(INDEX(TblTech[[#Headers],[1-1]:[11-1]],1,MATCH(TblTech[[#This Row],[Hour]],$M$2:$BZ$2,0)),$G$4:$G$79,0)),)</f>
        <v>0</v>
      </c>
    </row>
    <row r="63" spans="1:79" x14ac:dyDescent="0.2">
      <c r="A63" s="290">
        <f>TblRezone[[#This Row],[Hour]]</f>
        <v>60</v>
      </c>
      <c r="B63" s="291">
        <f ca="1">TblExplore[[#This Row],[Land-DB]]</f>
        <v>250</v>
      </c>
      <c r="C63" s="292">
        <f ca="1">TblProd[[#This Row],[Techpoints]]</f>
        <v>0</v>
      </c>
      <c r="D63" s="292">
        <f ca="1">TblProd[[#This Row],[Required]]</f>
        <v>3750</v>
      </c>
      <c r="E63" s="293"/>
      <c r="F63" s="294"/>
      <c r="G63" s="295" t="s">
        <v>606</v>
      </c>
      <c r="H63" s="296" t="s">
        <v>1059</v>
      </c>
      <c r="I63" s="295" t="s">
        <v>743</v>
      </c>
      <c r="J63" s="291"/>
      <c r="K63" s="95">
        <f ca="1">IF(TblTech[[#This Row],[Sum of tech]]&lt;&gt;OFFSET(TblTech[[#This Row],[Sum of tech]],-1,0),1,0)</f>
        <v>0</v>
      </c>
      <c r="L63" s="297">
        <f>COUNTIF(TblTech[[#This Row],[1-1]:[11-1]],1)</f>
        <v>0</v>
      </c>
      <c r="M63" s="298" cm="1">
        <f t="array" ref="M63">IF(AND(M$2&lt;&gt;0,TblTech[[#This Row],[Hour]:[Hour]]&gt;=M$2),1,0)</f>
        <v>0</v>
      </c>
      <c r="N63" s="298" cm="1">
        <f t="array" ref="N63">IF(AND(N$2&lt;&gt;0,TblTech[[#This Row],[Hour]:[Hour]]&gt;=N$2),1,0)</f>
        <v>0</v>
      </c>
      <c r="O63" s="298" cm="1">
        <f t="array" ref="O63">IF(AND(O$2&lt;&gt;0,TblTech[[#This Row],[Hour]:[Hour]]&gt;=O$2),1,0)</f>
        <v>0</v>
      </c>
      <c r="P63" s="298" cm="1">
        <f t="array" ref="P63">IF(AND(P$2&lt;&gt;0,TblTech[[#This Row],[Hour]:[Hour]]&gt;=P$2),1,0)</f>
        <v>0</v>
      </c>
      <c r="Q63" s="298" cm="1">
        <f t="array" ref="Q63">IF(AND(Q$2&lt;&gt;0,TblTech[[#This Row],[Hour]:[Hour]]&gt;=Q$2),1,0)</f>
        <v>0</v>
      </c>
      <c r="R63" s="298" cm="1">
        <f t="array" ref="R63">IF(AND(R$2&lt;&gt;0,TblTech[[#This Row],[Hour]:[Hour]]&gt;=R$2),1,0)</f>
        <v>0</v>
      </c>
      <c r="S63" s="298" cm="1">
        <f t="array" ref="S63">IF(AND(S$2&lt;&gt;0,TblTech[[#This Row],[Hour]:[Hour]]&gt;=S$2),1,0)</f>
        <v>0</v>
      </c>
      <c r="T63" s="298" cm="1">
        <f t="array" ref="T63">IF(AND(T$2&lt;&gt;0,TblTech[[#This Row],[Hour]:[Hour]]&gt;=T$2),1,0)</f>
        <v>0</v>
      </c>
      <c r="U63" s="298" cm="1">
        <f t="array" ref="U63">IF(AND(U$2&lt;&gt;0,TblTech[[#This Row],[Hour]:[Hour]]&gt;=U$2),1,0)</f>
        <v>0</v>
      </c>
      <c r="V63" s="298" cm="1">
        <f t="array" ref="V63">IF(AND(V$2&lt;&gt;0,TblTech[[#This Row],[Hour]:[Hour]]&gt;=V$2),1,0)</f>
        <v>0</v>
      </c>
      <c r="W63" s="298" cm="1">
        <f t="array" ref="W63">IF(AND(W$2&lt;&gt;0,TblTech[[#This Row],[Hour]:[Hour]]&gt;=W$2),1,0)</f>
        <v>0</v>
      </c>
      <c r="X63" s="298" cm="1">
        <f t="array" ref="X63">IF(AND(X$2&lt;&gt;0,TblTech[[#This Row],[Hour]:[Hour]]&gt;=X$2),1,0)</f>
        <v>0</v>
      </c>
      <c r="Y63" s="298" cm="1">
        <f t="array" ref="Y63">IF(AND(Y$2&lt;&gt;0,TblTech[[#This Row],[Hour]:[Hour]]&gt;=Y$2),1,0)</f>
        <v>0</v>
      </c>
      <c r="Z63" s="298" cm="1">
        <f t="array" ref="Z63">IF(AND(Z$2&lt;&gt;0,TblTech[[#This Row],[Hour]:[Hour]]&gt;=Z$2),1,0)</f>
        <v>0</v>
      </c>
      <c r="AA63" s="298" cm="1">
        <f t="array" ref="AA63">IF(AND(AA$2&lt;&gt;0,TblTech[[#This Row],[Hour]:[Hour]]&gt;=AA$2),1,0)</f>
        <v>0</v>
      </c>
      <c r="AB63" s="298" cm="1">
        <f t="array" ref="AB63">IF(AND(AB$2&lt;&gt;0,TblTech[[#This Row],[Hour]:[Hour]]&gt;=AB$2),1,0)</f>
        <v>0</v>
      </c>
      <c r="AC63" s="298" cm="1">
        <f t="array" ref="AC63">IF(AND(AC$2&lt;&gt;0,TblTech[[#This Row],[Hour]:[Hour]]&gt;=AC$2),1,0)</f>
        <v>0</v>
      </c>
      <c r="AD63" s="298" cm="1">
        <f t="array" ref="AD63">IF(AND(AD$2&lt;&gt;0,TblTech[[#This Row],[Hour]:[Hour]]&gt;=AD$2),1,0)</f>
        <v>0</v>
      </c>
      <c r="AE63" s="298" cm="1">
        <f t="array" ref="AE63">IF(AND(AE$2&lt;&gt;0,TblTech[[#This Row],[Hour]:[Hour]]&gt;=AE$2),1,0)</f>
        <v>0</v>
      </c>
      <c r="AF63" s="298" cm="1">
        <f t="array" ref="AF63">IF(AND(AF$2&lt;&gt;0,TblTech[[#This Row],[Hour]:[Hour]]&gt;=AF$2),1,0)</f>
        <v>0</v>
      </c>
      <c r="AG63" s="298" cm="1">
        <f t="array" ref="AG63">IF(AND(AG$2&lt;&gt;0,TblTech[[#This Row],[Hour]:[Hour]]&gt;=AG$2),1,0)</f>
        <v>0</v>
      </c>
      <c r="AH63" s="298" cm="1">
        <f t="array" ref="AH63">IF(AND(AH$2&lt;&gt;0,TblTech[[#This Row],[Hour]:[Hour]]&gt;=AH$2),1,0)</f>
        <v>0</v>
      </c>
      <c r="AI63" s="298" cm="1">
        <f t="array" ref="AI63">IF(AND(AI$2&lt;&gt;0,TblTech[[#This Row],[Hour]:[Hour]]&gt;=AI$2),1,0)</f>
        <v>0</v>
      </c>
      <c r="AJ63" s="298" cm="1">
        <f t="array" ref="AJ63">IF(AND(AJ$2&lt;&gt;0,TblTech[[#This Row],[Hour]:[Hour]]&gt;=AJ$2),1,0)</f>
        <v>0</v>
      </c>
      <c r="AK63" s="298" cm="1">
        <f t="array" ref="AK63">IF(AND(AK$2&lt;&gt;0,TblTech[[#This Row],[Hour]:[Hour]]&gt;=AK$2),1,0)</f>
        <v>0</v>
      </c>
      <c r="AL63" s="298" cm="1">
        <f t="array" ref="AL63">IF(AND(AL$2&lt;&gt;0,TblTech[[#This Row],[Hour]:[Hour]]&gt;=AL$2),1,0)</f>
        <v>0</v>
      </c>
      <c r="AM63" s="298" cm="1">
        <f t="array" ref="AM63">IF(AND(AM$2&lt;&gt;0,TblTech[[#This Row],[Hour]:[Hour]]&gt;=AM$2),1,0)</f>
        <v>0</v>
      </c>
      <c r="AN63" s="298" cm="1">
        <f t="array" ref="AN63">IF(AND(AN$2&lt;&gt;0,TblTech[[#This Row],[Hour]:[Hour]]&gt;=AN$2),1,0)</f>
        <v>0</v>
      </c>
      <c r="AO63" s="298" cm="1">
        <f t="array" ref="AO63">IF(AND(AO$2&lt;&gt;0,TblTech[[#This Row],[Hour]:[Hour]]&gt;=AO$2),1,0)</f>
        <v>0</v>
      </c>
      <c r="AP63" s="298" cm="1">
        <f t="array" ref="AP63">IF(AND(AP$2&lt;&gt;0,TblTech[[#This Row],[Hour]:[Hour]]&gt;=AP$2),1,0)</f>
        <v>0</v>
      </c>
      <c r="AQ63" s="298" cm="1">
        <f t="array" ref="AQ63">IF(AND(AQ$2&lt;&gt;0,TblTech[[#This Row],[Hour]:[Hour]]&gt;=AQ$2),1,0)</f>
        <v>0</v>
      </c>
      <c r="AR63" s="298" cm="1">
        <f t="array" ref="AR63">IF(AND(AR$2&lt;&gt;0,TblTech[[#This Row],[Hour]:[Hour]]&gt;=AR$2),1,0)</f>
        <v>0</v>
      </c>
      <c r="AS63" s="298" cm="1">
        <f t="array" ref="AS63">IF(AND(AS$2&lt;&gt;0,TblTech[[#This Row],[Hour]:[Hour]]&gt;=AS$2),1,0)</f>
        <v>0</v>
      </c>
      <c r="AT63" s="298" cm="1">
        <f t="array" ref="AT63">IF(AND(AT$2&lt;&gt;0,TblTech[[#This Row],[Hour]:[Hour]]&gt;=AT$2),1,0)</f>
        <v>0</v>
      </c>
      <c r="AU63" s="298" cm="1">
        <f t="array" ref="AU63">IF(AND(AU$2&lt;&gt;0,TblTech[[#This Row],[Hour]:[Hour]]&gt;=AU$2),1,0)</f>
        <v>0</v>
      </c>
      <c r="AV63" s="298" cm="1">
        <f t="array" ref="AV63">IF(AND(AV$2&lt;&gt;0,TblTech[[#This Row],[Hour]:[Hour]]&gt;=AV$2),1,0)</f>
        <v>0</v>
      </c>
      <c r="AW63" s="298" cm="1">
        <f t="array" ref="AW63">IF(AND(AW$2&lt;&gt;0,TblTech[[#This Row],[Hour]:[Hour]]&gt;=AW$2),1,0)</f>
        <v>0</v>
      </c>
      <c r="AX63" s="298" cm="1">
        <f t="array" ref="AX63">IF(AND(AX$2&lt;&gt;0,TblTech[[#This Row],[Hour]:[Hour]]&gt;=AX$2),1,0)</f>
        <v>0</v>
      </c>
      <c r="AY63" s="298" cm="1">
        <f t="array" ref="AY63">IF(AND(AY$2&lt;&gt;0,TblTech[[#This Row],[Hour]:[Hour]]&gt;=AY$2),1,0)</f>
        <v>0</v>
      </c>
      <c r="AZ63" s="298" cm="1">
        <f t="array" ref="AZ63">IF(AND(AZ$2&lt;&gt;0,TblTech[[#This Row],[Hour]:[Hour]]&gt;=AZ$2),1,0)</f>
        <v>0</v>
      </c>
      <c r="BA63" s="298" cm="1">
        <f t="array" ref="BA63">IF(AND(BA$2&lt;&gt;0,TblTech[[#This Row],[Hour]:[Hour]]&gt;=BA$2),1,0)</f>
        <v>0</v>
      </c>
      <c r="BB63" s="298" cm="1">
        <f t="array" ref="BB63">IF(AND(BB$2&lt;&gt;0,TblTech[[#This Row],[Hour]:[Hour]]&gt;=BB$2),1,0)</f>
        <v>0</v>
      </c>
      <c r="BC63" s="298" cm="1">
        <f t="array" ref="BC63">IF(AND(BC$2&lt;&gt;0,TblTech[[#This Row],[Hour]:[Hour]]&gt;=BC$2),1,0)</f>
        <v>0</v>
      </c>
      <c r="BD63" s="298" cm="1">
        <f t="array" ref="BD63">IF(AND(BD$2&lt;&gt;0,TblTech[[#This Row],[Hour]:[Hour]]&gt;=BD$2),1,0)</f>
        <v>0</v>
      </c>
      <c r="BE63" s="298" cm="1">
        <f t="array" ref="BE63">IF(AND(BE$2&lt;&gt;0,TblTech[[#This Row],[Hour]:[Hour]]&gt;=BE$2),1,0)</f>
        <v>0</v>
      </c>
      <c r="BF63" s="298" cm="1">
        <f t="array" ref="BF63">IF(AND(BF$2&lt;&gt;0,TblTech[[#This Row],[Hour]:[Hour]]&gt;=BF$2),1,0)</f>
        <v>0</v>
      </c>
      <c r="BG63" s="298" cm="1">
        <f t="array" ref="BG63">IF(AND(BG$2&lt;&gt;0,TblTech[[#This Row],[Hour]:[Hour]]&gt;=BG$2),1,0)</f>
        <v>0</v>
      </c>
      <c r="BH63" s="298" cm="1">
        <f t="array" ref="BH63">IF(AND(BH$2&lt;&gt;0,TblTech[[#This Row],[Hour]:[Hour]]&gt;=BH$2),1,0)</f>
        <v>0</v>
      </c>
      <c r="BI63" s="298" cm="1">
        <f t="array" ref="BI63">IF(AND(BI$2&lt;&gt;0,TblTech[[#This Row],[Hour]:[Hour]]&gt;=BI$2),1,0)</f>
        <v>0</v>
      </c>
      <c r="BJ63" s="298" cm="1">
        <f t="array" ref="BJ63">IF(AND(BJ$2&lt;&gt;0,TblTech[[#This Row],[Hour]:[Hour]]&gt;=BJ$2),1,0)</f>
        <v>0</v>
      </c>
      <c r="BK63" s="298" cm="1">
        <f t="array" ref="BK63">IF(AND(BK$2&lt;&gt;0,TblTech[[#This Row],[Hour]:[Hour]]&gt;=BK$2),1,0)</f>
        <v>0</v>
      </c>
      <c r="BL63" s="298" cm="1">
        <f t="array" ref="BL63">IF(AND(BL$2&lt;&gt;0,TblTech[[#This Row],[Hour]:[Hour]]&gt;=BL$2),1,0)</f>
        <v>0</v>
      </c>
      <c r="BM63" s="298" cm="1">
        <f t="array" ref="BM63">IF(AND(BM$2&lt;&gt;0,TblTech[[#This Row],[Hour]:[Hour]]&gt;=BM$2),1,0)</f>
        <v>0</v>
      </c>
      <c r="BN63" s="298" cm="1">
        <f t="array" ref="BN63">IF(AND(BN$2&lt;&gt;0,TblTech[[#This Row],[Hour]:[Hour]]&gt;=BN$2),1,0)</f>
        <v>0</v>
      </c>
      <c r="BO63" s="298" cm="1">
        <f t="array" ref="BO63">IF(AND(BO$2&lt;&gt;0,TblTech[[#This Row],[Hour]:[Hour]]&gt;=BO$2),1,0)</f>
        <v>0</v>
      </c>
      <c r="BP63" s="298" cm="1">
        <f t="array" ref="BP63">IF(AND(BP$2&lt;&gt;0,TblTech[[#This Row],[Hour]:[Hour]]&gt;=BP$2),1,0)</f>
        <v>0</v>
      </c>
      <c r="BQ63" s="298" cm="1">
        <f t="array" ref="BQ63">IF(AND(BQ$2&lt;&gt;0,TblTech[[#This Row],[Hour]:[Hour]]&gt;=BQ$2),1,0)</f>
        <v>0</v>
      </c>
      <c r="BR63" s="298" cm="1">
        <f t="array" ref="BR63">IF(AND(BR$2&lt;&gt;0,TblTech[[#This Row],[Hour]:[Hour]]&gt;=BR$2),1,0)</f>
        <v>0</v>
      </c>
      <c r="BS63" s="298" cm="1">
        <f t="array" ref="BS63">IF(AND(BS$2&lt;&gt;0,TblTech[[#This Row],[Hour]:[Hour]]&gt;=BS$2),1,0)</f>
        <v>0</v>
      </c>
      <c r="BT63" s="298" cm="1">
        <f t="array" ref="BT63">IF(AND(BT$2&lt;&gt;0,TblTech[[#This Row],[Hour]:[Hour]]&gt;=BT$2),1,0)</f>
        <v>0</v>
      </c>
      <c r="BU63" s="298" cm="1">
        <f t="array" ref="BU63">IF(AND(BU$2&lt;&gt;0,TblTech[[#This Row],[Hour]:[Hour]]&gt;=BU$2),1,0)</f>
        <v>0</v>
      </c>
      <c r="BV63" s="298" cm="1">
        <f t="array" ref="BV63">IF(AND(BV$2&lt;&gt;0,TblTech[[#This Row],[Hour]:[Hour]]&gt;=BV$2),1,0)</f>
        <v>0</v>
      </c>
      <c r="BW63" s="298" cm="1">
        <f t="array" ref="BW63">IF(AND(BW$2&lt;&gt;0,TblTech[[#This Row],[Hour]:[Hour]]&gt;=BW$2),1,0)</f>
        <v>0</v>
      </c>
      <c r="BX63" s="298" cm="1">
        <f t="array" ref="BX63">IF(AND(BX$2&lt;&gt;0,TblTech[[#This Row],[Hour]:[Hour]]&gt;=BX$2),1,0)</f>
        <v>0</v>
      </c>
      <c r="BY63" s="298" cm="1">
        <f t="array" ref="BY63">IF(AND(BY$2&lt;&gt;0,TblTech[[#This Row],[Hour]:[Hour]]&gt;=BY$2),1,0)</f>
        <v>0</v>
      </c>
      <c r="BZ63" s="298" cm="1">
        <f t="array" ref="BZ63">IF(AND(BZ$2&lt;&gt;0,TblTech[[#This Row],[Hour]:[Hour]]&gt;=BZ$2),1,0)</f>
        <v>0</v>
      </c>
      <c r="CA63" s="402">
        <f>IFERROR(INDEX($H$4:$H$79,MATCH(INDEX(TblTech[[#Headers],[1-1]:[11-1]],1,MATCH(TblTech[[#This Row],[Hour]],$M$2:$BZ$2,0)),$G$4:$G$79,0)),)</f>
        <v>0</v>
      </c>
    </row>
    <row r="64" spans="1:79" x14ac:dyDescent="0.2">
      <c r="A64" s="290">
        <f>TblRezone[[#This Row],[Hour]]</f>
        <v>61</v>
      </c>
      <c r="B64" s="291">
        <f ca="1">TblExplore[[#This Row],[Land-DB]]</f>
        <v>250</v>
      </c>
      <c r="C64" s="292">
        <f ca="1">TblProd[[#This Row],[Techpoints]]</f>
        <v>0</v>
      </c>
      <c r="D64" s="292">
        <f ca="1">TblProd[[#This Row],[Required]]</f>
        <v>3750</v>
      </c>
      <c r="E64" s="293"/>
      <c r="F64" s="294"/>
      <c r="G64" s="295" t="s">
        <v>607</v>
      </c>
      <c r="H64" s="296" t="s">
        <v>725</v>
      </c>
      <c r="I64" s="295" t="s">
        <v>629</v>
      </c>
      <c r="J64" s="291"/>
      <c r="K64" s="95">
        <f ca="1">IF(TblTech[[#This Row],[Sum of tech]]&lt;&gt;OFFSET(TblTech[[#This Row],[Sum of tech]],-1,0),1,0)</f>
        <v>0</v>
      </c>
      <c r="L64" s="297">
        <f>COUNTIF(TblTech[[#This Row],[1-1]:[11-1]],1)</f>
        <v>0</v>
      </c>
      <c r="M64" s="298" cm="1">
        <f t="array" ref="M64">IF(AND(M$2&lt;&gt;0,TblTech[[#This Row],[Hour]:[Hour]]&gt;=M$2),1,0)</f>
        <v>0</v>
      </c>
      <c r="N64" s="298" cm="1">
        <f t="array" ref="N64">IF(AND(N$2&lt;&gt;0,TblTech[[#This Row],[Hour]:[Hour]]&gt;=N$2),1,0)</f>
        <v>0</v>
      </c>
      <c r="O64" s="298" cm="1">
        <f t="array" ref="O64">IF(AND(O$2&lt;&gt;0,TblTech[[#This Row],[Hour]:[Hour]]&gt;=O$2),1,0)</f>
        <v>0</v>
      </c>
      <c r="P64" s="298" cm="1">
        <f t="array" ref="P64">IF(AND(P$2&lt;&gt;0,TblTech[[#This Row],[Hour]:[Hour]]&gt;=P$2),1,0)</f>
        <v>0</v>
      </c>
      <c r="Q64" s="298" cm="1">
        <f t="array" ref="Q64">IF(AND(Q$2&lt;&gt;0,TblTech[[#This Row],[Hour]:[Hour]]&gt;=Q$2),1,0)</f>
        <v>0</v>
      </c>
      <c r="R64" s="298" cm="1">
        <f t="array" ref="R64">IF(AND(R$2&lt;&gt;0,TblTech[[#This Row],[Hour]:[Hour]]&gt;=R$2),1,0)</f>
        <v>0</v>
      </c>
      <c r="S64" s="298" cm="1">
        <f t="array" ref="S64">IF(AND(S$2&lt;&gt;0,TblTech[[#This Row],[Hour]:[Hour]]&gt;=S$2),1,0)</f>
        <v>0</v>
      </c>
      <c r="T64" s="298" cm="1">
        <f t="array" ref="T64">IF(AND(T$2&lt;&gt;0,TblTech[[#This Row],[Hour]:[Hour]]&gt;=T$2),1,0)</f>
        <v>0</v>
      </c>
      <c r="U64" s="298" cm="1">
        <f t="array" ref="U64">IF(AND(U$2&lt;&gt;0,TblTech[[#This Row],[Hour]:[Hour]]&gt;=U$2),1,0)</f>
        <v>0</v>
      </c>
      <c r="V64" s="298" cm="1">
        <f t="array" ref="V64">IF(AND(V$2&lt;&gt;0,TblTech[[#This Row],[Hour]:[Hour]]&gt;=V$2),1,0)</f>
        <v>0</v>
      </c>
      <c r="W64" s="298" cm="1">
        <f t="array" ref="W64">IF(AND(W$2&lt;&gt;0,TblTech[[#This Row],[Hour]:[Hour]]&gt;=W$2),1,0)</f>
        <v>0</v>
      </c>
      <c r="X64" s="298" cm="1">
        <f t="array" ref="X64">IF(AND(X$2&lt;&gt;0,TblTech[[#This Row],[Hour]:[Hour]]&gt;=X$2),1,0)</f>
        <v>0</v>
      </c>
      <c r="Y64" s="298" cm="1">
        <f t="array" ref="Y64">IF(AND(Y$2&lt;&gt;0,TblTech[[#This Row],[Hour]:[Hour]]&gt;=Y$2),1,0)</f>
        <v>0</v>
      </c>
      <c r="Z64" s="298" cm="1">
        <f t="array" ref="Z64">IF(AND(Z$2&lt;&gt;0,TblTech[[#This Row],[Hour]:[Hour]]&gt;=Z$2),1,0)</f>
        <v>0</v>
      </c>
      <c r="AA64" s="298" cm="1">
        <f t="array" ref="AA64">IF(AND(AA$2&lt;&gt;0,TblTech[[#This Row],[Hour]:[Hour]]&gt;=AA$2),1,0)</f>
        <v>0</v>
      </c>
      <c r="AB64" s="298" cm="1">
        <f t="array" ref="AB64">IF(AND(AB$2&lt;&gt;0,TblTech[[#This Row],[Hour]:[Hour]]&gt;=AB$2),1,0)</f>
        <v>0</v>
      </c>
      <c r="AC64" s="298" cm="1">
        <f t="array" ref="AC64">IF(AND(AC$2&lt;&gt;0,TblTech[[#This Row],[Hour]:[Hour]]&gt;=AC$2),1,0)</f>
        <v>0</v>
      </c>
      <c r="AD64" s="298" cm="1">
        <f t="array" ref="AD64">IF(AND(AD$2&lt;&gt;0,TblTech[[#This Row],[Hour]:[Hour]]&gt;=AD$2),1,0)</f>
        <v>0</v>
      </c>
      <c r="AE64" s="298" cm="1">
        <f t="array" ref="AE64">IF(AND(AE$2&lt;&gt;0,TblTech[[#This Row],[Hour]:[Hour]]&gt;=AE$2),1,0)</f>
        <v>0</v>
      </c>
      <c r="AF64" s="298" cm="1">
        <f t="array" ref="AF64">IF(AND(AF$2&lt;&gt;0,TblTech[[#This Row],[Hour]:[Hour]]&gt;=AF$2),1,0)</f>
        <v>0</v>
      </c>
      <c r="AG64" s="298" cm="1">
        <f t="array" ref="AG64">IF(AND(AG$2&lt;&gt;0,TblTech[[#This Row],[Hour]:[Hour]]&gt;=AG$2),1,0)</f>
        <v>0</v>
      </c>
      <c r="AH64" s="298" cm="1">
        <f t="array" ref="AH64">IF(AND(AH$2&lt;&gt;0,TblTech[[#This Row],[Hour]:[Hour]]&gt;=AH$2),1,0)</f>
        <v>0</v>
      </c>
      <c r="AI64" s="298" cm="1">
        <f t="array" ref="AI64">IF(AND(AI$2&lt;&gt;0,TblTech[[#This Row],[Hour]:[Hour]]&gt;=AI$2),1,0)</f>
        <v>0</v>
      </c>
      <c r="AJ64" s="298" cm="1">
        <f t="array" ref="AJ64">IF(AND(AJ$2&lt;&gt;0,TblTech[[#This Row],[Hour]:[Hour]]&gt;=AJ$2),1,0)</f>
        <v>0</v>
      </c>
      <c r="AK64" s="298" cm="1">
        <f t="array" ref="AK64">IF(AND(AK$2&lt;&gt;0,TblTech[[#This Row],[Hour]:[Hour]]&gt;=AK$2),1,0)</f>
        <v>0</v>
      </c>
      <c r="AL64" s="298" cm="1">
        <f t="array" ref="AL64">IF(AND(AL$2&lt;&gt;0,TblTech[[#This Row],[Hour]:[Hour]]&gt;=AL$2),1,0)</f>
        <v>0</v>
      </c>
      <c r="AM64" s="298" cm="1">
        <f t="array" ref="AM64">IF(AND(AM$2&lt;&gt;0,TblTech[[#This Row],[Hour]:[Hour]]&gt;=AM$2),1,0)</f>
        <v>0</v>
      </c>
      <c r="AN64" s="298" cm="1">
        <f t="array" ref="AN64">IF(AND(AN$2&lt;&gt;0,TblTech[[#This Row],[Hour]:[Hour]]&gt;=AN$2),1,0)</f>
        <v>0</v>
      </c>
      <c r="AO64" s="298" cm="1">
        <f t="array" ref="AO64">IF(AND(AO$2&lt;&gt;0,TblTech[[#This Row],[Hour]:[Hour]]&gt;=AO$2),1,0)</f>
        <v>0</v>
      </c>
      <c r="AP64" s="298" cm="1">
        <f t="array" ref="AP64">IF(AND(AP$2&lt;&gt;0,TblTech[[#This Row],[Hour]:[Hour]]&gt;=AP$2),1,0)</f>
        <v>0</v>
      </c>
      <c r="AQ64" s="298" cm="1">
        <f t="array" ref="AQ64">IF(AND(AQ$2&lt;&gt;0,TblTech[[#This Row],[Hour]:[Hour]]&gt;=AQ$2),1,0)</f>
        <v>0</v>
      </c>
      <c r="AR64" s="298" cm="1">
        <f t="array" ref="AR64">IF(AND(AR$2&lt;&gt;0,TblTech[[#This Row],[Hour]:[Hour]]&gt;=AR$2),1,0)</f>
        <v>0</v>
      </c>
      <c r="AS64" s="298" cm="1">
        <f t="array" ref="AS64">IF(AND(AS$2&lt;&gt;0,TblTech[[#This Row],[Hour]:[Hour]]&gt;=AS$2),1,0)</f>
        <v>0</v>
      </c>
      <c r="AT64" s="298" cm="1">
        <f t="array" ref="AT64">IF(AND(AT$2&lt;&gt;0,TblTech[[#This Row],[Hour]:[Hour]]&gt;=AT$2),1,0)</f>
        <v>0</v>
      </c>
      <c r="AU64" s="298" cm="1">
        <f t="array" ref="AU64">IF(AND(AU$2&lt;&gt;0,TblTech[[#This Row],[Hour]:[Hour]]&gt;=AU$2),1,0)</f>
        <v>0</v>
      </c>
      <c r="AV64" s="298" cm="1">
        <f t="array" ref="AV64">IF(AND(AV$2&lt;&gt;0,TblTech[[#This Row],[Hour]:[Hour]]&gt;=AV$2),1,0)</f>
        <v>0</v>
      </c>
      <c r="AW64" s="298" cm="1">
        <f t="array" ref="AW64">IF(AND(AW$2&lt;&gt;0,TblTech[[#This Row],[Hour]:[Hour]]&gt;=AW$2),1,0)</f>
        <v>0</v>
      </c>
      <c r="AX64" s="298" cm="1">
        <f t="array" ref="AX64">IF(AND(AX$2&lt;&gt;0,TblTech[[#This Row],[Hour]:[Hour]]&gt;=AX$2),1,0)</f>
        <v>0</v>
      </c>
      <c r="AY64" s="298" cm="1">
        <f t="array" ref="AY64">IF(AND(AY$2&lt;&gt;0,TblTech[[#This Row],[Hour]:[Hour]]&gt;=AY$2),1,0)</f>
        <v>0</v>
      </c>
      <c r="AZ64" s="298" cm="1">
        <f t="array" ref="AZ64">IF(AND(AZ$2&lt;&gt;0,TblTech[[#This Row],[Hour]:[Hour]]&gt;=AZ$2),1,0)</f>
        <v>0</v>
      </c>
      <c r="BA64" s="298" cm="1">
        <f t="array" ref="BA64">IF(AND(BA$2&lt;&gt;0,TblTech[[#This Row],[Hour]:[Hour]]&gt;=BA$2),1,0)</f>
        <v>0</v>
      </c>
      <c r="BB64" s="298" cm="1">
        <f t="array" ref="BB64">IF(AND(BB$2&lt;&gt;0,TblTech[[#This Row],[Hour]:[Hour]]&gt;=BB$2),1,0)</f>
        <v>0</v>
      </c>
      <c r="BC64" s="298" cm="1">
        <f t="array" ref="BC64">IF(AND(BC$2&lt;&gt;0,TblTech[[#This Row],[Hour]:[Hour]]&gt;=BC$2),1,0)</f>
        <v>0</v>
      </c>
      <c r="BD64" s="298" cm="1">
        <f t="array" ref="BD64">IF(AND(BD$2&lt;&gt;0,TblTech[[#This Row],[Hour]:[Hour]]&gt;=BD$2),1,0)</f>
        <v>0</v>
      </c>
      <c r="BE64" s="298" cm="1">
        <f t="array" ref="BE64">IF(AND(BE$2&lt;&gt;0,TblTech[[#This Row],[Hour]:[Hour]]&gt;=BE$2),1,0)</f>
        <v>0</v>
      </c>
      <c r="BF64" s="298" cm="1">
        <f t="array" ref="BF64">IF(AND(BF$2&lt;&gt;0,TblTech[[#This Row],[Hour]:[Hour]]&gt;=BF$2),1,0)</f>
        <v>0</v>
      </c>
      <c r="BG64" s="298" cm="1">
        <f t="array" ref="BG64">IF(AND(BG$2&lt;&gt;0,TblTech[[#This Row],[Hour]:[Hour]]&gt;=BG$2),1,0)</f>
        <v>0</v>
      </c>
      <c r="BH64" s="298" cm="1">
        <f t="array" ref="BH64">IF(AND(BH$2&lt;&gt;0,TblTech[[#This Row],[Hour]:[Hour]]&gt;=BH$2),1,0)</f>
        <v>0</v>
      </c>
      <c r="BI64" s="298" cm="1">
        <f t="array" ref="BI64">IF(AND(BI$2&lt;&gt;0,TblTech[[#This Row],[Hour]:[Hour]]&gt;=BI$2),1,0)</f>
        <v>0</v>
      </c>
      <c r="BJ64" s="298" cm="1">
        <f t="array" ref="BJ64">IF(AND(BJ$2&lt;&gt;0,TblTech[[#This Row],[Hour]:[Hour]]&gt;=BJ$2),1,0)</f>
        <v>0</v>
      </c>
      <c r="BK64" s="298" cm="1">
        <f t="array" ref="BK64">IF(AND(BK$2&lt;&gt;0,TblTech[[#This Row],[Hour]:[Hour]]&gt;=BK$2),1,0)</f>
        <v>0</v>
      </c>
      <c r="BL64" s="298" cm="1">
        <f t="array" ref="BL64">IF(AND(BL$2&lt;&gt;0,TblTech[[#This Row],[Hour]:[Hour]]&gt;=BL$2),1,0)</f>
        <v>0</v>
      </c>
      <c r="BM64" s="298" cm="1">
        <f t="array" ref="BM64">IF(AND(BM$2&lt;&gt;0,TblTech[[#This Row],[Hour]:[Hour]]&gt;=BM$2),1,0)</f>
        <v>0</v>
      </c>
      <c r="BN64" s="298" cm="1">
        <f t="array" ref="BN64">IF(AND(BN$2&lt;&gt;0,TblTech[[#This Row],[Hour]:[Hour]]&gt;=BN$2),1,0)</f>
        <v>0</v>
      </c>
      <c r="BO64" s="298" cm="1">
        <f t="array" ref="BO64">IF(AND(BO$2&lt;&gt;0,TblTech[[#This Row],[Hour]:[Hour]]&gt;=BO$2),1,0)</f>
        <v>0</v>
      </c>
      <c r="BP64" s="298" cm="1">
        <f t="array" ref="BP64">IF(AND(BP$2&lt;&gt;0,TblTech[[#This Row],[Hour]:[Hour]]&gt;=BP$2),1,0)</f>
        <v>0</v>
      </c>
      <c r="BQ64" s="298" cm="1">
        <f t="array" ref="BQ64">IF(AND(BQ$2&lt;&gt;0,TblTech[[#This Row],[Hour]:[Hour]]&gt;=BQ$2),1,0)</f>
        <v>0</v>
      </c>
      <c r="BR64" s="298" cm="1">
        <f t="array" ref="BR64">IF(AND(BR$2&lt;&gt;0,TblTech[[#This Row],[Hour]:[Hour]]&gt;=BR$2),1,0)</f>
        <v>0</v>
      </c>
      <c r="BS64" s="298" cm="1">
        <f t="array" ref="BS64">IF(AND(BS$2&lt;&gt;0,TblTech[[#This Row],[Hour]:[Hour]]&gt;=BS$2),1,0)</f>
        <v>0</v>
      </c>
      <c r="BT64" s="298" cm="1">
        <f t="array" ref="BT64">IF(AND(BT$2&lt;&gt;0,TblTech[[#This Row],[Hour]:[Hour]]&gt;=BT$2),1,0)</f>
        <v>0</v>
      </c>
      <c r="BU64" s="298" cm="1">
        <f t="array" ref="BU64">IF(AND(BU$2&lt;&gt;0,TblTech[[#This Row],[Hour]:[Hour]]&gt;=BU$2),1,0)</f>
        <v>0</v>
      </c>
      <c r="BV64" s="298" cm="1">
        <f t="array" ref="BV64">IF(AND(BV$2&lt;&gt;0,TblTech[[#This Row],[Hour]:[Hour]]&gt;=BV$2),1,0)</f>
        <v>0</v>
      </c>
      <c r="BW64" s="298" cm="1">
        <f t="array" ref="BW64">IF(AND(BW$2&lt;&gt;0,TblTech[[#This Row],[Hour]:[Hour]]&gt;=BW$2),1,0)</f>
        <v>0</v>
      </c>
      <c r="BX64" s="298" cm="1">
        <f t="array" ref="BX64">IF(AND(BX$2&lt;&gt;0,TblTech[[#This Row],[Hour]:[Hour]]&gt;=BX$2),1,0)</f>
        <v>0</v>
      </c>
      <c r="BY64" s="298" cm="1">
        <f t="array" ref="BY64">IF(AND(BY$2&lt;&gt;0,TblTech[[#This Row],[Hour]:[Hour]]&gt;=BY$2),1,0)</f>
        <v>0</v>
      </c>
      <c r="BZ64" s="298" cm="1">
        <f t="array" ref="BZ64">IF(AND(BZ$2&lt;&gt;0,TblTech[[#This Row],[Hour]:[Hour]]&gt;=BZ$2),1,0)</f>
        <v>0</v>
      </c>
      <c r="CA64" s="402">
        <f>IFERROR(INDEX($H$4:$H$79,MATCH(INDEX(TblTech[[#Headers],[1-1]:[11-1]],1,MATCH(TblTech[[#This Row],[Hour]],$M$2:$BZ$2,0)),$G$4:$G$79,0)),)</f>
        <v>0</v>
      </c>
    </row>
    <row r="65" spans="1:79" x14ac:dyDescent="0.2">
      <c r="A65" s="290">
        <f>TblRezone[[#This Row],[Hour]]</f>
        <v>62</v>
      </c>
      <c r="B65" s="291">
        <f ca="1">TblExplore[[#This Row],[Land-DB]]</f>
        <v>250</v>
      </c>
      <c r="C65" s="292">
        <f ca="1">TblProd[[#This Row],[Techpoints]]</f>
        <v>0</v>
      </c>
      <c r="D65" s="292">
        <f ca="1">TblProd[[#This Row],[Required]]</f>
        <v>3750</v>
      </c>
      <c r="E65" s="293"/>
      <c r="F65" s="294"/>
      <c r="G65" s="295" t="s">
        <v>608</v>
      </c>
      <c r="H65" s="296" t="s">
        <v>726</v>
      </c>
      <c r="I65" s="295" t="s">
        <v>609</v>
      </c>
      <c r="J65" s="291"/>
      <c r="K65" s="95">
        <f ca="1">IF(TblTech[[#This Row],[Sum of tech]]&lt;&gt;OFFSET(TblTech[[#This Row],[Sum of tech]],-1,0),1,0)</f>
        <v>0</v>
      </c>
      <c r="L65" s="297">
        <f>COUNTIF(TblTech[[#This Row],[1-1]:[11-1]],1)</f>
        <v>0</v>
      </c>
      <c r="M65" s="298" cm="1">
        <f t="array" ref="M65">IF(AND(M$2&lt;&gt;0,TblTech[[#This Row],[Hour]:[Hour]]&gt;=M$2),1,0)</f>
        <v>0</v>
      </c>
      <c r="N65" s="298" cm="1">
        <f t="array" ref="N65">IF(AND(N$2&lt;&gt;0,TblTech[[#This Row],[Hour]:[Hour]]&gt;=N$2),1,0)</f>
        <v>0</v>
      </c>
      <c r="O65" s="298" cm="1">
        <f t="array" ref="O65">IF(AND(O$2&lt;&gt;0,TblTech[[#This Row],[Hour]:[Hour]]&gt;=O$2),1,0)</f>
        <v>0</v>
      </c>
      <c r="P65" s="298" cm="1">
        <f t="array" ref="P65">IF(AND(P$2&lt;&gt;0,TblTech[[#This Row],[Hour]:[Hour]]&gt;=P$2),1,0)</f>
        <v>0</v>
      </c>
      <c r="Q65" s="298" cm="1">
        <f t="array" ref="Q65">IF(AND(Q$2&lt;&gt;0,TblTech[[#This Row],[Hour]:[Hour]]&gt;=Q$2),1,0)</f>
        <v>0</v>
      </c>
      <c r="R65" s="298" cm="1">
        <f t="array" ref="R65">IF(AND(R$2&lt;&gt;0,TblTech[[#This Row],[Hour]:[Hour]]&gt;=R$2),1,0)</f>
        <v>0</v>
      </c>
      <c r="S65" s="298" cm="1">
        <f t="array" ref="S65">IF(AND(S$2&lt;&gt;0,TblTech[[#This Row],[Hour]:[Hour]]&gt;=S$2),1,0)</f>
        <v>0</v>
      </c>
      <c r="T65" s="298" cm="1">
        <f t="array" ref="T65">IF(AND(T$2&lt;&gt;0,TblTech[[#This Row],[Hour]:[Hour]]&gt;=T$2),1,0)</f>
        <v>0</v>
      </c>
      <c r="U65" s="298" cm="1">
        <f t="array" ref="U65">IF(AND(U$2&lt;&gt;0,TblTech[[#This Row],[Hour]:[Hour]]&gt;=U$2),1,0)</f>
        <v>0</v>
      </c>
      <c r="V65" s="298" cm="1">
        <f t="array" ref="V65">IF(AND(V$2&lt;&gt;0,TblTech[[#This Row],[Hour]:[Hour]]&gt;=V$2),1,0)</f>
        <v>0</v>
      </c>
      <c r="W65" s="298" cm="1">
        <f t="array" ref="W65">IF(AND(W$2&lt;&gt;0,TblTech[[#This Row],[Hour]:[Hour]]&gt;=W$2),1,0)</f>
        <v>0</v>
      </c>
      <c r="X65" s="298" cm="1">
        <f t="array" ref="X65">IF(AND(X$2&lt;&gt;0,TblTech[[#This Row],[Hour]:[Hour]]&gt;=X$2),1,0)</f>
        <v>0</v>
      </c>
      <c r="Y65" s="298" cm="1">
        <f t="array" ref="Y65">IF(AND(Y$2&lt;&gt;0,TblTech[[#This Row],[Hour]:[Hour]]&gt;=Y$2),1,0)</f>
        <v>0</v>
      </c>
      <c r="Z65" s="298" cm="1">
        <f t="array" ref="Z65">IF(AND(Z$2&lt;&gt;0,TblTech[[#This Row],[Hour]:[Hour]]&gt;=Z$2),1,0)</f>
        <v>0</v>
      </c>
      <c r="AA65" s="298" cm="1">
        <f t="array" ref="AA65">IF(AND(AA$2&lt;&gt;0,TblTech[[#This Row],[Hour]:[Hour]]&gt;=AA$2),1,0)</f>
        <v>0</v>
      </c>
      <c r="AB65" s="298" cm="1">
        <f t="array" ref="AB65">IF(AND(AB$2&lt;&gt;0,TblTech[[#This Row],[Hour]:[Hour]]&gt;=AB$2),1,0)</f>
        <v>0</v>
      </c>
      <c r="AC65" s="298" cm="1">
        <f t="array" ref="AC65">IF(AND(AC$2&lt;&gt;0,TblTech[[#This Row],[Hour]:[Hour]]&gt;=AC$2),1,0)</f>
        <v>0</v>
      </c>
      <c r="AD65" s="298" cm="1">
        <f t="array" ref="AD65">IF(AND(AD$2&lt;&gt;0,TblTech[[#This Row],[Hour]:[Hour]]&gt;=AD$2),1,0)</f>
        <v>0</v>
      </c>
      <c r="AE65" s="298" cm="1">
        <f t="array" ref="AE65">IF(AND(AE$2&lt;&gt;0,TblTech[[#This Row],[Hour]:[Hour]]&gt;=AE$2),1,0)</f>
        <v>0</v>
      </c>
      <c r="AF65" s="298" cm="1">
        <f t="array" ref="AF65">IF(AND(AF$2&lt;&gt;0,TblTech[[#This Row],[Hour]:[Hour]]&gt;=AF$2),1,0)</f>
        <v>0</v>
      </c>
      <c r="AG65" s="298" cm="1">
        <f t="array" ref="AG65">IF(AND(AG$2&lt;&gt;0,TblTech[[#This Row],[Hour]:[Hour]]&gt;=AG$2),1,0)</f>
        <v>0</v>
      </c>
      <c r="AH65" s="298" cm="1">
        <f t="array" ref="AH65">IF(AND(AH$2&lt;&gt;0,TblTech[[#This Row],[Hour]:[Hour]]&gt;=AH$2),1,0)</f>
        <v>0</v>
      </c>
      <c r="AI65" s="298" cm="1">
        <f t="array" ref="AI65">IF(AND(AI$2&lt;&gt;0,TblTech[[#This Row],[Hour]:[Hour]]&gt;=AI$2),1,0)</f>
        <v>0</v>
      </c>
      <c r="AJ65" s="298" cm="1">
        <f t="array" ref="AJ65">IF(AND(AJ$2&lt;&gt;0,TblTech[[#This Row],[Hour]:[Hour]]&gt;=AJ$2),1,0)</f>
        <v>0</v>
      </c>
      <c r="AK65" s="298" cm="1">
        <f t="array" ref="AK65">IF(AND(AK$2&lt;&gt;0,TblTech[[#This Row],[Hour]:[Hour]]&gt;=AK$2),1,0)</f>
        <v>0</v>
      </c>
      <c r="AL65" s="298" cm="1">
        <f t="array" ref="AL65">IF(AND(AL$2&lt;&gt;0,TblTech[[#This Row],[Hour]:[Hour]]&gt;=AL$2),1,0)</f>
        <v>0</v>
      </c>
      <c r="AM65" s="298" cm="1">
        <f t="array" ref="AM65">IF(AND(AM$2&lt;&gt;0,TblTech[[#This Row],[Hour]:[Hour]]&gt;=AM$2),1,0)</f>
        <v>0</v>
      </c>
      <c r="AN65" s="298" cm="1">
        <f t="array" ref="AN65">IF(AND(AN$2&lt;&gt;0,TblTech[[#This Row],[Hour]:[Hour]]&gt;=AN$2),1,0)</f>
        <v>0</v>
      </c>
      <c r="AO65" s="298" cm="1">
        <f t="array" ref="AO65">IF(AND(AO$2&lt;&gt;0,TblTech[[#This Row],[Hour]:[Hour]]&gt;=AO$2),1,0)</f>
        <v>0</v>
      </c>
      <c r="AP65" s="298" cm="1">
        <f t="array" ref="AP65">IF(AND(AP$2&lt;&gt;0,TblTech[[#This Row],[Hour]:[Hour]]&gt;=AP$2),1,0)</f>
        <v>0</v>
      </c>
      <c r="AQ65" s="298" cm="1">
        <f t="array" ref="AQ65">IF(AND(AQ$2&lt;&gt;0,TblTech[[#This Row],[Hour]:[Hour]]&gt;=AQ$2),1,0)</f>
        <v>0</v>
      </c>
      <c r="AR65" s="298" cm="1">
        <f t="array" ref="AR65">IF(AND(AR$2&lt;&gt;0,TblTech[[#This Row],[Hour]:[Hour]]&gt;=AR$2),1,0)</f>
        <v>0</v>
      </c>
      <c r="AS65" s="298" cm="1">
        <f t="array" ref="AS65">IF(AND(AS$2&lt;&gt;0,TblTech[[#This Row],[Hour]:[Hour]]&gt;=AS$2),1,0)</f>
        <v>0</v>
      </c>
      <c r="AT65" s="298" cm="1">
        <f t="array" ref="AT65">IF(AND(AT$2&lt;&gt;0,TblTech[[#This Row],[Hour]:[Hour]]&gt;=AT$2),1,0)</f>
        <v>0</v>
      </c>
      <c r="AU65" s="298" cm="1">
        <f t="array" ref="AU65">IF(AND(AU$2&lt;&gt;0,TblTech[[#This Row],[Hour]:[Hour]]&gt;=AU$2),1,0)</f>
        <v>0</v>
      </c>
      <c r="AV65" s="298" cm="1">
        <f t="array" ref="AV65">IF(AND(AV$2&lt;&gt;0,TblTech[[#This Row],[Hour]:[Hour]]&gt;=AV$2),1,0)</f>
        <v>0</v>
      </c>
      <c r="AW65" s="298" cm="1">
        <f t="array" ref="AW65">IF(AND(AW$2&lt;&gt;0,TblTech[[#This Row],[Hour]:[Hour]]&gt;=AW$2),1,0)</f>
        <v>0</v>
      </c>
      <c r="AX65" s="298" cm="1">
        <f t="array" ref="AX65">IF(AND(AX$2&lt;&gt;0,TblTech[[#This Row],[Hour]:[Hour]]&gt;=AX$2),1,0)</f>
        <v>0</v>
      </c>
      <c r="AY65" s="298" cm="1">
        <f t="array" ref="AY65">IF(AND(AY$2&lt;&gt;0,TblTech[[#This Row],[Hour]:[Hour]]&gt;=AY$2),1,0)</f>
        <v>0</v>
      </c>
      <c r="AZ65" s="298" cm="1">
        <f t="array" ref="AZ65">IF(AND(AZ$2&lt;&gt;0,TblTech[[#This Row],[Hour]:[Hour]]&gt;=AZ$2),1,0)</f>
        <v>0</v>
      </c>
      <c r="BA65" s="298" cm="1">
        <f t="array" ref="BA65">IF(AND(BA$2&lt;&gt;0,TblTech[[#This Row],[Hour]:[Hour]]&gt;=BA$2),1,0)</f>
        <v>0</v>
      </c>
      <c r="BB65" s="298" cm="1">
        <f t="array" ref="BB65">IF(AND(BB$2&lt;&gt;0,TblTech[[#This Row],[Hour]:[Hour]]&gt;=BB$2),1,0)</f>
        <v>0</v>
      </c>
      <c r="BC65" s="298" cm="1">
        <f t="array" ref="BC65">IF(AND(BC$2&lt;&gt;0,TblTech[[#This Row],[Hour]:[Hour]]&gt;=BC$2),1,0)</f>
        <v>0</v>
      </c>
      <c r="BD65" s="298" cm="1">
        <f t="array" ref="BD65">IF(AND(BD$2&lt;&gt;0,TblTech[[#This Row],[Hour]:[Hour]]&gt;=BD$2),1,0)</f>
        <v>0</v>
      </c>
      <c r="BE65" s="298" cm="1">
        <f t="array" ref="BE65">IF(AND(BE$2&lt;&gt;0,TblTech[[#This Row],[Hour]:[Hour]]&gt;=BE$2),1,0)</f>
        <v>0</v>
      </c>
      <c r="BF65" s="298" cm="1">
        <f t="array" ref="BF65">IF(AND(BF$2&lt;&gt;0,TblTech[[#This Row],[Hour]:[Hour]]&gt;=BF$2),1,0)</f>
        <v>0</v>
      </c>
      <c r="BG65" s="298" cm="1">
        <f t="array" ref="BG65">IF(AND(BG$2&lt;&gt;0,TblTech[[#This Row],[Hour]:[Hour]]&gt;=BG$2),1,0)</f>
        <v>0</v>
      </c>
      <c r="BH65" s="298" cm="1">
        <f t="array" ref="BH65">IF(AND(BH$2&lt;&gt;0,TblTech[[#This Row],[Hour]:[Hour]]&gt;=BH$2),1,0)</f>
        <v>0</v>
      </c>
      <c r="BI65" s="298" cm="1">
        <f t="array" ref="BI65">IF(AND(BI$2&lt;&gt;0,TblTech[[#This Row],[Hour]:[Hour]]&gt;=BI$2),1,0)</f>
        <v>0</v>
      </c>
      <c r="BJ65" s="298" cm="1">
        <f t="array" ref="BJ65">IF(AND(BJ$2&lt;&gt;0,TblTech[[#This Row],[Hour]:[Hour]]&gt;=BJ$2),1,0)</f>
        <v>0</v>
      </c>
      <c r="BK65" s="298" cm="1">
        <f t="array" ref="BK65">IF(AND(BK$2&lt;&gt;0,TblTech[[#This Row],[Hour]:[Hour]]&gt;=BK$2),1,0)</f>
        <v>0</v>
      </c>
      <c r="BL65" s="298" cm="1">
        <f t="array" ref="BL65">IF(AND(BL$2&lt;&gt;0,TblTech[[#This Row],[Hour]:[Hour]]&gt;=BL$2),1,0)</f>
        <v>0</v>
      </c>
      <c r="BM65" s="298" cm="1">
        <f t="array" ref="BM65">IF(AND(BM$2&lt;&gt;0,TblTech[[#This Row],[Hour]:[Hour]]&gt;=BM$2),1,0)</f>
        <v>0</v>
      </c>
      <c r="BN65" s="298" cm="1">
        <f t="array" ref="BN65">IF(AND(BN$2&lt;&gt;0,TblTech[[#This Row],[Hour]:[Hour]]&gt;=BN$2),1,0)</f>
        <v>0</v>
      </c>
      <c r="BO65" s="298" cm="1">
        <f t="array" ref="BO65">IF(AND(BO$2&lt;&gt;0,TblTech[[#This Row],[Hour]:[Hour]]&gt;=BO$2),1,0)</f>
        <v>0</v>
      </c>
      <c r="BP65" s="298" cm="1">
        <f t="array" ref="BP65">IF(AND(BP$2&lt;&gt;0,TblTech[[#This Row],[Hour]:[Hour]]&gt;=BP$2),1,0)</f>
        <v>0</v>
      </c>
      <c r="BQ65" s="298" cm="1">
        <f t="array" ref="BQ65">IF(AND(BQ$2&lt;&gt;0,TblTech[[#This Row],[Hour]:[Hour]]&gt;=BQ$2),1,0)</f>
        <v>0</v>
      </c>
      <c r="BR65" s="298" cm="1">
        <f t="array" ref="BR65">IF(AND(BR$2&lt;&gt;0,TblTech[[#This Row],[Hour]:[Hour]]&gt;=BR$2),1,0)</f>
        <v>0</v>
      </c>
      <c r="BS65" s="298" cm="1">
        <f t="array" ref="BS65">IF(AND(BS$2&lt;&gt;0,TblTech[[#This Row],[Hour]:[Hour]]&gt;=BS$2),1,0)</f>
        <v>0</v>
      </c>
      <c r="BT65" s="298" cm="1">
        <f t="array" ref="BT65">IF(AND(BT$2&lt;&gt;0,TblTech[[#This Row],[Hour]:[Hour]]&gt;=BT$2),1,0)</f>
        <v>0</v>
      </c>
      <c r="BU65" s="298" cm="1">
        <f t="array" ref="BU65">IF(AND(BU$2&lt;&gt;0,TblTech[[#This Row],[Hour]:[Hour]]&gt;=BU$2),1,0)</f>
        <v>0</v>
      </c>
      <c r="BV65" s="298" cm="1">
        <f t="array" ref="BV65">IF(AND(BV$2&lt;&gt;0,TblTech[[#This Row],[Hour]:[Hour]]&gt;=BV$2),1,0)</f>
        <v>0</v>
      </c>
      <c r="BW65" s="298" cm="1">
        <f t="array" ref="BW65">IF(AND(BW$2&lt;&gt;0,TblTech[[#This Row],[Hour]:[Hour]]&gt;=BW$2),1,0)</f>
        <v>0</v>
      </c>
      <c r="BX65" s="298" cm="1">
        <f t="array" ref="BX65">IF(AND(BX$2&lt;&gt;0,TblTech[[#This Row],[Hour]:[Hour]]&gt;=BX$2),1,0)</f>
        <v>0</v>
      </c>
      <c r="BY65" s="298" cm="1">
        <f t="array" ref="BY65">IF(AND(BY$2&lt;&gt;0,TblTech[[#This Row],[Hour]:[Hour]]&gt;=BY$2),1,0)</f>
        <v>0</v>
      </c>
      <c r="BZ65" s="298" cm="1">
        <f t="array" ref="BZ65">IF(AND(BZ$2&lt;&gt;0,TblTech[[#This Row],[Hour]:[Hour]]&gt;=BZ$2),1,0)</f>
        <v>0</v>
      </c>
      <c r="CA65" s="402">
        <f>IFERROR(INDEX($H$4:$H$79,MATCH(INDEX(TblTech[[#Headers],[1-1]:[11-1]],1,MATCH(TblTech[[#This Row],[Hour]],$M$2:$BZ$2,0)),$G$4:$G$79,0)),)</f>
        <v>0</v>
      </c>
    </row>
    <row r="66" spans="1:79" x14ac:dyDescent="0.2">
      <c r="A66" s="290">
        <f>TblRezone[[#This Row],[Hour]]</f>
        <v>63</v>
      </c>
      <c r="B66" s="291">
        <f ca="1">TblExplore[[#This Row],[Land-DB]]</f>
        <v>250</v>
      </c>
      <c r="C66" s="292">
        <f ca="1">TblProd[[#This Row],[Techpoints]]</f>
        <v>0</v>
      </c>
      <c r="D66" s="292">
        <f ca="1">TblProd[[#This Row],[Required]]</f>
        <v>3750</v>
      </c>
      <c r="E66" s="293"/>
      <c r="F66" s="294"/>
      <c r="G66" s="295"/>
      <c r="H66" s="296"/>
      <c r="I66" s="295"/>
      <c r="J66" s="291"/>
      <c r="K66" s="95">
        <f ca="1">IF(TblTech[[#This Row],[Sum of tech]]&lt;&gt;OFFSET(TblTech[[#This Row],[Sum of tech]],-1,0),1,0)</f>
        <v>0</v>
      </c>
      <c r="L66" s="297">
        <f>COUNTIF(TblTech[[#This Row],[1-1]:[11-1]],1)</f>
        <v>0</v>
      </c>
      <c r="M66" s="298" cm="1">
        <f t="array" ref="M66">IF(AND(M$2&lt;&gt;0,TblTech[[#This Row],[Hour]:[Hour]]&gt;=M$2),1,0)</f>
        <v>0</v>
      </c>
      <c r="N66" s="298" cm="1">
        <f t="array" ref="N66">IF(AND(N$2&lt;&gt;0,TblTech[[#This Row],[Hour]:[Hour]]&gt;=N$2),1,0)</f>
        <v>0</v>
      </c>
      <c r="O66" s="298" cm="1">
        <f t="array" ref="O66">IF(AND(O$2&lt;&gt;0,TblTech[[#This Row],[Hour]:[Hour]]&gt;=O$2),1,0)</f>
        <v>0</v>
      </c>
      <c r="P66" s="298" cm="1">
        <f t="array" ref="P66">IF(AND(P$2&lt;&gt;0,TblTech[[#This Row],[Hour]:[Hour]]&gt;=P$2),1,0)</f>
        <v>0</v>
      </c>
      <c r="Q66" s="298" cm="1">
        <f t="array" ref="Q66">IF(AND(Q$2&lt;&gt;0,TblTech[[#This Row],[Hour]:[Hour]]&gt;=Q$2),1,0)</f>
        <v>0</v>
      </c>
      <c r="R66" s="298" cm="1">
        <f t="array" ref="R66">IF(AND(R$2&lt;&gt;0,TblTech[[#This Row],[Hour]:[Hour]]&gt;=R$2),1,0)</f>
        <v>0</v>
      </c>
      <c r="S66" s="298" cm="1">
        <f t="array" ref="S66">IF(AND(S$2&lt;&gt;0,TblTech[[#This Row],[Hour]:[Hour]]&gt;=S$2),1,0)</f>
        <v>0</v>
      </c>
      <c r="T66" s="298" cm="1">
        <f t="array" ref="T66">IF(AND(T$2&lt;&gt;0,TblTech[[#This Row],[Hour]:[Hour]]&gt;=T$2),1,0)</f>
        <v>0</v>
      </c>
      <c r="U66" s="298" cm="1">
        <f t="array" ref="U66">IF(AND(U$2&lt;&gt;0,TblTech[[#This Row],[Hour]:[Hour]]&gt;=U$2),1,0)</f>
        <v>0</v>
      </c>
      <c r="V66" s="298" cm="1">
        <f t="array" ref="V66">IF(AND(V$2&lt;&gt;0,TblTech[[#This Row],[Hour]:[Hour]]&gt;=V$2),1,0)</f>
        <v>0</v>
      </c>
      <c r="W66" s="298" cm="1">
        <f t="array" ref="W66">IF(AND(W$2&lt;&gt;0,TblTech[[#This Row],[Hour]:[Hour]]&gt;=W$2),1,0)</f>
        <v>0</v>
      </c>
      <c r="X66" s="298" cm="1">
        <f t="array" ref="X66">IF(AND(X$2&lt;&gt;0,TblTech[[#This Row],[Hour]:[Hour]]&gt;=X$2),1,0)</f>
        <v>0</v>
      </c>
      <c r="Y66" s="298" cm="1">
        <f t="array" ref="Y66">IF(AND(Y$2&lt;&gt;0,TblTech[[#This Row],[Hour]:[Hour]]&gt;=Y$2),1,0)</f>
        <v>0</v>
      </c>
      <c r="Z66" s="298" cm="1">
        <f t="array" ref="Z66">IF(AND(Z$2&lt;&gt;0,TblTech[[#This Row],[Hour]:[Hour]]&gt;=Z$2),1,0)</f>
        <v>0</v>
      </c>
      <c r="AA66" s="298" cm="1">
        <f t="array" ref="AA66">IF(AND(AA$2&lt;&gt;0,TblTech[[#This Row],[Hour]:[Hour]]&gt;=AA$2),1,0)</f>
        <v>0</v>
      </c>
      <c r="AB66" s="298" cm="1">
        <f t="array" ref="AB66">IF(AND(AB$2&lt;&gt;0,TblTech[[#This Row],[Hour]:[Hour]]&gt;=AB$2),1,0)</f>
        <v>0</v>
      </c>
      <c r="AC66" s="298" cm="1">
        <f t="array" ref="AC66">IF(AND(AC$2&lt;&gt;0,TblTech[[#This Row],[Hour]:[Hour]]&gt;=AC$2),1,0)</f>
        <v>0</v>
      </c>
      <c r="AD66" s="298" cm="1">
        <f t="array" ref="AD66">IF(AND(AD$2&lt;&gt;0,TblTech[[#This Row],[Hour]:[Hour]]&gt;=AD$2),1,0)</f>
        <v>0</v>
      </c>
      <c r="AE66" s="298" cm="1">
        <f t="array" ref="AE66">IF(AND(AE$2&lt;&gt;0,TblTech[[#This Row],[Hour]:[Hour]]&gt;=AE$2),1,0)</f>
        <v>0</v>
      </c>
      <c r="AF66" s="298" cm="1">
        <f t="array" ref="AF66">IF(AND(AF$2&lt;&gt;0,TblTech[[#This Row],[Hour]:[Hour]]&gt;=AF$2),1,0)</f>
        <v>0</v>
      </c>
      <c r="AG66" s="298" cm="1">
        <f t="array" ref="AG66">IF(AND(AG$2&lt;&gt;0,TblTech[[#This Row],[Hour]:[Hour]]&gt;=AG$2),1,0)</f>
        <v>0</v>
      </c>
      <c r="AH66" s="298" cm="1">
        <f t="array" ref="AH66">IF(AND(AH$2&lt;&gt;0,TblTech[[#This Row],[Hour]:[Hour]]&gt;=AH$2),1,0)</f>
        <v>0</v>
      </c>
      <c r="AI66" s="298" cm="1">
        <f t="array" ref="AI66">IF(AND(AI$2&lt;&gt;0,TblTech[[#This Row],[Hour]:[Hour]]&gt;=AI$2),1,0)</f>
        <v>0</v>
      </c>
      <c r="AJ66" s="298" cm="1">
        <f t="array" ref="AJ66">IF(AND(AJ$2&lt;&gt;0,TblTech[[#This Row],[Hour]:[Hour]]&gt;=AJ$2),1,0)</f>
        <v>0</v>
      </c>
      <c r="AK66" s="298" cm="1">
        <f t="array" ref="AK66">IF(AND(AK$2&lt;&gt;0,TblTech[[#This Row],[Hour]:[Hour]]&gt;=AK$2),1,0)</f>
        <v>0</v>
      </c>
      <c r="AL66" s="298" cm="1">
        <f t="array" ref="AL66">IF(AND(AL$2&lt;&gt;0,TblTech[[#This Row],[Hour]:[Hour]]&gt;=AL$2),1,0)</f>
        <v>0</v>
      </c>
      <c r="AM66" s="298" cm="1">
        <f t="array" ref="AM66">IF(AND(AM$2&lt;&gt;0,TblTech[[#This Row],[Hour]:[Hour]]&gt;=AM$2),1,0)</f>
        <v>0</v>
      </c>
      <c r="AN66" s="298" cm="1">
        <f t="array" ref="AN66">IF(AND(AN$2&lt;&gt;0,TblTech[[#This Row],[Hour]:[Hour]]&gt;=AN$2),1,0)</f>
        <v>0</v>
      </c>
      <c r="AO66" s="298" cm="1">
        <f t="array" ref="AO66">IF(AND(AO$2&lt;&gt;0,TblTech[[#This Row],[Hour]:[Hour]]&gt;=AO$2),1,0)</f>
        <v>0</v>
      </c>
      <c r="AP66" s="298" cm="1">
        <f t="array" ref="AP66">IF(AND(AP$2&lt;&gt;0,TblTech[[#This Row],[Hour]:[Hour]]&gt;=AP$2),1,0)</f>
        <v>0</v>
      </c>
      <c r="AQ66" s="298" cm="1">
        <f t="array" ref="AQ66">IF(AND(AQ$2&lt;&gt;0,TblTech[[#This Row],[Hour]:[Hour]]&gt;=AQ$2),1,0)</f>
        <v>0</v>
      </c>
      <c r="AR66" s="298" cm="1">
        <f t="array" ref="AR66">IF(AND(AR$2&lt;&gt;0,TblTech[[#This Row],[Hour]:[Hour]]&gt;=AR$2),1,0)</f>
        <v>0</v>
      </c>
      <c r="AS66" s="298" cm="1">
        <f t="array" ref="AS66">IF(AND(AS$2&lt;&gt;0,TblTech[[#This Row],[Hour]:[Hour]]&gt;=AS$2),1,0)</f>
        <v>0</v>
      </c>
      <c r="AT66" s="298" cm="1">
        <f t="array" ref="AT66">IF(AND(AT$2&lt;&gt;0,TblTech[[#This Row],[Hour]:[Hour]]&gt;=AT$2),1,0)</f>
        <v>0</v>
      </c>
      <c r="AU66" s="298" cm="1">
        <f t="array" ref="AU66">IF(AND(AU$2&lt;&gt;0,TblTech[[#This Row],[Hour]:[Hour]]&gt;=AU$2),1,0)</f>
        <v>0</v>
      </c>
      <c r="AV66" s="298" cm="1">
        <f t="array" ref="AV66">IF(AND(AV$2&lt;&gt;0,TblTech[[#This Row],[Hour]:[Hour]]&gt;=AV$2),1,0)</f>
        <v>0</v>
      </c>
      <c r="AW66" s="298" cm="1">
        <f t="array" ref="AW66">IF(AND(AW$2&lt;&gt;0,TblTech[[#This Row],[Hour]:[Hour]]&gt;=AW$2),1,0)</f>
        <v>0</v>
      </c>
      <c r="AX66" s="298" cm="1">
        <f t="array" ref="AX66">IF(AND(AX$2&lt;&gt;0,TblTech[[#This Row],[Hour]:[Hour]]&gt;=AX$2),1,0)</f>
        <v>0</v>
      </c>
      <c r="AY66" s="298" cm="1">
        <f t="array" ref="AY66">IF(AND(AY$2&lt;&gt;0,TblTech[[#This Row],[Hour]:[Hour]]&gt;=AY$2),1,0)</f>
        <v>0</v>
      </c>
      <c r="AZ66" s="298" cm="1">
        <f t="array" ref="AZ66">IF(AND(AZ$2&lt;&gt;0,TblTech[[#This Row],[Hour]:[Hour]]&gt;=AZ$2),1,0)</f>
        <v>0</v>
      </c>
      <c r="BA66" s="298" cm="1">
        <f t="array" ref="BA66">IF(AND(BA$2&lt;&gt;0,TblTech[[#This Row],[Hour]:[Hour]]&gt;=BA$2),1,0)</f>
        <v>0</v>
      </c>
      <c r="BB66" s="298" cm="1">
        <f t="array" ref="BB66">IF(AND(BB$2&lt;&gt;0,TblTech[[#This Row],[Hour]:[Hour]]&gt;=BB$2),1,0)</f>
        <v>0</v>
      </c>
      <c r="BC66" s="298" cm="1">
        <f t="array" ref="BC66">IF(AND(BC$2&lt;&gt;0,TblTech[[#This Row],[Hour]:[Hour]]&gt;=BC$2),1,0)</f>
        <v>0</v>
      </c>
      <c r="BD66" s="298" cm="1">
        <f t="array" ref="BD66">IF(AND(BD$2&lt;&gt;0,TblTech[[#This Row],[Hour]:[Hour]]&gt;=BD$2),1,0)</f>
        <v>0</v>
      </c>
      <c r="BE66" s="298" cm="1">
        <f t="array" ref="BE66">IF(AND(BE$2&lt;&gt;0,TblTech[[#This Row],[Hour]:[Hour]]&gt;=BE$2),1,0)</f>
        <v>0</v>
      </c>
      <c r="BF66" s="298" cm="1">
        <f t="array" ref="BF66">IF(AND(BF$2&lt;&gt;0,TblTech[[#This Row],[Hour]:[Hour]]&gt;=BF$2),1,0)</f>
        <v>0</v>
      </c>
      <c r="BG66" s="298" cm="1">
        <f t="array" ref="BG66">IF(AND(BG$2&lt;&gt;0,TblTech[[#This Row],[Hour]:[Hour]]&gt;=BG$2),1,0)</f>
        <v>0</v>
      </c>
      <c r="BH66" s="298" cm="1">
        <f t="array" ref="BH66">IF(AND(BH$2&lt;&gt;0,TblTech[[#This Row],[Hour]:[Hour]]&gt;=BH$2),1,0)</f>
        <v>0</v>
      </c>
      <c r="BI66" s="298" cm="1">
        <f t="array" ref="BI66">IF(AND(BI$2&lt;&gt;0,TblTech[[#This Row],[Hour]:[Hour]]&gt;=BI$2),1,0)</f>
        <v>0</v>
      </c>
      <c r="BJ66" s="298" cm="1">
        <f t="array" ref="BJ66">IF(AND(BJ$2&lt;&gt;0,TblTech[[#This Row],[Hour]:[Hour]]&gt;=BJ$2),1,0)</f>
        <v>0</v>
      </c>
      <c r="BK66" s="298" cm="1">
        <f t="array" ref="BK66">IF(AND(BK$2&lt;&gt;0,TblTech[[#This Row],[Hour]:[Hour]]&gt;=BK$2),1,0)</f>
        <v>0</v>
      </c>
      <c r="BL66" s="298" cm="1">
        <f t="array" ref="BL66">IF(AND(BL$2&lt;&gt;0,TblTech[[#This Row],[Hour]:[Hour]]&gt;=BL$2),1,0)</f>
        <v>0</v>
      </c>
      <c r="BM66" s="298" cm="1">
        <f t="array" ref="BM66">IF(AND(BM$2&lt;&gt;0,TblTech[[#This Row],[Hour]:[Hour]]&gt;=BM$2),1,0)</f>
        <v>0</v>
      </c>
      <c r="BN66" s="298" cm="1">
        <f t="array" ref="BN66">IF(AND(BN$2&lt;&gt;0,TblTech[[#This Row],[Hour]:[Hour]]&gt;=BN$2),1,0)</f>
        <v>0</v>
      </c>
      <c r="BO66" s="298" cm="1">
        <f t="array" ref="BO66">IF(AND(BO$2&lt;&gt;0,TblTech[[#This Row],[Hour]:[Hour]]&gt;=BO$2),1,0)</f>
        <v>0</v>
      </c>
      <c r="BP66" s="298" cm="1">
        <f t="array" ref="BP66">IF(AND(BP$2&lt;&gt;0,TblTech[[#This Row],[Hour]:[Hour]]&gt;=BP$2),1,0)</f>
        <v>0</v>
      </c>
      <c r="BQ66" s="298" cm="1">
        <f t="array" ref="BQ66">IF(AND(BQ$2&lt;&gt;0,TblTech[[#This Row],[Hour]:[Hour]]&gt;=BQ$2),1,0)</f>
        <v>0</v>
      </c>
      <c r="BR66" s="298" cm="1">
        <f t="array" ref="BR66">IF(AND(BR$2&lt;&gt;0,TblTech[[#This Row],[Hour]:[Hour]]&gt;=BR$2),1,0)</f>
        <v>0</v>
      </c>
      <c r="BS66" s="298" cm="1">
        <f t="array" ref="BS66">IF(AND(BS$2&lt;&gt;0,TblTech[[#This Row],[Hour]:[Hour]]&gt;=BS$2),1,0)</f>
        <v>0</v>
      </c>
      <c r="BT66" s="298" cm="1">
        <f t="array" ref="BT66">IF(AND(BT$2&lt;&gt;0,TblTech[[#This Row],[Hour]:[Hour]]&gt;=BT$2),1,0)</f>
        <v>0</v>
      </c>
      <c r="BU66" s="298" cm="1">
        <f t="array" ref="BU66">IF(AND(BU$2&lt;&gt;0,TblTech[[#This Row],[Hour]:[Hour]]&gt;=BU$2),1,0)</f>
        <v>0</v>
      </c>
      <c r="BV66" s="298" cm="1">
        <f t="array" ref="BV66">IF(AND(BV$2&lt;&gt;0,TblTech[[#This Row],[Hour]:[Hour]]&gt;=BV$2),1,0)</f>
        <v>0</v>
      </c>
      <c r="BW66" s="298" cm="1">
        <f t="array" ref="BW66">IF(AND(BW$2&lt;&gt;0,TblTech[[#This Row],[Hour]:[Hour]]&gt;=BW$2),1,0)</f>
        <v>0</v>
      </c>
      <c r="BX66" s="298" cm="1">
        <f t="array" ref="BX66">IF(AND(BX$2&lt;&gt;0,TblTech[[#This Row],[Hour]:[Hour]]&gt;=BX$2),1,0)</f>
        <v>0</v>
      </c>
      <c r="BY66" s="298" cm="1">
        <f t="array" ref="BY66">IF(AND(BY$2&lt;&gt;0,TblTech[[#This Row],[Hour]:[Hour]]&gt;=BY$2),1,0)</f>
        <v>0</v>
      </c>
      <c r="BZ66" s="298" cm="1">
        <f t="array" ref="BZ66">IF(AND(BZ$2&lt;&gt;0,TblTech[[#This Row],[Hour]:[Hour]]&gt;=BZ$2),1,0)</f>
        <v>0</v>
      </c>
      <c r="CA66" s="402">
        <f>IFERROR(INDEX($H$4:$H$79,MATCH(INDEX(TblTech[[#Headers],[1-1]:[11-1]],1,MATCH(TblTech[[#This Row],[Hour]],$M$2:$BZ$2,0)),$G$4:$G$79,0)),)</f>
        <v>0</v>
      </c>
    </row>
    <row r="67" spans="1:79" x14ac:dyDescent="0.2">
      <c r="A67" s="290">
        <f>TblRezone[[#This Row],[Hour]]</f>
        <v>64</v>
      </c>
      <c r="B67" s="291">
        <f ca="1">TblExplore[[#This Row],[Land-DB]]</f>
        <v>250</v>
      </c>
      <c r="C67" s="292">
        <f ca="1">TblProd[[#This Row],[Techpoints]]</f>
        <v>0</v>
      </c>
      <c r="D67" s="292">
        <f ca="1">TblProd[[#This Row],[Required]]</f>
        <v>3750</v>
      </c>
      <c r="E67" s="293"/>
      <c r="F67" s="294"/>
      <c r="G67" s="295" t="s">
        <v>610</v>
      </c>
      <c r="H67" s="296" t="s">
        <v>1060</v>
      </c>
      <c r="I67" s="295" t="s">
        <v>744</v>
      </c>
      <c r="J67" s="291"/>
      <c r="K67" s="95">
        <f ca="1">IF(TblTech[[#This Row],[Sum of tech]]&lt;&gt;OFFSET(TblTech[[#This Row],[Sum of tech]],-1,0),1,0)</f>
        <v>0</v>
      </c>
      <c r="L67" s="297">
        <f>COUNTIF(TblTech[[#This Row],[1-1]:[11-1]],1)</f>
        <v>0</v>
      </c>
      <c r="M67" s="298" cm="1">
        <f t="array" ref="M67">IF(AND(M$2&lt;&gt;0,TblTech[[#This Row],[Hour]:[Hour]]&gt;=M$2),1,0)</f>
        <v>0</v>
      </c>
      <c r="N67" s="298" cm="1">
        <f t="array" ref="N67">IF(AND(N$2&lt;&gt;0,TblTech[[#This Row],[Hour]:[Hour]]&gt;=N$2),1,0)</f>
        <v>0</v>
      </c>
      <c r="O67" s="298" cm="1">
        <f t="array" ref="O67">IF(AND(O$2&lt;&gt;0,TblTech[[#This Row],[Hour]:[Hour]]&gt;=O$2),1,0)</f>
        <v>0</v>
      </c>
      <c r="P67" s="298" cm="1">
        <f t="array" ref="P67">IF(AND(P$2&lt;&gt;0,TblTech[[#This Row],[Hour]:[Hour]]&gt;=P$2),1,0)</f>
        <v>0</v>
      </c>
      <c r="Q67" s="298" cm="1">
        <f t="array" ref="Q67">IF(AND(Q$2&lt;&gt;0,TblTech[[#This Row],[Hour]:[Hour]]&gt;=Q$2),1,0)</f>
        <v>0</v>
      </c>
      <c r="R67" s="298" cm="1">
        <f t="array" ref="R67">IF(AND(R$2&lt;&gt;0,TblTech[[#This Row],[Hour]:[Hour]]&gt;=R$2),1,0)</f>
        <v>0</v>
      </c>
      <c r="S67" s="298" cm="1">
        <f t="array" ref="S67">IF(AND(S$2&lt;&gt;0,TblTech[[#This Row],[Hour]:[Hour]]&gt;=S$2),1,0)</f>
        <v>0</v>
      </c>
      <c r="T67" s="298" cm="1">
        <f t="array" ref="T67">IF(AND(T$2&lt;&gt;0,TblTech[[#This Row],[Hour]:[Hour]]&gt;=T$2),1,0)</f>
        <v>0</v>
      </c>
      <c r="U67" s="298" cm="1">
        <f t="array" ref="U67">IF(AND(U$2&lt;&gt;0,TblTech[[#This Row],[Hour]:[Hour]]&gt;=U$2),1,0)</f>
        <v>0</v>
      </c>
      <c r="V67" s="298" cm="1">
        <f t="array" ref="V67">IF(AND(V$2&lt;&gt;0,TblTech[[#This Row],[Hour]:[Hour]]&gt;=V$2),1,0)</f>
        <v>0</v>
      </c>
      <c r="W67" s="298" cm="1">
        <f t="array" ref="W67">IF(AND(W$2&lt;&gt;0,TblTech[[#This Row],[Hour]:[Hour]]&gt;=W$2),1,0)</f>
        <v>0</v>
      </c>
      <c r="X67" s="298" cm="1">
        <f t="array" ref="X67">IF(AND(X$2&lt;&gt;0,TblTech[[#This Row],[Hour]:[Hour]]&gt;=X$2),1,0)</f>
        <v>0</v>
      </c>
      <c r="Y67" s="298" cm="1">
        <f t="array" ref="Y67">IF(AND(Y$2&lt;&gt;0,TblTech[[#This Row],[Hour]:[Hour]]&gt;=Y$2),1,0)</f>
        <v>0</v>
      </c>
      <c r="Z67" s="298" cm="1">
        <f t="array" ref="Z67">IF(AND(Z$2&lt;&gt;0,TblTech[[#This Row],[Hour]:[Hour]]&gt;=Z$2),1,0)</f>
        <v>0</v>
      </c>
      <c r="AA67" s="298" cm="1">
        <f t="array" ref="AA67">IF(AND(AA$2&lt;&gt;0,TblTech[[#This Row],[Hour]:[Hour]]&gt;=AA$2),1,0)</f>
        <v>0</v>
      </c>
      <c r="AB67" s="298" cm="1">
        <f t="array" ref="AB67">IF(AND(AB$2&lt;&gt;0,TblTech[[#This Row],[Hour]:[Hour]]&gt;=AB$2),1,0)</f>
        <v>0</v>
      </c>
      <c r="AC67" s="298" cm="1">
        <f t="array" ref="AC67">IF(AND(AC$2&lt;&gt;0,TblTech[[#This Row],[Hour]:[Hour]]&gt;=AC$2),1,0)</f>
        <v>0</v>
      </c>
      <c r="AD67" s="298" cm="1">
        <f t="array" ref="AD67">IF(AND(AD$2&lt;&gt;0,TblTech[[#This Row],[Hour]:[Hour]]&gt;=AD$2),1,0)</f>
        <v>0</v>
      </c>
      <c r="AE67" s="298" cm="1">
        <f t="array" ref="AE67">IF(AND(AE$2&lt;&gt;0,TblTech[[#This Row],[Hour]:[Hour]]&gt;=AE$2),1,0)</f>
        <v>0</v>
      </c>
      <c r="AF67" s="298" cm="1">
        <f t="array" ref="AF67">IF(AND(AF$2&lt;&gt;0,TblTech[[#This Row],[Hour]:[Hour]]&gt;=AF$2),1,0)</f>
        <v>0</v>
      </c>
      <c r="AG67" s="298" cm="1">
        <f t="array" ref="AG67">IF(AND(AG$2&lt;&gt;0,TblTech[[#This Row],[Hour]:[Hour]]&gt;=AG$2),1,0)</f>
        <v>0</v>
      </c>
      <c r="AH67" s="298" cm="1">
        <f t="array" ref="AH67">IF(AND(AH$2&lt;&gt;0,TblTech[[#This Row],[Hour]:[Hour]]&gt;=AH$2),1,0)</f>
        <v>0</v>
      </c>
      <c r="AI67" s="298" cm="1">
        <f t="array" ref="AI67">IF(AND(AI$2&lt;&gt;0,TblTech[[#This Row],[Hour]:[Hour]]&gt;=AI$2),1,0)</f>
        <v>0</v>
      </c>
      <c r="AJ67" s="298" cm="1">
        <f t="array" ref="AJ67">IF(AND(AJ$2&lt;&gt;0,TblTech[[#This Row],[Hour]:[Hour]]&gt;=AJ$2),1,0)</f>
        <v>0</v>
      </c>
      <c r="AK67" s="298" cm="1">
        <f t="array" ref="AK67">IF(AND(AK$2&lt;&gt;0,TblTech[[#This Row],[Hour]:[Hour]]&gt;=AK$2),1,0)</f>
        <v>0</v>
      </c>
      <c r="AL67" s="298" cm="1">
        <f t="array" ref="AL67">IF(AND(AL$2&lt;&gt;0,TblTech[[#This Row],[Hour]:[Hour]]&gt;=AL$2),1,0)</f>
        <v>0</v>
      </c>
      <c r="AM67" s="298" cm="1">
        <f t="array" ref="AM67">IF(AND(AM$2&lt;&gt;0,TblTech[[#This Row],[Hour]:[Hour]]&gt;=AM$2),1,0)</f>
        <v>0</v>
      </c>
      <c r="AN67" s="298" cm="1">
        <f t="array" ref="AN67">IF(AND(AN$2&lt;&gt;0,TblTech[[#This Row],[Hour]:[Hour]]&gt;=AN$2),1,0)</f>
        <v>0</v>
      </c>
      <c r="AO67" s="298" cm="1">
        <f t="array" ref="AO67">IF(AND(AO$2&lt;&gt;0,TblTech[[#This Row],[Hour]:[Hour]]&gt;=AO$2),1,0)</f>
        <v>0</v>
      </c>
      <c r="AP67" s="298" cm="1">
        <f t="array" ref="AP67">IF(AND(AP$2&lt;&gt;0,TblTech[[#This Row],[Hour]:[Hour]]&gt;=AP$2),1,0)</f>
        <v>0</v>
      </c>
      <c r="AQ67" s="298" cm="1">
        <f t="array" ref="AQ67">IF(AND(AQ$2&lt;&gt;0,TblTech[[#This Row],[Hour]:[Hour]]&gt;=AQ$2),1,0)</f>
        <v>0</v>
      </c>
      <c r="AR67" s="298" cm="1">
        <f t="array" ref="AR67">IF(AND(AR$2&lt;&gt;0,TblTech[[#This Row],[Hour]:[Hour]]&gt;=AR$2),1,0)</f>
        <v>0</v>
      </c>
      <c r="AS67" s="298" cm="1">
        <f t="array" ref="AS67">IF(AND(AS$2&lt;&gt;0,TblTech[[#This Row],[Hour]:[Hour]]&gt;=AS$2),1,0)</f>
        <v>0</v>
      </c>
      <c r="AT67" s="298" cm="1">
        <f t="array" ref="AT67">IF(AND(AT$2&lt;&gt;0,TblTech[[#This Row],[Hour]:[Hour]]&gt;=AT$2),1,0)</f>
        <v>0</v>
      </c>
      <c r="AU67" s="298" cm="1">
        <f t="array" ref="AU67">IF(AND(AU$2&lt;&gt;0,TblTech[[#This Row],[Hour]:[Hour]]&gt;=AU$2),1,0)</f>
        <v>0</v>
      </c>
      <c r="AV67" s="298" cm="1">
        <f t="array" ref="AV67">IF(AND(AV$2&lt;&gt;0,TblTech[[#This Row],[Hour]:[Hour]]&gt;=AV$2),1,0)</f>
        <v>0</v>
      </c>
      <c r="AW67" s="298" cm="1">
        <f t="array" ref="AW67">IF(AND(AW$2&lt;&gt;0,TblTech[[#This Row],[Hour]:[Hour]]&gt;=AW$2),1,0)</f>
        <v>0</v>
      </c>
      <c r="AX67" s="298" cm="1">
        <f t="array" ref="AX67">IF(AND(AX$2&lt;&gt;0,TblTech[[#This Row],[Hour]:[Hour]]&gt;=AX$2),1,0)</f>
        <v>0</v>
      </c>
      <c r="AY67" s="298" cm="1">
        <f t="array" ref="AY67">IF(AND(AY$2&lt;&gt;0,TblTech[[#This Row],[Hour]:[Hour]]&gt;=AY$2),1,0)</f>
        <v>0</v>
      </c>
      <c r="AZ67" s="298" cm="1">
        <f t="array" ref="AZ67">IF(AND(AZ$2&lt;&gt;0,TblTech[[#This Row],[Hour]:[Hour]]&gt;=AZ$2),1,0)</f>
        <v>0</v>
      </c>
      <c r="BA67" s="298" cm="1">
        <f t="array" ref="BA67">IF(AND(BA$2&lt;&gt;0,TblTech[[#This Row],[Hour]:[Hour]]&gt;=BA$2),1,0)</f>
        <v>0</v>
      </c>
      <c r="BB67" s="298" cm="1">
        <f t="array" ref="BB67">IF(AND(BB$2&lt;&gt;0,TblTech[[#This Row],[Hour]:[Hour]]&gt;=BB$2),1,0)</f>
        <v>0</v>
      </c>
      <c r="BC67" s="298" cm="1">
        <f t="array" ref="BC67">IF(AND(BC$2&lt;&gt;0,TblTech[[#This Row],[Hour]:[Hour]]&gt;=BC$2),1,0)</f>
        <v>0</v>
      </c>
      <c r="BD67" s="298" cm="1">
        <f t="array" ref="BD67">IF(AND(BD$2&lt;&gt;0,TblTech[[#This Row],[Hour]:[Hour]]&gt;=BD$2),1,0)</f>
        <v>0</v>
      </c>
      <c r="BE67" s="298" cm="1">
        <f t="array" ref="BE67">IF(AND(BE$2&lt;&gt;0,TblTech[[#This Row],[Hour]:[Hour]]&gt;=BE$2),1,0)</f>
        <v>0</v>
      </c>
      <c r="BF67" s="298" cm="1">
        <f t="array" ref="BF67">IF(AND(BF$2&lt;&gt;0,TblTech[[#This Row],[Hour]:[Hour]]&gt;=BF$2),1,0)</f>
        <v>0</v>
      </c>
      <c r="BG67" s="298" cm="1">
        <f t="array" ref="BG67">IF(AND(BG$2&lt;&gt;0,TblTech[[#This Row],[Hour]:[Hour]]&gt;=BG$2),1,0)</f>
        <v>0</v>
      </c>
      <c r="BH67" s="298" cm="1">
        <f t="array" ref="BH67">IF(AND(BH$2&lt;&gt;0,TblTech[[#This Row],[Hour]:[Hour]]&gt;=BH$2),1,0)</f>
        <v>0</v>
      </c>
      <c r="BI67" s="298" cm="1">
        <f t="array" ref="BI67">IF(AND(BI$2&lt;&gt;0,TblTech[[#This Row],[Hour]:[Hour]]&gt;=BI$2),1,0)</f>
        <v>0</v>
      </c>
      <c r="BJ67" s="298" cm="1">
        <f t="array" ref="BJ67">IF(AND(BJ$2&lt;&gt;0,TblTech[[#This Row],[Hour]:[Hour]]&gt;=BJ$2),1,0)</f>
        <v>0</v>
      </c>
      <c r="BK67" s="298" cm="1">
        <f t="array" ref="BK67">IF(AND(BK$2&lt;&gt;0,TblTech[[#This Row],[Hour]:[Hour]]&gt;=BK$2),1,0)</f>
        <v>0</v>
      </c>
      <c r="BL67" s="298" cm="1">
        <f t="array" ref="BL67">IF(AND(BL$2&lt;&gt;0,TblTech[[#This Row],[Hour]:[Hour]]&gt;=BL$2),1,0)</f>
        <v>0</v>
      </c>
      <c r="BM67" s="298" cm="1">
        <f t="array" ref="BM67">IF(AND(BM$2&lt;&gt;0,TblTech[[#This Row],[Hour]:[Hour]]&gt;=BM$2),1,0)</f>
        <v>0</v>
      </c>
      <c r="BN67" s="298" cm="1">
        <f t="array" ref="BN67">IF(AND(BN$2&lt;&gt;0,TblTech[[#This Row],[Hour]:[Hour]]&gt;=BN$2),1,0)</f>
        <v>0</v>
      </c>
      <c r="BO67" s="298" cm="1">
        <f t="array" ref="BO67">IF(AND(BO$2&lt;&gt;0,TblTech[[#This Row],[Hour]:[Hour]]&gt;=BO$2),1,0)</f>
        <v>0</v>
      </c>
      <c r="BP67" s="298" cm="1">
        <f t="array" ref="BP67">IF(AND(BP$2&lt;&gt;0,TblTech[[#This Row],[Hour]:[Hour]]&gt;=BP$2),1,0)</f>
        <v>0</v>
      </c>
      <c r="BQ67" s="298" cm="1">
        <f t="array" ref="BQ67">IF(AND(BQ$2&lt;&gt;0,TblTech[[#This Row],[Hour]:[Hour]]&gt;=BQ$2),1,0)</f>
        <v>0</v>
      </c>
      <c r="BR67" s="298" cm="1">
        <f t="array" ref="BR67">IF(AND(BR$2&lt;&gt;0,TblTech[[#This Row],[Hour]:[Hour]]&gt;=BR$2),1,0)</f>
        <v>0</v>
      </c>
      <c r="BS67" s="298" cm="1">
        <f t="array" ref="BS67">IF(AND(BS$2&lt;&gt;0,TblTech[[#This Row],[Hour]:[Hour]]&gt;=BS$2),1,0)</f>
        <v>0</v>
      </c>
      <c r="BT67" s="298" cm="1">
        <f t="array" ref="BT67">IF(AND(BT$2&lt;&gt;0,TblTech[[#This Row],[Hour]:[Hour]]&gt;=BT$2),1,0)</f>
        <v>0</v>
      </c>
      <c r="BU67" s="298" cm="1">
        <f t="array" ref="BU67">IF(AND(BU$2&lt;&gt;0,TblTech[[#This Row],[Hour]:[Hour]]&gt;=BU$2),1,0)</f>
        <v>0</v>
      </c>
      <c r="BV67" s="298" cm="1">
        <f t="array" ref="BV67">IF(AND(BV$2&lt;&gt;0,TblTech[[#This Row],[Hour]:[Hour]]&gt;=BV$2),1,0)</f>
        <v>0</v>
      </c>
      <c r="BW67" s="298" cm="1">
        <f t="array" ref="BW67">IF(AND(BW$2&lt;&gt;0,TblTech[[#This Row],[Hour]:[Hour]]&gt;=BW$2),1,0)</f>
        <v>0</v>
      </c>
      <c r="BX67" s="298" cm="1">
        <f t="array" ref="BX67">IF(AND(BX$2&lt;&gt;0,TblTech[[#This Row],[Hour]:[Hour]]&gt;=BX$2),1,0)</f>
        <v>0</v>
      </c>
      <c r="BY67" s="298" cm="1">
        <f t="array" ref="BY67">IF(AND(BY$2&lt;&gt;0,TblTech[[#This Row],[Hour]:[Hour]]&gt;=BY$2),1,0)</f>
        <v>0</v>
      </c>
      <c r="BZ67" s="298" cm="1">
        <f t="array" ref="BZ67">IF(AND(BZ$2&lt;&gt;0,TblTech[[#This Row],[Hour]:[Hour]]&gt;=BZ$2),1,0)</f>
        <v>0</v>
      </c>
      <c r="CA67" s="402">
        <f>IFERROR(INDEX($H$4:$H$79,MATCH(INDEX(TblTech[[#Headers],[1-1]:[11-1]],1,MATCH(TblTech[[#This Row],[Hour]],$M$2:$BZ$2,0)),$G$4:$G$79,0)),)</f>
        <v>0</v>
      </c>
    </row>
    <row r="68" spans="1:79" x14ac:dyDescent="0.2">
      <c r="A68" s="290">
        <f>TblRezone[[#This Row],[Hour]]</f>
        <v>65</v>
      </c>
      <c r="B68" s="291">
        <f ca="1">TblExplore[[#This Row],[Land-DB]]</f>
        <v>250</v>
      </c>
      <c r="C68" s="292">
        <f ca="1">TblProd[[#This Row],[Techpoints]]</f>
        <v>0</v>
      </c>
      <c r="D68" s="292">
        <f ca="1">TblProd[[#This Row],[Required]]</f>
        <v>3750</v>
      </c>
      <c r="E68" s="293"/>
      <c r="F68" s="294"/>
      <c r="G68" s="295" t="s">
        <v>611</v>
      </c>
      <c r="H68" s="296" t="s">
        <v>728</v>
      </c>
      <c r="I68" s="295" t="s">
        <v>612</v>
      </c>
      <c r="J68" s="291"/>
      <c r="K68" s="95">
        <f ca="1">IF(TblTech[[#This Row],[Sum of tech]]&lt;&gt;OFFSET(TblTech[[#This Row],[Sum of tech]],-1,0),1,0)</f>
        <v>0</v>
      </c>
      <c r="L68" s="297">
        <f>COUNTIF(TblTech[[#This Row],[1-1]:[11-1]],1)</f>
        <v>0</v>
      </c>
      <c r="M68" s="298" cm="1">
        <f t="array" ref="M68">IF(AND(M$2&lt;&gt;0,TblTech[[#This Row],[Hour]:[Hour]]&gt;=M$2),1,0)</f>
        <v>0</v>
      </c>
      <c r="N68" s="298" cm="1">
        <f t="array" ref="N68">IF(AND(N$2&lt;&gt;0,TblTech[[#This Row],[Hour]:[Hour]]&gt;=N$2),1,0)</f>
        <v>0</v>
      </c>
      <c r="O68" s="298" cm="1">
        <f t="array" ref="O68">IF(AND(O$2&lt;&gt;0,TblTech[[#This Row],[Hour]:[Hour]]&gt;=O$2),1,0)</f>
        <v>0</v>
      </c>
      <c r="P68" s="298" cm="1">
        <f t="array" ref="P68">IF(AND(P$2&lt;&gt;0,TblTech[[#This Row],[Hour]:[Hour]]&gt;=P$2),1,0)</f>
        <v>0</v>
      </c>
      <c r="Q68" s="298" cm="1">
        <f t="array" ref="Q68">IF(AND(Q$2&lt;&gt;0,TblTech[[#This Row],[Hour]:[Hour]]&gt;=Q$2),1,0)</f>
        <v>0</v>
      </c>
      <c r="R68" s="298" cm="1">
        <f t="array" ref="R68">IF(AND(R$2&lt;&gt;0,TblTech[[#This Row],[Hour]:[Hour]]&gt;=R$2),1,0)</f>
        <v>0</v>
      </c>
      <c r="S68" s="298" cm="1">
        <f t="array" ref="S68">IF(AND(S$2&lt;&gt;0,TblTech[[#This Row],[Hour]:[Hour]]&gt;=S$2),1,0)</f>
        <v>0</v>
      </c>
      <c r="T68" s="298" cm="1">
        <f t="array" ref="T68">IF(AND(T$2&lt;&gt;0,TblTech[[#This Row],[Hour]:[Hour]]&gt;=T$2),1,0)</f>
        <v>0</v>
      </c>
      <c r="U68" s="298" cm="1">
        <f t="array" ref="U68">IF(AND(U$2&lt;&gt;0,TblTech[[#This Row],[Hour]:[Hour]]&gt;=U$2),1,0)</f>
        <v>0</v>
      </c>
      <c r="V68" s="298" cm="1">
        <f t="array" ref="V68">IF(AND(V$2&lt;&gt;0,TblTech[[#This Row],[Hour]:[Hour]]&gt;=V$2),1,0)</f>
        <v>0</v>
      </c>
      <c r="W68" s="298" cm="1">
        <f t="array" ref="W68">IF(AND(W$2&lt;&gt;0,TblTech[[#This Row],[Hour]:[Hour]]&gt;=W$2),1,0)</f>
        <v>0</v>
      </c>
      <c r="X68" s="298" cm="1">
        <f t="array" ref="X68">IF(AND(X$2&lt;&gt;0,TblTech[[#This Row],[Hour]:[Hour]]&gt;=X$2),1,0)</f>
        <v>0</v>
      </c>
      <c r="Y68" s="298" cm="1">
        <f t="array" ref="Y68">IF(AND(Y$2&lt;&gt;0,TblTech[[#This Row],[Hour]:[Hour]]&gt;=Y$2),1,0)</f>
        <v>0</v>
      </c>
      <c r="Z68" s="298" cm="1">
        <f t="array" ref="Z68">IF(AND(Z$2&lt;&gt;0,TblTech[[#This Row],[Hour]:[Hour]]&gt;=Z$2),1,0)</f>
        <v>0</v>
      </c>
      <c r="AA68" s="298" cm="1">
        <f t="array" ref="AA68">IF(AND(AA$2&lt;&gt;0,TblTech[[#This Row],[Hour]:[Hour]]&gt;=AA$2),1,0)</f>
        <v>0</v>
      </c>
      <c r="AB68" s="298" cm="1">
        <f t="array" ref="AB68">IF(AND(AB$2&lt;&gt;0,TblTech[[#This Row],[Hour]:[Hour]]&gt;=AB$2),1,0)</f>
        <v>0</v>
      </c>
      <c r="AC68" s="298" cm="1">
        <f t="array" ref="AC68">IF(AND(AC$2&lt;&gt;0,TblTech[[#This Row],[Hour]:[Hour]]&gt;=AC$2),1,0)</f>
        <v>0</v>
      </c>
      <c r="AD68" s="298" cm="1">
        <f t="array" ref="AD68">IF(AND(AD$2&lt;&gt;0,TblTech[[#This Row],[Hour]:[Hour]]&gt;=AD$2),1,0)</f>
        <v>0</v>
      </c>
      <c r="AE68" s="298" cm="1">
        <f t="array" ref="AE68">IF(AND(AE$2&lt;&gt;0,TblTech[[#This Row],[Hour]:[Hour]]&gt;=AE$2),1,0)</f>
        <v>0</v>
      </c>
      <c r="AF68" s="298" cm="1">
        <f t="array" ref="AF68">IF(AND(AF$2&lt;&gt;0,TblTech[[#This Row],[Hour]:[Hour]]&gt;=AF$2),1,0)</f>
        <v>0</v>
      </c>
      <c r="AG68" s="298" cm="1">
        <f t="array" ref="AG68">IF(AND(AG$2&lt;&gt;0,TblTech[[#This Row],[Hour]:[Hour]]&gt;=AG$2),1,0)</f>
        <v>0</v>
      </c>
      <c r="AH68" s="298" cm="1">
        <f t="array" ref="AH68">IF(AND(AH$2&lt;&gt;0,TblTech[[#This Row],[Hour]:[Hour]]&gt;=AH$2),1,0)</f>
        <v>0</v>
      </c>
      <c r="AI68" s="298" cm="1">
        <f t="array" ref="AI68">IF(AND(AI$2&lt;&gt;0,TblTech[[#This Row],[Hour]:[Hour]]&gt;=AI$2),1,0)</f>
        <v>0</v>
      </c>
      <c r="AJ68" s="298" cm="1">
        <f t="array" ref="AJ68">IF(AND(AJ$2&lt;&gt;0,TblTech[[#This Row],[Hour]:[Hour]]&gt;=AJ$2),1,0)</f>
        <v>0</v>
      </c>
      <c r="AK68" s="298" cm="1">
        <f t="array" ref="AK68">IF(AND(AK$2&lt;&gt;0,TblTech[[#This Row],[Hour]:[Hour]]&gt;=AK$2),1,0)</f>
        <v>0</v>
      </c>
      <c r="AL68" s="298" cm="1">
        <f t="array" ref="AL68">IF(AND(AL$2&lt;&gt;0,TblTech[[#This Row],[Hour]:[Hour]]&gt;=AL$2),1,0)</f>
        <v>0</v>
      </c>
      <c r="AM68" s="298" cm="1">
        <f t="array" ref="AM68">IF(AND(AM$2&lt;&gt;0,TblTech[[#This Row],[Hour]:[Hour]]&gt;=AM$2),1,0)</f>
        <v>0</v>
      </c>
      <c r="AN68" s="298" cm="1">
        <f t="array" ref="AN68">IF(AND(AN$2&lt;&gt;0,TblTech[[#This Row],[Hour]:[Hour]]&gt;=AN$2),1,0)</f>
        <v>0</v>
      </c>
      <c r="AO68" s="298" cm="1">
        <f t="array" ref="AO68">IF(AND(AO$2&lt;&gt;0,TblTech[[#This Row],[Hour]:[Hour]]&gt;=AO$2),1,0)</f>
        <v>0</v>
      </c>
      <c r="AP68" s="298" cm="1">
        <f t="array" ref="AP68">IF(AND(AP$2&lt;&gt;0,TblTech[[#This Row],[Hour]:[Hour]]&gt;=AP$2),1,0)</f>
        <v>0</v>
      </c>
      <c r="AQ68" s="298" cm="1">
        <f t="array" ref="AQ68">IF(AND(AQ$2&lt;&gt;0,TblTech[[#This Row],[Hour]:[Hour]]&gt;=AQ$2),1,0)</f>
        <v>0</v>
      </c>
      <c r="AR68" s="298" cm="1">
        <f t="array" ref="AR68">IF(AND(AR$2&lt;&gt;0,TblTech[[#This Row],[Hour]:[Hour]]&gt;=AR$2),1,0)</f>
        <v>0</v>
      </c>
      <c r="AS68" s="298" cm="1">
        <f t="array" ref="AS68">IF(AND(AS$2&lt;&gt;0,TblTech[[#This Row],[Hour]:[Hour]]&gt;=AS$2),1,0)</f>
        <v>0</v>
      </c>
      <c r="AT68" s="298" cm="1">
        <f t="array" ref="AT68">IF(AND(AT$2&lt;&gt;0,TblTech[[#This Row],[Hour]:[Hour]]&gt;=AT$2),1,0)</f>
        <v>0</v>
      </c>
      <c r="AU68" s="298" cm="1">
        <f t="array" ref="AU68">IF(AND(AU$2&lt;&gt;0,TblTech[[#This Row],[Hour]:[Hour]]&gt;=AU$2),1,0)</f>
        <v>0</v>
      </c>
      <c r="AV68" s="298" cm="1">
        <f t="array" ref="AV68">IF(AND(AV$2&lt;&gt;0,TblTech[[#This Row],[Hour]:[Hour]]&gt;=AV$2),1,0)</f>
        <v>0</v>
      </c>
      <c r="AW68" s="298" cm="1">
        <f t="array" ref="AW68">IF(AND(AW$2&lt;&gt;0,TblTech[[#This Row],[Hour]:[Hour]]&gt;=AW$2),1,0)</f>
        <v>0</v>
      </c>
      <c r="AX68" s="298" cm="1">
        <f t="array" ref="AX68">IF(AND(AX$2&lt;&gt;0,TblTech[[#This Row],[Hour]:[Hour]]&gt;=AX$2),1,0)</f>
        <v>0</v>
      </c>
      <c r="AY68" s="298" cm="1">
        <f t="array" ref="AY68">IF(AND(AY$2&lt;&gt;0,TblTech[[#This Row],[Hour]:[Hour]]&gt;=AY$2),1,0)</f>
        <v>0</v>
      </c>
      <c r="AZ68" s="298" cm="1">
        <f t="array" ref="AZ68">IF(AND(AZ$2&lt;&gt;0,TblTech[[#This Row],[Hour]:[Hour]]&gt;=AZ$2),1,0)</f>
        <v>0</v>
      </c>
      <c r="BA68" s="298" cm="1">
        <f t="array" ref="BA68">IF(AND(BA$2&lt;&gt;0,TblTech[[#This Row],[Hour]:[Hour]]&gt;=BA$2),1,0)</f>
        <v>0</v>
      </c>
      <c r="BB68" s="298" cm="1">
        <f t="array" ref="BB68">IF(AND(BB$2&lt;&gt;0,TblTech[[#This Row],[Hour]:[Hour]]&gt;=BB$2),1,0)</f>
        <v>0</v>
      </c>
      <c r="BC68" s="298" cm="1">
        <f t="array" ref="BC68">IF(AND(BC$2&lt;&gt;0,TblTech[[#This Row],[Hour]:[Hour]]&gt;=BC$2),1,0)</f>
        <v>0</v>
      </c>
      <c r="BD68" s="298" cm="1">
        <f t="array" ref="BD68">IF(AND(BD$2&lt;&gt;0,TblTech[[#This Row],[Hour]:[Hour]]&gt;=BD$2),1,0)</f>
        <v>0</v>
      </c>
      <c r="BE68" s="298" cm="1">
        <f t="array" ref="BE68">IF(AND(BE$2&lt;&gt;0,TblTech[[#This Row],[Hour]:[Hour]]&gt;=BE$2),1,0)</f>
        <v>0</v>
      </c>
      <c r="BF68" s="298" cm="1">
        <f t="array" ref="BF68">IF(AND(BF$2&lt;&gt;0,TblTech[[#This Row],[Hour]:[Hour]]&gt;=BF$2),1,0)</f>
        <v>0</v>
      </c>
      <c r="BG68" s="298" cm="1">
        <f t="array" ref="BG68">IF(AND(BG$2&lt;&gt;0,TblTech[[#This Row],[Hour]:[Hour]]&gt;=BG$2),1,0)</f>
        <v>0</v>
      </c>
      <c r="BH68" s="298" cm="1">
        <f t="array" ref="BH68">IF(AND(BH$2&lt;&gt;0,TblTech[[#This Row],[Hour]:[Hour]]&gt;=BH$2),1,0)</f>
        <v>0</v>
      </c>
      <c r="BI68" s="298" cm="1">
        <f t="array" ref="BI68">IF(AND(BI$2&lt;&gt;0,TblTech[[#This Row],[Hour]:[Hour]]&gt;=BI$2),1,0)</f>
        <v>0</v>
      </c>
      <c r="BJ68" s="298" cm="1">
        <f t="array" ref="BJ68">IF(AND(BJ$2&lt;&gt;0,TblTech[[#This Row],[Hour]:[Hour]]&gt;=BJ$2),1,0)</f>
        <v>0</v>
      </c>
      <c r="BK68" s="298" cm="1">
        <f t="array" ref="BK68">IF(AND(BK$2&lt;&gt;0,TblTech[[#This Row],[Hour]:[Hour]]&gt;=BK$2),1,0)</f>
        <v>0</v>
      </c>
      <c r="BL68" s="298" cm="1">
        <f t="array" ref="BL68">IF(AND(BL$2&lt;&gt;0,TblTech[[#This Row],[Hour]:[Hour]]&gt;=BL$2),1,0)</f>
        <v>0</v>
      </c>
      <c r="BM68" s="298" cm="1">
        <f t="array" ref="BM68">IF(AND(BM$2&lt;&gt;0,TblTech[[#This Row],[Hour]:[Hour]]&gt;=BM$2),1,0)</f>
        <v>0</v>
      </c>
      <c r="BN68" s="298" cm="1">
        <f t="array" ref="BN68">IF(AND(BN$2&lt;&gt;0,TblTech[[#This Row],[Hour]:[Hour]]&gt;=BN$2),1,0)</f>
        <v>0</v>
      </c>
      <c r="BO68" s="298" cm="1">
        <f t="array" ref="BO68">IF(AND(BO$2&lt;&gt;0,TblTech[[#This Row],[Hour]:[Hour]]&gt;=BO$2),1,0)</f>
        <v>0</v>
      </c>
      <c r="BP68" s="298" cm="1">
        <f t="array" ref="BP68">IF(AND(BP$2&lt;&gt;0,TblTech[[#This Row],[Hour]:[Hour]]&gt;=BP$2),1,0)</f>
        <v>0</v>
      </c>
      <c r="BQ68" s="298" cm="1">
        <f t="array" ref="BQ68">IF(AND(BQ$2&lt;&gt;0,TblTech[[#This Row],[Hour]:[Hour]]&gt;=BQ$2),1,0)</f>
        <v>0</v>
      </c>
      <c r="BR68" s="298" cm="1">
        <f t="array" ref="BR68">IF(AND(BR$2&lt;&gt;0,TblTech[[#This Row],[Hour]:[Hour]]&gt;=BR$2),1,0)</f>
        <v>0</v>
      </c>
      <c r="BS68" s="298" cm="1">
        <f t="array" ref="BS68">IF(AND(BS$2&lt;&gt;0,TblTech[[#This Row],[Hour]:[Hour]]&gt;=BS$2),1,0)</f>
        <v>0</v>
      </c>
      <c r="BT68" s="298" cm="1">
        <f t="array" ref="BT68">IF(AND(BT$2&lt;&gt;0,TblTech[[#This Row],[Hour]:[Hour]]&gt;=BT$2),1,0)</f>
        <v>0</v>
      </c>
      <c r="BU68" s="298" cm="1">
        <f t="array" ref="BU68">IF(AND(BU$2&lt;&gt;0,TblTech[[#This Row],[Hour]:[Hour]]&gt;=BU$2),1,0)</f>
        <v>0</v>
      </c>
      <c r="BV68" s="298" cm="1">
        <f t="array" ref="BV68">IF(AND(BV$2&lt;&gt;0,TblTech[[#This Row],[Hour]:[Hour]]&gt;=BV$2),1,0)</f>
        <v>0</v>
      </c>
      <c r="BW68" s="298" cm="1">
        <f t="array" ref="BW68">IF(AND(BW$2&lt;&gt;0,TblTech[[#This Row],[Hour]:[Hour]]&gt;=BW$2),1,0)</f>
        <v>0</v>
      </c>
      <c r="BX68" s="298" cm="1">
        <f t="array" ref="BX68">IF(AND(BX$2&lt;&gt;0,TblTech[[#This Row],[Hour]:[Hour]]&gt;=BX$2),1,0)</f>
        <v>0</v>
      </c>
      <c r="BY68" s="298" cm="1">
        <f t="array" ref="BY68">IF(AND(BY$2&lt;&gt;0,TblTech[[#This Row],[Hour]:[Hour]]&gt;=BY$2),1,0)</f>
        <v>0</v>
      </c>
      <c r="BZ68" s="298" cm="1">
        <f t="array" ref="BZ68">IF(AND(BZ$2&lt;&gt;0,TblTech[[#This Row],[Hour]:[Hour]]&gt;=BZ$2),1,0)</f>
        <v>0</v>
      </c>
      <c r="CA68" s="402">
        <f>IFERROR(INDEX($H$4:$H$79,MATCH(INDEX(TblTech[[#Headers],[1-1]:[11-1]],1,MATCH(TblTech[[#This Row],[Hour]],$M$2:$BZ$2,0)),$G$4:$G$79,0)),)</f>
        <v>0</v>
      </c>
    </row>
    <row r="69" spans="1:79" x14ac:dyDescent="0.2">
      <c r="A69" s="290">
        <f>TblRezone[[#This Row],[Hour]]</f>
        <v>66</v>
      </c>
      <c r="B69" s="291">
        <f ca="1">TblExplore[[#This Row],[Land-DB]]</f>
        <v>250</v>
      </c>
      <c r="C69" s="292">
        <f ca="1">TblProd[[#This Row],[Techpoints]]</f>
        <v>0</v>
      </c>
      <c r="D69" s="292">
        <f ca="1">TblProd[[#This Row],[Required]]</f>
        <v>3750</v>
      </c>
      <c r="E69" s="293"/>
      <c r="F69" s="294"/>
      <c r="G69" s="295" t="s">
        <v>613</v>
      </c>
      <c r="H69" s="296" t="s">
        <v>729</v>
      </c>
      <c r="I69" s="295" t="s">
        <v>614</v>
      </c>
      <c r="J69" s="291"/>
      <c r="K69" s="95">
        <f ca="1">IF(TblTech[[#This Row],[Sum of tech]]&lt;&gt;OFFSET(TblTech[[#This Row],[Sum of tech]],-1,0),1,0)</f>
        <v>0</v>
      </c>
      <c r="L69" s="297">
        <f>COUNTIF(TblTech[[#This Row],[1-1]:[11-1]],1)</f>
        <v>0</v>
      </c>
      <c r="M69" s="298" cm="1">
        <f t="array" ref="M69">IF(AND(M$2&lt;&gt;0,TblTech[[#This Row],[Hour]:[Hour]]&gt;=M$2),1,0)</f>
        <v>0</v>
      </c>
      <c r="N69" s="298" cm="1">
        <f t="array" ref="N69">IF(AND(N$2&lt;&gt;0,TblTech[[#This Row],[Hour]:[Hour]]&gt;=N$2),1,0)</f>
        <v>0</v>
      </c>
      <c r="O69" s="298" cm="1">
        <f t="array" ref="O69">IF(AND(O$2&lt;&gt;0,TblTech[[#This Row],[Hour]:[Hour]]&gt;=O$2),1,0)</f>
        <v>0</v>
      </c>
      <c r="P69" s="298" cm="1">
        <f t="array" ref="P69">IF(AND(P$2&lt;&gt;0,TblTech[[#This Row],[Hour]:[Hour]]&gt;=P$2),1,0)</f>
        <v>0</v>
      </c>
      <c r="Q69" s="298" cm="1">
        <f t="array" ref="Q69">IF(AND(Q$2&lt;&gt;0,TblTech[[#This Row],[Hour]:[Hour]]&gt;=Q$2),1,0)</f>
        <v>0</v>
      </c>
      <c r="R69" s="298" cm="1">
        <f t="array" ref="R69">IF(AND(R$2&lt;&gt;0,TblTech[[#This Row],[Hour]:[Hour]]&gt;=R$2),1,0)</f>
        <v>0</v>
      </c>
      <c r="S69" s="298" cm="1">
        <f t="array" ref="S69">IF(AND(S$2&lt;&gt;0,TblTech[[#This Row],[Hour]:[Hour]]&gt;=S$2),1,0)</f>
        <v>0</v>
      </c>
      <c r="T69" s="298" cm="1">
        <f t="array" ref="T69">IF(AND(T$2&lt;&gt;0,TblTech[[#This Row],[Hour]:[Hour]]&gt;=T$2),1,0)</f>
        <v>0</v>
      </c>
      <c r="U69" s="298" cm="1">
        <f t="array" ref="U69">IF(AND(U$2&lt;&gt;0,TblTech[[#This Row],[Hour]:[Hour]]&gt;=U$2),1,0)</f>
        <v>0</v>
      </c>
      <c r="V69" s="298" cm="1">
        <f t="array" ref="V69">IF(AND(V$2&lt;&gt;0,TblTech[[#This Row],[Hour]:[Hour]]&gt;=V$2),1,0)</f>
        <v>0</v>
      </c>
      <c r="W69" s="298" cm="1">
        <f t="array" ref="W69">IF(AND(W$2&lt;&gt;0,TblTech[[#This Row],[Hour]:[Hour]]&gt;=W$2),1,0)</f>
        <v>0</v>
      </c>
      <c r="X69" s="298" cm="1">
        <f t="array" ref="X69">IF(AND(X$2&lt;&gt;0,TblTech[[#This Row],[Hour]:[Hour]]&gt;=X$2),1,0)</f>
        <v>0</v>
      </c>
      <c r="Y69" s="298" cm="1">
        <f t="array" ref="Y69">IF(AND(Y$2&lt;&gt;0,TblTech[[#This Row],[Hour]:[Hour]]&gt;=Y$2),1,0)</f>
        <v>0</v>
      </c>
      <c r="Z69" s="298" cm="1">
        <f t="array" ref="Z69">IF(AND(Z$2&lt;&gt;0,TblTech[[#This Row],[Hour]:[Hour]]&gt;=Z$2),1,0)</f>
        <v>0</v>
      </c>
      <c r="AA69" s="298" cm="1">
        <f t="array" ref="AA69">IF(AND(AA$2&lt;&gt;0,TblTech[[#This Row],[Hour]:[Hour]]&gt;=AA$2),1,0)</f>
        <v>0</v>
      </c>
      <c r="AB69" s="298" cm="1">
        <f t="array" ref="AB69">IF(AND(AB$2&lt;&gt;0,TblTech[[#This Row],[Hour]:[Hour]]&gt;=AB$2),1,0)</f>
        <v>0</v>
      </c>
      <c r="AC69" s="298" cm="1">
        <f t="array" ref="AC69">IF(AND(AC$2&lt;&gt;0,TblTech[[#This Row],[Hour]:[Hour]]&gt;=AC$2),1,0)</f>
        <v>0</v>
      </c>
      <c r="AD69" s="298" cm="1">
        <f t="array" ref="AD69">IF(AND(AD$2&lt;&gt;0,TblTech[[#This Row],[Hour]:[Hour]]&gt;=AD$2),1,0)</f>
        <v>0</v>
      </c>
      <c r="AE69" s="298" cm="1">
        <f t="array" ref="AE69">IF(AND(AE$2&lt;&gt;0,TblTech[[#This Row],[Hour]:[Hour]]&gt;=AE$2),1,0)</f>
        <v>0</v>
      </c>
      <c r="AF69" s="298" cm="1">
        <f t="array" ref="AF69">IF(AND(AF$2&lt;&gt;0,TblTech[[#This Row],[Hour]:[Hour]]&gt;=AF$2),1,0)</f>
        <v>0</v>
      </c>
      <c r="AG69" s="298" cm="1">
        <f t="array" ref="AG69">IF(AND(AG$2&lt;&gt;0,TblTech[[#This Row],[Hour]:[Hour]]&gt;=AG$2),1,0)</f>
        <v>0</v>
      </c>
      <c r="AH69" s="298" cm="1">
        <f t="array" ref="AH69">IF(AND(AH$2&lt;&gt;0,TblTech[[#This Row],[Hour]:[Hour]]&gt;=AH$2),1,0)</f>
        <v>0</v>
      </c>
      <c r="AI69" s="298" cm="1">
        <f t="array" ref="AI69">IF(AND(AI$2&lt;&gt;0,TblTech[[#This Row],[Hour]:[Hour]]&gt;=AI$2),1,0)</f>
        <v>0</v>
      </c>
      <c r="AJ69" s="298" cm="1">
        <f t="array" ref="AJ69">IF(AND(AJ$2&lt;&gt;0,TblTech[[#This Row],[Hour]:[Hour]]&gt;=AJ$2),1,0)</f>
        <v>0</v>
      </c>
      <c r="AK69" s="298" cm="1">
        <f t="array" ref="AK69">IF(AND(AK$2&lt;&gt;0,TblTech[[#This Row],[Hour]:[Hour]]&gt;=AK$2),1,0)</f>
        <v>0</v>
      </c>
      <c r="AL69" s="298" cm="1">
        <f t="array" ref="AL69">IF(AND(AL$2&lt;&gt;0,TblTech[[#This Row],[Hour]:[Hour]]&gt;=AL$2),1,0)</f>
        <v>0</v>
      </c>
      <c r="AM69" s="298" cm="1">
        <f t="array" ref="AM69">IF(AND(AM$2&lt;&gt;0,TblTech[[#This Row],[Hour]:[Hour]]&gt;=AM$2),1,0)</f>
        <v>0</v>
      </c>
      <c r="AN69" s="298" cm="1">
        <f t="array" ref="AN69">IF(AND(AN$2&lt;&gt;0,TblTech[[#This Row],[Hour]:[Hour]]&gt;=AN$2),1,0)</f>
        <v>0</v>
      </c>
      <c r="AO69" s="298" cm="1">
        <f t="array" ref="AO69">IF(AND(AO$2&lt;&gt;0,TblTech[[#This Row],[Hour]:[Hour]]&gt;=AO$2),1,0)</f>
        <v>0</v>
      </c>
      <c r="AP69" s="298" cm="1">
        <f t="array" ref="AP69">IF(AND(AP$2&lt;&gt;0,TblTech[[#This Row],[Hour]:[Hour]]&gt;=AP$2),1,0)</f>
        <v>0</v>
      </c>
      <c r="AQ69" s="298" cm="1">
        <f t="array" ref="AQ69">IF(AND(AQ$2&lt;&gt;0,TblTech[[#This Row],[Hour]:[Hour]]&gt;=AQ$2),1,0)</f>
        <v>0</v>
      </c>
      <c r="AR69" s="298" cm="1">
        <f t="array" ref="AR69">IF(AND(AR$2&lt;&gt;0,TblTech[[#This Row],[Hour]:[Hour]]&gt;=AR$2),1,0)</f>
        <v>0</v>
      </c>
      <c r="AS69" s="298" cm="1">
        <f t="array" ref="AS69">IF(AND(AS$2&lt;&gt;0,TblTech[[#This Row],[Hour]:[Hour]]&gt;=AS$2),1,0)</f>
        <v>0</v>
      </c>
      <c r="AT69" s="298" cm="1">
        <f t="array" ref="AT69">IF(AND(AT$2&lt;&gt;0,TblTech[[#This Row],[Hour]:[Hour]]&gt;=AT$2),1,0)</f>
        <v>0</v>
      </c>
      <c r="AU69" s="298" cm="1">
        <f t="array" ref="AU69">IF(AND(AU$2&lt;&gt;0,TblTech[[#This Row],[Hour]:[Hour]]&gt;=AU$2),1,0)</f>
        <v>0</v>
      </c>
      <c r="AV69" s="298" cm="1">
        <f t="array" ref="AV69">IF(AND(AV$2&lt;&gt;0,TblTech[[#This Row],[Hour]:[Hour]]&gt;=AV$2),1,0)</f>
        <v>0</v>
      </c>
      <c r="AW69" s="298" cm="1">
        <f t="array" ref="AW69">IF(AND(AW$2&lt;&gt;0,TblTech[[#This Row],[Hour]:[Hour]]&gt;=AW$2),1,0)</f>
        <v>0</v>
      </c>
      <c r="AX69" s="298" cm="1">
        <f t="array" ref="AX69">IF(AND(AX$2&lt;&gt;0,TblTech[[#This Row],[Hour]:[Hour]]&gt;=AX$2),1,0)</f>
        <v>0</v>
      </c>
      <c r="AY69" s="298" cm="1">
        <f t="array" ref="AY69">IF(AND(AY$2&lt;&gt;0,TblTech[[#This Row],[Hour]:[Hour]]&gt;=AY$2),1,0)</f>
        <v>0</v>
      </c>
      <c r="AZ69" s="298" cm="1">
        <f t="array" ref="AZ69">IF(AND(AZ$2&lt;&gt;0,TblTech[[#This Row],[Hour]:[Hour]]&gt;=AZ$2),1,0)</f>
        <v>0</v>
      </c>
      <c r="BA69" s="298" cm="1">
        <f t="array" ref="BA69">IF(AND(BA$2&lt;&gt;0,TblTech[[#This Row],[Hour]:[Hour]]&gt;=BA$2),1,0)</f>
        <v>0</v>
      </c>
      <c r="BB69" s="298" cm="1">
        <f t="array" ref="BB69">IF(AND(BB$2&lt;&gt;0,TblTech[[#This Row],[Hour]:[Hour]]&gt;=BB$2),1,0)</f>
        <v>0</v>
      </c>
      <c r="BC69" s="298" cm="1">
        <f t="array" ref="BC69">IF(AND(BC$2&lt;&gt;0,TblTech[[#This Row],[Hour]:[Hour]]&gt;=BC$2),1,0)</f>
        <v>0</v>
      </c>
      <c r="BD69" s="298" cm="1">
        <f t="array" ref="BD69">IF(AND(BD$2&lt;&gt;0,TblTech[[#This Row],[Hour]:[Hour]]&gt;=BD$2),1,0)</f>
        <v>0</v>
      </c>
      <c r="BE69" s="298" cm="1">
        <f t="array" ref="BE69">IF(AND(BE$2&lt;&gt;0,TblTech[[#This Row],[Hour]:[Hour]]&gt;=BE$2),1,0)</f>
        <v>0</v>
      </c>
      <c r="BF69" s="298" cm="1">
        <f t="array" ref="BF69">IF(AND(BF$2&lt;&gt;0,TblTech[[#This Row],[Hour]:[Hour]]&gt;=BF$2),1,0)</f>
        <v>0</v>
      </c>
      <c r="BG69" s="298" cm="1">
        <f t="array" ref="BG69">IF(AND(BG$2&lt;&gt;0,TblTech[[#This Row],[Hour]:[Hour]]&gt;=BG$2),1,0)</f>
        <v>0</v>
      </c>
      <c r="BH69" s="298" cm="1">
        <f t="array" ref="BH69">IF(AND(BH$2&lt;&gt;0,TblTech[[#This Row],[Hour]:[Hour]]&gt;=BH$2),1,0)</f>
        <v>0</v>
      </c>
      <c r="BI69" s="298" cm="1">
        <f t="array" ref="BI69">IF(AND(BI$2&lt;&gt;0,TblTech[[#This Row],[Hour]:[Hour]]&gt;=BI$2),1,0)</f>
        <v>0</v>
      </c>
      <c r="BJ69" s="298" cm="1">
        <f t="array" ref="BJ69">IF(AND(BJ$2&lt;&gt;0,TblTech[[#This Row],[Hour]:[Hour]]&gt;=BJ$2),1,0)</f>
        <v>0</v>
      </c>
      <c r="BK69" s="298" cm="1">
        <f t="array" ref="BK69">IF(AND(BK$2&lt;&gt;0,TblTech[[#This Row],[Hour]:[Hour]]&gt;=BK$2),1,0)</f>
        <v>0</v>
      </c>
      <c r="BL69" s="298" cm="1">
        <f t="array" ref="BL69">IF(AND(BL$2&lt;&gt;0,TblTech[[#This Row],[Hour]:[Hour]]&gt;=BL$2),1,0)</f>
        <v>0</v>
      </c>
      <c r="BM69" s="298" cm="1">
        <f t="array" ref="BM69">IF(AND(BM$2&lt;&gt;0,TblTech[[#This Row],[Hour]:[Hour]]&gt;=BM$2),1,0)</f>
        <v>0</v>
      </c>
      <c r="BN69" s="298" cm="1">
        <f t="array" ref="BN69">IF(AND(BN$2&lt;&gt;0,TblTech[[#This Row],[Hour]:[Hour]]&gt;=BN$2),1,0)</f>
        <v>0</v>
      </c>
      <c r="BO69" s="298" cm="1">
        <f t="array" ref="BO69">IF(AND(BO$2&lt;&gt;0,TblTech[[#This Row],[Hour]:[Hour]]&gt;=BO$2),1,0)</f>
        <v>0</v>
      </c>
      <c r="BP69" s="298" cm="1">
        <f t="array" ref="BP69">IF(AND(BP$2&lt;&gt;0,TblTech[[#This Row],[Hour]:[Hour]]&gt;=BP$2),1,0)</f>
        <v>0</v>
      </c>
      <c r="BQ69" s="298" cm="1">
        <f t="array" ref="BQ69">IF(AND(BQ$2&lt;&gt;0,TblTech[[#This Row],[Hour]:[Hour]]&gt;=BQ$2),1,0)</f>
        <v>0</v>
      </c>
      <c r="BR69" s="298" cm="1">
        <f t="array" ref="BR69">IF(AND(BR$2&lt;&gt;0,TblTech[[#This Row],[Hour]:[Hour]]&gt;=BR$2),1,0)</f>
        <v>0</v>
      </c>
      <c r="BS69" s="298" cm="1">
        <f t="array" ref="BS69">IF(AND(BS$2&lt;&gt;0,TblTech[[#This Row],[Hour]:[Hour]]&gt;=BS$2),1,0)</f>
        <v>0</v>
      </c>
      <c r="BT69" s="298" cm="1">
        <f t="array" ref="BT69">IF(AND(BT$2&lt;&gt;0,TblTech[[#This Row],[Hour]:[Hour]]&gt;=BT$2),1,0)</f>
        <v>0</v>
      </c>
      <c r="BU69" s="298" cm="1">
        <f t="array" ref="BU69">IF(AND(BU$2&lt;&gt;0,TblTech[[#This Row],[Hour]:[Hour]]&gt;=BU$2),1,0)</f>
        <v>0</v>
      </c>
      <c r="BV69" s="298" cm="1">
        <f t="array" ref="BV69">IF(AND(BV$2&lt;&gt;0,TblTech[[#This Row],[Hour]:[Hour]]&gt;=BV$2),1,0)</f>
        <v>0</v>
      </c>
      <c r="BW69" s="298" cm="1">
        <f t="array" ref="BW69">IF(AND(BW$2&lt;&gt;0,TblTech[[#This Row],[Hour]:[Hour]]&gt;=BW$2),1,0)</f>
        <v>0</v>
      </c>
      <c r="BX69" s="298" cm="1">
        <f t="array" ref="BX69">IF(AND(BX$2&lt;&gt;0,TblTech[[#This Row],[Hour]:[Hour]]&gt;=BX$2),1,0)</f>
        <v>0</v>
      </c>
      <c r="BY69" s="298" cm="1">
        <f t="array" ref="BY69">IF(AND(BY$2&lt;&gt;0,TblTech[[#This Row],[Hour]:[Hour]]&gt;=BY$2),1,0)</f>
        <v>0</v>
      </c>
      <c r="BZ69" s="298" cm="1">
        <f t="array" ref="BZ69">IF(AND(BZ$2&lt;&gt;0,TblTech[[#This Row],[Hour]:[Hour]]&gt;=BZ$2),1,0)</f>
        <v>0</v>
      </c>
      <c r="CA69" s="402">
        <f>IFERROR(INDEX($H$4:$H$79,MATCH(INDEX(TblTech[[#Headers],[1-1]:[11-1]],1,MATCH(TblTech[[#This Row],[Hour]],$M$2:$BZ$2,0)),$G$4:$G$79,0)),)</f>
        <v>0</v>
      </c>
    </row>
    <row r="70" spans="1:79" x14ac:dyDescent="0.2">
      <c r="A70" s="290">
        <f>TblRezone[[#This Row],[Hour]]</f>
        <v>67</v>
      </c>
      <c r="B70" s="291">
        <f ca="1">TblExplore[[#This Row],[Land-DB]]</f>
        <v>250</v>
      </c>
      <c r="C70" s="292">
        <f ca="1">TblProd[[#This Row],[Techpoints]]</f>
        <v>0</v>
      </c>
      <c r="D70" s="292">
        <f ca="1">TblProd[[#This Row],[Required]]</f>
        <v>3750</v>
      </c>
      <c r="E70" s="293"/>
      <c r="F70" s="294"/>
      <c r="G70" s="295" t="s">
        <v>615</v>
      </c>
      <c r="H70" s="296" t="s">
        <v>730</v>
      </c>
      <c r="I70" s="295" t="s">
        <v>755</v>
      </c>
      <c r="J70" s="291"/>
      <c r="K70" s="95">
        <f ca="1">IF(TblTech[[#This Row],[Sum of tech]]&lt;&gt;OFFSET(TblTech[[#This Row],[Sum of tech]],-1,0),1,0)</f>
        <v>0</v>
      </c>
      <c r="L70" s="297">
        <f>COUNTIF(TblTech[[#This Row],[1-1]:[11-1]],1)</f>
        <v>0</v>
      </c>
      <c r="M70" s="298" cm="1">
        <f t="array" ref="M70">IF(AND(M$2&lt;&gt;0,TblTech[[#This Row],[Hour]:[Hour]]&gt;=M$2),1,0)</f>
        <v>0</v>
      </c>
      <c r="N70" s="298" cm="1">
        <f t="array" ref="N70">IF(AND(N$2&lt;&gt;0,TblTech[[#This Row],[Hour]:[Hour]]&gt;=N$2),1,0)</f>
        <v>0</v>
      </c>
      <c r="O70" s="298" cm="1">
        <f t="array" ref="O70">IF(AND(O$2&lt;&gt;0,TblTech[[#This Row],[Hour]:[Hour]]&gt;=O$2),1,0)</f>
        <v>0</v>
      </c>
      <c r="P70" s="298" cm="1">
        <f t="array" ref="P70">IF(AND(P$2&lt;&gt;0,TblTech[[#This Row],[Hour]:[Hour]]&gt;=P$2),1,0)</f>
        <v>0</v>
      </c>
      <c r="Q70" s="298" cm="1">
        <f t="array" ref="Q70">IF(AND(Q$2&lt;&gt;0,TblTech[[#This Row],[Hour]:[Hour]]&gt;=Q$2),1,0)</f>
        <v>0</v>
      </c>
      <c r="R70" s="298" cm="1">
        <f t="array" ref="R70">IF(AND(R$2&lt;&gt;0,TblTech[[#This Row],[Hour]:[Hour]]&gt;=R$2),1,0)</f>
        <v>0</v>
      </c>
      <c r="S70" s="298" cm="1">
        <f t="array" ref="S70">IF(AND(S$2&lt;&gt;0,TblTech[[#This Row],[Hour]:[Hour]]&gt;=S$2),1,0)</f>
        <v>0</v>
      </c>
      <c r="T70" s="298" cm="1">
        <f t="array" ref="T70">IF(AND(T$2&lt;&gt;0,TblTech[[#This Row],[Hour]:[Hour]]&gt;=T$2),1,0)</f>
        <v>0</v>
      </c>
      <c r="U70" s="298" cm="1">
        <f t="array" ref="U70">IF(AND(U$2&lt;&gt;0,TblTech[[#This Row],[Hour]:[Hour]]&gt;=U$2),1,0)</f>
        <v>0</v>
      </c>
      <c r="V70" s="298" cm="1">
        <f t="array" ref="V70">IF(AND(V$2&lt;&gt;0,TblTech[[#This Row],[Hour]:[Hour]]&gt;=V$2),1,0)</f>
        <v>0</v>
      </c>
      <c r="W70" s="298" cm="1">
        <f t="array" ref="W70">IF(AND(W$2&lt;&gt;0,TblTech[[#This Row],[Hour]:[Hour]]&gt;=W$2),1,0)</f>
        <v>0</v>
      </c>
      <c r="X70" s="298" cm="1">
        <f t="array" ref="X70">IF(AND(X$2&lt;&gt;0,TblTech[[#This Row],[Hour]:[Hour]]&gt;=X$2),1,0)</f>
        <v>0</v>
      </c>
      <c r="Y70" s="298" cm="1">
        <f t="array" ref="Y70">IF(AND(Y$2&lt;&gt;0,TblTech[[#This Row],[Hour]:[Hour]]&gt;=Y$2),1,0)</f>
        <v>0</v>
      </c>
      <c r="Z70" s="298" cm="1">
        <f t="array" ref="Z70">IF(AND(Z$2&lt;&gt;0,TblTech[[#This Row],[Hour]:[Hour]]&gt;=Z$2),1,0)</f>
        <v>0</v>
      </c>
      <c r="AA70" s="298" cm="1">
        <f t="array" ref="AA70">IF(AND(AA$2&lt;&gt;0,TblTech[[#This Row],[Hour]:[Hour]]&gt;=AA$2),1,0)</f>
        <v>0</v>
      </c>
      <c r="AB70" s="298" cm="1">
        <f t="array" ref="AB70">IF(AND(AB$2&lt;&gt;0,TblTech[[#This Row],[Hour]:[Hour]]&gt;=AB$2),1,0)</f>
        <v>0</v>
      </c>
      <c r="AC70" s="298" cm="1">
        <f t="array" ref="AC70">IF(AND(AC$2&lt;&gt;0,TblTech[[#This Row],[Hour]:[Hour]]&gt;=AC$2),1,0)</f>
        <v>0</v>
      </c>
      <c r="AD70" s="298" cm="1">
        <f t="array" ref="AD70">IF(AND(AD$2&lt;&gt;0,TblTech[[#This Row],[Hour]:[Hour]]&gt;=AD$2),1,0)</f>
        <v>0</v>
      </c>
      <c r="AE70" s="298" cm="1">
        <f t="array" ref="AE70">IF(AND(AE$2&lt;&gt;0,TblTech[[#This Row],[Hour]:[Hour]]&gt;=AE$2),1,0)</f>
        <v>0</v>
      </c>
      <c r="AF70" s="298" cm="1">
        <f t="array" ref="AF70">IF(AND(AF$2&lt;&gt;0,TblTech[[#This Row],[Hour]:[Hour]]&gt;=AF$2),1,0)</f>
        <v>0</v>
      </c>
      <c r="AG70" s="298" cm="1">
        <f t="array" ref="AG70">IF(AND(AG$2&lt;&gt;0,TblTech[[#This Row],[Hour]:[Hour]]&gt;=AG$2),1,0)</f>
        <v>0</v>
      </c>
      <c r="AH70" s="298" cm="1">
        <f t="array" ref="AH70">IF(AND(AH$2&lt;&gt;0,TblTech[[#This Row],[Hour]:[Hour]]&gt;=AH$2),1,0)</f>
        <v>0</v>
      </c>
      <c r="AI70" s="298" cm="1">
        <f t="array" ref="AI70">IF(AND(AI$2&lt;&gt;0,TblTech[[#This Row],[Hour]:[Hour]]&gt;=AI$2),1,0)</f>
        <v>0</v>
      </c>
      <c r="AJ70" s="298" cm="1">
        <f t="array" ref="AJ70">IF(AND(AJ$2&lt;&gt;0,TblTech[[#This Row],[Hour]:[Hour]]&gt;=AJ$2),1,0)</f>
        <v>0</v>
      </c>
      <c r="AK70" s="298" cm="1">
        <f t="array" ref="AK70">IF(AND(AK$2&lt;&gt;0,TblTech[[#This Row],[Hour]:[Hour]]&gt;=AK$2),1,0)</f>
        <v>0</v>
      </c>
      <c r="AL70" s="298" cm="1">
        <f t="array" ref="AL70">IF(AND(AL$2&lt;&gt;0,TblTech[[#This Row],[Hour]:[Hour]]&gt;=AL$2),1,0)</f>
        <v>0</v>
      </c>
      <c r="AM70" s="298" cm="1">
        <f t="array" ref="AM70">IF(AND(AM$2&lt;&gt;0,TblTech[[#This Row],[Hour]:[Hour]]&gt;=AM$2),1,0)</f>
        <v>0</v>
      </c>
      <c r="AN70" s="298" cm="1">
        <f t="array" ref="AN70">IF(AND(AN$2&lt;&gt;0,TblTech[[#This Row],[Hour]:[Hour]]&gt;=AN$2),1,0)</f>
        <v>0</v>
      </c>
      <c r="AO70" s="298" cm="1">
        <f t="array" ref="AO70">IF(AND(AO$2&lt;&gt;0,TblTech[[#This Row],[Hour]:[Hour]]&gt;=AO$2),1,0)</f>
        <v>0</v>
      </c>
      <c r="AP70" s="298" cm="1">
        <f t="array" ref="AP70">IF(AND(AP$2&lt;&gt;0,TblTech[[#This Row],[Hour]:[Hour]]&gt;=AP$2),1,0)</f>
        <v>0</v>
      </c>
      <c r="AQ70" s="298" cm="1">
        <f t="array" ref="AQ70">IF(AND(AQ$2&lt;&gt;0,TblTech[[#This Row],[Hour]:[Hour]]&gt;=AQ$2),1,0)</f>
        <v>0</v>
      </c>
      <c r="AR70" s="298" cm="1">
        <f t="array" ref="AR70">IF(AND(AR$2&lt;&gt;0,TblTech[[#This Row],[Hour]:[Hour]]&gt;=AR$2),1,0)</f>
        <v>0</v>
      </c>
      <c r="AS70" s="298" cm="1">
        <f t="array" ref="AS70">IF(AND(AS$2&lt;&gt;0,TblTech[[#This Row],[Hour]:[Hour]]&gt;=AS$2),1,0)</f>
        <v>0</v>
      </c>
      <c r="AT70" s="298" cm="1">
        <f t="array" ref="AT70">IF(AND(AT$2&lt;&gt;0,TblTech[[#This Row],[Hour]:[Hour]]&gt;=AT$2),1,0)</f>
        <v>0</v>
      </c>
      <c r="AU70" s="298" cm="1">
        <f t="array" ref="AU70">IF(AND(AU$2&lt;&gt;0,TblTech[[#This Row],[Hour]:[Hour]]&gt;=AU$2),1,0)</f>
        <v>0</v>
      </c>
      <c r="AV70" s="298" cm="1">
        <f t="array" ref="AV70">IF(AND(AV$2&lt;&gt;0,TblTech[[#This Row],[Hour]:[Hour]]&gt;=AV$2),1,0)</f>
        <v>0</v>
      </c>
      <c r="AW70" s="298" cm="1">
        <f t="array" ref="AW70">IF(AND(AW$2&lt;&gt;0,TblTech[[#This Row],[Hour]:[Hour]]&gt;=AW$2),1,0)</f>
        <v>0</v>
      </c>
      <c r="AX70" s="298" cm="1">
        <f t="array" ref="AX70">IF(AND(AX$2&lt;&gt;0,TblTech[[#This Row],[Hour]:[Hour]]&gt;=AX$2),1,0)</f>
        <v>0</v>
      </c>
      <c r="AY70" s="298" cm="1">
        <f t="array" ref="AY70">IF(AND(AY$2&lt;&gt;0,TblTech[[#This Row],[Hour]:[Hour]]&gt;=AY$2),1,0)</f>
        <v>0</v>
      </c>
      <c r="AZ70" s="298" cm="1">
        <f t="array" ref="AZ70">IF(AND(AZ$2&lt;&gt;0,TblTech[[#This Row],[Hour]:[Hour]]&gt;=AZ$2),1,0)</f>
        <v>0</v>
      </c>
      <c r="BA70" s="298" cm="1">
        <f t="array" ref="BA70">IF(AND(BA$2&lt;&gt;0,TblTech[[#This Row],[Hour]:[Hour]]&gt;=BA$2),1,0)</f>
        <v>0</v>
      </c>
      <c r="BB70" s="298" cm="1">
        <f t="array" ref="BB70">IF(AND(BB$2&lt;&gt;0,TblTech[[#This Row],[Hour]:[Hour]]&gt;=BB$2),1,0)</f>
        <v>0</v>
      </c>
      <c r="BC70" s="298" cm="1">
        <f t="array" ref="BC70">IF(AND(BC$2&lt;&gt;0,TblTech[[#This Row],[Hour]:[Hour]]&gt;=BC$2),1,0)</f>
        <v>0</v>
      </c>
      <c r="BD70" s="298" cm="1">
        <f t="array" ref="BD70">IF(AND(BD$2&lt;&gt;0,TblTech[[#This Row],[Hour]:[Hour]]&gt;=BD$2),1,0)</f>
        <v>0</v>
      </c>
      <c r="BE70" s="298" cm="1">
        <f t="array" ref="BE70">IF(AND(BE$2&lt;&gt;0,TblTech[[#This Row],[Hour]:[Hour]]&gt;=BE$2),1,0)</f>
        <v>0</v>
      </c>
      <c r="BF70" s="298" cm="1">
        <f t="array" ref="BF70">IF(AND(BF$2&lt;&gt;0,TblTech[[#This Row],[Hour]:[Hour]]&gt;=BF$2),1,0)</f>
        <v>0</v>
      </c>
      <c r="BG70" s="298" cm="1">
        <f t="array" ref="BG70">IF(AND(BG$2&lt;&gt;0,TblTech[[#This Row],[Hour]:[Hour]]&gt;=BG$2),1,0)</f>
        <v>0</v>
      </c>
      <c r="BH70" s="298" cm="1">
        <f t="array" ref="BH70">IF(AND(BH$2&lt;&gt;0,TblTech[[#This Row],[Hour]:[Hour]]&gt;=BH$2),1,0)</f>
        <v>0</v>
      </c>
      <c r="BI70" s="298" cm="1">
        <f t="array" ref="BI70">IF(AND(BI$2&lt;&gt;0,TblTech[[#This Row],[Hour]:[Hour]]&gt;=BI$2),1,0)</f>
        <v>0</v>
      </c>
      <c r="BJ70" s="298" cm="1">
        <f t="array" ref="BJ70">IF(AND(BJ$2&lt;&gt;0,TblTech[[#This Row],[Hour]:[Hour]]&gt;=BJ$2),1,0)</f>
        <v>0</v>
      </c>
      <c r="BK70" s="298" cm="1">
        <f t="array" ref="BK70">IF(AND(BK$2&lt;&gt;0,TblTech[[#This Row],[Hour]:[Hour]]&gt;=BK$2),1,0)</f>
        <v>0</v>
      </c>
      <c r="BL70" s="298" cm="1">
        <f t="array" ref="BL70">IF(AND(BL$2&lt;&gt;0,TblTech[[#This Row],[Hour]:[Hour]]&gt;=BL$2),1,0)</f>
        <v>0</v>
      </c>
      <c r="BM70" s="298" cm="1">
        <f t="array" ref="BM70">IF(AND(BM$2&lt;&gt;0,TblTech[[#This Row],[Hour]:[Hour]]&gt;=BM$2),1,0)</f>
        <v>0</v>
      </c>
      <c r="BN70" s="298" cm="1">
        <f t="array" ref="BN70">IF(AND(BN$2&lt;&gt;0,TblTech[[#This Row],[Hour]:[Hour]]&gt;=BN$2),1,0)</f>
        <v>0</v>
      </c>
      <c r="BO70" s="298" cm="1">
        <f t="array" ref="BO70">IF(AND(BO$2&lt;&gt;0,TblTech[[#This Row],[Hour]:[Hour]]&gt;=BO$2),1,0)</f>
        <v>0</v>
      </c>
      <c r="BP70" s="298" cm="1">
        <f t="array" ref="BP70">IF(AND(BP$2&lt;&gt;0,TblTech[[#This Row],[Hour]:[Hour]]&gt;=BP$2),1,0)</f>
        <v>0</v>
      </c>
      <c r="BQ70" s="298" cm="1">
        <f t="array" ref="BQ70">IF(AND(BQ$2&lt;&gt;0,TblTech[[#This Row],[Hour]:[Hour]]&gt;=BQ$2),1,0)</f>
        <v>0</v>
      </c>
      <c r="BR70" s="298" cm="1">
        <f t="array" ref="BR70">IF(AND(BR$2&lt;&gt;0,TblTech[[#This Row],[Hour]:[Hour]]&gt;=BR$2),1,0)</f>
        <v>0</v>
      </c>
      <c r="BS70" s="298" cm="1">
        <f t="array" ref="BS70">IF(AND(BS$2&lt;&gt;0,TblTech[[#This Row],[Hour]:[Hour]]&gt;=BS$2),1,0)</f>
        <v>0</v>
      </c>
      <c r="BT70" s="298" cm="1">
        <f t="array" ref="BT70">IF(AND(BT$2&lt;&gt;0,TblTech[[#This Row],[Hour]:[Hour]]&gt;=BT$2),1,0)</f>
        <v>0</v>
      </c>
      <c r="BU70" s="298" cm="1">
        <f t="array" ref="BU70">IF(AND(BU$2&lt;&gt;0,TblTech[[#This Row],[Hour]:[Hour]]&gt;=BU$2),1,0)</f>
        <v>0</v>
      </c>
      <c r="BV70" s="298" cm="1">
        <f t="array" ref="BV70">IF(AND(BV$2&lt;&gt;0,TblTech[[#This Row],[Hour]:[Hour]]&gt;=BV$2),1,0)</f>
        <v>0</v>
      </c>
      <c r="BW70" s="298" cm="1">
        <f t="array" ref="BW70">IF(AND(BW$2&lt;&gt;0,TblTech[[#This Row],[Hour]:[Hour]]&gt;=BW$2),1,0)</f>
        <v>0</v>
      </c>
      <c r="BX70" s="298" cm="1">
        <f t="array" ref="BX70">IF(AND(BX$2&lt;&gt;0,TblTech[[#This Row],[Hour]:[Hour]]&gt;=BX$2),1,0)</f>
        <v>0</v>
      </c>
      <c r="BY70" s="298" cm="1">
        <f t="array" ref="BY70">IF(AND(BY$2&lt;&gt;0,TblTech[[#This Row],[Hour]:[Hour]]&gt;=BY$2),1,0)</f>
        <v>0</v>
      </c>
      <c r="BZ70" s="298" cm="1">
        <f t="array" ref="BZ70">IF(AND(BZ$2&lt;&gt;0,TblTech[[#This Row],[Hour]:[Hour]]&gt;=BZ$2),1,0)</f>
        <v>0</v>
      </c>
      <c r="CA70" s="402">
        <f>IFERROR(INDEX($H$4:$H$79,MATCH(INDEX(TblTech[[#Headers],[1-1]:[11-1]],1,MATCH(TblTech[[#This Row],[Hour]],$M$2:$BZ$2,0)),$G$4:$G$79,0)),)</f>
        <v>0</v>
      </c>
    </row>
    <row r="71" spans="1:79" x14ac:dyDescent="0.2">
      <c r="A71" s="290">
        <f>TblRezone[[#This Row],[Hour]]</f>
        <v>68</v>
      </c>
      <c r="B71" s="291">
        <f ca="1">TblExplore[[#This Row],[Land-DB]]</f>
        <v>250</v>
      </c>
      <c r="C71" s="292">
        <f ca="1">TblProd[[#This Row],[Techpoints]]</f>
        <v>0</v>
      </c>
      <c r="D71" s="292">
        <f ca="1">TblProd[[#This Row],[Required]]</f>
        <v>3750</v>
      </c>
      <c r="E71" s="293"/>
      <c r="F71" s="294"/>
      <c r="G71" s="295"/>
      <c r="H71" s="296"/>
      <c r="I71" s="295"/>
      <c r="J71" s="291"/>
      <c r="K71" s="95">
        <f ca="1">IF(TblTech[[#This Row],[Sum of tech]]&lt;&gt;OFFSET(TblTech[[#This Row],[Sum of tech]],-1,0),1,0)</f>
        <v>0</v>
      </c>
      <c r="L71" s="297">
        <f>COUNTIF(TblTech[[#This Row],[1-1]:[11-1]],1)</f>
        <v>0</v>
      </c>
      <c r="M71" s="298" cm="1">
        <f t="array" ref="M71">IF(AND(M$2&lt;&gt;0,TblTech[[#This Row],[Hour]:[Hour]]&gt;=M$2),1,0)</f>
        <v>0</v>
      </c>
      <c r="N71" s="298" cm="1">
        <f t="array" ref="N71">IF(AND(N$2&lt;&gt;0,TblTech[[#This Row],[Hour]:[Hour]]&gt;=N$2),1,0)</f>
        <v>0</v>
      </c>
      <c r="O71" s="298" cm="1">
        <f t="array" ref="O71">IF(AND(O$2&lt;&gt;0,TblTech[[#This Row],[Hour]:[Hour]]&gt;=O$2),1,0)</f>
        <v>0</v>
      </c>
      <c r="P71" s="298" cm="1">
        <f t="array" ref="P71">IF(AND(P$2&lt;&gt;0,TblTech[[#This Row],[Hour]:[Hour]]&gt;=P$2),1,0)</f>
        <v>0</v>
      </c>
      <c r="Q71" s="298" cm="1">
        <f t="array" ref="Q71">IF(AND(Q$2&lt;&gt;0,TblTech[[#This Row],[Hour]:[Hour]]&gt;=Q$2),1,0)</f>
        <v>0</v>
      </c>
      <c r="R71" s="298" cm="1">
        <f t="array" ref="R71">IF(AND(R$2&lt;&gt;0,TblTech[[#This Row],[Hour]:[Hour]]&gt;=R$2),1,0)</f>
        <v>0</v>
      </c>
      <c r="S71" s="298" cm="1">
        <f t="array" ref="S71">IF(AND(S$2&lt;&gt;0,TblTech[[#This Row],[Hour]:[Hour]]&gt;=S$2),1,0)</f>
        <v>0</v>
      </c>
      <c r="T71" s="298" cm="1">
        <f t="array" ref="T71">IF(AND(T$2&lt;&gt;0,TblTech[[#This Row],[Hour]:[Hour]]&gt;=T$2),1,0)</f>
        <v>0</v>
      </c>
      <c r="U71" s="298" cm="1">
        <f t="array" ref="U71">IF(AND(U$2&lt;&gt;0,TblTech[[#This Row],[Hour]:[Hour]]&gt;=U$2),1,0)</f>
        <v>0</v>
      </c>
      <c r="V71" s="298" cm="1">
        <f t="array" ref="V71">IF(AND(V$2&lt;&gt;0,TblTech[[#This Row],[Hour]:[Hour]]&gt;=V$2),1,0)</f>
        <v>0</v>
      </c>
      <c r="W71" s="298" cm="1">
        <f t="array" ref="W71">IF(AND(W$2&lt;&gt;0,TblTech[[#This Row],[Hour]:[Hour]]&gt;=W$2),1,0)</f>
        <v>0</v>
      </c>
      <c r="X71" s="298" cm="1">
        <f t="array" ref="X71">IF(AND(X$2&lt;&gt;0,TblTech[[#This Row],[Hour]:[Hour]]&gt;=X$2),1,0)</f>
        <v>0</v>
      </c>
      <c r="Y71" s="298" cm="1">
        <f t="array" ref="Y71">IF(AND(Y$2&lt;&gt;0,TblTech[[#This Row],[Hour]:[Hour]]&gt;=Y$2),1,0)</f>
        <v>0</v>
      </c>
      <c r="Z71" s="298" cm="1">
        <f t="array" ref="Z71">IF(AND(Z$2&lt;&gt;0,TblTech[[#This Row],[Hour]:[Hour]]&gt;=Z$2),1,0)</f>
        <v>0</v>
      </c>
      <c r="AA71" s="298" cm="1">
        <f t="array" ref="AA71">IF(AND(AA$2&lt;&gt;0,TblTech[[#This Row],[Hour]:[Hour]]&gt;=AA$2),1,0)</f>
        <v>0</v>
      </c>
      <c r="AB71" s="298" cm="1">
        <f t="array" ref="AB71">IF(AND(AB$2&lt;&gt;0,TblTech[[#This Row],[Hour]:[Hour]]&gt;=AB$2),1,0)</f>
        <v>0</v>
      </c>
      <c r="AC71" s="298" cm="1">
        <f t="array" ref="AC71">IF(AND(AC$2&lt;&gt;0,TblTech[[#This Row],[Hour]:[Hour]]&gt;=AC$2),1,0)</f>
        <v>0</v>
      </c>
      <c r="AD71" s="298" cm="1">
        <f t="array" ref="AD71">IF(AND(AD$2&lt;&gt;0,TblTech[[#This Row],[Hour]:[Hour]]&gt;=AD$2),1,0)</f>
        <v>0</v>
      </c>
      <c r="AE71" s="298" cm="1">
        <f t="array" ref="AE71">IF(AND(AE$2&lt;&gt;0,TblTech[[#This Row],[Hour]:[Hour]]&gt;=AE$2),1,0)</f>
        <v>0</v>
      </c>
      <c r="AF71" s="298" cm="1">
        <f t="array" ref="AF71">IF(AND(AF$2&lt;&gt;0,TblTech[[#This Row],[Hour]:[Hour]]&gt;=AF$2),1,0)</f>
        <v>0</v>
      </c>
      <c r="AG71" s="298" cm="1">
        <f t="array" ref="AG71">IF(AND(AG$2&lt;&gt;0,TblTech[[#This Row],[Hour]:[Hour]]&gt;=AG$2),1,0)</f>
        <v>0</v>
      </c>
      <c r="AH71" s="298" cm="1">
        <f t="array" ref="AH71">IF(AND(AH$2&lt;&gt;0,TblTech[[#This Row],[Hour]:[Hour]]&gt;=AH$2),1,0)</f>
        <v>0</v>
      </c>
      <c r="AI71" s="298" cm="1">
        <f t="array" ref="AI71">IF(AND(AI$2&lt;&gt;0,TblTech[[#This Row],[Hour]:[Hour]]&gt;=AI$2),1,0)</f>
        <v>0</v>
      </c>
      <c r="AJ71" s="298" cm="1">
        <f t="array" ref="AJ71">IF(AND(AJ$2&lt;&gt;0,TblTech[[#This Row],[Hour]:[Hour]]&gt;=AJ$2),1,0)</f>
        <v>0</v>
      </c>
      <c r="AK71" s="298" cm="1">
        <f t="array" ref="AK71">IF(AND(AK$2&lt;&gt;0,TblTech[[#This Row],[Hour]:[Hour]]&gt;=AK$2),1,0)</f>
        <v>0</v>
      </c>
      <c r="AL71" s="298" cm="1">
        <f t="array" ref="AL71">IF(AND(AL$2&lt;&gt;0,TblTech[[#This Row],[Hour]:[Hour]]&gt;=AL$2),1,0)</f>
        <v>0</v>
      </c>
      <c r="AM71" s="298" cm="1">
        <f t="array" ref="AM71">IF(AND(AM$2&lt;&gt;0,TblTech[[#This Row],[Hour]:[Hour]]&gt;=AM$2),1,0)</f>
        <v>0</v>
      </c>
      <c r="AN71" s="298" cm="1">
        <f t="array" ref="AN71">IF(AND(AN$2&lt;&gt;0,TblTech[[#This Row],[Hour]:[Hour]]&gt;=AN$2),1,0)</f>
        <v>0</v>
      </c>
      <c r="AO71" s="298" cm="1">
        <f t="array" ref="AO71">IF(AND(AO$2&lt;&gt;0,TblTech[[#This Row],[Hour]:[Hour]]&gt;=AO$2),1,0)</f>
        <v>0</v>
      </c>
      <c r="AP71" s="298" cm="1">
        <f t="array" ref="AP71">IF(AND(AP$2&lt;&gt;0,TblTech[[#This Row],[Hour]:[Hour]]&gt;=AP$2),1,0)</f>
        <v>0</v>
      </c>
      <c r="AQ71" s="298" cm="1">
        <f t="array" ref="AQ71">IF(AND(AQ$2&lt;&gt;0,TblTech[[#This Row],[Hour]:[Hour]]&gt;=AQ$2),1,0)</f>
        <v>0</v>
      </c>
      <c r="AR71" s="298" cm="1">
        <f t="array" ref="AR71">IF(AND(AR$2&lt;&gt;0,TblTech[[#This Row],[Hour]:[Hour]]&gt;=AR$2),1,0)</f>
        <v>0</v>
      </c>
      <c r="AS71" s="298" cm="1">
        <f t="array" ref="AS71">IF(AND(AS$2&lt;&gt;0,TblTech[[#This Row],[Hour]:[Hour]]&gt;=AS$2),1,0)</f>
        <v>0</v>
      </c>
      <c r="AT71" s="298" cm="1">
        <f t="array" ref="AT71">IF(AND(AT$2&lt;&gt;0,TblTech[[#This Row],[Hour]:[Hour]]&gt;=AT$2),1,0)</f>
        <v>0</v>
      </c>
      <c r="AU71" s="298" cm="1">
        <f t="array" ref="AU71">IF(AND(AU$2&lt;&gt;0,TblTech[[#This Row],[Hour]:[Hour]]&gt;=AU$2),1,0)</f>
        <v>0</v>
      </c>
      <c r="AV71" s="298" cm="1">
        <f t="array" ref="AV71">IF(AND(AV$2&lt;&gt;0,TblTech[[#This Row],[Hour]:[Hour]]&gt;=AV$2),1,0)</f>
        <v>0</v>
      </c>
      <c r="AW71" s="298" cm="1">
        <f t="array" ref="AW71">IF(AND(AW$2&lt;&gt;0,TblTech[[#This Row],[Hour]:[Hour]]&gt;=AW$2),1,0)</f>
        <v>0</v>
      </c>
      <c r="AX71" s="298" cm="1">
        <f t="array" ref="AX71">IF(AND(AX$2&lt;&gt;0,TblTech[[#This Row],[Hour]:[Hour]]&gt;=AX$2),1,0)</f>
        <v>0</v>
      </c>
      <c r="AY71" s="298" cm="1">
        <f t="array" ref="AY71">IF(AND(AY$2&lt;&gt;0,TblTech[[#This Row],[Hour]:[Hour]]&gt;=AY$2),1,0)</f>
        <v>0</v>
      </c>
      <c r="AZ71" s="298" cm="1">
        <f t="array" ref="AZ71">IF(AND(AZ$2&lt;&gt;0,TblTech[[#This Row],[Hour]:[Hour]]&gt;=AZ$2),1,0)</f>
        <v>0</v>
      </c>
      <c r="BA71" s="298" cm="1">
        <f t="array" ref="BA71">IF(AND(BA$2&lt;&gt;0,TblTech[[#This Row],[Hour]:[Hour]]&gt;=BA$2),1,0)</f>
        <v>0</v>
      </c>
      <c r="BB71" s="298" cm="1">
        <f t="array" ref="BB71">IF(AND(BB$2&lt;&gt;0,TblTech[[#This Row],[Hour]:[Hour]]&gt;=BB$2),1,0)</f>
        <v>0</v>
      </c>
      <c r="BC71" s="298" cm="1">
        <f t="array" ref="BC71">IF(AND(BC$2&lt;&gt;0,TblTech[[#This Row],[Hour]:[Hour]]&gt;=BC$2),1,0)</f>
        <v>0</v>
      </c>
      <c r="BD71" s="298" cm="1">
        <f t="array" ref="BD71">IF(AND(BD$2&lt;&gt;0,TblTech[[#This Row],[Hour]:[Hour]]&gt;=BD$2),1,0)</f>
        <v>0</v>
      </c>
      <c r="BE71" s="298" cm="1">
        <f t="array" ref="BE71">IF(AND(BE$2&lt;&gt;0,TblTech[[#This Row],[Hour]:[Hour]]&gt;=BE$2),1,0)</f>
        <v>0</v>
      </c>
      <c r="BF71" s="298" cm="1">
        <f t="array" ref="BF71">IF(AND(BF$2&lt;&gt;0,TblTech[[#This Row],[Hour]:[Hour]]&gt;=BF$2),1,0)</f>
        <v>0</v>
      </c>
      <c r="BG71" s="298" cm="1">
        <f t="array" ref="BG71">IF(AND(BG$2&lt;&gt;0,TblTech[[#This Row],[Hour]:[Hour]]&gt;=BG$2),1,0)</f>
        <v>0</v>
      </c>
      <c r="BH71" s="298" cm="1">
        <f t="array" ref="BH71">IF(AND(BH$2&lt;&gt;0,TblTech[[#This Row],[Hour]:[Hour]]&gt;=BH$2),1,0)</f>
        <v>0</v>
      </c>
      <c r="BI71" s="298" cm="1">
        <f t="array" ref="BI71">IF(AND(BI$2&lt;&gt;0,TblTech[[#This Row],[Hour]:[Hour]]&gt;=BI$2),1,0)</f>
        <v>0</v>
      </c>
      <c r="BJ71" s="298" cm="1">
        <f t="array" ref="BJ71">IF(AND(BJ$2&lt;&gt;0,TblTech[[#This Row],[Hour]:[Hour]]&gt;=BJ$2),1,0)</f>
        <v>0</v>
      </c>
      <c r="BK71" s="298" cm="1">
        <f t="array" ref="BK71">IF(AND(BK$2&lt;&gt;0,TblTech[[#This Row],[Hour]:[Hour]]&gt;=BK$2),1,0)</f>
        <v>0</v>
      </c>
      <c r="BL71" s="298" cm="1">
        <f t="array" ref="BL71">IF(AND(BL$2&lt;&gt;0,TblTech[[#This Row],[Hour]:[Hour]]&gt;=BL$2),1,0)</f>
        <v>0</v>
      </c>
      <c r="BM71" s="298" cm="1">
        <f t="array" ref="BM71">IF(AND(BM$2&lt;&gt;0,TblTech[[#This Row],[Hour]:[Hour]]&gt;=BM$2),1,0)</f>
        <v>0</v>
      </c>
      <c r="BN71" s="298" cm="1">
        <f t="array" ref="BN71">IF(AND(BN$2&lt;&gt;0,TblTech[[#This Row],[Hour]:[Hour]]&gt;=BN$2),1,0)</f>
        <v>0</v>
      </c>
      <c r="BO71" s="298" cm="1">
        <f t="array" ref="BO71">IF(AND(BO$2&lt;&gt;0,TblTech[[#This Row],[Hour]:[Hour]]&gt;=BO$2),1,0)</f>
        <v>0</v>
      </c>
      <c r="BP71" s="298" cm="1">
        <f t="array" ref="BP71">IF(AND(BP$2&lt;&gt;0,TblTech[[#This Row],[Hour]:[Hour]]&gt;=BP$2),1,0)</f>
        <v>0</v>
      </c>
      <c r="BQ71" s="298" cm="1">
        <f t="array" ref="BQ71">IF(AND(BQ$2&lt;&gt;0,TblTech[[#This Row],[Hour]:[Hour]]&gt;=BQ$2),1,0)</f>
        <v>0</v>
      </c>
      <c r="BR71" s="298" cm="1">
        <f t="array" ref="BR71">IF(AND(BR$2&lt;&gt;0,TblTech[[#This Row],[Hour]:[Hour]]&gt;=BR$2),1,0)</f>
        <v>0</v>
      </c>
      <c r="BS71" s="298" cm="1">
        <f t="array" ref="BS71">IF(AND(BS$2&lt;&gt;0,TblTech[[#This Row],[Hour]:[Hour]]&gt;=BS$2),1,0)</f>
        <v>0</v>
      </c>
      <c r="BT71" s="298" cm="1">
        <f t="array" ref="BT71">IF(AND(BT$2&lt;&gt;0,TblTech[[#This Row],[Hour]:[Hour]]&gt;=BT$2),1,0)</f>
        <v>0</v>
      </c>
      <c r="BU71" s="298" cm="1">
        <f t="array" ref="BU71">IF(AND(BU$2&lt;&gt;0,TblTech[[#This Row],[Hour]:[Hour]]&gt;=BU$2),1,0)</f>
        <v>0</v>
      </c>
      <c r="BV71" s="298" cm="1">
        <f t="array" ref="BV71">IF(AND(BV$2&lt;&gt;0,TblTech[[#This Row],[Hour]:[Hour]]&gt;=BV$2),1,0)</f>
        <v>0</v>
      </c>
      <c r="BW71" s="298" cm="1">
        <f t="array" ref="BW71">IF(AND(BW$2&lt;&gt;0,TblTech[[#This Row],[Hour]:[Hour]]&gt;=BW$2),1,0)</f>
        <v>0</v>
      </c>
      <c r="BX71" s="298" cm="1">
        <f t="array" ref="BX71">IF(AND(BX$2&lt;&gt;0,TblTech[[#This Row],[Hour]:[Hour]]&gt;=BX$2),1,0)</f>
        <v>0</v>
      </c>
      <c r="BY71" s="298" cm="1">
        <f t="array" ref="BY71">IF(AND(BY$2&lt;&gt;0,TblTech[[#This Row],[Hour]:[Hour]]&gt;=BY$2),1,0)</f>
        <v>0</v>
      </c>
      <c r="BZ71" s="298" cm="1">
        <f t="array" ref="BZ71">IF(AND(BZ$2&lt;&gt;0,TblTech[[#This Row],[Hour]:[Hour]]&gt;=BZ$2),1,0)</f>
        <v>0</v>
      </c>
      <c r="CA71" s="402">
        <f>IFERROR(INDEX($H$4:$H$79,MATCH(INDEX(TblTech[[#Headers],[1-1]:[11-1]],1,MATCH(TblTech[[#This Row],[Hour]],$M$2:$BZ$2,0)),$G$4:$G$79,0)),)</f>
        <v>0</v>
      </c>
    </row>
    <row r="72" spans="1:79" x14ac:dyDescent="0.2">
      <c r="A72" s="290">
        <f>TblRezone[[#This Row],[Hour]]</f>
        <v>69</v>
      </c>
      <c r="B72" s="291">
        <f ca="1">TblExplore[[#This Row],[Land-DB]]</f>
        <v>250</v>
      </c>
      <c r="C72" s="292">
        <f ca="1">TblProd[[#This Row],[Techpoints]]</f>
        <v>0</v>
      </c>
      <c r="D72" s="292">
        <f ca="1">TblProd[[#This Row],[Required]]</f>
        <v>3750</v>
      </c>
      <c r="E72" s="293"/>
      <c r="F72" s="294"/>
      <c r="G72" s="295" t="s">
        <v>616</v>
      </c>
      <c r="H72" s="296" t="s">
        <v>731</v>
      </c>
      <c r="I72" s="295" t="s">
        <v>617</v>
      </c>
      <c r="J72" s="291"/>
      <c r="K72" s="95">
        <f ca="1">IF(TblTech[[#This Row],[Sum of tech]]&lt;&gt;OFFSET(TblTech[[#This Row],[Sum of tech]],-1,0),1,0)</f>
        <v>0</v>
      </c>
      <c r="L72" s="297">
        <f>COUNTIF(TblTech[[#This Row],[1-1]:[11-1]],1)</f>
        <v>0</v>
      </c>
      <c r="M72" s="298" cm="1">
        <f t="array" ref="M72">IF(AND(M$2&lt;&gt;0,TblTech[[#This Row],[Hour]:[Hour]]&gt;=M$2),1,0)</f>
        <v>0</v>
      </c>
      <c r="N72" s="298" cm="1">
        <f t="array" ref="N72">IF(AND(N$2&lt;&gt;0,TblTech[[#This Row],[Hour]:[Hour]]&gt;=N$2),1,0)</f>
        <v>0</v>
      </c>
      <c r="O72" s="298" cm="1">
        <f t="array" ref="O72">IF(AND(O$2&lt;&gt;0,TblTech[[#This Row],[Hour]:[Hour]]&gt;=O$2),1,0)</f>
        <v>0</v>
      </c>
      <c r="P72" s="298" cm="1">
        <f t="array" ref="P72">IF(AND(P$2&lt;&gt;0,TblTech[[#This Row],[Hour]:[Hour]]&gt;=P$2),1,0)</f>
        <v>0</v>
      </c>
      <c r="Q72" s="298" cm="1">
        <f t="array" ref="Q72">IF(AND(Q$2&lt;&gt;0,TblTech[[#This Row],[Hour]:[Hour]]&gt;=Q$2),1,0)</f>
        <v>0</v>
      </c>
      <c r="R72" s="298" cm="1">
        <f t="array" ref="R72">IF(AND(R$2&lt;&gt;0,TblTech[[#This Row],[Hour]:[Hour]]&gt;=R$2),1,0)</f>
        <v>0</v>
      </c>
      <c r="S72" s="298" cm="1">
        <f t="array" ref="S72">IF(AND(S$2&lt;&gt;0,TblTech[[#This Row],[Hour]:[Hour]]&gt;=S$2),1,0)</f>
        <v>0</v>
      </c>
      <c r="T72" s="298" cm="1">
        <f t="array" ref="T72">IF(AND(T$2&lt;&gt;0,TblTech[[#This Row],[Hour]:[Hour]]&gt;=T$2),1,0)</f>
        <v>0</v>
      </c>
      <c r="U72" s="298" cm="1">
        <f t="array" ref="U72">IF(AND(U$2&lt;&gt;0,TblTech[[#This Row],[Hour]:[Hour]]&gt;=U$2),1,0)</f>
        <v>0</v>
      </c>
      <c r="V72" s="298" cm="1">
        <f t="array" ref="V72">IF(AND(V$2&lt;&gt;0,TblTech[[#This Row],[Hour]:[Hour]]&gt;=V$2),1,0)</f>
        <v>0</v>
      </c>
      <c r="W72" s="298" cm="1">
        <f t="array" ref="W72">IF(AND(W$2&lt;&gt;0,TblTech[[#This Row],[Hour]:[Hour]]&gt;=W$2),1,0)</f>
        <v>0</v>
      </c>
      <c r="X72" s="298" cm="1">
        <f t="array" ref="X72">IF(AND(X$2&lt;&gt;0,TblTech[[#This Row],[Hour]:[Hour]]&gt;=X$2),1,0)</f>
        <v>0</v>
      </c>
      <c r="Y72" s="298" cm="1">
        <f t="array" ref="Y72">IF(AND(Y$2&lt;&gt;0,TblTech[[#This Row],[Hour]:[Hour]]&gt;=Y$2),1,0)</f>
        <v>0</v>
      </c>
      <c r="Z72" s="298" cm="1">
        <f t="array" ref="Z72">IF(AND(Z$2&lt;&gt;0,TblTech[[#This Row],[Hour]:[Hour]]&gt;=Z$2),1,0)</f>
        <v>0</v>
      </c>
      <c r="AA72" s="298" cm="1">
        <f t="array" ref="AA72">IF(AND(AA$2&lt;&gt;0,TblTech[[#This Row],[Hour]:[Hour]]&gt;=AA$2),1,0)</f>
        <v>0</v>
      </c>
      <c r="AB72" s="298" cm="1">
        <f t="array" ref="AB72">IF(AND(AB$2&lt;&gt;0,TblTech[[#This Row],[Hour]:[Hour]]&gt;=AB$2),1,0)</f>
        <v>0</v>
      </c>
      <c r="AC72" s="298" cm="1">
        <f t="array" ref="AC72">IF(AND(AC$2&lt;&gt;0,TblTech[[#This Row],[Hour]:[Hour]]&gt;=AC$2),1,0)</f>
        <v>0</v>
      </c>
      <c r="AD72" s="298" cm="1">
        <f t="array" ref="AD72">IF(AND(AD$2&lt;&gt;0,TblTech[[#This Row],[Hour]:[Hour]]&gt;=AD$2),1,0)</f>
        <v>0</v>
      </c>
      <c r="AE72" s="298" cm="1">
        <f t="array" ref="AE72">IF(AND(AE$2&lt;&gt;0,TblTech[[#This Row],[Hour]:[Hour]]&gt;=AE$2),1,0)</f>
        <v>0</v>
      </c>
      <c r="AF72" s="298" cm="1">
        <f t="array" ref="AF72">IF(AND(AF$2&lt;&gt;0,TblTech[[#This Row],[Hour]:[Hour]]&gt;=AF$2),1,0)</f>
        <v>0</v>
      </c>
      <c r="AG72" s="298" cm="1">
        <f t="array" ref="AG72">IF(AND(AG$2&lt;&gt;0,TblTech[[#This Row],[Hour]:[Hour]]&gt;=AG$2),1,0)</f>
        <v>0</v>
      </c>
      <c r="AH72" s="298" cm="1">
        <f t="array" ref="AH72">IF(AND(AH$2&lt;&gt;0,TblTech[[#This Row],[Hour]:[Hour]]&gt;=AH$2),1,0)</f>
        <v>0</v>
      </c>
      <c r="AI72" s="298" cm="1">
        <f t="array" ref="AI72">IF(AND(AI$2&lt;&gt;0,TblTech[[#This Row],[Hour]:[Hour]]&gt;=AI$2),1,0)</f>
        <v>0</v>
      </c>
      <c r="AJ72" s="298" cm="1">
        <f t="array" ref="AJ72">IF(AND(AJ$2&lt;&gt;0,TblTech[[#This Row],[Hour]:[Hour]]&gt;=AJ$2),1,0)</f>
        <v>0</v>
      </c>
      <c r="AK72" s="298" cm="1">
        <f t="array" ref="AK72">IF(AND(AK$2&lt;&gt;0,TblTech[[#This Row],[Hour]:[Hour]]&gt;=AK$2),1,0)</f>
        <v>0</v>
      </c>
      <c r="AL72" s="298" cm="1">
        <f t="array" ref="AL72">IF(AND(AL$2&lt;&gt;0,TblTech[[#This Row],[Hour]:[Hour]]&gt;=AL$2),1,0)</f>
        <v>0</v>
      </c>
      <c r="AM72" s="298" cm="1">
        <f t="array" ref="AM72">IF(AND(AM$2&lt;&gt;0,TblTech[[#This Row],[Hour]:[Hour]]&gt;=AM$2),1,0)</f>
        <v>0</v>
      </c>
      <c r="AN72" s="298" cm="1">
        <f t="array" ref="AN72">IF(AND(AN$2&lt;&gt;0,TblTech[[#This Row],[Hour]:[Hour]]&gt;=AN$2),1,0)</f>
        <v>0</v>
      </c>
      <c r="AO72" s="298" cm="1">
        <f t="array" ref="AO72">IF(AND(AO$2&lt;&gt;0,TblTech[[#This Row],[Hour]:[Hour]]&gt;=AO$2),1,0)</f>
        <v>0</v>
      </c>
      <c r="AP72" s="298" cm="1">
        <f t="array" ref="AP72">IF(AND(AP$2&lt;&gt;0,TblTech[[#This Row],[Hour]:[Hour]]&gt;=AP$2),1,0)</f>
        <v>0</v>
      </c>
      <c r="AQ72" s="298" cm="1">
        <f t="array" ref="AQ72">IF(AND(AQ$2&lt;&gt;0,TblTech[[#This Row],[Hour]:[Hour]]&gt;=AQ$2),1,0)</f>
        <v>0</v>
      </c>
      <c r="AR72" s="298" cm="1">
        <f t="array" ref="AR72">IF(AND(AR$2&lt;&gt;0,TblTech[[#This Row],[Hour]:[Hour]]&gt;=AR$2),1,0)</f>
        <v>0</v>
      </c>
      <c r="AS72" s="298" cm="1">
        <f t="array" ref="AS72">IF(AND(AS$2&lt;&gt;0,TblTech[[#This Row],[Hour]:[Hour]]&gt;=AS$2),1,0)</f>
        <v>0</v>
      </c>
      <c r="AT72" s="298" cm="1">
        <f t="array" ref="AT72">IF(AND(AT$2&lt;&gt;0,TblTech[[#This Row],[Hour]:[Hour]]&gt;=AT$2),1,0)</f>
        <v>0</v>
      </c>
      <c r="AU72" s="298" cm="1">
        <f t="array" ref="AU72">IF(AND(AU$2&lt;&gt;0,TblTech[[#This Row],[Hour]:[Hour]]&gt;=AU$2),1,0)</f>
        <v>0</v>
      </c>
      <c r="AV72" s="298" cm="1">
        <f t="array" ref="AV72">IF(AND(AV$2&lt;&gt;0,TblTech[[#This Row],[Hour]:[Hour]]&gt;=AV$2),1,0)</f>
        <v>0</v>
      </c>
      <c r="AW72" s="298" cm="1">
        <f t="array" ref="AW72">IF(AND(AW$2&lt;&gt;0,TblTech[[#This Row],[Hour]:[Hour]]&gt;=AW$2),1,0)</f>
        <v>0</v>
      </c>
      <c r="AX72" s="298" cm="1">
        <f t="array" ref="AX72">IF(AND(AX$2&lt;&gt;0,TblTech[[#This Row],[Hour]:[Hour]]&gt;=AX$2),1,0)</f>
        <v>0</v>
      </c>
      <c r="AY72" s="298" cm="1">
        <f t="array" ref="AY72">IF(AND(AY$2&lt;&gt;0,TblTech[[#This Row],[Hour]:[Hour]]&gt;=AY$2),1,0)</f>
        <v>0</v>
      </c>
      <c r="AZ72" s="298" cm="1">
        <f t="array" ref="AZ72">IF(AND(AZ$2&lt;&gt;0,TblTech[[#This Row],[Hour]:[Hour]]&gt;=AZ$2),1,0)</f>
        <v>0</v>
      </c>
      <c r="BA72" s="298" cm="1">
        <f t="array" ref="BA72">IF(AND(BA$2&lt;&gt;0,TblTech[[#This Row],[Hour]:[Hour]]&gt;=BA$2),1,0)</f>
        <v>0</v>
      </c>
      <c r="BB72" s="298" cm="1">
        <f t="array" ref="BB72">IF(AND(BB$2&lt;&gt;0,TblTech[[#This Row],[Hour]:[Hour]]&gt;=BB$2),1,0)</f>
        <v>0</v>
      </c>
      <c r="BC72" s="298" cm="1">
        <f t="array" ref="BC72">IF(AND(BC$2&lt;&gt;0,TblTech[[#This Row],[Hour]:[Hour]]&gt;=BC$2),1,0)</f>
        <v>0</v>
      </c>
      <c r="BD72" s="298" cm="1">
        <f t="array" ref="BD72">IF(AND(BD$2&lt;&gt;0,TblTech[[#This Row],[Hour]:[Hour]]&gt;=BD$2),1,0)</f>
        <v>0</v>
      </c>
      <c r="BE72" s="298" cm="1">
        <f t="array" ref="BE72">IF(AND(BE$2&lt;&gt;0,TblTech[[#This Row],[Hour]:[Hour]]&gt;=BE$2),1,0)</f>
        <v>0</v>
      </c>
      <c r="BF72" s="298" cm="1">
        <f t="array" ref="BF72">IF(AND(BF$2&lt;&gt;0,TblTech[[#This Row],[Hour]:[Hour]]&gt;=BF$2),1,0)</f>
        <v>0</v>
      </c>
      <c r="BG72" s="298" cm="1">
        <f t="array" ref="BG72">IF(AND(BG$2&lt;&gt;0,TblTech[[#This Row],[Hour]:[Hour]]&gt;=BG$2),1,0)</f>
        <v>0</v>
      </c>
      <c r="BH72" s="298" cm="1">
        <f t="array" ref="BH72">IF(AND(BH$2&lt;&gt;0,TblTech[[#This Row],[Hour]:[Hour]]&gt;=BH$2),1,0)</f>
        <v>0</v>
      </c>
      <c r="BI72" s="298" cm="1">
        <f t="array" ref="BI72">IF(AND(BI$2&lt;&gt;0,TblTech[[#This Row],[Hour]:[Hour]]&gt;=BI$2),1,0)</f>
        <v>0</v>
      </c>
      <c r="BJ72" s="298" cm="1">
        <f t="array" ref="BJ72">IF(AND(BJ$2&lt;&gt;0,TblTech[[#This Row],[Hour]:[Hour]]&gt;=BJ$2),1,0)</f>
        <v>0</v>
      </c>
      <c r="BK72" s="298" cm="1">
        <f t="array" ref="BK72">IF(AND(BK$2&lt;&gt;0,TblTech[[#This Row],[Hour]:[Hour]]&gt;=BK$2),1,0)</f>
        <v>0</v>
      </c>
      <c r="BL72" s="298" cm="1">
        <f t="array" ref="BL72">IF(AND(BL$2&lt;&gt;0,TblTech[[#This Row],[Hour]:[Hour]]&gt;=BL$2),1,0)</f>
        <v>0</v>
      </c>
      <c r="BM72" s="298" cm="1">
        <f t="array" ref="BM72">IF(AND(BM$2&lt;&gt;0,TblTech[[#This Row],[Hour]:[Hour]]&gt;=BM$2),1,0)</f>
        <v>0</v>
      </c>
      <c r="BN72" s="298" cm="1">
        <f t="array" ref="BN72">IF(AND(BN$2&lt;&gt;0,TblTech[[#This Row],[Hour]:[Hour]]&gt;=BN$2),1,0)</f>
        <v>0</v>
      </c>
      <c r="BO72" s="298" cm="1">
        <f t="array" ref="BO72">IF(AND(BO$2&lt;&gt;0,TblTech[[#This Row],[Hour]:[Hour]]&gt;=BO$2),1,0)</f>
        <v>0</v>
      </c>
      <c r="BP72" s="298" cm="1">
        <f t="array" ref="BP72">IF(AND(BP$2&lt;&gt;0,TblTech[[#This Row],[Hour]:[Hour]]&gt;=BP$2),1,0)</f>
        <v>0</v>
      </c>
      <c r="BQ72" s="298" cm="1">
        <f t="array" ref="BQ72">IF(AND(BQ$2&lt;&gt;0,TblTech[[#This Row],[Hour]:[Hour]]&gt;=BQ$2),1,0)</f>
        <v>0</v>
      </c>
      <c r="BR72" s="298" cm="1">
        <f t="array" ref="BR72">IF(AND(BR$2&lt;&gt;0,TblTech[[#This Row],[Hour]:[Hour]]&gt;=BR$2),1,0)</f>
        <v>0</v>
      </c>
      <c r="BS72" s="298" cm="1">
        <f t="array" ref="BS72">IF(AND(BS$2&lt;&gt;0,TblTech[[#This Row],[Hour]:[Hour]]&gt;=BS$2),1,0)</f>
        <v>0</v>
      </c>
      <c r="BT72" s="298" cm="1">
        <f t="array" ref="BT72">IF(AND(BT$2&lt;&gt;0,TblTech[[#This Row],[Hour]:[Hour]]&gt;=BT$2),1,0)</f>
        <v>0</v>
      </c>
      <c r="BU72" s="298" cm="1">
        <f t="array" ref="BU72">IF(AND(BU$2&lt;&gt;0,TblTech[[#This Row],[Hour]:[Hour]]&gt;=BU$2),1,0)</f>
        <v>0</v>
      </c>
      <c r="BV72" s="298" cm="1">
        <f t="array" ref="BV72">IF(AND(BV$2&lt;&gt;0,TblTech[[#This Row],[Hour]:[Hour]]&gt;=BV$2),1,0)</f>
        <v>0</v>
      </c>
      <c r="BW72" s="298" cm="1">
        <f t="array" ref="BW72">IF(AND(BW$2&lt;&gt;0,TblTech[[#This Row],[Hour]:[Hour]]&gt;=BW$2),1,0)</f>
        <v>0</v>
      </c>
      <c r="BX72" s="298" cm="1">
        <f t="array" ref="BX72">IF(AND(BX$2&lt;&gt;0,TblTech[[#This Row],[Hour]:[Hour]]&gt;=BX$2),1,0)</f>
        <v>0</v>
      </c>
      <c r="BY72" s="298" cm="1">
        <f t="array" ref="BY72">IF(AND(BY$2&lt;&gt;0,TblTech[[#This Row],[Hour]:[Hour]]&gt;=BY$2),1,0)</f>
        <v>0</v>
      </c>
      <c r="BZ72" s="298" cm="1">
        <f t="array" ref="BZ72">IF(AND(BZ$2&lt;&gt;0,TblTech[[#This Row],[Hour]:[Hour]]&gt;=BZ$2),1,0)</f>
        <v>0</v>
      </c>
      <c r="CA72" s="402">
        <f>IFERROR(INDEX($H$4:$H$79,MATCH(INDEX(TblTech[[#Headers],[1-1]:[11-1]],1,MATCH(TblTech[[#This Row],[Hour]],$M$2:$BZ$2,0)),$G$4:$G$79,0)),)</f>
        <v>0</v>
      </c>
    </row>
    <row r="73" spans="1:79" x14ac:dyDescent="0.2">
      <c r="A73" s="290">
        <f>TblRezone[[#This Row],[Hour]]</f>
        <v>70</v>
      </c>
      <c r="B73" s="291">
        <f ca="1">TblExplore[[#This Row],[Land-DB]]</f>
        <v>250</v>
      </c>
      <c r="C73" s="292">
        <f ca="1">TblProd[[#This Row],[Techpoints]]</f>
        <v>0</v>
      </c>
      <c r="D73" s="292">
        <f ca="1">TblProd[[#This Row],[Required]]</f>
        <v>3750</v>
      </c>
      <c r="E73" s="293"/>
      <c r="F73" s="294"/>
      <c r="G73" s="295" t="s">
        <v>618</v>
      </c>
      <c r="H73" s="296" t="s">
        <v>732</v>
      </c>
      <c r="I73" s="295" t="s">
        <v>555</v>
      </c>
      <c r="J73" s="291"/>
      <c r="K73" s="95">
        <f ca="1">IF(TblTech[[#This Row],[Sum of tech]]&lt;&gt;OFFSET(TblTech[[#This Row],[Sum of tech]],-1,0),1,0)</f>
        <v>0</v>
      </c>
      <c r="L73" s="297">
        <f>COUNTIF(TblTech[[#This Row],[1-1]:[11-1]],1)</f>
        <v>0</v>
      </c>
      <c r="M73" s="298" cm="1">
        <f t="array" ref="M73">IF(AND(M$2&lt;&gt;0,TblTech[[#This Row],[Hour]:[Hour]]&gt;=M$2),1,0)</f>
        <v>0</v>
      </c>
      <c r="N73" s="298" cm="1">
        <f t="array" ref="N73">IF(AND(N$2&lt;&gt;0,TblTech[[#This Row],[Hour]:[Hour]]&gt;=N$2),1,0)</f>
        <v>0</v>
      </c>
      <c r="O73" s="298" cm="1">
        <f t="array" ref="O73">IF(AND(O$2&lt;&gt;0,TblTech[[#This Row],[Hour]:[Hour]]&gt;=O$2),1,0)</f>
        <v>0</v>
      </c>
      <c r="P73" s="298" cm="1">
        <f t="array" ref="P73">IF(AND(P$2&lt;&gt;0,TblTech[[#This Row],[Hour]:[Hour]]&gt;=P$2),1,0)</f>
        <v>0</v>
      </c>
      <c r="Q73" s="298" cm="1">
        <f t="array" ref="Q73">IF(AND(Q$2&lt;&gt;0,TblTech[[#This Row],[Hour]:[Hour]]&gt;=Q$2),1,0)</f>
        <v>0</v>
      </c>
      <c r="R73" s="298" cm="1">
        <f t="array" ref="R73">IF(AND(R$2&lt;&gt;0,TblTech[[#This Row],[Hour]:[Hour]]&gt;=R$2),1,0)</f>
        <v>0</v>
      </c>
      <c r="S73" s="298" cm="1">
        <f t="array" ref="S73">IF(AND(S$2&lt;&gt;0,TblTech[[#This Row],[Hour]:[Hour]]&gt;=S$2),1,0)</f>
        <v>0</v>
      </c>
      <c r="T73" s="298" cm="1">
        <f t="array" ref="T73">IF(AND(T$2&lt;&gt;0,TblTech[[#This Row],[Hour]:[Hour]]&gt;=T$2),1,0)</f>
        <v>0</v>
      </c>
      <c r="U73" s="298" cm="1">
        <f t="array" ref="U73">IF(AND(U$2&lt;&gt;0,TblTech[[#This Row],[Hour]:[Hour]]&gt;=U$2),1,0)</f>
        <v>0</v>
      </c>
      <c r="V73" s="298" cm="1">
        <f t="array" ref="V73">IF(AND(V$2&lt;&gt;0,TblTech[[#This Row],[Hour]:[Hour]]&gt;=V$2),1,0)</f>
        <v>0</v>
      </c>
      <c r="W73" s="298" cm="1">
        <f t="array" ref="W73">IF(AND(W$2&lt;&gt;0,TblTech[[#This Row],[Hour]:[Hour]]&gt;=W$2),1,0)</f>
        <v>0</v>
      </c>
      <c r="X73" s="298" cm="1">
        <f t="array" ref="X73">IF(AND(X$2&lt;&gt;0,TblTech[[#This Row],[Hour]:[Hour]]&gt;=X$2),1,0)</f>
        <v>0</v>
      </c>
      <c r="Y73" s="298" cm="1">
        <f t="array" ref="Y73">IF(AND(Y$2&lt;&gt;0,TblTech[[#This Row],[Hour]:[Hour]]&gt;=Y$2),1,0)</f>
        <v>0</v>
      </c>
      <c r="Z73" s="298" cm="1">
        <f t="array" ref="Z73">IF(AND(Z$2&lt;&gt;0,TblTech[[#This Row],[Hour]:[Hour]]&gt;=Z$2),1,0)</f>
        <v>0</v>
      </c>
      <c r="AA73" s="298" cm="1">
        <f t="array" ref="AA73">IF(AND(AA$2&lt;&gt;0,TblTech[[#This Row],[Hour]:[Hour]]&gt;=AA$2),1,0)</f>
        <v>0</v>
      </c>
      <c r="AB73" s="298" cm="1">
        <f t="array" ref="AB73">IF(AND(AB$2&lt;&gt;0,TblTech[[#This Row],[Hour]:[Hour]]&gt;=AB$2),1,0)</f>
        <v>0</v>
      </c>
      <c r="AC73" s="298" cm="1">
        <f t="array" ref="AC73">IF(AND(AC$2&lt;&gt;0,TblTech[[#This Row],[Hour]:[Hour]]&gt;=AC$2),1,0)</f>
        <v>0</v>
      </c>
      <c r="AD73" s="298" cm="1">
        <f t="array" ref="AD73">IF(AND(AD$2&lt;&gt;0,TblTech[[#This Row],[Hour]:[Hour]]&gt;=AD$2),1,0)</f>
        <v>0</v>
      </c>
      <c r="AE73" s="298" cm="1">
        <f t="array" ref="AE73">IF(AND(AE$2&lt;&gt;0,TblTech[[#This Row],[Hour]:[Hour]]&gt;=AE$2),1,0)</f>
        <v>0</v>
      </c>
      <c r="AF73" s="298" cm="1">
        <f t="array" ref="AF73">IF(AND(AF$2&lt;&gt;0,TblTech[[#This Row],[Hour]:[Hour]]&gt;=AF$2),1,0)</f>
        <v>0</v>
      </c>
      <c r="AG73" s="298" cm="1">
        <f t="array" ref="AG73">IF(AND(AG$2&lt;&gt;0,TblTech[[#This Row],[Hour]:[Hour]]&gt;=AG$2),1,0)</f>
        <v>0</v>
      </c>
      <c r="AH73" s="298" cm="1">
        <f t="array" ref="AH73">IF(AND(AH$2&lt;&gt;0,TblTech[[#This Row],[Hour]:[Hour]]&gt;=AH$2),1,0)</f>
        <v>0</v>
      </c>
      <c r="AI73" s="298" cm="1">
        <f t="array" ref="AI73">IF(AND(AI$2&lt;&gt;0,TblTech[[#This Row],[Hour]:[Hour]]&gt;=AI$2),1,0)</f>
        <v>0</v>
      </c>
      <c r="AJ73" s="298" cm="1">
        <f t="array" ref="AJ73">IF(AND(AJ$2&lt;&gt;0,TblTech[[#This Row],[Hour]:[Hour]]&gt;=AJ$2),1,0)</f>
        <v>0</v>
      </c>
      <c r="AK73" s="298" cm="1">
        <f t="array" ref="AK73">IF(AND(AK$2&lt;&gt;0,TblTech[[#This Row],[Hour]:[Hour]]&gt;=AK$2),1,0)</f>
        <v>0</v>
      </c>
      <c r="AL73" s="298" cm="1">
        <f t="array" ref="AL73">IF(AND(AL$2&lt;&gt;0,TblTech[[#This Row],[Hour]:[Hour]]&gt;=AL$2),1,0)</f>
        <v>0</v>
      </c>
      <c r="AM73" s="298" cm="1">
        <f t="array" ref="AM73">IF(AND(AM$2&lt;&gt;0,TblTech[[#This Row],[Hour]:[Hour]]&gt;=AM$2),1,0)</f>
        <v>0</v>
      </c>
      <c r="AN73" s="298" cm="1">
        <f t="array" ref="AN73">IF(AND(AN$2&lt;&gt;0,TblTech[[#This Row],[Hour]:[Hour]]&gt;=AN$2),1,0)</f>
        <v>0</v>
      </c>
      <c r="AO73" s="298" cm="1">
        <f t="array" ref="AO73">IF(AND(AO$2&lt;&gt;0,TblTech[[#This Row],[Hour]:[Hour]]&gt;=AO$2),1,0)</f>
        <v>0</v>
      </c>
      <c r="AP73" s="298" cm="1">
        <f t="array" ref="AP73">IF(AND(AP$2&lt;&gt;0,TblTech[[#This Row],[Hour]:[Hour]]&gt;=AP$2),1,0)</f>
        <v>0</v>
      </c>
      <c r="AQ73" s="298" cm="1">
        <f t="array" ref="AQ73">IF(AND(AQ$2&lt;&gt;0,TblTech[[#This Row],[Hour]:[Hour]]&gt;=AQ$2),1,0)</f>
        <v>0</v>
      </c>
      <c r="AR73" s="298" cm="1">
        <f t="array" ref="AR73">IF(AND(AR$2&lt;&gt;0,TblTech[[#This Row],[Hour]:[Hour]]&gt;=AR$2),1,0)</f>
        <v>0</v>
      </c>
      <c r="AS73" s="298" cm="1">
        <f t="array" ref="AS73">IF(AND(AS$2&lt;&gt;0,TblTech[[#This Row],[Hour]:[Hour]]&gt;=AS$2),1,0)</f>
        <v>0</v>
      </c>
      <c r="AT73" s="298" cm="1">
        <f t="array" ref="AT73">IF(AND(AT$2&lt;&gt;0,TblTech[[#This Row],[Hour]:[Hour]]&gt;=AT$2),1,0)</f>
        <v>0</v>
      </c>
      <c r="AU73" s="298" cm="1">
        <f t="array" ref="AU73">IF(AND(AU$2&lt;&gt;0,TblTech[[#This Row],[Hour]:[Hour]]&gt;=AU$2),1,0)</f>
        <v>0</v>
      </c>
      <c r="AV73" s="298" cm="1">
        <f t="array" ref="AV73">IF(AND(AV$2&lt;&gt;0,TblTech[[#This Row],[Hour]:[Hour]]&gt;=AV$2),1,0)</f>
        <v>0</v>
      </c>
      <c r="AW73" s="298" cm="1">
        <f t="array" ref="AW73">IF(AND(AW$2&lt;&gt;0,TblTech[[#This Row],[Hour]:[Hour]]&gt;=AW$2),1,0)</f>
        <v>0</v>
      </c>
      <c r="AX73" s="298" cm="1">
        <f t="array" ref="AX73">IF(AND(AX$2&lt;&gt;0,TblTech[[#This Row],[Hour]:[Hour]]&gt;=AX$2),1,0)</f>
        <v>0</v>
      </c>
      <c r="AY73" s="298" cm="1">
        <f t="array" ref="AY73">IF(AND(AY$2&lt;&gt;0,TblTech[[#This Row],[Hour]:[Hour]]&gt;=AY$2),1,0)</f>
        <v>0</v>
      </c>
      <c r="AZ73" s="298" cm="1">
        <f t="array" ref="AZ73">IF(AND(AZ$2&lt;&gt;0,TblTech[[#This Row],[Hour]:[Hour]]&gt;=AZ$2),1,0)</f>
        <v>0</v>
      </c>
      <c r="BA73" s="298" cm="1">
        <f t="array" ref="BA73">IF(AND(BA$2&lt;&gt;0,TblTech[[#This Row],[Hour]:[Hour]]&gt;=BA$2),1,0)</f>
        <v>0</v>
      </c>
      <c r="BB73" s="298" cm="1">
        <f t="array" ref="BB73">IF(AND(BB$2&lt;&gt;0,TblTech[[#This Row],[Hour]:[Hour]]&gt;=BB$2),1,0)</f>
        <v>0</v>
      </c>
      <c r="BC73" s="298" cm="1">
        <f t="array" ref="BC73">IF(AND(BC$2&lt;&gt;0,TblTech[[#This Row],[Hour]:[Hour]]&gt;=BC$2),1,0)</f>
        <v>0</v>
      </c>
      <c r="BD73" s="298" cm="1">
        <f t="array" ref="BD73">IF(AND(BD$2&lt;&gt;0,TblTech[[#This Row],[Hour]:[Hour]]&gt;=BD$2),1,0)</f>
        <v>0</v>
      </c>
      <c r="BE73" s="298" cm="1">
        <f t="array" ref="BE73">IF(AND(BE$2&lt;&gt;0,TblTech[[#This Row],[Hour]:[Hour]]&gt;=BE$2),1,0)</f>
        <v>0</v>
      </c>
      <c r="BF73" s="298" cm="1">
        <f t="array" ref="BF73">IF(AND(BF$2&lt;&gt;0,TblTech[[#This Row],[Hour]:[Hour]]&gt;=BF$2),1,0)</f>
        <v>0</v>
      </c>
      <c r="BG73" s="298" cm="1">
        <f t="array" ref="BG73">IF(AND(BG$2&lt;&gt;0,TblTech[[#This Row],[Hour]:[Hour]]&gt;=BG$2),1,0)</f>
        <v>0</v>
      </c>
      <c r="BH73" s="298" cm="1">
        <f t="array" ref="BH73">IF(AND(BH$2&lt;&gt;0,TblTech[[#This Row],[Hour]:[Hour]]&gt;=BH$2),1,0)</f>
        <v>0</v>
      </c>
      <c r="BI73" s="298" cm="1">
        <f t="array" ref="BI73">IF(AND(BI$2&lt;&gt;0,TblTech[[#This Row],[Hour]:[Hour]]&gt;=BI$2),1,0)</f>
        <v>0</v>
      </c>
      <c r="BJ73" s="298" cm="1">
        <f t="array" ref="BJ73">IF(AND(BJ$2&lt;&gt;0,TblTech[[#This Row],[Hour]:[Hour]]&gt;=BJ$2),1,0)</f>
        <v>0</v>
      </c>
      <c r="BK73" s="298" cm="1">
        <f t="array" ref="BK73">IF(AND(BK$2&lt;&gt;0,TblTech[[#This Row],[Hour]:[Hour]]&gt;=BK$2),1,0)</f>
        <v>0</v>
      </c>
      <c r="BL73" s="298" cm="1">
        <f t="array" ref="BL73">IF(AND(BL$2&lt;&gt;0,TblTech[[#This Row],[Hour]:[Hour]]&gt;=BL$2),1,0)</f>
        <v>0</v>
      </c>
      <c r="BM73" s="298" cm="1">
        <f t="array" ref="BM73">IF(AND(BM$2&lt;&gt;0,TblTech[[#This Row],[Hour]:[Hour]]&gt;=BM$2),1,0)</f>
        <v>0</v>
      </c>
      <c r="BN73" s="298" cm="1">
        <f t="array" ref="BN73">IF(AND(BN$2&lt;&gt;0,TblTech[[#This Row],[Hour]:[Hour]]&gt;=BN$2),1,0)</f>
        <v>0</v>
      </c>
      <c r="BO73" s="298" cm="1">
        <f t="array" ref="BO73">IF(AND(BO$2&lt;&gt;0,TblTech[[#This Row],[Hour]:[Hour]]&gt;=BO$2),1,0)</f>
        <v>0</v>
      </c>
      <c r="BP73" s="298" cm="1">
        <f t="array" ref="BP73">IF(AND(BP$2&lt;&gt;0,TblTech[[#This Row],[Hour]:[Hour]]&gt;=BP$2),1,0)</f>
        <v>0</v>
      </c>
      <c r="BQ73" s="298" cm="1">
        <f t="array" ref="BQ73">IF(AND(BQ$2&lt;&gt;0,TblTech[[#This Row],[Hour]:[Hour]]&gt;=BQ$2),1,0)</f>
        <v>0</v>
      </c>
      <c r="BR73" s="298" cm="1">
        <f t="array" ref="BR73">IF(AND(BR$2&lt;&gt;0,TblTech[[#This Row],[Hour]:[Hour]]&gt;=BR$2),1,0)</f>
        <v>0</v>
      </c>
      <c r="BS73" s="298" cm="1">
        <f t="array" ref="BS73">IF(AND(BS$2&lt;&gt;0,TblTech[[#This Row],[Hour]:[Hour]]&gt;=BS$2),1,0)</f>
        <v>0</v>
      </c>
      <c r="BT73" s="298" cm="1">
        <f t="array" ref="BT73">IF(AND(BT$2&lt;&gt;0,TblTech[[#This Row],[Hour]:[Hour]]&gt;=BT$2),1,0)</f>
        <v>0</v>
      </c>
      <c r="BU73" s="298" cm="1">
        <f t="array" ref="BU73">IF(AND(BU$2&lt;&gt;0,TblTech[[#This Row],[Hour]:[Hour]]&gt;=BU$2),1,0)</f>
        <v>0</v>
      </c>
      <c r="BV73" s="298" cm="1">
        <f t="array" ref="BV73">IF(AND(BV$2&lt;&gt;0,TblTech[[#This Row],[Hour]:[Hour]]&gt;=BV$2),1,0)</f>
        <v>0</v>
      </c>
      <c r="BW73" s="298" cm="1">
        <f t="array" ref="BW73">IF(AND(BW$2&lt;&gt;0,TblTech[[#This Row],[Hour]:[Hour]]&gt;=BW$2),1,0)</f>
        <v>0</v>
      </c>
      <c r="BX73" s="298" cm="1">
        <f t="array" ref="BX73">IF(AND(BX$2&lt;&gt;0,TblTech[[#This Row],[Hour]:[Hour]]&gt;=BX$2),1,0)</f>
        <v>0</v>
      </c>
      <c r="BY73" s="298" cm="1">
        <f t="array" ref="BY73">IF(AND(BY$2&lt;&gt;0,TblTech[[#This Row],[Hour]:[Hour]]&gt;=BY$2),1,0)</f>
        <v>0</v>
      </c>
      <c r="BZ73" s="298" cm="1">
        <f t="array" ref="BZ73">IF(AND(BZ$2&lt;&gt;0,TblTech[[#This Row],[Hour]:[Hour]]&gt;=BZ$2),1,0)</f>
        <v>0</v>
      </c>
      <c r="CA73" s="402">
        <f>IFERROR(INDEX($H$4:$H$79,MATCH(INDEX(TblTech[[#Headers],[1-1]:[11-1]],1,MATCH(TblTech[[#This Row],[Hour]],$M$2:$BZ$2,0)),$G$4:$G$79,0)),)</f>
        <v>0</v>
      </c>
    </row>
    <row r="74" spans="1:79" x14ac:dyDescent="0.2">
      <c r="A74" s="290">
        <f>TblRezone[[#This Row],[Hour]]</f>
        <v>71</v>
      </c>
      <c r="B74" s="291">
        <f ca="1">TblExplore[[#This Row],[Land-DB]]</f>
        <v>250</v>
      </c>
      <c r="C74" s="292">
        <f ca="1">TblProd[[#This Row],[Techpoints]]</f>
        <v>0</v>
      </c>
      <c r="D74" s="292">
        <f ca="1">TblProd[[#This Row],[Required]]</f>
        <v>3750</v>
      </c>
      <c r="E74" s="293"/>
      <c r="F74" s="294"/>
      <c r="G74" s="295" t="s">
        <v>619</v>
      </c>
      <c r="H74" s="296" t="s">
        <v>733</v>
      </c>
      <c r="I74" s="295" t="s">
        <v>756</v>
      </c>
      <c r="J74" s="291"/>
      <c r="K74" s="95">
        <f ca="1">IF(TblTech[[#This Row],[Sum of tech]]&lt;&gt;OFFSET(TblTech[[#This Row],[Sum of tech]],-1,0),1,0)</f>
        <v>0</v>
      </c>
      <c r="L74" s="297">
        <f>COUNTIF(TblTech[[#This Row],[1-1]:[11-1]],1)</f>
        <v>0</v>
      </c>
      <c r="M74" s="298" cm="1">
        <f t="array" ref="M74">IF(AND(M$2&lt;&gt;0,TblTech[[#This Row],[Hour]:[Hour]]&gt;=M$2),1,0)</f>
        <v>0</v>
      </c>
      <c r="N74" s="298" cm="1">
        <f t="array" ref="N74">IF(AND(N$2&lt;&gt;0,TblTech[[#This Row],[Hour]:[Hour]]&gt;=N$2),1,0)</f>
        <v>0</v>
      </c>
      <c r="O74" s="298" cm="1">
        <f t="array" ref="O74">IF(AND(O$2&lt;&gt;0,TblTech[[#This Row],[Hour]:[Hour]]&gt;=O$2),1,0)</f>
        <v>0</v>
      </c>
      <c r="P74" s="298" cm="1">
        <f t="array" ref="P74">IF(AND(P$2&lt;&gt;0,TblTech[[#This Row],[Hour]:[Hour]]&gt;=P$2),1,0)</f>
        <v>0</v>
      </c>
      <c r="Q74" s="298" cm="1">
        <f t="array" ref="Q74">IF(AND(Q$2&lt;&gt;0,TblTech[[#This Row],[Hour]:[Hour]]&gt;=Q$2),1,0)</f>
        <v>0</v>
      </c>
      <c r="R74" s="298" cm="1">
        <f t="array" ref="R74">IF(AND(R$2&lt;&gt;0,TblTech[[#This Row],[Hour]:[Hour]]&gt;=R$2),1,0)</f>
        <v>0</v>
      </c>
      <c r="S74" s="298" cm="1">
        <f t="array" ref="S74">IF(AND(S$2&lt;&gt;0,TblTech[[#This Row],[Hour]:[Hour]]&gt;=S$2),1,0)</f>
        <v>0</v>
      </c>
      <c r="T74" s="298" cm="1">
        <f t="array" ref="T74">IF(AND(T$2&lt;&gt;0,TblTech[[#This Row],[Hour]:[Hour]]&gt;=T$2),1,0)</f>
        <v>0</v>
      </c>
      <c r="U74" s="298" cm="1">
        <f t="array" ref="U74">IF(AND(U$2&lt;&gt;0,TblTech[[#This Row],[Hour]:[Hour]]&gt;=U$2),1,0)</f>
        <v>0</v>
      </c>
      <c r="V74" s="298" cm="1">
        <f t="array" ref="V74">IF(AND(V$2&lt;&gt;0,TblTech[[#This Row],[Hour]:[Hour]]&gt;=V$2),1,0)</f>
        <v>0</v>
      </c>
      <c r="W74" s="298" cm="1">
        <f t="array" ref="W74">IF(AND(W$2&lt;&gt;0,TblTech[[#This Row],[Hour]:[Hour]]&gt;=W$2),1,0)</f>
        <v>0</v>
      </c>
      <c r="X74" s="298" cm="1">
        <f t="array" ref="X74">IF(AND(X$2&lt;&gt;0,TblTech[[#This Row],[Hour]:[Hour]]&gt;=X$2),1,0)</f>
        <v>0</v>
      </c>
      <c r="Y74" s="298" cm="1">
        <f t="array" ref="Y74">IF(AND(Y$2&lt;&gt;0,TblTech[[#This Row],[Hour]:[Hour]]&gt;=Y$2),1,0)</f>
        <v>0</v>
      </c>
      <c r="Z74" s="298" cm="1">
        <f t="array" ref="Z74">IF(AND(Z$2&lt;&gt;0,TblTech[[#This Row],[Hour]:[Hour]]&gt;=Z$2),1,0)</f>
        <v>0</v>
      </c>
      <c r="AA74" s="298" cm="1">
        <f t="array" ref="AA74">IF(AND(AA$2&lt;&gt;0,TblTech[[#This Row],[Hour]:[Hour]]&gt;=AA$2),1,0)</f>
        <v>0</v>
      </c>
      <c r="AB74" s="298" cm="1">
        <f t="array" ref="AB74">IF(AND(AB$2&lt;&gt;0,TblTech[[#This Row],[Hour]:[Hour]]&gt;=AB$2),1,0)</f>
        <v>0</v>
      </c>
      <c r="AC74" s="298" cm="1">
        <f t="array" ref="AC74">IF(AND(AC$2&lt;&gt;0,TblTech[[#This Row],[Hour]:[Hour]]&gt;=AC$2),1,0)</f>
        <v>0</v>
      </c>
      <c r="AD74" s="298" cm="1">
        <f t="array" ref="AD74">IF(AND(AD$2&lt;&gt;0,TblTech[[#This Row],[Hour]:[Hour]]&gt;=AD$2),1,0)</f>
        <v>0</v>
      </c>
      <c r="AE74" s="298" cm="1">
        <f t="array" ref="AE74">IF(AND(AE$2&lt;&gt;0,TblTech[[#This Row],[Hour]:[Hour]]&gt;=AE$2),1,0)</f>
        <v>0</v>
      </c>
      <c r="AF74" s="298" cm="1">
        <f t="array" ref="AF74">IF(AND(AF$2&lt;&gt;0,TblTech[[#This Row],[Hour]:[Hour]]&gt;=AF$2),1,0)</f>
        <v>0</v>
      </c>
      <c r="AG74" s="298" cm="1">
        <f t="array" ref="AG74">IF(AND(AG$2&lt;&gt;0,TblTech[[#This Row],[Hour]:[Hour]]&gt;=AG$2),1,0)</f>
        <v>0</v>
      </c>
      <c r="AH74" s="298" cm="1">
        <f t="array" ref="AH74">IF(AND(AH$2&lt;&gt;0,TblTech[[#This Row],[Hour]:[Hour]]&gt;=AH$2),1,0)</f>
        <v>0</v>
      </c>
      <c r="AI74" s="298" cm="1">
        <f t="array" ref="AI74">IF(AND(AI$2&lt;&gt;0,TblTech[[#This Row],[Hour]:[Hour]]&gt;=AI$2),1,0)</f>
        <v>0</v>
      </c>
      <c r="AJ74" s="298" cm="1">
        <f t="array" ref="AJ74">IF(AND(AJ$2&lt;&gt;0,TblTech[[#This Row],[Hour]:[Hour]]&gt;=AJ$2),1,0)</f>
        <v>0</v>
      </c>
      <c r="AK74" s="298" cm="1">
        <f t="array" ref="AK74">IF(AND(AK$2&lt;&gt;0,TblTech[[#This Row],[Hour]:[Hour]]&gt;=AK$2),1,0)</f>
        <v>0</v>
      </c>
      <c r="AL74" s="298" cm="1">
        <f t="array" ref="AL74">IF(AND(AL$2&lt;&gt;0,TblTech[[#This Row],[Hour]:[Hour]]&gt;=AL$2),1,0)</f>
        <v>0</v>
      </c>
      <c r="AM74" s="298" cm="1">
        <f t="array" ref="AM74">IF(AND(AM$2&lt;&gt;0,TblTech[[#This Row],[Hour]:[Hour]]&gt;=AM$2),1,0)</f>
        <v>0</v>
      </c>
      <c r="AN74" s="298" cm="1">
        <f t="array" ref="AN74">IF(AND(AN$2&lt;&gt;0,TblTech[[#This Row],[Hour]:[Hour]]&gt;=AN$2),1,0)</f>
        <v>0</v>
      </c>
      <c r="AO74" s="298" cm="1">
        <f t="array" ref="AO74">IF(AND(AO$2&lt;&gt;0,TblTech[[#This Row],[Hour]:[Hour]]&gt;=AO$2),1,0)</f>
        <v>0</v>
      </c>
      <c r="AP74" s="298" cm="1">
        <f t="array" ref="AP74">IF(AND(AP$2&lt;&gt;0,TblTech[[#This Row],[Hour]:[Hour]]&gt;=AP$2),1,0)</f>
        <v>0</v>
      </c>
      <c r="AQ74" s="298" cm="1">
        <f t="array" ref="AQ74">IF(AND(AQ$2&lt;&gt;0,TblTech[[#This Row],[Hour]:[Hour]]&gt;=AQ$2),1,0)</f>
        <v>0</v>
      </c>
      <c r="AR74" s="298" cm="1">
        <f t="array" ref="AR74">IF(AND(AR$2&lt;&gt;0,TblTech[[#This Row],[Hour]:[Hour]]&gt;=AR$2),1,0)</f>
        <v>0</v>
      </c>
      <c r="AS74" s="298" cm="1">
        <f t="array" ref="AS74">IF(AND(AS$2&lt;&gt;0,TblTech[[#This Row],[Hour]:[Hour]]&gt;=AS$2),1,0)</f>
        <v>0</v>
      </c>
      <c r="AT74" s="298" cm="1">
        <f t="array" ref="AT74">IF(AND(AT$2&lt;&gt;0,TblTech[[#This Row],[Hour]:[Hour]]&gt;=AT$2),1,0)</f>
        <v>0</v>
      </c>
      <c r="AU74" s="298" cm="1">
        <f t="array" ref="AU74">IF(AND(AU$2&lt;&gt;0,TblTech[[#This Row],[Hour]:[Hour]]&gt;=AU$2),1,0)</f>
        <v>0</v>
      </c>
      <c r="AV74" s="298" cm="1">
        <f t="array" ref="AV74">IF(AND(AV$2&lt;&gt;0,TblTech[[#This Row],[Hour]:[Hour]]&gt;=AV$2),1,0)</f>
        <v>0</v>
      </c>
      <c r="AW74" s="298" cm="1">
        <f t="array" ref="AW74">IF(AND(AW$2&lt;&gt;0,TblTech[[#This Row],[Hour]:[Hour]]&gt;=AW$2),1,0)</f>
        <v>0</v>
      </c>
      <c r="AX74" s="298" cm="1">
        <f t="array" ref="AX74">IF(AND(AX$2&lt;&gt;0,TblTech[[#This Row],[Hour]:[Hour]]&gt;=AX$2),1,0)</f>
        <v>0</v>
      </c>
      <c r="AY74" s="298" cm="1">
        <f t="array" ref="AY74">IF(AND(AY$2&lt;&gt;0,TblTech[[#This Row],[Hour]:[Hour]]&gt;=AY$2),1,0)</f>
        <v>0</v>
      </c>
      <c r="AZ74" s="298" cm="1">
        <f t="array" ref="AZ74">IF(AND(AZ$2&lt;&gt;0,TblTech[[#This Row],[Hour]:[Hour]]&gt;=AZ$2),1,0)</f>
        <v>0</v>
      </c>
      <c r="BA74" s="298" cm="1">
        <f t="array" ref="BA74">IF(AND(BA$2&lt;&gt;0,TblTech[[#This Row],[Hour]:[Hour]]&gt;=BA$2),1,0)</f>
        <v>0</v>
      </c>
      <c r="BB74" s="298" cm="1">
        <f t="array" ref="BB74">IF(AND(BB$2&lt;&gt;0,TblTech[[#This Row],[Hour]:[Hour]]&gt;=BB$2),1,0)</f>
        <v>0</v>
      </c>
      <c r="BC74" s="298" cm="1">
        <f t="array" ref="BC74">IF(AND(BC$2&lt;&gt;0,TblTech[[#This Row],[Hour]:[Hour]]&gt;=BC$2),1,0)</f>
        <v>0</v>
      </c>
      <c r="BD74" s="298" cm="1">
        <f t="array" ref="BD74">IF(AND(BD$2&lt;&gt;0,TblTech[[#This Row],[Hour]:[Hour]]&gt;=BD$2),1,0)</f>
        <v>0</v>
      </c>
      <c r="BE74" s="298" cm="1">
        <f t="array" ref="BE74">IF(AND(BE$2&lt;&gt;0,TblTech[[#This Row],[Hour]:[Hour]]&gt;=BE$2),1,0)</f>
        <v>0</v>
      </c>
      <c r="BF74" s="298" cm="1">
        <f t="array" ref="BF74">IF(AND(BF$2&lt;&gt;0,TblTech[[#This Row],[Hour]:[Hour]]&gt;=BF$2),1,0)</f>
        <v>0</v>
      </c>
      <c r="BG74" s="298" cm="1">
        <f t="array" ref="BG74">IF(AND(BG$2&lt;&gt;0,TblTech[[#This Row],[Hour]:[Hour]]&gt;=BG$2),1,0)</f>
        <v>0</v>
      </c>
      <c r="BH74" s="298" cm="1">
        <f t="array" ref="BH74">IF(AND(BH$2&lt;&gt;0,TblTech[[#This Row],[Hour]:[Hour]]&gt;=BH$2),1,0)</f>
        <v>0</v>
      </c>
      <c r="BI74" s="298" cm="1">
        <f t="array" ref="BI74">IF(AND(BI$2&lt;&gt;0,TblTech[[#This Row],[Hour]:[Hour]]&gt;=BI$2),1,0)</f>
        <v>0</v>
      </c>
      <c r="BJ74" s="298" cm="1">
        <f t="array" ref="BJ74">IF(AND(BJ$2&lt;&gt;0,TblTech[[#This Row],[Hour]:[Hour]]&gt;=BJ$2),1,0)</f>
        <v>0</v>
      </c>
      <c r="BK74" s="298" cm="1">
        <f t="array" ref="BK74">IF(AND(BK$2&lt;&gt;0,TblTech[[#This Row],[Hour]:[Hour]]&gt;=BK$2),1,0)</f>
        <v>0</v>
      </c>
      <c r="BL74" s="298" cm="1">
        <f t="array" ref="BL74">IF(AND(BL$2&lt;&gt;0,TblTech[[#This Row],[Hour]:[Hour]]&gt;=BL$2),1,0)</f>
        <v>0</v>
      </c>
      <c r="BM74" s="298" cm="1">
        <f t="array" ref="BM74">IF(AND(BM$2&lt;&gt;0,TblTech[[#This Row],[Hour]:[Hour]]&gt;=BM$2),1,0)</f>
        <v>0</v>
      </c>
      <c r="BN74" s="298" cm="1">
        <f t="array" ref="BN74">IF(AND(BN$2&lt;&gt;0,TblTech[[#This Row],[Hour]:[Hour]]&gt;=BN$2),1,0)</f>
        <v>0</v>
      </c>
      <c r="BO74" s="298" cm="1">
        <f t="array" ref="BO74">IF(AND(BO$2&lt;&gt;0,TblTech[[#This Row],[Hour]:[Hour]]&gt;=BO$2),1,0)</f>
        <v>0</v>
      </c>
      <c r="BP74" s="298" cm="1">
        <f t="array" ref="BP74">IF(AND(BP$2&lt;&gt;0,TblTech[[#This Row],[Hour]:[Hour]]&gt;=BP$2),1,0)</f>
        <v>0</v>
      </c>
      <c r="BQ74" s="298" cm="1">
        <f t="array" ref="BQ74">IF(AND(BQ$2&lt;&gt;0,TblTech[[#This Row],[Hour]:[Hour]]&gt;=BQ$2),1,0)</f>
        <v>0</v>
      </c>
      <c r="BR74" s="298" cm="1">
        <f t="array" ref="BR74">IF(AND(BR$2&lt;&gt;0,TblTech[[#This Row],[Hour]:[Hour]]&gt;=BR$2),1,0)</f>
        <v>0</v>
      </c>
      <c r="BS74" s="298" cm="1">
        <f t="array" ref="BS74">IF(AND(BS$2&lt;&gt;0,TblTech[[#This Row],[Hour]:[Hour]]&gt;=BS$2),1,0)</f>
        <v>0</v>
      </c>
      <c r="BT74" s="298" cm="1">
        <f t="array" ref="BT74">IF(AND(BT$2&lt;&gt;0,TblTech[[#This Row],[Hour]:[Hour]]&gt;=BT$2),1,0)</f>
        <v>0</v>
      </c>
      <c r="BU74" s="298" cm="1">
        <f t="array" ref="BU74">IF(AND(BU$2&lt;&gt;0,TblTech[[#This Row],[Hour]:[Hour]]&gt;=BU$2),1,0)</f>
        <v>0</v>
      </c>
      <c r="BV74" s="298" cm="1">
        <f t="array" ref="BV74">IF(AND(BV$2&lt;&gt;0,TblTech[[#This Row],[Hour]:[Hour]]&gt;=BV$2),1,0)</f>
        <v>0</v>
      </c>
      <c r="BW74" s="298" cm="1">
        <f t="array" ref="BW74">IF(AND(BW$2&lt;&gt;0,TblTech[[#This Row],[Hour]:[Hour]]&gt;=BW$2),1,0)</f>
        <v>0</v>
      </c>
      <c r="BX74" s="298" cm="1">
        <f t="array" ref="BX74">IF(AND(BX$2&lt;&gt;0,TblTech[[#This Row],[Hour]:[Hour]]&gt;=BX$2),1,0)</f>
        <v>0</v>
      </c>
      <c r="BY74" s="298" cm="1">
        <f t="array" ref="BY74">IF(AND(BY$2&lt;&gt;0,TblTech[[#This Row],[Hour]:[Hour]]&gt;=BY$2),1,0)</f>
        <v>0</v>
      </c>
      <c r="BZ74" s="298" cm="1">
        <f t="array" ref="BZ74">IF(AND(BZ$2&lt;&gt;0,TblTech[[#This Row],[Hour]:[Hour]]&gt;=BZ$2),1,0)</f>
        <v>0</v>
      </c>
      <c r="CA74" s="402">
        <f>IFERROR(INDEX($H$4:$H$79,MATCH(INDEX(TblTech[[#Headers],[1-1]:[11-1]],1,MATCH(TblTech[[#This Row],[Hour]],$M$2:$BZ$2,0)),$G$4:$G$79,0)),)</f>
        <v>0</v>
      </c>
    </row>
    <row r="75" spans="1:79" x14ac:dyDescent="0.2">
      <c r="A75" s="290">
        <f>TblRezone[[#This Row],[Hour]]</f>
        <v>72</v>
      </c>
      <c r="B75" s="291">
        <f ca="1">TblExplore[[#This Row],[Land-DB]]</f>
        <v>250</v>
      </c>
      <c r="C75" s="292">
        <f ca="1">TblProd[[#This Row],[Techpoints]]</f>
        <v>0</v>
      </c>
      <c r="D75" s="292">
        <f ca="1">TblProd[[#This Row],[Required]]</f>
        <v>3750</v>
      </c>
      <c r="E75" s="293"/>
      <c r="F75" s="294"/>
      <c r="G75" s="295"/>
      <c r="H75" s="296"/>
      <c r="I75" s="295"/>
      <c r="J75" s="291"/>
      <c r="K75" s="95">
        <f ca="1">IF(TblTech[[#This Row],[Sum of tech]]&lt;&gt;OFFSET(TblTech[[#This Row],[Sum of tech]],-1,0),1,0)</f>
        <v>0</v>
      </c>
      <c r="L75" s="297">
        <f>COUNTIF(TblTech[[#This Row],[1-1]:[11-1]],1)</f>
        <v>0</v>
      </c>
      <c r="M75" s="298" cm="1">
        <f t="array" ref="M75">IF(AND(M$2&lt;&gt;0,TblTech[[#This Row],[Hour]:[Hour]]&gt;=M$2),1,0)</f>
        <v>0</v>
      </c>
      <c r="N75" s="298" cm="1">
        <f t="array" ref="N75">IF(AND(N$2&lt;&gt;0,TblTech[[#This Row],[Hour]:[Hour]]&gt;=N$2),1,0)</f>
        <v>0</v>
      </c>
      <c r="O75" s="298" cm="1">
        <f t="array" ref="O75">IF(AND(O$2&lt;&gt;0,TblTech[[#This Row],[Hour]:[Hour]]&gt;=O$2),1,0)</f>
        <v>0</v>
      </c>
      <c r="P75" s="298" cm="1">
        <f t="array" ref="P75">IF(AND(P$2&lt;&gt;0,TblTech[[#This Row],[Hour]:[Hour]]&gt;=P$2),1,0)</f>
        <v>0</v>
      </c>
      <c r="Q75" s="298" cm="1">
        <f t="array" ref="Q75">IF(AND(Q$2&lt;&gt;0,TblTech[[#This Row],[Hour]:[Hour]]&gt;=Q$2),1,0)</f>
        <v>0</v>
      </c>
      <c r="R75" s="298" cm="1">
        <f t="array" ref="R75">IF(AND(R$2&lt;&gt;0,TblTech[[#This Row],[Hour]:[Hour]]&gt;=R$2),1,0)</f>
        <v>0</v>
      </c>
      <c r="S75" s="298" cm="1">
        <f t="array" ref="S75">IF(AND(S$2&lt;&gt;0,TblTech[[#This Row],[Hour]:[Hour]]&gt;=S$2),1,0)</f>
        <v>0</v>
      </c>
      <c r="T75" s="298" cm="1">
        <f t="array" ref="T75">IF(AND(T$2&lt;&gt;0,TblTech[[#This Row],[Hour]:[Hour]]&gt;=T$2),1,0)</f>
        <v>0</v>
      </c>
      <c r="U75" s="298" cm="1">
        <f t="array" ref="U75">IF(AND(U$2&lt;&gt;0,TblTech[[#This Row],[Hour]:[Hour]]&gt;=U$2),1,0)</f>
        <v>0</v>
      </c>
      <c r="V75" s="298" cm="1">
        <f t="array" ref="V75">IF(AND(V$2&lt;&gt;0,TblTech[[#This Row],[Hour]:[Hour]]&gt;=V$2),1,0)</f>
        <v>0</v>
      </c>
      <c r="W75" s="298" cm="1">
        <f t="array" ref="W75">IF(AND(W$2&lt;&gt;0,TblTech[[#This Row],[Hour]:[Hour]]&gt;=W$2),1,0)</f>
        <v>0</v>
      </c>
      <c r="X75" s="298" cm="1">
        <f t="array" ref="X75">IF(AND(X$2&lt;&gt;0,TblTech[[#This Row],[Hour]:[Hour]]&gt;=X$2),1,0)</f>
        <v>0</v>
      </c>
      <c r="Y75" s="298" cm="1">
        <f t="array" ref="Y75">IF(AND(Y$2&lt;&gt;0,TblTech[[#This Row],[Hour]:[Hour]]&gt;=Y$2),1,0)</f>
        <v>0</v>
      </c>
      <c r="Z75" s="298" cm="1">
        <f t="array" ref="Z75">IF(AND(Z$2&lt;&gt;0,TblTech[[#This Row],[Hour]:[Hour]]&gt;=Z$2),1,0)</f>
        <v>0</v>
      </c>
      <c r="AA75" s="298" cm="1">
        <f t="array" ref="AA75">IF(AND(AA$2&lt;&gt;0,TblTech[[#This Row],[Hour]:[Hour]]&gt;=AA$2),1,0)</f>
        <v>0</v>
      </c>
      <c r="AB75" s="298" cm="1">
        <f t="array" ref="AB75">IF(AND(AB$2&lt;&gt;0,TblTech[[#This Row],[Hour]:[Hour]]&gt;=AB$2),1,0)</f>
        <v>0</v>
      </c>
      <c r="AC75" s="298" cm="1">
        <f t="array" ref="AC75">IF(AND(AC$2&lt;&gt;0,TblTech[[#This Row],[Hour]:[Hour]]&gt;=AC$2),1,0)</f>
        <v>0</v>
      </c>
      <c r="AD75" s="298" cm="1">
        <f t="array" ref="AD75">IF(AND(AD$2&lt;&gt;0,TblTech[[#This Row],[Hour]:[Hour]]&gt;=AD$2),1,0)</f>
        <v>0</v>
      </c>
      <c r="AE75" s="298" cm="1">
        <f t="array" ref="AE75">IF(AND(AE$2&lt;&gt;0,TblTech[[#This Row],[Hour]:[Hour]]&gt;=AE$2),1,0)</f>
        <v>0</v>
      </c>
      <c r="AF75" s="298" cm="1">
        <f t="array" ref="AF75">IF(AND(AF$2&lt;&gt;0,TblTech[[#This Row],[Hour]:[Hour]]&gt;=AF$2),1,0)</f>
        <v>0</v>
      </c>
      <c r="AG75" s="298" cm="1">
        <f t="array" ref="AG75">IF(AND(AG$2&lt;&gt;0,TblTech[[#This Row],[Hour]:[Hour]]&gt;=AG$2),1,0)</f>
        <v>0</v>
      </c>
      <c r="AH75" s="298" cm="1">
        <f t="array" ref="AH75">IF(AND(AH$2&lt;&gt;0,TblTech[[#This Row],[Hour]:[Hour]]&gt;=AH$2),1,0)</f>
        <v>0</v>
      </c>
      <c r="AI75" s="298" cm="1">
        <f t="array" ref="AI75">IF(AND(AI$2&lt;&gt;0,TblTech[[#This Row],[Hour]:[Hour]]&gt;=AI$2),1,0)</f>
        <v>0</v>
      </c>
      <c r="AJ75" s="298" cm="1">
        <f t="array" ref="AJ75">IF(AND(AJ$2&lt;&gt;0,TblTech[[#This Row],[Hour]:[Hour]]&gt;=AJ$2),1,0)</f>
        <v>0</v>
      </c>
      <c r="AK75" s="298" cm="1">
        <f t="array" ref="AK75">IF(AND(AK$2&lt;&gt;0,TblTech[[#This Row],[Hour]:[Hour]]&gt;=AK$2),1,0)</f>
        <v>0</v>
      </c>
      <c r="AL75" s="298" cm="1">
        <f t="array" ref="AL75">IF(AND(AL$2&lt;&gt;0,TblTech[[#This Row],[Hour]:[Hour]]&gt;=AL$2),1,0)</f>
        <v>0</v>
      </c>
      <c r="AM75" s="298" cm="1">
        <f t="array" ref="AM75">IF(AND(AM$2&lt;&gt;0,TblTech[[#This Row],[Hour]:[Hour]]&gt;=AM$2),1,0)</f>
        <v>0</v>
      </c>
      <c r="AN75" s="298" cm="1">
        <f t="array" ref="AN75">IF(AND(AN$2&lt;&gt;0,TblTech[[#This Row],[Hour]:[Hour]]&gt;=AN$2),1,0)</f>
        <v>0</v>
      </c>
      <c r="AO75" s="298" cm="1">
        <f t="array" ref="AO75">IF(AND(AO$2&lt;&gt;0,TblTech[[#This Row],[Hour]:[Hour]]&gt;=AO$2),1,0)</f>
        <v>0</v>
      </c>
      <c r="AP75" s="298" cm="1">
        <f t="array" ref="AP75">IF(AND(AP$2&lt;&gt;0,TblTech[[#This Row],[Hour]:[Hour]]&gt;=AP$2),1,0)</f>
        <v>0</v>
      </c>
      <c r="AQ75" s="298" cm="1">
        <f t="array" ref="AQ75">IF(AND(AQ$2&lt;&gt;0,TblTech[[#This Row],[Hour]:[Hour]]&gt;=AQ$2),1,0)</f>
        <v>0</v>
      </c>
      <c r="AR75" s="298" cm="1">
        <f t="array" ref="AR75">IF(AND(AR$2&lt;&gt;0,TblTech[[#This Row],[Hour]:[Hour]]&gt;=AR$2),1,0)</f>
        <v>0</v>
      </c>
      <c r="AS75" s="298" cm="1">
        <f t="array" ref="AS75">IF(AND(AS$2&lt;&gt;0,TblTech[[#This Row],[Hour]:[Hour]]&gt;=AS$2),1,0)</f>
        <v>0</v>
      </c>
      <c r="AT75" s="298" cm="1">
        <f t="array" ref="AT75">IF(AND(AT$2&lt;&gt;0,TblTech[[#This Row],[Hour]:[Hour]]&gt;=AT$2),1,0)</f>
        <v>0</v>
      </c>
      <c r="AU75" s="298" cm="1">
        <f t="array" ref="AU75">IF(AND(AU$2&lt;&gt;0,TblTech[[#This Row],[Hour]:[Hour]]&gt;=AU$2),1,0)</f>
        <v>0</v>
      </c>
      <c r="AV75" s="298" cm="1">
        <f t="array" ref="AV75">IF(AND(AV$2&lt;&gt;0,TblTech[[#This Row],[Hour]:[Hour]]&gt;=AV$2),1,0)</f>
        <v>0</v>
      </c>
      <c r="AW75" s="298" cm="1">
        <f t="array" ref="AW75">IF(AND(AW$2&lt;&gt;0,TblTech[[#This Row],[Hour]:[Hour]]&gt;=AW$2),1,0)</f>
        <v>0</v>
      </c>
      <c r="AX75" s="298" cm="1">
        <f t="array" ref="AX75">IF(AND(AX$2&lt;&gt;0,TblTech[[#This Row],[Hour]:[Hour]]&gt;=AX$2),1,0)</f>
        <v>0</v>
      </c>
      <c r="AY75" s="298" cm="1">
        <f t="array" ref="AY75">IF(AND(AY$2&lt;&gt;0,TblTech[[#This Row],[Hour]:[Hour]]&gt;=AY$2),1,0)</f>
        <v>0</v>
      </c>
      <c r="AZ75" s="298" cm="1">
        <f t="array" ref="AZ75">IF(AND(AZ$2&lt;&gt;0,TblTech[[#This Row],[Hour]:[Hour]]&gt;=AZ$2),1,0)</f>
        <v>0</v>
      </c>
      <c r="BA75" s="298" cm="1">
        <f t="array" ref="BA75">IF(AND(BA$2&lt;&gt;0,TblTech[[#This Row],[Hour]:[Hour]]&gt;=BA$2),1,0)</f>
        <v>0</v>
      </c>
      <c r="BB75" s="298" cm="1">
        <f t="array" ref="BB75">IF(AND(BB$2&lt;&gt;0,TblTech[[#This Row],[Hour]:[Hour]]&gt;=BB$2),1,0)</f>
        <v>0</v>
      </c>
      <c r="BC75" s="298" cm="1">
        <f t="array" ref="BC75">IF(AND(BC$2&lt;&gt;0,TblTech[[#This Row],[Hour]:[Hour]]&gt;=BC$2),1,0)</f>
        <v>0</v>
      </c>
      <c r="BD75" s="298" cm="1">
        <f t="array" ref="BD75">IF(AND(BD$2&lt;&gt;0,TblTech[[#This Row],[Hour]:[Hour]]&gt;=BD$2),1,0)</f>
        <v>0</v>
      </c>
      <c r="BE75" s="298" cm="1">
        <f t="array" ref="BE75">IF(AND(BE$2&lt;&gt;0,TblTech[[#This Row],[Hour]:[Hour]]&gt;=BE$2),1,0)</f>
        <v>0</v>
      </c>
      <c r="BF75" s="298" cm="1">
        <f t="array" ref="BF75">IF(AND(BF$2&lt;&gt;0,TblTech[[#This Row],[Hour]:[Hour]]&gt;=BF$2),1,0)</f>
        <v>0</v>
      </c>
      <c r="BG75" s="298" cm="1">
        <f t="array" ref="BG75">IF(AND(BG$2&lt;&gt;0,TblTech[[#This Row],[Hour]:[Hour]]&gt;=BG$2),1,0)</f>
        <v>0</v>
      </c>
      <c r="BH75" s="298" cm="1">
        <f t="array" ref="BH75">IF(AND(BH$2&lt;&gt;0,TblTech[[#This Row],[Hour]:[Hour]]&gt;=BH$2),1,0)</f>
        <v>0</v>
      </c>
      <c r="BI75" s="298" cm="1">
        <f t="array" ref="BI75">IF(AND(BI$2&lt;&gt;0,TblTech[[#This Row],[Hour]:[Hour]]&gt;=BI$2),1,0)</f>
        <v>0</v>
      </c>
      <c r="BJ75" s="298" cm="1">
        <f t="array" ref="BJ75">IF(AND(BJ$2&lt;&gt;0,TblTech[[#This Row],[Hour]:[Hour]]&gt;=BJ$2),1,0)</f>
        <v>0</v>
      </c>
      <c r="BK75" s="298" cm="1">
        <f t="array" ref="BK75">IF(AND(BK$2&lt;&gt;0,TblTech[[#This Row],[Hour]:[Hour]]&gt;=BK$2),1,0)</f>
        <v>0</v>
      </c>
      <c r="BL75" s="298" cm="1">
        <f t="array" ref="BL75">IF(AND(BL$2&lt;&gt;0,TblTech[[#This Row],[Hour]:[Hour]]&gt;=BL$2),1,0)</f>
        <v>0</v>
      </c>
      <c r="BM75" s="298" cm="1">
        <f t="array" ref="BM75">IF(AND(BM$2&lt;&gt;0,TblTech[[#This Row],[Hour]:[Hour]]&gt;=BM$2),1,0)</f>
        <v>0</v>
      </c>
      <c r="BN75" s="298" cm="1">
        <f t="array" ref="BN75">IF(AND(BN$2&lt;&gt;0,TblTech[[#This Row],[Hour]:[Hour]]&gt;=BN$2),1,0)</f>
        <v>0</v>
      </c>
      <c r="BO75" s="298" cm="1">
        <f t="array" ref="BO75">IF(AND(BO$2&lt;&gt;0,TblTech[[#This Row],[Hour]:[Hour]]&gt;=BO$2),1,0)</f>
        <v>0</v>
      </c>
      <c r="BP75" s="298" cm="1">
        <f t="array" ref="BP75">IF(AND(BP$2&lt;&gt;0,TblTech[[#This Row],[Hour]:[Hour]]&gt;=BP$2),1,0)</f>
        <v>0</v>
      </c>
      <c r="BQ75" s="298" cm="1">
        <f t="array" ref="BQ75">IF(AND(BQ$2&lt;&gt;0,TblTech[[#This Row],[Hour]:[Hour]]&gt;=BQ$2),1,0)</f>
        <v>0</v>
      </c>
      <c r="BR75" s="298" cm="1">
        <f t="array" ref="BR75">IF(AND(BR$2&lt;&gt;0,TblTech[[#This Row],[Hour]:[Hour]]&gt;=BR$2),1,0)</f>
        <v>0</v>
      </c>
      <c r="BS75" s="298" cm="1">
        <f t="array" ref="BS75">IF(AND(BS$2&lt;&gt;0,TblTech[[#This Row],[Hour]:[Hour]]&gt;=BS$2),1,0)</f>
        <v>0</v>
      </c>
      <c r="BT75" s="298" cm="1">
        <f t="array" ref="BT75">IF(AND(BT$2&lt;&gt;0,TblTech[[#This Row],[Hour]:[Hour]]&gt;=BT$2),1,0)</f>
        <v>0</v>
      </c>
      <c r="BU75" s="298" cm="1">
        <f t="array" ref="BU75">IF(AND(BU$2&lt;&gt;0,TblTech[[#This Row],[Hour]:[Hour]]&gt;=BU$2),1,0)</f>
        <v>0</v>
      </c>
      <c r="BV75" s="298" cm="1">
        <f t="array" ref="BV75">IF(AND(BV$2&lt;&gt;0,TblTech[[#This Row],[Hour]:[Hour]]&gt;=BV$2),1,0)</f>
        <v>0</v>
      </c>
      <c r="BW75" s="298" cm="1">
        <f t="array" ref="BW75">IF(AND(BW$2&lt;&gt;0,TblTech[[#This Row],[Hour]:[Hour]]&gt;=BW$2),1,0)</f>
        <v>0</v>
      </c>
      <c r="BX75" s="298" cm="1">
        <f t="array" ref="BX75">IF(AND(BX$2&lt;&gt;0,TblTech[[#This Row],[Hour]:[Hour]]&gt;=BX$2),1,0)</f>
        <v>0</v>
      </c>
      <c r="BY75" s="298" cm="1">
        <f t="array" ref="BY75">IF(AND(BY$2&lt;&gt;0,TblTech[[#This Row],[Hour]:[Hour]]&gt;=BY$2),1,0)</f>
        <v>0</v>
      </c>
      <c r="BZ75" s="298" cm="1">
        <f t="array" ref="BZ75">IF(AND(BZ$2&lt;&gt;0,TblTech[[#This Row],[Hour]:[Hour]]&gt;=BZ$2),1,0)</f>
        <v>0</v>
      </c>
      <c r="CA75" s="402">
        <f>IFERROR(INDEX($H$4:$H$79,MATCH(INDEX(TblTech[[#Headers],[1-1]:[11-1]],1,MATCH(TblTech[[#This Row],[Hour]],$M$2:$BZ$2,0)),$G$4:$G$79,0)),)</f>
        <v>0</v>
      </c>
    </row>
    <row r="76" spans="1:79" x14ac:dyDescent="0.2">
      <c r="A76" s="290">
        <f>TblRezone[[#This Row],[Hour]]</f>
        <v>73</v>
      </c>
      <c r="B76" s="291">
        <f ca="1">TblExplore[[#This Row],[Land-DB]]</f>
        <v>250</v>
      </c>
      <c r="C76" s="292">
        <f ca="1">TblProd[[#This Row],[Techpoints]]</f>
        <v>0</v>
      </c>
      <c r="D76" s="292">
        <f ca="1">TblProd[[#This Row],[Required]]</f>
        <v>3750</v>
      </c>
      <c r="E76" s="293"/>
      <c r="F76" s="294"/>
      <c r="G76" s="295" t="s">
        <v>620</v>
      </c>
      <c r="H76" s="296" t="s">
        <v>724</v>
      </c>
      <c r="I76" s="295" t="s">
        <v>605</v>
      </c>
      <c r="J76" s="291"/>
      <c r="K76" s="95">
        <f ca="1">IF(TblTech[[#This Row],[Sum of tech]]&lt;&gt;OFFSET(TblTech[[#This Row],[Sum of tech]],-1,0),1,0)</f>
        <v>0</v>
      </c>
      <c r="L76" s="297">
        <f>COUNTIF(TblTech[[#This Row],[1-1]:[11-1]],1)</f>
        <v>0</v>
      </c>
      <c r="M76" s="298" cm="1">
        <f t="array" ref="M76">IF(AND(M$2&lt;&gt;0,TblTech[[#This Row],[Hour]:[Hour]]&gt;=M$2),1,0)</f>
        <v>0</v>
      </c>
      <c r="N76" s="298" cm="1">
        <f t="array" ref="N76">IF(AND(N$2&lt;&gt;0,TblTech[[#This Row],[Hour]:[Hour]]&gt;=N$2),1,0)</f>
        <v>0</v>
      </c>
      <c r="O76" s="298" cm="1">
        <f t="array" ref="O76">IF(AND(O$2&lt;&gt;0,TblTech[[#This Row],[Hour]:[Hour]]&gt;=O$2),1,0)</f>
        <v>0</v>
      </c>
      <c r="P76" s="298" cm="1">
        <f t="array" ref="P76">IF(AND(P$2&lt;&gt;0,TblTech[[#This Row],[Hour]:[Hour]]&gt;=P$2),1,0)</f>
        <v>0</v>
      </c>
      <c r="Q76" s="298" cm="1">
        <f t="array" ref="Q76">IF(AND(Q$2&lt;&gt;0,TblTech[[#This Row],[Hour]:[Hour]]&gt;=Q$2),1,0)</f>
        <v>0</v>
      </c>
      <c r="R76" s="298" cm="1">
        <f t="array" ref="R76">IF(AND(R$2&lt;&gt;0,TblTech[[#This Row],[Hour]:[Hour]]&gt;=R$2),1,0)</f>
        <v>0</v>
      </c>
      <c r="S76" s="298" cm="1">
        <f t="array" ref="S76">IF(AND(S$2&lt;&gt;0,TblTech[[#This Row],[Hour]:[Hour]]&gt;=S$2),1,0)</f>
        <v>0</v>
      </c>
      <c r="T76" s="298" cm="1">
        <f t="array" ref="T76">IF(AND(T$2&lt;&gt;0,TblTech[[#This Row],[Hour]:[Hour]]&gt;=T$2),1,0)</f>
        <v>0</v>
      </c>
      <c r="U76" s="298" cm="1">
        <f t="array" ref="U76">IF(AND(U$2&lt;&gt;0,TblTech[[#This Row],[Hour]:[Hour]]&gt;=U$2),1,0)</f>
        <v>0</v>
      </c>
      <c r="V76" s="298" cm="1">
        <f t="array" ref="V76">IF(AND(V$2&lt;&gt;0,TblTech[[#This Row],[Hour]:[Hour]]&gt;=V$2),1,0)</f>
        <v>0</v>
      </c>
      <c r="W76" s="298" cm="1">
        <f t="array" ref="W76">IF(AND(W$2&lt;&gt;0,TblTech[[#This Row],[Hour]:[Hour]]&gt;=W$2),1,0)</f>
        <v>0</v>
      </c>
      <c r="X76" s="298" cm="1">
        <f t="array" ref="X76">IF(AND(X$2&lt;&gt;0,TblTech[[#This Row],[Hour]:[Hour]]&gt;=X$2),1,0)</f>
        <v>0</v>
      </c>
      <c r="Y76" s="298" cm="1">
        <f t="array" ref="Y76">IF(AND(Y$2&lt;&gt;0,TblTech[[#This Row],[Hour]:[Hour]]&gt;=Y$2),1,0)</f>
        <v>0</v>
      </c>
      <c r="Z76" s="298" cm="1">
        <f t="array" ref="Z76">IF(AND(Z$2&lt;&gt;0,TblTech[[#This Row],[Hour]:[Hour]]&gt;=Z$2),1,0)</f>
        <v>0</v>
      </c>
      <c r="AA76" s="298" cm="1">
        <f t="array" ref="AA76">IF(AND(AA$2&lt;&gt;0,TblTech[[#This Row],[Hour]:[Hour]]&gt;=AA$2),1,0)</f>
        <v>0</v>
      </c>
      <c r="AB76" s="298" cm="1">
        <f t="array" ref="AB76">IF(AND(AB$2&lt;&gt;0,TblTech[[#This Row],[Hour]:[Hour]]&gt;=AB$2),1,0)</f>
        <v>0</v>
      </c>
      <c r="AC76" s="298" cm="1">
        <f t="array" ref="AC76">IF(AND(AC$2&lt;&gt;0,TblTech[[#This Row],[Hour]:[Hour]]&gt;=AC$2),1,0)</f>
        <v>0</v>
      </c>
      <c r="AD76" s="298" cm="1">
        <f t="array" ref="AD76">IF(AND(AD$2&lt;&gt;0,TblTech[[#This Row],[Hour]:[Hour]]&gt;=AD$2),1,0)</f>
        <v>0</v>
      </c>
      <c r="AE76" s="298" cm="1">
        <f t="array" ref="AE76">IF(AND(AE$2&lt;&gt;0,TblTech[[#This Row],[Hour]:[Hour]]&gt;=AE$2),1,0)</f>
        <v>0</v>
      </c>
      <c r="AF76" s="298" cm="1">
        <f t="array" ref="AF76">IF(AND(AF$2&lt;&gt;0,TblTech[[#This Row],[Hour]:[Hour]]&gt;=AF$2),1,0)</f>
        <v>0</v>
      </c>
      <c r="AG76" s="298" cm="1">
        <f t="array" ref="AG76">IF(AND(AG$2&lt;&gt;0,TblTech[[#This Row],[Hour]:[Hour]]&gt;=AG$2),1,0)</f>
        <v>0</v>
      </c>
      <c r="AH76" s="298" cm="1">
        <f t="array" ref="AH76">IF(AND(AH$2&lt;&gt;0,TblTech[[#This Row],[Hour]:[Hour]]&gt;=AH$2),1,0)</f>
        <v>0</v>
      </c>
      <c r="AI76" s="298" cm="1">
        <f t="array" ref="AI76">IF(AND(AI$2&lt;&gt;0,TblTech[[#This Row],[Hour]:[Hour]]&gt;=AI$2),1,0)</f>
        <v>0</v>
      </c>
      <c r="AJ76" s="298" cm="1">
        <f t="array" ref="AJ76">IF(AND(AJ$2&lt;&gt;0,TblTech[[#This Row],[Hour]:[Hour]]&gt;=AJ$2),1,0)</f>
        <v>0</v>
      </c>
      <c r="AK76" s="298" cm="1">
        <f t="array" ref="AK76">IF(AND(AK$2&lt;&gt;0,TblTech[[#This Row],[Hour]:[Hour]]&gt;=AK$2),1,0)</f>
        <v>0</v>
      </c>
      <c r="AL76" s="298" cm="1">
        <f t="array" ref="AL76">IF(AND(AL$2&lt;&gt;0,TblTech[[#This Row],[Hour]:[Hour]]&gt;=AL$2),1,0)</f>
        <v>0</v>
      </c>
      <c r="AM76" s="298" cm="1">
        <f t="array" ref="AM76">IF(AND(AM$2&lt;&gt;0,TblTech[[#This Row],[Hour]:[Hour]]&gt;=AM$2),1,0)</f>
        <v>0</v>
      </c>
      <c r="AN76" s="298" cm="1">
        <f t="array" ref="AN76">IF(AND(AN$2&lt;&gt;0,TblTech[[#This Row],[Hour]:[Hour]]&gt;=AN$2),1,0)</f>
        <v>0</v>
      </c>
      <c r="AO76" s="298" cm="1">
        <f t="array" ref="AO76">IF(AND(AO$2&lt;&gt;0,TblTech[[#This Row],[Hour]:[Hour]]&gt;=AO$2),1,0)</f>
        <v>0</v>
      </c>
      <c r="AP76" s="298" cm="1">
        <f t="array" ref="AP76">IF(AND(AP$2&lt;&gt;0,TblTech[[#This Row],[Hour]:[Hour]]&gt;=AP$2),1,0)</f>
        <v>0</v>
      </c>
      <c r="AQ76" s="298" cm="1">
        <f t="array" ref="AQ76">IF(AND(AQ$2&lt;&gt;0,TblTech[[#This Row],[Hour]:[Hour]]&gt;=AQ$2),1,0)</f>
        <v>0</v>
      </c>
      <c r="AR76" s="298" cm="1">
        <f t="array" ref="AR76">IF(AND(AR$2&lt;&gt;0,TblTech[[#This Row],[Hour]:[Hour]]&gt;=AR$2),1,0)</f>
        <v>0</v>
      </c>
      <c r="AS76" s="298" cm="1">
        <f t="array" ref="AS76">IF(AND(AS$2&lt;&gt;0,TblTech[[#This Row],[Hour]:[Hour]]&gt;=AS$2),1,0)</f>
        <v>0</v>
      </c>
      <c r="AT76" s="298" cm="1">
        <f t="array" ref="AT76">IF(AND(AT$2&lt;&gt;0,TblTech[[#This Row],[Hour]:[Hour]]&gt;=AT$2),1,0)</f>
        <v>0</v>
      </c>
      <c r="AU76" s="298" cm="1">
        <f t="array" ref="AU76">IF(AND(AU$2&lt;&gt;0,TblTech[[#This Row],[Hour]:[Hour]]&gt;=AU$2),1,0)</f>
        <v>0</v>
      </c>
      <c r="AV76" s="298" cm="1">
        <f t="array" ref="AV76">IF(AND(AV$2&lt;&gt;0,TblTech[[#This Row],[Hour]:[Hour]]&gt;=AV$2),1,0)</f>
        <v>0</v>
      </c>
      <c r="AW76" s="298" cm="1">
        <f t="array" ref="AW76">IF(AND(AW$2&lt;&gt;0,TblTech[[#This Row],[Hour]:[Hour]]&gt;=AW$2),1,0)</f>
        <v>0</v>
      </c>
      <c r="AX76" s="298" cm="1">
        <f t="array" ref="AX76">IF(AND(AX$2&lt;&gt;0,TblTech[[#This Row],[Hour]:[Hour]]&gt;=AX$2),1,0)</f>
        <v>0</v>
      </c>
      <c r="AY76" s="298" cm="1">
        <f t="array" ref="AY76">IF(AND(AY$2&lt;&gt;0,TblTech[[#This Row],[Hour]:[Hour]]&gt;=AY$2),1,0)</f>
        <v>0</v>
      </c>
      <c r="AZ76" s="298" cm="1">
        <f t="array" ref="AZ76">IF(AND(AZ$2&lt;&gt;0,TblTech[[#This Row],[Hour]:[Hour]]&gt;=AZ$2),1,0)</f>
        <v>0</v>
      </c>
      <c r="BA76" s="298" cm="1">
        <f t="array" ref="BA76">IF(AND(BA$2&lt;&gt;0,TblTech[[#This Row],[Hour]:[Hour]]&gt;=BA$2),1,0)</f>
        <v>0</v>
      </c>
      <c r="BB76" s="298" cm="1">
        <f t="array" ref="BB76">IF(AND(BB$2&lt;&gt;0,TblTech[[#This Row],[Hour]:[Hour]]&gt;=BB$2),1,0)</f>
        <v>0</v>
      </c>
      <c r="BC76" s="298" cm="1">
        <f t="array" ref="BC76">IF(AND(BC$2&lt;&gt;0,TblTech[[#This Row],[Hour]:[Hour]]&gt;=BC$2),1,0)</f>
        <v>0</v>
      </c>
      <c r="BD76" s="298" cm="1">
        <f t="array" ref="BD76">IF(AND(BD$2&lt;&gt;0,TblTech[[#This Row],[Hour]:[Hour]]&gt;=BD$2),1,0)</f>
        <v>0</v>
      </c>
      <c r="BE76" s="298" cm="1">
        <f t="array" ref="BE76">IF(AND(BE$2&lt;&gt;0,TblTech[[#This Row],[Hour]:[Hour]]&gt;=BE$2),1,0)</f>
        <v>0</v>
      </c>
      <c r="BF76" s="298" cm="1">
        <f t="array" ref="BF76">IF(AND(BF$2&lt;&gt;0,TblTech[[#This Row],[Hour]:[Hour]]&gt;=BF$2),1,0)</f>
        <v>0</v>
      </c>
      <c r="BG76" s="298" cm="1">
        <f t="array" ref="BG76">IF(AND(BG$2&lt;&gt;0,TblTech[[#This Row],[Hour]:[Hour]]&gt;=BG$2),1,0)</f>
        <v>0</v>
      </c>
      <c r="BH76" s="298" cm="1">
        <f t="array" ref="BH76">IF(AND(BH$2&lt;&gt;0,TblTech[[#This Row],[Hour]:[Hour]]&gt;=BH$2),1,0)</f>
        <v>0</v>
      </c>
      <c r="BI76" s="298" cm="1">
        <f t="array" ref="BI76">IF(AND(BI$2&lt;&gt;0,TblTech[[#This Row],[Hour]:[Hour]]&gt;=BI$2),1,0)</f>
        <v>0</v>
      </c>
      <c r="BJ76" s="298" cm="1">
        <f t="array" ref="BJ76">IF(AND(BJ$2&lt;&gt;0,TblTech[[#This Row],[Hour]:[Hour]]&gt;=BJ$2),1,0)</f>
        <v>0</v>
      </c>
      <c r="BK76" s="298" cm="1">
        <f t="array" ref="BK76">IF(AND(BK$2&lt;&gt;0,TblTech[[#This Row],[Hour]:[Hour]]&gt;=BK$2),1,0)</f>
        <v>0</v>
      </c>
      <c r="BL76" s="298" cm="1">
        <f t="array" ref="BL76">IF(AND(BL$2&lt;&gt;0,TblTech[[#This Row],[Hour]:[Hour]]&gt;=BL$2),1,0)</f>
        <v>0</v>
      </c>
      <c r="BM76" s="298" cm="1">
        <f t="array" ref="BM76">IF(AND(BM$2&lt;&gt;0,TblTech[[#This Row],[Hour]:[Hour]]&gt;=BM$2),1,0)</f>
        <v>0</v>
      </c>
      <c r="BN76" s="298" cm="1">
        <f t="array" ref="BN76">IF(AND(BN$2&lt;&gt;0,TblTech[[#This Row],[Hour]:[Hour]]&gt;=BN$2),1,0)</f>
        <v>0</v>
      </c>
      <c r="BO76" s="298" cm="1">
        <f t="array" ref="BO76">IF(AND(BO$2&lt;&gt;0,TblTech[[#This Row],[Hour]:[Hour]]&gt;=BO$2),1,0)</f>
        <v>0</v>
      </c>
      <c r="BP76" s="298" cm="1">
        <f t="array" ref="BP76">IF(AND(BP$2&lt;&gt;0,TblTech[[#This Row],[Hour]:[Hour]]&gt;=BP$2),1,0)</f>
        <v>0</v>
      </c>
      <c r="BQ76" s="298" cm="1">
        <f t="array" ref="BQ76">IF(AND(BQ$2&lt;&gt;0,TblTech[[#This Row],[Hour]:[Hour]]&gt;=BQ$2),1,0)</f>
        <v>0</v>
      </c>
      <c r="BR76" s="298" cm="1">
        <f t="array" ref="BR76">IF(AND(BR$2&lt;&gt;0,TblTech[[#This Row],[Hour]:[Hour]]&gt;=BR$2),1,0)</f>
        <v>0</v>
      </c>
      <c r="BS76" s="298" cm="1">
        <f t="array" ref="BS76">IF(AND(BS$2&lt;&gt;0,TblTech[[#This Row],[Hour]:[Hour]]&gt;=BS$2),1,0)</f>
        <v>0</v>
      </c>
      <c r="BT76" s="298" cm="1">
        <f t="array" ref="BT76">IF(AND(BT$2&lt;&gt;0,TblTech[[#This Row],[Hour]:[Hour]]&gt;=BT$2),1,0)</f>
        <v>0</v>
      </c>
      <c r="BU76" s="298" cm="1">
        <f t="array" ref="BU76">IF(AND(BU$2&lt;&gt;0,TblTech[[#This Row],[Hour]:[Hour]]&gt;=BU$2),1,0)</f>
        <v>0</v>
      </c>
      <c r="BV76" s="298" cm="1">
        <f t="array" ref="BV76">IF(AND(BV$2&lt;&gt;0,TblTech[[#This Row],[Hour]:[Hour]]&gt;=BV$2),1,0)</f>
        <v>0</v>
      </c>
      <c r="BW76" s="298" cm="1">
        <f t="array" ref="BW76">IF(AND(BW$2&lt;&gt;0,TblTech[[#This Row],[Hour]:[Hour]]&gt;=BW$2),1,0)</f>
        <v>0</v>
      </c>
      <c r="BX76" s="298" cm="1">
        <f t="array" ref="BX76">IF(AND(BX$2&lt;&gt;0,TblTech[[#This Row],[Hour]:[Hour]]&gt;=BX$2),1,0)</f>
        <v>0</v>
      </c>
      <c r="BY76" s="298" cm="1">
        <f t="array" ref="BY76">IF(AND(BY$2&lt;&gt;0,TblTech[[#This Row],[Hour]:[Hour]]&gt;=BY$2),1,0)</f>
        <v>0</v>
      </c>
      <c r="BZ76" s="298" cm="1">
        <f t="array" ref="BZ76">IF(AND(BZ$2&lt;&gt;0,TblTech[[#This Row],[Hour]:[Hour]]&gt;=BZ$2),1,0)</f>
        <v>0</v>
      </c>
      <c r="CA76" s="402">
        <f>IFERROR(INDEX($H$4:$H$79,MATCH(INDEX(TblTech[[#Headers],[1-1]:[11-1]],1,MATCH(TblTech[[#This Row],[Hour]],$M$2:$BZ$2,0)),$G$4:$G$79,0)),)</f>
        <v>0</v>
      </c>
    </row>
    <row r="77" spans="1:79" x14ac:dyDescent="0.2">
      <c r="A77" s="290">
        <f>TblRezone[[#This Row],[Hour]]</f>
        <v>74</v>
      </c>
      <c r="B77" s="291">
        <f ca="1">TblExplore[[#This Row],[Land-DB]]</f>
        <v>250</v>
      </c>
      <c r="C77" s="292">
        <f ca="1">TblProd[[#This Row],[Techpoints]]</f>
        <v>0</v>
      </c>
      <c r="D77" s="292">
        <f ca="1">TblProd[[#This Row],[Required]]</f>
        <v>3750</v>
      </c>
      <c r="E77" s="293"/>
      <c r="F77" s="294"/>
      <c r="G77" s="295" t="s">
        <v>622</v>
      </c>
      <c r="H77" s="296" t="s">
        <v>734</v>
      </c>
      <c r="I77" s="295" t="s">
        <v>621</v>
      </c>
      <c r="J77" s="291"/>
      <c r="K77" s="95">
        <f ca="1">IF(TblTech[[#This Row],[Sum of tech]]&lt;&gt;OFFSET(TblTech[[#This Row],[Sum of tech]],-1,0),1,0)</f>
        <v>0</v>
      </c>
      <c r="L77" s="297">
        <f>COUNTIF(TblTech[[#This Row],[1-1]:[11-1]],1)</f>
        <v>0</v>
      </c>
      <c r="M77" s="298" cm="1">
        <f t="array" ref="M77">IF(AND(M$2&lt;&gt;0,TblTech[[#This Row],[Hour]:[Hour]]&gt;=M$2),1,0)</f>
        <v>0</v>
      </c>
      <c r="N77" s="298" cm="1">
        <f t="array" ref="N77">IF(AND(N$2&lt;&gt;0,TblTech[[#This Row],[Hour]:[Hour]]&gt;=N$2),1,0)</f>
        <v>0</v>
      </c>
      <c r="O77" s="298" cm="1">
        <f t="array" ref="O77">IF(AND(O$2&lt;&gt;0,TblTech[[#This Row],[Hour]:[Hour]]&gt;=O$2),1,0)</f>
        <v>0</v>
      </c>
      <c r="P77" s="298" cm="1">
        <f t="array" ref="P77">IF(AND(P$2&lt;&gt;0,TblTech[[#This Row],[Hour]:[Hour]]&gt;=P$2),1,0)</f>
        <v>0</v>
      </c>
      <c r="Q77" s="298" cm="1">
        <f t="array" ref="Q77">IF(AND(Q$2&lt;&gt;0,TblTech[[#This Row],[Hour]:[Hour]]&gt;=Q$2),1,0)</f>
        <v>0</v>
      </c>
      <c r="R77" s="298" cm="1">
        <f t="array" ref="R77">IF(AND(R$2&lt;&gt;0,TblTech[[#This Row],[Hour]:[Hour]]&gt;=R$2),1,0)</f>
        <v>0</v>
      </c>
      <c r="S77" s="298" cm="1">
        <f t="array" ref="S77">IF(AND(S$2&lt;&gt;0,TblTech[[#This Row],[Hour]:[Hour]]&gt;=S$2),1,0)</f>
        <v>0</v>
      </c>
      <c r="T77" s="298" cm="1">
        <f t="array" ref="T77">IF(AND(T$2&lt;&gt;0,TblTech[[#This Row],[Hour]:[Hour]]&gt;=T$2),1,0)</f>
        <v>0</v>
      </c>
      <c r="U77" s="298" cm="1">
        <f t="array" ref="U77">IF(AND(U$2&lt;&gt;0,TblTech[[#This Row],[Hour]:[Hour]]&gt;=U$2),1,0)</f>
        <v>0</v>
      </c>
      <c r="V77" s="298" cm="1">
        <f t="array" ref="V77">IF(AND(V$2&lt;&gt;0,TblTech[[#This Row],[Hour]:[Hour]]&gt;=V$2),1,0)</f>
        <v>0</v>
      </c>
      <c r="W77" s="298" cm="1">
        <f t="array" ref="W77">IF(AND(W$2&lt;&gt;0,TblTech[[#This Row],[Hour]:[Hour]]&gt;=W$2),1,0)</f>
        <v>0</v>
      </c>
      <c r="X77" s="298" cm="1">
        <f t="array" ref="X77">IF(AND(X$2&lt;&gt;0,TblTech[[#This Row],[Hour]:[Hour]]&gt;=X$2),1,0)</f>
        <v>0</v>
      </c>
      <c r="Y77" s="298" cm="1">
        <f t="array" ref="Y77">IF(AND(Y$2&lt;&gt;0,TblTech[[#This Row],[Hour]:[Hour]]&gt;=Y$2),1,0)</f>
        <v>0</v>
      </c>
      <c r="Z77" s="298" cm="1">
        <f t="array" ref="Z77">IF(AND(Z$2&lt;&gt;0,TblTech[[#This Row],[Hour]:[Hour]]&gt;=Z$2),1,0)</f>
        <v>0</v>
      </c>
      <c r="AA77" s="298" cm="1">
        <f t="array" ref="AA77">IF(AND(AA$2&lt;&gt;0,TblTech[[#This Row],[Hour]:[Hour]]&gt;=AA$2),1,0)</f>
        <v>0</v>
      </c>
      <c r="AB77" s="298" cm="1">
        <f t="array" ref="AB77">IF(AND(AB$2&lt;&gt;0,TblTech[[#This Row],[Hour]:[Hour]]&gt;=AB$2),1,0)</f>
        <v>0</v>
      </c>
      <c r="AC77" s="298" cm="1">
        <f t="array" ref="AC77">IF(AND(AC$2&lt;&gt;0,TblTech[[#This Row],[Hour]:[Hour]]&gt;=AC$2),1,0)</f>
        <v>0</v>
      </c>
      <c r="AD77" s="298" cm="1">
        <f t="array" ref="AD77">IF(AND(AD$2&lt;&gt;0,TblTech[[#This Row],[Hour]:[Hour]]&gt;=AD$2),1,0)</f>
        <v>0</v>
      </c>
      <c r="AE77" s="298" cm="1">
        <f t="array" ref="AE77">IF(AND(AE$2&lt;&gt;0,TblTech[[#This Row],[Hour]:[Hour]]&gt;=AE$2),1,0)</f>
        <v>0</v>
      </c>
      <c r="AF77" s="298" cm="1">
        <f t="array" ref="AF77">IF(AND(AF$2&lt;&gt;0,TblTech[[#This Row],[Hour]:[Hour]]&gt;=AF$2),1,0)</f>
        <v>0</v>
      </c>
      <c r="AG77" s="298" cm="1">
        <f t="array" ref="AG77">IF(AND(AG$2&lt;&gt;0,TblTech[[#This Row],[Hour]:[Hour]]&gt;=AG$2),1,0)</f>
        <v>0</v>
      </c>
      <c r="AH77" s="298" cm="1">
        <f t="array" ref="AH77">IF(AND(AH$2&lt;&gt;0,TblTech[[#This Row],[Hour]:[Hour]]&gt;=AH$2),1,0)</f>
        <v>0</v>
      </c>
      <c r="AI77" s="298" cm="1">
        <f t="array" ref="AI77">IF(AND(AI$2&lt;&gt;0,TblTech[[#This Row],[Hour]:[Hour]]&gt;=AI$2),1,0)</f>
        <v>0</v>
      </c>
      <c r="AJ77" s="298" cm="1">
        <f t="array" ref="AJ77">IF(AND(AJ$2&lt;&gt;0,TblTech[[#This Row],[Hour]:[Hour]]&gt;=AJ$2),1,0)</f>
        <v>0</v>
      </c>
      <c r="AK77" s="298" cm="1">
        <f t="array" ref="AK77">IF(AND(AK$2&lt;&gt;0,TblTech[[#This Row],[Hour]:[Hour]]&gt;=AK$2),1,0)</f>
        <v>0</v>
      </c>
      <c r="AL77" s="298" cm="1">
        <f t="array" ref="AL77">IF(AND(AL$2&lt;&gt;0,TblTech[[#This Row],[Hour]:[Hour]]&gt;=AL$2),1,0)</f>
        <v>0</v>
      </c>
      <c r="AM77" s="298" cm="1">
        <f t="array" ref="AM77">IF(AND(AM$2&lt;&gt;0,TblTech[[#This Row],[Hour]:[Hour]]&gt;=AM$2),1,0)</f>
        <v>0</v>
      </c>
      <c r="AN77" s="298" cm="1">
        <f t="array" ref="AN77">IF(AND(AN$2&lt;&gt;0,TblTech[[#This Row],[Hour]:[Hour]]&gt;=AN$2),1,0)</f>
        <v>0</v>
      </c>
      <c r="AO77" s="298" cm="1">
        <f t="array" ref="AO77">IF(AND(AO$2&lt;&gt;0,TblTech[[#This Row],[Hour]:[Hour]]&gt;=AO$2),1,0)</f>
        <v>0</v>
      </c>
      <c r="AP77" s="298" cm="1">
        <f t="array" ref="AP77">IF(AND(AP$2&lt;&gt;0,TblTech[[#This Row],[Hour]:[Hour]]&gt;=AP$2),1,0)</f>
        <v>0</v>
      </c>
      <c r="AQ77" s="298" cm="1">
        <f t="array" ref="AQ77">IF(AND(AQ$2&lt;&gt;0,TblTech[[#This Row],[Hour]:[Hour]]&gt;=AQ$2),1,0)</f>
        <v>0</v>
      </c>
      <c r="AR77" s="298" cm="1">
        <f t="array" ref="AR77">IF(AND(AR$2&lt;&gt;0,TblTech[[#This Row],[Hour]:[Hour]]&gt;=AR$2),1,0)</f>
        <v>0</v>
      </c>
      <c r="AS77" s="298" cm="1">
        <f t="array" ref="AS77">IF(AND(AS$2&lt;&gt;0,TblTech[[#This Row],[Hour]:[Hour]]&gt;=AS$2),1,0)</f>
        <v>0</v>
      </c>
      <c r="AT77" s="298" cm="1">
        <f t="array" ref="AT77">IF(AND(AT$2&lt;&gt;0,TblTech[[#This Row],[Hour]:[Hour]]&gt;=AT$2),1,0)</f>
        <v>0</v>
      </c>
      <c r="AU77" s="298" cm="1">
        <f t="array" ref="AU77">IF(AND(AU$2&lt;&gt;0,TblTech[[#This Row],[Hour]:[Hour]]&gt;=AU$2),1,0)</f>
        <v>0</v>
      </c>
      <c r="AV77" s="298" cm="1">
        <f t="array" ref="AV77">IF(AND(AV$2&lt;&gt;0,TblTech[[#This Row],[Hour]:[Hour]]&gt;=AV$2),1,0)</f>
        <v>0</v>
      </c>
      <c r="AW77" s="298" cm="1">
        <f t="array" ref="AW77">IF(AND(AW$2&lt;&gt;0,TblTech[[#This Row],[Hour]:[Hour]]&gt;=AW$2),1,0)</f>
        <v>0</v>
      </c>
      <c r="AX77" s="298" cm="1">
        <f t="array" ref="AX77">IF(AND(AX$2&lt;&gt;0,TblTech[[#This Row],[Hour]:[Hour]]&gt;=AX$2),1,0)</f>
        <v>0</v>
      </c>
      <c r="AY77" s="298" cm="1">
        <f t="array" ref="AY77">IF(AND(AY$2&lt;&gt;0,TblTech[[#This Row],[Hour]:[Hour]]&gt;=AY$2),1,0)</f>
        <v>0</v>
      </c>
      <c r="AZ77" s="298" cm="1">
        <f t="array" ref="AZ77">IF(AND(AZ$2&lt;&gt;0,TblTech[[#This Row],[Hour]:[Hour]]&gt;=AZ$2),1,0)</f>
        <v>0</v>
      </c>
      <c r="BA77" s="298" cm="1">
        <f t="array" ref="BA77">IF(AND(BA$2&lt;&gt;0,TblTech[[#This Row],[Hour]:[Hour]]&gt;=BA$2),1,0)</f>
        <v>0</v>
      </c>
      <c r="BB77" s="298" cm="1">
        <f t="array" ref="BB77">IF(AND(BB$2&lt;&gt;0,TblTech[[#This Row],[Hour]:[Hour]]&gt;=BB$2),1,0)</f>
        <v>0</v>
      </c>
      <c r="BC77" s="298" cm="1">
        <f t="array" ref="BC77">IF(AND(BC$2&lt;&gt;0,TblTech[[#This Row],[Hour]:[Hour]]&gt;=BC$2),1,0)</f>
        <v>0</v>
      </c>
      <c r="BD77" s="298" cm="1">
        <f t="array" ref="BD77">IF(AND(BD$2&lt;&gt;0,TblTech[[#This Row],[Hour]:[Hour]]&gt;=BD$2),1,0)</f>
        <v>0</v>
      </c>
      <c r="BE77" s="298" cm="1">
        <f t="array" ref="BE77">IF(AND(BE$2&lt;&gt;0,TblTech[[#This Row],[Hour]:[Hour]]&gt;=BE$2),1,0)</f>
        <v>0</v>
      </c>
      <c r="BF77" s="298" cm="1">
        <f t="array" ref="BF77">IF(AND(BF$2&lt;&gt;0,TblTech[[#This Row],[Hour]:[Hour]]&gt;=BF$2),1,0)</f>
        <v>0</v>
      </c>
      <c r="BG77" s="298" cm="1">
        <f t="array" ref="BG77">IF(AND(BG$2&lt;&gt;0,TblTech[[#This Row],[Hour]:[Hour]]&gt;=BG$2),1,0)</f>
        <v>0</v>
      </c>
      <c r="BH77" s="298" cm="1">
        <f t="array" ref="BH77">IF(AND(BH$2&lt;&gt;0,TblTech[[#This Row],[Hour]:[Hour]]&gt;=BH$2),1,0)</f>
        <v>0</v>
      </c>
      <c r="BI77" s="298" cm="1">
        <f t="array" ref="BI77">IF(AND(BI$2&lt;&gt;0,TblTech[[#This Row],[Hour]:[Hour]]&gt;=BI$2),1,0)</f>
        <v>0</v>
      </c>
      <c r="BJ77" s="298" cm="1">
        <f t="array" ref="BJ77">IF(AND(BJ$2&lt;&gt;0,TblTech[[#This Row],[Hour]:[Hour]]&gt;=BJ$2),1,0)</f>
        <v>0</v>
      </c>
      <c r="BK77" s="298" cm="1">
        <f t="array" ref="BK77">IF(AND(BK$2&lt;&gt;0,TblTech[[#This Row],[Hour]:[Hour]]&gt;=BK$2),1,0)</f>
        <v>0</v>
      </c>
      <c r="BL77" s="298" cm="1">
        <f t="array" ref="BL77">IF(AND(BL$2&lt;&gt;0,TblTech[[#This Row],[Hour]:[Hour]]&gt;=BL$2),1,0)</f>
        <v>0</v>
      </c>
      <c r="BM77" s="298" cm="1">
        <f t="array" ref="BM77">IF(AND(BM$2&lt;&gt;0,TblTech[[#This Row],[Hour]:[Hour]]&gt;=BM$2),1,0)</f>
        <v>0</v>
      </c>
      <c r="BN77" s="298" cm="1">
        <f t="array" ref="BN77">IF(AND(BN$2&lt;&gt;0,TblTech[[#This Row],[Hour]:[Hour]]&gt;=BN$2),1,0)</f>
        <v>0</v>
      </c>
      <c r="BO77" s="298" cm="1">
        <f t="array" ref="BO77">IF(AND(BO$2&lt;&gt;0,TblTech[[#This Row],[Hour]:[Hour]]&gt;=BO$2),1,0)</f>
        <v>0</v>
      </c>
      <c r="BP77" s="298" cm="1">
        <f t="array" ref="BP77">IF(AND(BP$2&lt;&gt;0,TblTech[[#This Row],[Hour]:[Hour]]&gt;=BP$2),1,0)</f>
        <v>0</v>
      </c>
      <c r="BQ77" s="298" cm="1">
        <f t="array" ref="BQ77">IF(AND(BQ$2&lt;&gt;0,TblTech[[#This Row],[Hour]:[Hour]]&gt;=BQ$2),1,0)</f>
        <v>0</v>
      </c>
      <c r="BR77" s="298" cm="1">
        <f t="array" ref="BR77">IF(AND(BR$2&lt;&gt;0,TblTech[[#This Row],[Hour]:[Hour]]&gt;=BR$2),1,0)</f>
        <v>0</v>
      </c>
      <c r="BS77" s="298" cm="1">
        <f t="array" ref="BS77">IF(AND(BS$2&lt;&gt;0,TblTech[[#This Row],[Hour]:[Hour]]&gt;=BS$2),1,0)</f>
        <v>0</v>
      </c>
      <c r="BT77" s="298" cm="1">
        <f t="array" ref="BT77">IF(AND(BT$2&lt;&gt;0,TblTech[[#This Row],[Hour]:[Hour]]&gt;=BT$2),1,0)</f>
        <v>0</v>
      </c>
      <c r="BU77" s="298" cm="1">
        <f t="array" ref="BU77">IF(AND(BU$2&lt;&gt;0,TblTech[[#This Row],[Hour]:[Hour]]&gt;=BU$2),1,0)</f>
        <v>0</v>
      </c>
      <c r="BV77" s="298" cm="1">
        <f t="array" ref="BV77">IF(AND(BV$2&lt;&gt;0,TblTech[[#This Row],[Hour]:[Hour]]&gt;=BV$2),1,0)</f>
        <v>0</v>
      </c>
      <c r="BW77" s="298" cm="1">
        <f t="array" ref="BW77">IF(AND(BW$2&lt;&gt;0,TblTech[[#This Row],[Hour]:[Hour]]&gt;=BW$2),1,0)</f>
        <v>0</v>
      </c>
      <c r="BX77" s="298" cm="1">
        <f t="array" ref="BX77">IF(AND(BX$2&lt;&gt;0,TblTech[[#This Row],[Hour]:[Hour]]&gt;=BX$2),1,0)</f>
        <v>0</v>
      </c>
      <c r="BY77" s="298" cm="1">
        <f t="array" ref="BY77">IF(AND(BY$2&lt;&gt;0,TblTech[[#This Row],[Hour]:[Hour]]&gt;=BY$2),1,0)</f>
        <v>0</v>
      </c>
      <c r="BZ77" s="298" cm="1">
        <f t="array" ref="BZ77">IF(AND(BZ$2&lt;&gt;0,TblTech[[#This Row],[Hour]:[Hour]]&gt;=BZ$2),1,0)</f>
        <v>0</v>
      </c>
      <c r="CA77" s="402">
        <f>IFERROR(INDEX($H$4:$H$79,MATCH(INDEX(TblTech[[#Headers],[1-1]:[11-1]],1,MATCH(TblTech[[#This Row],[Hour]],$M$2:$BZ$2,0)),$G$4:$G$79,0)),)</f>
        <v>0</v>
      </c>
    </row>
    <row r="78" spans="1:79" x14ac:dyDescent="0.2">
      <c r="A78" s="290">
        <f>TblRezone[[#This Row],[Hour]]</f>
        <v>75</v>
      </c>
      <c r="B78" s="291">
        <f ca="1">TblExplore[[#This Row],[Land-DB]]</f>
        <v>250</v>
      </c>
      <c r="C78" s="292">
        <f ca="1">TblProd[[#This Row],[Techpoints]]</f>
        <v>0</v>
      </c>
      <c r="D78" s="292">
        <f ca="1">TblProd[[#This Row],[Required]]</f>
        <v>3750</v>
      </c>
      <c r="E78" s="293"/>
      <c r="F78" s="294"/>
      <c r="G78" s="295"/>
      <c r="H78" s="296"/>
      <c r="I78" s="295"/>
      <c r="J78" s="291"/>
      <c r="K78" s="95">
        <f ca="1">IF(TblTech[[#This Row],[Sum of tech]]&lt;&gt;OFFSET(TblTech[[#This Row],[Sum of tech]],-1,0),1,0)</f>
        <v>0</v>
      </c>
      <c r="L78" s="297">
        <f>COUNTIF(TblTech[[#This Row],[1-1]:[11-1]],1)</f>
        <v>0</v>
      </c>
      <c r="M78" s="298" cm="1">
        <f t="array" ref="M78">IF(AND(M$2&lt;&gt;0,TblTech[[#This Row],[Hour]:[Hour]]&gt;=M$2),1,0)</f>
        <v>0</v>
      </c>
      <c r="N78" s="298" cm="1">
        <f t="array" ref="N78">IF(AND(N$2&lt;&gt;0,TblTech[[#This Row],[Hour]:[Hour]]&gt;=N$2),1,0)</f>
        <v>0</v>
      </c>
      <c r="O78" s="298" cm="1">
        <f t="array" ref="O78">IF(AND(O$2&lt;&gt;0,TblTech[[#This Row],[Hour]:[Hour]]&gt;=O$2),1,0)</f>
        <v>0</v>
      </c>
      <c r="P78" s="298" cm="1">
        <f t="array" ref="P78">IF(AND(P$2&lt;&gt;0,TblTech[[#This Row],[Hour]:[Hour]]&gt;=P$2),1,0)</f>
        <v>0</v>
      </c>
      <c r="Q78" s="298" cm="1">
        <f t="array" ref="Q78">IF(AND(Q$2&lt;&gt;0,TblTech[[#This Row],[Hour]:[Hour]]&gt;=Q$2),1,0)</f>
        <v>0</v>
      </c>
      <c r="R78" s="298" cm="1">
        <f t="array" ref="R78">IF(AND(R$2&lt;&gt;0,TblTech[[#This Row],[Hour]:[Hour]]&gt;=R$2),1,0)</f>
        <v>0</v>
      </c>
      <c r="S78" s="298" cm="1">
        <f t="array" ref="S78">IF(AND(S$2&lt;&gt;0,TblTech[[#This Row],[Hour]:[Hour]]&gt;=S$2),1,0)</f>
        <v>0</v>
      </c>
      <c r="T78" s="298" cm="1">
        <f t="array" ref="T78">IF(AND(T$2&lt;&gt;0,TblTech[[#This Row],[Hour]:[Hour]]&gt;=T$2),1,0)</f>
        <v>0</v>
      </c>
      <c r="U78" s="298" cm="1">
        <f t="array" ref="U78">IF(AND(U$2&lt;&gt;0,TblTech[[#This Row],[Hour]:[Hour]]&gt;=U$2),1,0)</f>
        <v>0</v>
      </c>
      <c r="V78" s="298" cm="1">
        <f t="array" ref="V78">IF(AND(V$2&lt;&gt;0,TblTech[[#This Row],[Hour]:[Hour]]&gt;=V$2),1,0)</f>
        <v>0</v>
      </c>
      <c r="W78" s="298" cm="1">
        <f t="array" ref="W78">IF(AND(W$2&lt;&gt;0,TblTech[[#This Row],[Hour]:[Hour]]&gt;=W$2),1,0)</f>
        <v>0</v>
      </c>
      <c r="X78" s="298" cm="1">
        <f t="array" ref="X78">IF(AND(X$2&lt;&gt;0,TblTech[[#This Row],[Hour]:[Hour]]&gt;=X$2),1,0)</f>
        <v>0</v>
      </c>
      <c r="Y78" s="298" cm="1">
        <f t="array" ref="Y78">IF(AND(Y$2&lt;&gt;0,TblTech[[#This Row],[Hour]:[Hour]]&gt;=Y$2),1,0)</f>
        <v>0</v>
      </c>
      <c r="Z78" s="298" cm="1">
        <f t="array" ref="Z78">IF(AND(Z$2&lt;&gt;0,TblTech[[#This Row],[Hour]:[Hour]]&gt;=Z$2),1,0)</f>
        <v>0</v>
      </c>
      <c r="AA78" s="298" cm="1">
        <f t="array" ref="AA78">IF(AND(AA$2&lt;&gt;0,TblTech[[#This Row],[Hour]:[Hour]]&gt;=AA$2),1,0)</f>
        <v>0</v>
      </c>
      <c r="AB78" s="298" cm="1">
        <f t="array" ref="AB78">IF(AND(AB$2&lt;&gt;0,TblTech[[#This Row],[Hour]:[Hour]]&gt;=AB$2),1,0)</f>
        <v>0</v>
      </c>
      <c r="AC78" s="298" cm="1">
        <f t="array" ref="AC78">IF(AND(AC$2&lt;&gt;0,TblTech[[#This Row],[Hour]:[Hour]]&gt;=AC$2),1,0)</f>
        <v>0</v>
      </c>
      <c r="AD78" s="298" cm="1">
        <f t="array" ref="AD78">IF(AND(AD$2&lt;&gt;0,TblTech[[#This Row],[Hour]:[Hour]]&gt;=AD$2),1,0)</f>
        <v>0</v>
      </c>
      <c r="AE78" s="298" cm="1">
        <f t="array" ref="AE78">IF(AND(AE$2&lt;&gt;0,TblTech[[#This Row],[Hour]:[Hour]]&gt;=AE$2),1,0)</f>
        <v>0</v>
      </c>
      <c r="AF78" s="298" cm="1">
        <f t="array" ref="AF78">IF(AND(AF$2&lt;&gt;0,TblTech[[#This Row],[Hour]:[Hour]]&gt;=AF$2),1,0)</f>
        <v>0</v>
      </c>
      <c r="AG78" s="298" cm="1">
        <f t="array" ref="AG78">IF(AND(AG$2&lt;&gt;0,TblTech[[#This Row],[Hour]:[Hour]]&gt;=AG$2),1,0)</f>
        <v>0</v>
      </c>
      <c r="AH78" s="298" cm="1">
        <f t="array" ref="AH78">IF(AND(AH$2&lt;&gt;0,TblTech[[#This Row],[Hour]:[Hour]]&gt;=AH$2),1,0)</f>
        <v>0</v>
      </c>
      <c r="AI78" s="298" cm="1">
        <f t="array" ref="AI78">IF(AND(AI$2&lt;&gt;0,TblTech[[#This Row],[Hour]:[Hour]]&gt;=AI$2),1,0)</f>
        <v>0</v>
      </c>
      <c r="AJ78" s="298" cm="1">
        <f t="array" ref="AJ78">IF(AND(AJ$2&lt;&gt;0,TblTech[[#This Row],[Hour]:[Hour]]&gt;=AJ$2),1,0)</f>
        <v>0</v>
      </c>
      <c r="AK78" s="298" cm="1">
        <f t="array" ref="AK78">IF(AND(AK$2&lt;&gt;0,TblTech[[#This Row],[Hour]:[Hour]]&gt;=AK$2),1,0)</f>
        <v>0</v>
      </c>
      <c r="AL78" s="298" cm="1">
        <f t="array" ref="AL78">IF(AND(AL$2&lt;&gt;0,TblTech[[#This Row],[Hour]:[Hour]]&gt;=AL$2),1,0)</f>
        <v>0</v>
      </c>
      <c r="AM78" s="298" cm="1">
        <f t="array" ref="AM78">IF(AND(AM$2&lt;&gt;0,TblTech[[#This Row],[Hour]:[Hour]]&gt;=AM$2),1,0)</f>
        <v>0</v>
      </c>
      <c r="AN78" s="298" cm="1">
        <f t="array" ref="AN78">IF(AND(AN$2&lt;&gt;0,TblTech[[#This Row],[Hour]:[Hour]]&gt;=AN$2),1,0)</f>
        <v>0</v>
      </c>
      <c r="AO78" s="298" cm="1">
        <f t="array" ref="AO78">IF(AND(AO$2&lt;&gt;0,TblTech[[#This Row],[Hour]:[Hour]]&gt;=AO$2),1,0)</f>
        <v>0</v>
      </c>
      <c r="AP78" s="298" cm="1">
        <f t="array" ref="AP78">IF(AND(AP$2&lt;&gt;0,TblTech[[#This Row],[Hour]:[Hour]]&gt;=AP$2),1,0)</f>
        <v>0</v>
      </c>
      <c r="AQ78" s="298" cm="1">
        <f t="array" ref="AQ78">IF(AND(AQ$2&lt;&gt;0,TblTech[[#This Row],[Hour]:[Hour]]&gt;=AQ$2),1,0)</f>
        <v>0</v>
      </c>
      <c r="AR78" s="298" cm="1">
        <f t="array" ref="AR78">IF(AND(AR$2&lt;&gt;0,TblTech[[#This Row],[Hour]:[Hour]]&gt;=AR$2),1,0)</f>
        <v>0</v>
      </c>
      <c r="AS78" s="298" cm="1">
        <f t="array" ref="AS78">IF(AND(AS$2&lt;&gt;0,TblTech[[#This Row],[Hour]:[Hour]]&gt;=AS$2),1,0)</f>
        <v>0</v>
      </c>
      <c r="AT78" s="298" cm="1">
        <f t="array" ref="AT78">IF(AND(AT$2&lt;&gt;0,TblTech[[#This Row],[Hour]:[Hour]]&gt;=AT$2),1,0)</f>
        <v>0</v>
      </c>
      <c r="AU78" s="298" cm="1">
        <f t="array" ref="AU78">IF(AND(AU$2&lt;&gt;0,TblTech[[#This Row],[Hour]:[Hour]]&gt;=AU$2),1,0)</f>
        <v>0</v>
      </c>
      <c r="AV78" s="298" cm="1">
        <f t="array" ref="AV78">IF(AND(AV$2&lt;&gt;0,TblTech[[#This Row],[Hour]:[Hour]]&gt;=AV$2),1,0)</f>
        <v>0</v>
      </c>
      <c r="AW78" s="298" cm="1">
        <f t="array" ref="AW78">IF(AND(AW$2&lt;&gt;0,TblTech[[#This Row],[Hour]:[Hour]]&gt;=AW$2),1,0)</f>
        <v>0</v>
      </c>
      <c r="AX78" s="298" cm="1">
        <f t="array" ref="AX78">IF(AND(AX$2&lt;&gt;0,TblTech[[#This Row],[Hour]:[Hour]]&gt;=AX$2),1,0)</f>
        <v>0</v>
      </c>
      <c r="AY78" s="298" cm="1">
        <f t="array" ref="AY78">IF(AND(AY$2&lt;&gt;0,TblTech[[#This Row],[Hour]:[Hour]]&gt;=AY$2),1,0)</f>
        <v>0</v>
      </c>
      <c r="AZ78" s="298" cm="1">
        <f t="array" ref="AZ78">IF(AND(AZ$2&lt;&gt;0,TblTech[[#This Row],[Hour]:[Hour]]&gt;=AZ$2),1,0)</f>
        <v>0</v>
      </c>
      <c r="BA78" s="298" cm="1">
        <f t="array" ref="BA78">IF(AND(BA$2&lt;&gt;0,TblTech[[#This Row],[Hour]:[Hour]]&gt;=BA$2),1,0)</f>
        <v>0</v>
      </c>
      <c r="BB78" s="298" cm="1">
        <f t="array" ref="BB78">IF(AND(BB$2&lt;&gt;0,TblTech[[#This Row],[Hour]:[Hour]]&gt;=BB$2),1,0)</f>
        <v>0</v>
      </c>
      <c r="BC78" s="298" cm="1">
        <f t="array" ref="BC78">IF(AND(BC$2&lt;&gt;0,TblTech[[#This Row],[Hour]:[Hour]]&gt;=BC$2),1,0)</f>
        <v>0</v>
      </c>
      <c r="BD78" s="298" cm="1">
        <f t="array" ref="BD78">IF(AND(BD$2&lt;&gt;0,TblTech[[#This Row],[Hour]:[Hour]]&gt;=BD$2),1,0)</f>
        <v>0</v>
      </c>
      <c r="BE78" s="298" cm="1">
        <f t="array" ref="BE78">IF(AND(BE$2&lt;&gt;0,TblTech[[#This Row],[Hour]:[Hour]]&gt;=BE$2),1,0)</f>
        <v>0</v>
      </c>
      <c r="BF78" s="298" cm="1">
        <f t="array" ref="BF78">IF(AND(BF$2&lt;&gt;0,TblTech[[#This Row],[Hour]:[Hour]]&gt;=BF$2),1,0)</f>
        <v>0</v>
      </c>
      <c r="BG78" s="298" cm="1">
        <f t="array" ref="BG78">IF(AND(BG$2&lt;&gt;0,TblTech[[#This Row],[Hour]:[Hour]]&gt;=BG$2),1,0)</f>
        <v>0</v>
      </c>
      <c r="BH78" s="298" cm="1">
        <f t="array" ref="BH78">IF(AND(BH$2&lt;&gt;0,TblTech[[#This Row],[Hour]:[Hour]]&gt;=BH$2),1,0)</f>
        <v>0</v>
      </c>
      <c r="BI78" s="298" cm="1">
        <f t="array" ref="BI78">IF(AND(BI$2&lt;&gt;0,TblTech[[#This Row],[Hour]:[Hour]]&gt;=BI$2),1,0)</f>
        <v>0</v>
      </c>
      <c r="BJ78" s="298" cm="1">
        <f t="array" ref="BJ78">IF(AND(BJ$2&lt;&gt;0,TblTech[[#This Row],[Hour]:[Hour]]&gt;=BJ$2),1,0)</f>
        <v>0</v>
      </c>
      <c r="BK78" s="298" cm="1">
        <f t="array" ref="BK78">IF(AND(BK$2&lt;&gt;0,TblTech[[#This Row],[Hour]:[Hour]]&gt;=BK$2),1,0)</f>
        <v>0</v>
      </c>
      <c r="BL78" s="298" cm="1">
        <f t="array" ref="BL78">IF(AND(BL$2&lt;&gt;0,TblTech[[#This Row],[Hour]:[Hour]]&gt;=BL$2),1,0)</f>
        <v>0</v>
      </c>
      <c r="BM78" s="298" cm="1">
        <f t="array" ref="BM78">IF(AND(BM$2&lt;&gt;0,TblTech[[#This Row],[Hour]:[Hour]]&gt;=BM$2),1,0)</f>
        <v>0</v>
      </c>
      <c r="BN78" s="298" cm="1">
        <f t="array" ref="BN78">IF(AND(BN$2&lt;&gt;0,TblTech[[#This Row],[Hour]:[Hour]]&gt;=BN$2),1,0)</f>
        <v>0</v>
      </c>
      <c r="BO78" s="298" cm="1">
        <f t="array" ref="BO78">IF(AND(BO$2&lt;&gt;0,TblTech[[#This Row],[Hour]:[Hour]]&gt;=BO$2),1,0)</f>
        <v>0</v>
      </c>
      <c r="BP78" s="298" cm="1">
        <f t="array" ref="BP78">IF(AND(BP$2&lt;&gt;0,TblTech[[#This Row],[Hour]:[Hour]]&gt;=BP$2),1,0)</f>
        <v>0</v>
      </c>
      <c r="BQ78" s="298" cm="1">
        <f t="array" ref="BQ78">IF(AND(BQ$2&lt;&gt;0,TblTech[[#This Row],[Hour]:[Hour]]&gt;=BQ$2),1,0)</f>
        <v>0</v>
      </c>
      <c r="BR78" s="298" cm="1">
        <f t="array" ref="BR78">IF(AND(BR$2&lt;&gt;0,TblTech[[#This Row],[Hour]:[Hour]]&gt;=BR$2),1,0)</f>
        <v>0</v>
      </c>
      <c r="BS78" s="298" cm="1">
        <f t="array" ref="BS78">IF(AND(BS$2&lt;&gt;0,TblTech[[#This Row],[Hour]:[Hour]]&gt;=BS$2),1,0)</f>
        <v>0</v>
      </c>
      <c r="BT78" s="298" cm="1">
        <f t="array" ref="BT78">IF(AND(BT$2&lt;&gt;0,TblTech[[#This Row],[Hour]:[Hour]]&gt;=BT$2),1,0)</f>
        <v>0</v>
      </c>
      <c r="BU78" s="298" cm="1">
        <f t="array" ref="BU78">IF(AND(BU$2&lt;&gt;0,TblTech[[#This Row],[Hour]:[Hour]]&gt;=BU$2),1,0)</f>
        <v>0</v>
      </c>
      <c r="BV78" s="298" cm="1">
        <f t="array" ref="BV78">IF(AND(BV$2&lt;&gt;0,TblTech[[#This Row],[Hour]:[Hour]]&gt;=BV$2),1,0)</f>
        <v>0</v>
      </c>
      <c r="BW78" s="298" cm="1">
        <f t="array" ref="BW78">IF(AND(BW$2&lt;&gt;0,TblTech[[#This Row],[Hour]:[Hour]]&gt;=BW$2),1,0)</f>
        <v>0</v>
      </c>
      <c r="BX78" s="298" cm="1">
        <f t="array" ref="BX78">IF(AND(BX$2&lt;&gt;0,TblTech[[#This Row],[Hour]:[Hour]]&gt;=BX$2),1,0)</f>
        <v>0</v>
      </c>
      <c r="BY78" s="298" cm="1">
        <f t="array" ref="BY78">IF(AND(BY$2&lt;&gt;0,TblTech[[#This Row],[Hour]:[Hour]]&gt;=BY$2),1,0)</f>
        <v>0</v>
      </c>
      <c r="BZ78" s="298" cm="1">
        <f t="array" ref="BZ78">IF(AND(BZ$2&lt;&gt;0,TblTech[[#This Row],[Hour]:[Hour]]&gt;=BZ$2),1,0)</f>
        <v>0</v>
      </c>
      <c r="CA78" s="402">
        <f>IFERROR(INDEX($H$4:$H$79,MATCH(INDEX(TblTech[[#Headers],[1-1]:[11-1]],1,MATCH(TblTech[[#This Row],[Hour]],$M$2:$BZ$2,0)),$G$4:$G$79,0)),)</f>
        <v>0</v>
      </c>
    </row>
    <row r="79" spans="1:79" x14ac:dyDescent="0.2">
      <c r="A79" s="290">
        <f>TblRezone[[#This Row],[Hour]]</f>
        <v>76</v>
      </c>
      <c r="B79" s="291">
        <f ca="1">TblExplore[[#This Row],[Land-DB]]</f>
        <v>250</v>
      </c>
      <c r="C79" s="292">
        <f ca="1">TblProd[[#This Row],[Techpoints]]</f>
        <v>0</v>
      </c>
      <c r="D79" s="292">
        <f ca="1">TblProd[[#This Row],[Required]]</f>
        <v>3750</v>
      </c>
      <c r="E79" s="293"/>
      <c r="F79" s="294"/>
      <c r="G79" s="295" t="s">
        <v>623</v>
      </c>
      <c r="H79" s="296" t="s">
        <v>735</v>
      </c>
      <c r="I79" s="295" t="s">
        <v>624</v>
      </c>
      <c r="J79" s="291"/>
      <c r="K79" s="95">
        <f ca="1">IF(TblTech[[#This Row],[Sum of tech]]&lt;&gt;OFFSET(TblTech[[#This Row],[Sum of tech]],-1,0),1,0)</f>
        <v>0</v>
      </c>
      <c r="L79" s="297">
        <f>COUNTIF(TblTech[[#This Row],[1-1]:[11-1]],1)</f>
        <v>0</v>
      </c>
      <c r="M79" s="298" cm="1">
        <f t="array" ref="M79">IF(AND(M$2&lt;&gt;0,TblTech[[#This Row],[Hour]:[Hour]]&gt;=M$2),1,0)</f>
        <v>0</v>
      </c>
      <c r="N79" s="298" cm="1">
        <f t="array" ref="N79">IF(AND(N$2&lt;&gt;0,TblTech[[#This Row],[Hour]:[Hour]]&gt;=N$2),1,0)</f>
        <v>0</v>
      </c>
      <c r="O79" s="298" cm="1">
        <f t="array" ref="O79">IF(AND(O$2&lt;&gt;0,TblTech[[#This Row],[Hour]:[Hour]]&gt;=O$2),1,0)</f>
        <v>0</v>
      </c>
      <c r="P79" s="298" cm="1">
        <f t="array" ref="P79">IF(AND(P$2&lt;&gt;0,TblTech[[#This Row],[Hour]:[Hour]]&gt;=P$2),1,0)</f>
        <v>0</v>
      </c>
      <c r="Q79" s="298" cm="1">
        <f t="array" ref="Q79">IF(AND(Q$2&lt;&gt;0,TblTech[[#This Row],[Hour]:[Hour]]&gt;=Q$2),1,0)</f>
        <v>0</v>
      </c>
      <c r="R79" s="298" cm="1">
        <f t="array" ref="R79">IF(AND(R$2&lt;&gt;0,TblTech[[#This Row],[Hour]:[Hour]]&gt;=R$2),1,0)</f>
        <v>0</v>
      </c>
      <c r="S79" s="298" cm="1">
        <f t="array" ref="S79">IF(AND(S$2&lt;&gt;0,TblTech[[#This Row],[Hour]:[Hour]]&gt;=S$2),1,0)</f>
        <v>0</v>
      </c>
      <c r="T79" s="298" cm="1">
        <f t="array" ref="T79">IF(AND(T$2&lt;&gt;0,TblTech[[#This Row],[Hour]:[Hour]]&gt;=T$2),1,0)</f>
        <v>0</v>
      </c>
      <c r="U79" s="298" cm="1">
        <f t="array" ref="U79">IF(AND(U$2&lt;&gt;0,TblTech[[#This Row],[Hour]:[Hour]]&gt;=U$2),1,0)</f>
        <v>0</v>
      </c>
      <c r="V79" s="298" cm="1">
        <f t="array" ref="V79">IF(AND(V$2&lt;&gt;0,TblTech[[#This Row],[Hour]:[Hour]]&gt;=V$2),1,0)</f>
        <v>0</v>
      </c>
      <c r="W79" s="298" cm="1">
        <f t="array" ref="W79">IF(AND(W$2&lt;&gt;0,TblTech[[#This Row],[Hour]:[Hour]]&gt;=W$2),1,0)</f>
        <v>0</v>
      </c>
      <c r="X79" s="298" cm="1">
        <f t="array" ref="X79">IF(AND(X$2&lt;&gt;0,TblTech[[#This Row],[Hour]:[Hour]]&gt;=X$2),1,0)</f>
        <v>0</v>
      </c>
      <c r="Y79" s="298" cm="1">
        <f t="array" ref="Y79">IF(AND(Y$2&lt;&gt;0,TblTech[[#This Row],[Hour]:[Hour]]&gt;=Y$2),1,0)</f>
        <v>0</v>
      </c>
      <c r="Z79" s="298" cm="1">
        <f t="array" ref="Z79">IF(AND(Z$2&lt;&gt;0,TblTech[[#This Row],[Hour]:[Hour]]&gt;=Z$2),1,0)</f>
        <v>0</v>
      </c>
      <c r="AA79" s="298" cm="1">
        <f t="array" ref="AA79">IF(AND(AA$2&lt;&gt;0,TblTech[[#This Row],[Hour]:[Hour]]&gt;=AA$2),1,0)</f>
        <v>0</v>
      </c>
      <c r="AB79" s="298" cm="1">
        <f t="array" ref="AB79">IF(AND(AB$2&lt;&gt;0,TblTech[[#This Row],[Hour]:[Hour]]&gt;=AB$2),1,0)</f>
        <v>0</v>
      </c>
      <c r="AC79" s="298" cm="1">
        <f t="array" ref="AC79">IF(AND(AC$2&lt;&gt;0,TblTech[[#This Row],[Hour]:[Hour]]&gt;=AC$2),1,0)</f>
        <v>0</v>
      </c>
      <c r="AD79" s="298" cm="1">
        <f t="array" ref="AD79">IF(AND(AD$2&lt;&gt;0,TblTech[[#This Row],[Hour]:[Hour]]&gt;=AD$2),1,0)</f>
        <v>0</v>
      </c>
      <c r="AE79" s="298" cm="1">
        <f t="array" ref="AE79">IF(AND(AE$2&lt;&gt;0,TblTech[[#This Row],[Hour]:[Hour]]&gt;=AE$2),1,0)</f>
        <v>0</v>
      </c>
      <c r="AF79" s="298" cm="1">
        <f t="array" ref="AF79">IF(AND(AF$2&lt;&gt;0,TblTech[[#This Row],[Hour]:[Hour]]&gt;=AF$2),1,0)</f>
        <v>0</v>
      </c>
      <c r="AG79" s="298" cm="1">
        <f t="array" ref="AG79">IF(AND(AG$2&lt;&gt;0,TblTech[[#This Row],[Hour]:[Hour]]&gt;=AG$2),1,0)</f>
        <v>0</v>
      </c>
      <c r="AH79" s="298" cm="1">
        <f t="array" ref="AH79">IF(AND(AH$2&lt;&gt;0,TblTech[[#This Row],[Hour]:[Hour]]&gt;=AH$2),1,0)</f>
        <v>0</v>
      </c>
      <c r="AI79" s="298" cm="1">
        <f t="array" ref="AI79">IF(AND(AI$2&lt;&gt;0,TblTech[[#This Row],[Hour]:[Hour]]&gt;=AI$2),1,0)</f>
        <v>0</v>
      </c>
      <c r="AJ79" s="298" cm="1">
        <f t="array" ref="AJ79">IF(AND(AJ$2&lt;&gt;0,TblTech[[#This Row],[Hour]:[Hour]]&gt;=AJ$2),1,0)</f>
        <v>0</v>
      </c>
      <c r="AK79" s="298" cm="1">
        <f t="array" ref="AK79">IF(AND(AK$2&lt;&gt;0,TblTech[[#This Row],[Hour]:[Hour]]&gt;=AK$2),1,0)</f>
        <v>0</v>
      </c>
      <c r="AL79" s="298" cm="1">
        <f t="array" ref="AL79">IF(AND(AL$2&lt;&gt;0,TblTech[[#This Row],[Hour]:[Hour]]&gt;=AL$2),1,0)</f>
        <v>0</v>
      </c>
      <c r="AM79" s="298" cm="1">
        <f t="array" ref="AM79">IF(AND(AM$2&lt;&gt;0,TblTech[[#This Row],[Hour]:[Hour]]&gt;=AM$2),1,0)</f>
        <v>0</v>
      </c>
      <c r="AN79" s="298" cm="1">
        <f t="array" ref="AN79">IF(AND(AN$2&lt;&gt;0,TblTech[[#This Row],[Hour]:[Hour]]&gt;=AN$2),1,0)</f>
        <v>0</v>
      </c>
      <c r="AO79" s="298" cm="1">
        <f t="array" ref="AO79">IF(AND(AO$2&lt;&gt;0,TblTech[[#This Row],[Hour]:[Hour]]&gt;=AO$2),1,0)</f>
        <v>0</v>
      </c>
      <c r="AP79" s="298" cm="1">
        <f t="array" ref="AP79">IF(AND(AP$2&lt;&gt;0,TblTech[[#This Row],[Hour]:[Hour]]&gt;=AP$2),1,0)</f>
        <v>0</v>
      </c>
      <c r="AQ79" s="298" cm="1">
        <f t="array" ref="AQ79">IF(AND(AQ$2&lt;&gt;0,TblTech[[#This Row],[Hour]:[Hour]]&gt;=AQ$2),1,0)</f>
        <v>0</v>
      </c>
      <c r="AR79" s="298" cm="1">
        <f t="array" ref="AR79">IF(AND(AR$2&lt;&gt;0,TblTech[[#This Row],[Hour]:[Hour]]&gt;=AR$2),1,0)</f>
        <v>0</v>
      </c>
      <c r="AS79" s="298" cm="1">
        <f t="array" ref="AS79">IF(AND(AS$2&lt;&gt;0,TblTech[[#This Row],[Hour]:[Hour]]&gt;=AS$2),1,0)</f>
        <v>0</v>
      </c>
      <c r="AT79" s="298" cm="1">
        <f t="array" ref="AT79">IF(AND(AT$2&lt;&gt;0,TblTech[[#This Row],[Hour]:[Hour]]&gt;=AT$2),1,0)</f>
        <v>0</v>
      </c>
      <c r="AU79" s="298" cm="1">
        <f t="array" ref="AU79">IF(AND(AU$2&lt;&gt;0,TblTech[[#This Row],[Hour]:[Hour]]&gt;=AU$2),1,0)</f>
        <v>0</v>
      </c>
      <c r="AV79" s="298" cm="1">
        <f t="array" ref="AV79">IF(AND(AV$2&lt;&gt;0,TblTech[[#This Row],[Hour]:[Hour]]&gt;=AV$2),1,0)</f>
        <v>0</v>
      </c>
      <c r="AW79" s="298" cm="1">
        <f t="array" ref="AW79">IF(AND(AW$2&lt;&gt;0,TblTech[[#This Row],[Hour]:[Hour]]&gt;=AW$2),1,0)</f>
        <v>0</v>
      </c>
      <c r="AX79" s="298" cm="1">
        <f t="array" ref="AX79">IF(AND(AX$2&lt;&gt;0,TblTech[[#This Row],[Hour]:[Hour]]&gt;=AX$2),1,0)</f>
        <v>0</v>
      </c>
      <c r="AY79" s="298" cm="1">
        <f t="array" ref="AY79">IF(AND(AY$2&lt;&gt;0,TblTech[[#This Row],[Hour]:[Hour]]&gt;=AY$2),1,0)</f>
        <v>0</v>
      </c>
      <c r="AZ79" s="298" cm="1">
        <f t="array" ref="AZ79">IF(AND(AZ$2&lt;&gt;0,TblTech[[#This Row],[Hour]:[Hour]]&gt;=AZ$2),1,0)</f>
        <v>0</v>
      </c>
      <c r="BA79" s="298" cm="1">
        <f t="array" ref="BA79">IF(AND(BA$2&lt;&gt;0,TblTech[[#This Row],[Hour]:[Hour]]&gt;=BA$2),1,0)</f>
        <v>0</v>
      </c>
      <c r="BB79" s="298" cm="1">
        <f t="array" ref="BB79">IF(AND(BB$2&lt;&gt;0,TblTech[[#This Row],[Hour]:[Hour]]&gt;=BB$2),1,0)</f>
        <v>0</v>
      </c>
      <c r="BC79" s="298" cm="1">
        <f t="array" ref="BC79">IF(AND(BC$2&lt;&gt;0,TblTech[[#This Row],[Hour]:[Hour]]&gt;=BC$2),1,0)</f>
        <v>0</v>
      </c>
      <c r="BD79" s="298" cm="1">
        <f t="array" ref="BD79">IF(AND(BD$2&lt;&gt;0,TblTech[[#This Row],[Hour]:[Hour]]&gt;=BD$2),1,0)</f>
        <v>0</v>
      </c>
      <c r="BE79" s="298" cm="1">
        <f t="array" ref="BE79">IF(AND(BE$2&lt;&gt;0,TblTech[[#This Row],[Hour]:[Hour]]&gt;=BE$2),1,0)</f>
        <v>0</v>
      </c>
      <c r="BF79" s="298" cm="1">
        <f t="array" ref="BF79">IF(AND(BF$2&lt;&gt;0,TblTech[[#This Row],[Hour]:[Hour]]&gt;=BF$2),1,0)</f>
        <v>0</v>
      </c>
      <c r="BG79" s="298" cm="1">
        <f t="array" ref="BG79">IF(AND(BG$2&lt;&gt;0,TblTech[[#This Row],[Hour]:[Hour]]&gt;=BG$2),1,0)</f>
        <v>0</v>
      </c>
      <c r="BH79" s="298" cm="1">
        <f t="array" ref="BH79">IF(AND(BH$2&lt;&gt;0,TblTech[[#This Row],[Hour]:[Hour]]&gt;=BH$2),1,0)</f>
        <v>0</v>
      </c>
      <c r="BI79" s="298" cm="1">
        <f t="array" ref="BI79">IF(AND(BI$2&lt;&gt;0,TblTech[[#This Row],[Hour]:[Hour]]&gt;=BI$2),1,0)</f>
        <v>0</v>
      </c>
      <c r="BJ79" s="298" cm="1">
        <f t="array" ref="BJ79">IF(AND(BJ$2&lt;&gt;0,TblTech[[#This Row],[Hour]:[Hour]]&gt;=BJ$2),1,0)</f>
        <v>0</v>
      </c>
      <c r="BK79" s="298" cm="1">
        <f t="array" ref="BK79">IF(AND(BK$2&lt;&gt;0,TblTech[[#This Row],[Hour]:[Hour]]&gt;=BK$2),1,0)</f>
        <v>0</v>
      </c>
      <c r="BL79" s="298" cm="1">
        <f t="array" ref="BL79">IF(AND(BL$2&lt;&gt;0,TblTech[[#This Row],[Hour]:[Hour]]&gt;=BL$2),1,0)</f>
        <v>0</v>
      </c>
      <c r="BM79" s="298" cm="1">
        <f t="array" ref="BM79">IF(AND(BM$2&lt;&gt;0,TblTech[[#This Row],[Hour]:[Hour]]&gt;=BM$2),1,0)</f>
        <v>0</v>
      </c>
      <c r="BN79" s="298" cm="1">
        <f t="array" ref="BN79">IF(AND(BN$2&lt;&gt;0,TblTech[[#This Row],[Hour]:[Hour]]&gt;=BN$2),1,0)</f>
        <v>0</v>
      </c>
      <c r="BO79" s="298" cm="1">
        <f t="array" ref="BO79">IF(AND(BO$2&lt;&gt;0,TblTech[[#This Row],[Hour]:[Hour]]&gt;=BO$2),1,0)</f>
        <v>0</v>
      </c>
      <c r="BP79" s="298" cm="1">
        <f t="array" ref="BP79">IF(AND(BP$2&lt;&gt;0,TblTech[[#This Row],[Hour]:[Hour]]&gt;=BP$2),1,0)</f>
        <v>0</v>
      </c>
      <c r="BQ79" s="298" cm="1">
        <f t="array" ref="BQ79">IF(AND(BQ$2&lt;&gt;0,TblTech[[#This Row],[Hour]:[Hour]]&gt;=BQ$2),1,0)</f>
        <v>0</v>
      </c>
      <c r="BR79" s="298" cm="1">
        <f t="array" ref="BR79">IF(AND(BR$2&lt;&gt;0,TblTech[[#This Row],[Hour]:[Hour]]&gt;=BR$2),1,0)</f>
        <v>0</v>
      </c>
      <c r="BS79" s="298" cm="1">
        <f t="array" ref="BS79">IF(AND(BS$2&lt;&gt;0,TblTech[[#This Row],[Hour]:[Hour]]&gt;=BS$2),1,0)</f>
        <v>0</v>
      </c>
      <c r="BT79" s="298" cm="1">
        <f t="array" ref="BT79">IF(AND(BT$2&lt;&gt;0,TblTech[[#This Row],[Hour]:[Hour]]&gt;=BT$2),1,0)</f>
        <v>0</v>
      </c>
      <c r="BU79" s="298" cm="1">
        <f t="array" ref="BU79">IF(AND(BU$2&lt;&gt;0,TblTech[[#This Row],[Hour]:[Hour]]&gt;=BU$2),1,0)</f>
        <v>0</v>
      </c>
      <c r="BV79" s="298" cm="1">
        <f t="array" ref="BV79">IF(AND(BV$2&lt;&gt;0,TblTech[[#This Row],[Hour]:[Hour]]&gt;=BV$2),1,0)</f>
        <v>0</v>
      </c>
      <c r="BW79" s="298" cm="1">
        <f t="array" ref="BW79">IF(AND(BW$2&lt;&gt;0,TblTech[[#This Row],[Hour]:[Hour]]&gt;=BW$2),1,0)</f>
        <v>0</v>
      </c>
      <c r="BX79" s="298" cm="1">
        <f t="array" ref="BX79">IF(AND(BX$2&lt;&gt;0,TblTech[[#This Row],[Hour]:[Hour]]&gt;=BX$2),1,0)</f>
        <v>0</v>
      </c>
      <c r="BY79" s="298" cm="1">
        <f t="array" ref="BY79">IF(AND(BY$2&lt;&gt;0,TblTech[[#This Row],[Hour]:[Hour]]&gt;=BY$2),1,0)</f>
        <v>0</v>
      </c>
      <c r="BZ79" s="298" cm="1">
        <f t="array" ref="BZ79">IF(AND(BZ$2&lt;&gt;0,TblTech[[#This Row],[Hour]:[Hour]]&gt;=BZ$2),1,0)</f>
        <v>0</v>
      </c>
      <c r="CA79" s="402">
        <f>IFERROR(INDEX($H$4:$H$79,MATCH(INDEX(TblTech[[#Headers],[1-1]:[11-1]],1,MATCH(TblTech[[#This Row],[Hour]],$M$2:$BZ$2,0)),$G$4:$G$79,0)),)</f>
        <v>0</v>
      </c>
    </row>
    <row r="80" spans="1:79" x14ac:dyDescent="0.2">
      <c r="A80" s="290">
        <f>TblRezone[[#This Row],[Hour]]</f>
        <v>77</v>
      </c>
      <c r="B80" s="291">
        <f ca="1">TblExplore[[#This Row],[Land-DB]]</f>
        <v>250</v>
      </c>
      <c r="C80" s="292">
        <f ca="1">TblProd[[#This Row],[Techpoints]]</f>
        <v>0</v>
      </c>
      <c r="D80" s="292">
        <f ca="1">TblProd[[#This Row],[Required]]</f>
        <v>3750</v>
      </c>
      <c r="E80" s="293"/>
      <c r="F80" s="299"/>
      <c r="G80" s="300"/>
      <c r="H80" s="291"/>
      <c r="I80" s="291"/>
      <c r="J80" s="291"/>
      <c r="K80" s="95">
        <f ca="1">IF(TblTech[[#This Row],[Sum of tech]]&lt;&gt;OFFSET(TblTech[[#This Row],[Sum of tech]],-1,0),1,0)</f>
        <v>0</v>
      </c>
      <c r="L80" s="297">
        <f>COUNTIF(TblTech[[#This Row],[1-1]:[11-1]],1)</f>
        <v>0</v>
      </c>
      <c r="M80" s="298" cm="1">
        <f t="array" ref="M80">IF(AND(M$2&lt;&gt;0,TblTech[[#This Row],[Hour]:[Hour]]&gt;=M$2),1,0)</f>
        <v>0</v>
      </c>
      <c r="N80" s="298" cm="1">
        <f t="array" ref="N80">IF(AND(N$2&lt;&gt;0,TblTech[[#This Row],[Hour]:[Hour]]&gt;=N$2),1,0)</f>
        <v>0</v>
      </c>
      <c r="O80" s="298" cm="1">
        <f t="array" ref="O80">IF(AND(O$2&lt;&gt;0,TblTech[[#This Row],[Hour]:[Hour]]&gt;=O$2),1,0)</f>
        <v>0</v>
      </c>
      <c r="P80" s="298" cm="1">
        <f t="array" ref="P80">IF(AND(P$2&lt;&gt;0,TblTech[[#This Row],[Hour]:[Hour]]&gt;=P$2),1,0)</f>
        <v>0</v>
      </c>
      <c r="Q80" s="298" cm="1">
        <f t="array" ref="Q80">IF(AND(Q$2&lt;&gt;0,TblTech[[#This Row],[Hour]:[Hour]]&gt;=Q$2),1,0)</f>
        <v>0</v>
      </c>
      <c r="R80" s="298" cm="1">
        <f t="array" ref="R80">IF(AND(R$2&lt;&gt;0,TblTech[[#This Row],[Hour]:[Hour]]&gt;=R$2),1,0)</f>
        <v>0</v>
      </c>
      <c r="S80" s="298" cm="1">
        <f t="array" ref="S80">IF(AND(S$2&lt;&gt;0,TblTech[[#This Row],[Hour]:[Hour]]&gt;=S$2),1,0)</f>
        <v>0</v>
      </c>
      <c r="T80" s="298" cm="1">
        <f t="array" ref="T80">IF(AND(T$2&lt;&gt;0,TblTech[[#This Row],[Hour]:[Hour]]&gt;=T$2),1,0)</f>
        <v>0</v>
      </c>
      <c r="U80" s="298" cm="1">
        <f t="array" ref="U80">IF(AND(U$2&lt;&gt;0,TblTech[[#This Row],[Hour]:[Hour]]&gt;=U$2),1,0)</f>
        <v>0</v>
      </c>
      <c r="V80" s="298" cm="1">
        <f t="array" ref="V80">IF(AND(V$2&lt;&gt;0,TblTech[[#This Row],[Hour]:[Hour]]&gt;=V$2),1,0)</f>
        <v>0</v>
      </c>
      <c r="W80" s="298" cm="1">
        <f t="array" ref="W80">IF(AND(W$2&lt;&gt;0,TblTech[[#This Row],[Hour]:[Hour]]&gt;=W$2),1,0)</f>
        <v>0</v>
      </c>
      <c r="X80" s="298" cm="1">
        <f t="array" ref="X80">IF(AND(X$2&lt;&gt;0,TblTech[[#This Row],[Hour]:[Hour]]&gt;=X$2),1,0)</f>
        <v>0</v>
      </c>
      <c r="Y80" s="298" cm="1">
        <f t="array" ref="Y80">IF(AND(Y$2&lt;&gt;0,TblTech[[#This Row],[Hour]:[Hour]]&gt;=Y$2),1,0)</f>
        <v>0</v>
      </c>
      <c r="Z80" s="298" cm="1">
        <f t="array" ref="Z80">IF(AND(Z$2&lt;&gt;0,TblTech[[#This Row],[Hour]:[Hour]]&gt;=Z$2),1,0)</f>
        <v>0</v>
      </c>
      <c r="AA80" s="298" cm="1">
        <f t="array" ref="AA80">IF(AND(AA$2&lt;&gt;0,TblTech[[#This Row],[Hour]:[Hour]]&gt;=AA$2),1,0)</f>
        <v>0</v>
      </c>
      <c r="AB80" s="298" cm="1">
        <f t="array" ref="AB80">IF(AND(AB$2&lt;&gt;0,TblTech[[#This Row],[Hour]:[Hour]]&gt;=AB$2),1,0)</f>
        <v>0</v>
      </c>
      <c r="AC80" s="298" cm="1">
        <f t="array" ref="AC80">IF(AND(AC$2&lt;&gt;0,TblTech[[#This Row],[Hour]:[Hour]]&gt;=AC$2),1,0)</f>
        <v>0</v>
      </c>
      <c r="AD80" s="298" cm="1">
        <f t="array" ref="AD80">IF(AND(AD$2&lt;&gt;0,TblTech[[#This Row],[Hour]:[Hour]]&gt;=AD$2),1,0)</f>
        <v>0</v>
      </c>
      <c r="AE80" s="298" cm="1">
        <f t="array" ref="AE80">IF(AND(AE$2&lt;&gt;0,TblTech[[#This Row],[Hour]:[Hour]]&gt;=AE$2),1,0)</f>
        <v>0</v>
      </c>
      <c r="AF80" s="298" cm="1">
        <f t="array" ref="AF80">IF(AND(AF$2&lt;&gt;0,TblTech[[#This Row],[Hour]:[Hour]]&gt;=AF$2),1,0)</f>
        <v>0</v>
      </c>
      <c r="AG80" s="298" cm="1">
        <f t="array" ref="AG80">IF(AND(AG$2&lt;&gt;0,TblTech[[#This Row],[Hour]:[Hour]]&gt;=AG$2),1,0)</f>
        <v>0</v>
      </c>
      <c r="AH80" s="298" cm="1">
        <f t="array" ref="AH80">IF(AND(AH$2&lt;&gt;0,TblTech[[#This Row],[Hour]:[Hour]]&gt;=AH$2),1,0)</f>
        <v>0</v>
      </c>
      <c r="AI80" s="298" cm="1">
        <f t="array" ref="AI80">IF(AND(AI$2&lt;&gt;0,TblTech[[#This Row],[Hour]:[Hour]]&gt;=AI$2),1,0)</f>
        <v>0</v>
      </c>
      <c r="AJ80" s="298" cm="1">
        <f t="array" ref="AJ80">IF(AND(AJ$2&lt;&gt;0,TblTech[[#This Row],[Hour]:[Hour]]&gt;=AJ$2),1,0)</f>
        <v>0</v>
      </c>
      <c r="AK80" s="298" cm="1">
        <f t="array" ref="AK80">IF(AND(AK$2&lt;&gt;0,TblTech[[#This Row],[Hour]:[Hour]]&gt;=AK$2),1,0)</f>
        <v>0</v>
      </c>
      <c r="AL80" s="298" cm="1">
        <f t="array" ref="AL80">IF(AND(AL$2&lt;&gt;0,TblTech[[#This Row],[Hour]:[Hour]]&gt;=AL$2),1,0)</f>
        <v>0</v>
      </c>
      <c r="AM80" s="298" cm="1">
        <f t="array" ref="AM80">IF(AND(AM$2&lt;&gt;0,TblTech[[#This Row],[Hour]:[Hour]]&gt;=AM$2),1,0)</f>
        <v>0</v>
      </c>
      <c r="AN80" s="298" cm="1">
        <f t="array" ref="AN80">IF(AND(AN$2&lt;&gt;0,TblTech[[#This Row],[Hour]:[Hour]]&gt;=AN$2),1,0)</f>
        <v>0</v>
      </c>
      <c r="AO80" s="298" cm="1">
        <f t="array" ref="AO80">IF(AND(AO$2&lt;&gt;0,TblTech[[#This Row],[Hour]:[Hour]]&gt;=AO$2),1,0)</f>
        <v>0</v>
      </c>
      <c r="AP80" s="298" cm="1">
        <f t="array" ref="AP80">IF(AND(AP$2&lt;&gt;0,TblTech[[#This Row],[Hour]:[Hour]]&gt;=AP$2),1,0)</f>
        <v>0</v>
      </c>
      <c r="AQ80" s="298" cm="1">
        <f t="array" ref="AQ80">IF(AND(AQ$2&lt;&gt;0,TblTech[[#This Row],[Hour]:[Hour]]&gt;=AQ$2),1,0)</f>
        <v>0</v>
      </c>
      <c r="AR80" s="298" cm="1">
        <f t="array" ref="AR80">IF(AND(AR$2&lt;&gt;0,TblTech[[#This Row],[Hour]:[Hour]]&gt;=AR$2),1,0)</f>
        <v>0</v>
      </c>
      <c r="AS80" s="298" cm="1">
        <f t="array" ref="AS80">IF(AND(AS$2&lt;&gt;0,TblTech[[#This Row],[Hour]:[Hour]]&gt;=AS$2),1,0)</f>
        <v>0</v>
      </c>
      <c r="AT80" s="298" cm="1">
        <f t="array" ref="AT80">IF(AND(AT$2&lt;&gt;0,TblTech[[#This Row],[Hour]:[Hour]]&gt;=AT$2),1,0)</f>
        <v>0</v>
      </c>
      <c r="AU80" s="298" cm="1">
        <f t="array" ref="AU80">IF(AND(AU$2&lt;&gt;0,TblTech[[#This Row],[Hour]:[Hour]]&gt;=AU$2),1,0)</f>
        <v>0</v>
      </c>
      <c r="AV80" s="298" cm="1">
        <f t="array" ref="AV80">IF(AND(AV$2&lt;&gt;0,TblTech[[#This Row],[Hour]:[Hour]]&gt;=AV$2),1,0)</f>
        <v>0</v>
      </c>
      <c r="AW80" s="298" cm="1">
        <f t="array" ref="AW80">IF(AND(AW$2&lt;&gt;0,TblTech[[#This Row],[Hour]:[Hour]]&gt;=AW$2),1,0)</f>
        <v>0</v>
      </c>
      <c r="AX80" s="298" cm="1">
        <f t="array" ref="AX80">IF(AND(AX$2&lt;&gt;0,TblTech[[#This Row],[Hour]:[Hour]]&gt;=AX$2),1,0)</f>
        <v>0</v>
      </c>
      <c r="AY80" s="298" cm="1">
        <f t="array" ref="AY80">IF(AND(AY$2&lt;&gt;0,TblTech[[#This Row],[Hour]:[Hour]]&gt;=AY$2),1,0)</f>
        <v>0</v>
      </c>
      <c r="AZ80" s="298" cm="1">
        <f t="array" ref="AZ80">IF(AND(AZ$2&lt;&gt;0,TblTech[[#This Row],[Hour]:[Hour]]&gt;=AZ$2),1,0)</f>
        <v>0</v>
      </c>
      <c r="BA80" s="298" cm="1">
        <f t="array" ref="BA80">IF(AND(BA$2&lt;&gt;0,TblTech[[#This Row],[Hour]:[Hour]]&gt;=BA$2),1,0)</f>
        <v>0</v>
      </c>
      <c r="BB80" s="298" cm="1">
        <f t="array" ref="BB80">IF(AND(BB$2&lt;&gt;0,TblTech[[#This Row],[Hour]:[Hour]]&gt;=BB$2),1,0)</f>
        <v>0</v>
      </c>
      <c r="BC80" s="298" cm="1">
        <f t="array" ref="BC80">IF(AND(BC$2&lt;&gt;0,TblTech[[#This Row],[Hour]:[Hour]]&gt;=BC$2),1,0)</f>
        <v>0</v>
      </c>
      <c r="BD80" s="298" cm="1">
        <f t="array" ref="BD80">IF(AND(BD$2&lt;&gt;0,TblTech[[#This Row],[Hour]:[Hour]]&gt;=BD$2),1,0)</f>
        <v>0</v>
      </c>
      <c r="BE80" s="298" cm="1">
        <f t="array" ref="BE80">IF(AND(BE$2&lt;&gt;0,TblTech[[#This Row],[Hour]:[Hour]]&gt;=BE$2),1,0)</f>
        <v>0</v>
      </c>
      <c r="BF80" s="298" cm="1">
        <f t="array" ref="BF80">IF(AND(BF$2&lt;&gt;0,TblTech[[#This Row],[Hour]:[Hour]]&gt;=BF$2),1,0)</f>
        <v>0</v>
      </c>
      <c r="BG80" s="298" cm="1">
        <f t="array" ref="BG80">IF(AND(BG$2&lt;&gt;0,TblTech[[#This Row],[Hour]:[Hour]]&gt;=BG$2),1,0)</f>
        <v>0</v>
      </c>
      <c r="BH80" s="298" cm="1">
        <f t="array" ref="BH80">IF(AND(BH$2&lt;&gt;0,TblTech[[#This Row],[Hour]:[Hour]]&gt;=BH$2),1,0)</f>
        <v>0</v>
      </c>
      <c r="BI80" s="298" cm="1">
        <f t="array" ref="BI80">IF(AND(BI$2&lt;&gt;0,TblTech[[#This Row],[Hour]:[Hour]]&gt;=BI$2),1,0)</f>
        <v>0</v>
      </c>
      <c r="BJ80" s="298" cm="1">
        <f t="array" ref="BJ80">IF(AND(BJ$2&lt;&gt;0,TblTech[[#This Row],[Hour]:[Hour]]&gt;=BJ$2),1,0)</f>
        <v>0</v>
      </c>
      <c r="BK80" s="298" cm="1">
        <f t="array" ref="BK80">IF(AND(BK$2&lt;&gt;0,TblTech[[#This Row],[Hour]:[Hour]]&gt;=BK$2),1,0)</f>
        <v>0</v>
      </c>
      <c r="BL80" s="298" cm="1">
        <f t="array" ref="BL80">IF(AND(BL$2&lt;&gt;0,TblTech[[#This Row],[Hour]:[Hour]]&gt;=BL$2),1,0)</f>
        <v>0</v>
      </c>
      <c r="BM80" s="298" cm="1">
        <f t="array" ref="BM80">IF(AND(BM$2&lt;&gt;0,TblTech[[#This Row],[Hour]:[Hour]]&gt;=BM$2),1,0)</f>
        <v>0</v>
      </c>
      <c r="BN80" s="298" cm="1">
        <f t="array" ref="BN80">IF(AND(BN$2&lt;&gt;0,TblTech[[#This Row],[Hour]:[Hour]]&gt;=BN$2),1,0)</f>
        <v>0</v>
      </c>
      <c r="BO80" s="298" cm="1">
        <f t="array" ref="BO80">IF(AND(BO$2&lt;&gt;0,TblTech[[#This Row],[Hour]:[Hour]]&gt;=BO$2),1,0)</f>
        <v>0</v>
      </c>
      <c r="BP80" s="298" cm="1">
        <f t="array" ref="BP80">IF(AND(BP$2&lt;&gt;0,TblTech[[#This Row],[Hour]:[Hour]]&gt;=BP$2),1,0)</f>
        <v>0</v>
      </c>
      <c r="BQ80" s="298" cm="1">
        <f t="array" ref="BQ80">IF(AND(BQ$2&lt;&gt;0,TblTech[[#This Row],[Hour]:[Hour]]&gt;=BQ$2),1,0)</f>
        <v>0</v>
      </c>
      <c r="BR80" s="298" cm="1">
        <f t="array" ref="BR80">IF(AND(BR$2&lt;&gt;0,TblTech[[#This Row],[Hour]:[Hour]]&gt;=BR$2),1,0)</f>
        <v>0</v>
      </c>
      <c r="BS80" s="298" cm="1">
        <f t="array" ref="BS80">IF(AND(BS$2&lt;&gt;0,TblTech[[#This Row],[Hour]:[Hour]]&gt;=BS$2),1,0)</f>
        <v>0</v>
      </c>
      <c r="BT80" s="298" cm="1">
        <f t="array" ref="BT80">IF(AND(BT$2&lt;&gt;0,TblTech[[#This Row],[Hour]:[Hour]]&gt;=BT$2),1,0)</f>
        <v>0</v>
      </c>
      <c r="BU80" s="298" cm="1">
        <f t="array" ref="BU80">IF(AND(BU$2&lt;&gt;0,TblTech[[#This Row],[Hour]:[Hour]]&gt;=BU$2),1,0)</f>
        <v>0</v>
      </c>
      <c r="BV80" s="298" cm="1">
        <f t="array" ref="BV80">IF(AND(BV$2&lt;&gt;0,TblTech[[#This Row],[Hour]:[Hour]]&gt;=BV$2),1,0)</f>
        <v>0</v>
      </c>
      <c r="BW80" s="298" cm="1">
        <f t="array" ref="BW80">IF(AND(BW$2&lt;&gt;0,TblTech[[#This Row],[Hour]:[Hour]]&gt;=BW$2),1,0)</f>
        <v>0</v>
      </c>
      <c r="BX80" s="298" cm="1">
        <f t="array" ref="BX80">IF(AND(BX$2&lt;&gt;0,TblTech[[#This Row],[Hour]:[Hour]]&gt;=BX$2),1,0)</f>
        <v>0</v>
      </c>
      <c r="BY80" s="298" cm="1">
        <f t="array" ref="BY80">IF(AND(BY$2&lt;&gt;0,TblTech[[#This Row],[Hour]:[Hour]]&gt;=BY$2),1,0)</f>
        <v>0</v>
      </c>
      <c r="BZ80" s="298" cm="1">
        <f t="array" ref="BZ80">IF(AND(BZ$2&lt;&gt;0,TblTech[[#This Row],[Hour]:[Hour]]&gt;=BZ$2),1,0)</f>
        <v>0</v>
      </c>
      <c r="CA80" s="402">
        <f>IFERROR(INDEX($H$4:$H$79,MATCH(INDEX(TblTech[[#Headers],[1-1]:[11-1]],1,MATCH(TblTech[[#This Row],[Hour]],$M$2:$BZ$2,0)),$G$4:$G$79,0)),)</f>
        <v>0</v>
      </c>
    </row>
    <row r="81" spans="1:79" x14ac:dyDescent="0.2">
      <c r="A81" s="290">
        <f>TblRezone[[#This Row],[Hour]]</f>
        <v>78</v>
      </c>
      <c r="B81" s="291">
        <f ca="1">TblExplore[[#This Row],[Land-DB]]</f>
        <v>250</v>
      </c>
      <c r="C81" s="292">
        <f ca="1">TblProd[[#This Row],[Techpoints]]</f>
        <v>0</v>
      </c>
      <c r="D81" s="292">
        <f ca="1">TblProd[[#This Row],[Required]]</f>
        <v>3750</v>
      </c>
      <c r="E81" s="301"/>
      <c r="F81" s="302"/>
      <c r="G81" s="295"/>
      <c r="H81" s="296"/>
      <c r="I81" s="296"/>
      <c r="J81" s="296"/>
      <c r="K81" s="95">
        <f ca="1">IF(TblTech[[#This Row],[Sum of tech]]&lt;&gt;OFFSET(TblTech[[#This Row],[Sum of tech]],-1,0),1,0)</f>
        <v>0</v>
      </c>
      <c r="L81" s="297">
        <f>COUNTIF(TblTech[[#This Row],[1-1]:[11-1]],1)</f>
        <v>0</v>
      </c>
      <c r="M81" s="298" cm="1">
        <f t="array" ref="M81">IF(AND(M$2&lt;&gt;0,TblTech[[#This Row],[Hour]:[Hour]]&gt;=M$2),1,0)</f>
        <v>0</v>
      </c>
      <c r="N81" s="298" cm="1">
        <f t="array" ref="N81">IF(AND(N$2&lt;&gt;0,TblTech[[#This Row],[Hour]:[Hour]]&gt;=N$2),1,0)</f>
        <v>0</v>
      </c>
      <c r="O81" s="298" cm="1">
        <f t="array" ref="O81">IF(AND(O$2&lt;&gt;0,TblTech[[#This Row],[Hour]:[Hour]]&gt;=O$2),1,0)</f>
        <v>0</v>
      </c>
      <c r="P81" s="298" cm="1">
        <f t="array" ref="P81">IF(AND(P$2&lt;&gt;0,TblTech[[#This Row],[Hour]:[Hour]]&gt;=P$2),1,0)</f>
        <v>0</v>
      </c>
      <c r="Q81" s="298" cm="1">
        <f t="array" ref="Q81">IF(AND(Q$2&lt;&gt;0,TblTech[[#This Row],[Hour]:[Hour]]&gt;=Q$2),1,0)</f>
        <v>0</v>
      </c>
      <c r="R81" s="298" cm="1">
        <f t="array" ref="R81">IF(AND(R$2&lt;&gt;0,TblTech[[#This Row],[Hour]:[Hour]]&gt;=R$2),1,0)</f>
        <v>0</v>
      </c>
      <c r="S81" s="298" cm="1">
        <f t="array" ref="S81">IF(AND(S$2&lt;&gt;0,TblTech[[#This Row],[Hour]:[Hour]]&gt;=S$2),1,0)</f>
        <v>0</v>
      </c>
      <c r="T81" s="298" cm="1">
        <f t="array" ref="T81">IF(AND(T$2&lt;&gt;0,TblTech[[#This Row],[Hour]:[Hour]]&gt;=T$2),1,0)</f>
        <v>0</v>
      </c>
      <c r="U81" s="298" cm="1">
        <f t="array" ref="U81">IF(AND(U$2&lt;&gt;0,TblTech[[#This Row],[Hour]:[Hour]]&gt;=U$2),1,0)</f>
        <v>0</v>
      </c>
      <c r="V81" s="298" cm="1">
        <f t="array" ref="V81">IF(AND(V$2&lt;&gt;0,TblTech[[#This Row],[Hour]:[Hour]]&gt;=V$2),1,0)</f>
        <v>0</v>
      </c>
      <c r="W81" s="298" cm="1">
        <f t="array" ref="W81">IF(AND(W$2&lt;&gt;0,TblTech[[#This Row],[Hour]:[Hour]]&gt;=W$2),1,0)</f>
        <v>0</v>
      </c>
      <c r="X81" s="298" cm="1">
        <f t="array" ref="X81">IF(AND(X$2&lt;&gt;0,TblTech[[#This Row],[Hour]:[Hour]]&gt;=X$2),1,0)</f>
        <v>0</v>
      </c>
      <c r="Y81" s="298" cm="1">
        <f t="array" ref="Y81">IF(AND(Y$2&lt;&gt;0,TblTech[[#This Row],[Hour]:[Hour]]&gt;=Y$2),1,0)</f>
        <v>0</v>
      </c>
      <c r="Z81" s="298" cm="1">
        <f t="array" ref="Z81">IF(AND(Z$2&lt;&gt;0,TblTech[[#This Row],[Hour]:[Hour]]&gt;=Z$2),1,0)</f>
        <v>0</v>
      </c>
      <c r="AA81" s="298" cm="1">
        <f t="array" ref="AA81">IF(AND(AA$2&lt;&gt;0,TblTech[[#This Row],[Hour]:[Hour]]&gt;=AA$2),1,0)</f>
        <v>0</v>
      </c>
      <c r="AB81" s="298" cm="1">
        <f t="array" ref="AB81">IF(AND(AB$2&lt;&gt;0,TblTech[[#This Row],[Hour]:[Hour]]&gt;=AB$2),1,0)</f>
        <v>0</v>
      </c>
      <c r="AC81" s="298" cm="1">
        <f t="array" ref="AC81">IF(AND(AC$2&lt;&gt;0,TblTech[[#This Row],[Hour]:[Hour]]&gt;=AC$2),1,0)</f>
        <v>0</v>
      </c>
      <c r="AD81" s="298" cm="1">
        <f t="array" ref="AD81">IF(AND(AD$2&lt;&gt;0,TblTech[[#This Row],[Hour]:[Hour]]&gt;=AD$2),1,0)</f>
        <v>0</v>
      </c>
      <c r="AE81" s="298" cm="1">
        <f t="array" ref="AE81">IF(AND(AE$2&lt;&gt;0,TblTech[[#This Row],[Hour]:[Hour]]&gt;=AE$2),1,0)</f>
        <v>0</v>
      </c>
      <c r="AF81" s="298" cm="1">
        <f t="array" ref="AF81">IF(AND(AF$2&lt;&gt;0,TblTech[[#This Row],[Hour]:[Hour]]&gt;=AF$2),1,0)</f>
        <v>0</v>
      </c>
      <c r="AG81" s="298" cm="1">
        <f t="array" ref="AG81">IF(AND(AG$2&lt;&gt;0,TblTech[[#This Row],[Hour]:[Hour]]&gt;=AG$2),1,0)</f>
        <v>0</v>
      </c>
      <c r="AH81" s="298" cm="1">
        <f t="array" ref="AH81">IF(AND(AH$2&lt;&gt;0,TblTech[[#This Row],[Hour]:[Hour]]&gt;=AH$2),1,0)</f>
        <v>0</v>
      </c>
      <c r="AI81" s="298" cm="1">
        <f t="array" ref="AI81">IF(AND(AI$2&lt;&gt;0,TblTech[[#This Row],[Hour]:[Hour]]&gt;=AI$2),1,0)</f>
        <v>0</v>
      </c>
      <c r="AJ81" s="298" cm="1">
        <f t="array" ref="AJ81">IF(AND(AJ$2&lt;&gt;0,TblTech[[#This Row],[Hour]:[Hour]]&gt;=AJ$2),1,0)</f>
        <v>0</v>
      </c>
      <c r="AK81" s="298" cm="1">
        <f t="array" ref="AK81">IF(AND(AK$2&lt;&gt;0,TblTech[[#This Row],[Hour]:[Hour]]&gt;=AK$2),1,0)</f>
        <v>0</v>
      </c>
      <c r="AL81" s="298" cm="1">
        <f t="array" ref="AL81">IF(AND(AL$2&lt;&gt;0,TblTech[[#This Row],[Hour]:[Hour]]&gt;=AL$2),1,0)</f>
        <v>0</v>
      </c>
      <c r="AM81" s="298" cm="1">
        <f t="array" ref="AM81">IF(AND(AM$2&lt;&gt;0,TblTech[[#This Row],[Hour]:[Hour]]&gt;=AM$2),1,0)</f>
        <v>0</v>
      </c>
      <c r="AN81" s="298" cm="1">
        <f t="array" ref="AN81">IF(AND(AN$2&lt;&gt;0,TblTech[[#This Row],[Hour]:[Hour]]&gt;=AN$2),1,0)</f>
        <v>0</v>
      </c>
      <c r="AO81" s="298" cm="1">
        <f t="array" ref="AO81">IF(AND(AO$2&lt;&gt;0,TblTech[[#This Row],[Hour]:[Hour]]&gt;=AO$2),1,0)</f>
        <v>0</v>
      </c>
      <c r="AP81" s="298" cm="1">
        <f t="array" ref="AP81">IF(AND(AP$2&lt;&gt;0,TblTech[[#This Row],[Hour]:[Hour]]&gt;=AP$2),1,0)</f>
        <v>0</v>
      </c>
      <c r="AQ81" s="298" cm="1">
        <f t="array" ref="AQ81">IF(AND(AQ$2&lt;&gt;0,TblTech[[#This Row],[Hour]:[Hour]]&gt;=AQ$2),1,0)</f>
        <v>0</v>
      </c>
      <c r="AR81" s="298" cm="1">
        <f t="array" ref="AR81">IF(AND(AR$2&lt;&gt;0,TblTech[[#This Row],[Hour]:[Hour]]&gt;=AR$2),1,0)</f>
        <v>0</v>
      </c>
      <c r="AS81" s="298" cm="1">
        <f t="array" ref="AS81">IF(AND(AS$2&lt;&gt;0,TblTech[[#This Row],[Hour]:[Hour]]&gt;=AS$2),1,0)</f>
        <v>0</v>
      </c>
      <c r="AT81" s="298" cm="1">
        <f t="array" ref="AT81">IF(AND(AT$2&lt;&gt;0,TblTech[[#This Row],[Hour]:[Hour]]&gt;=AT$2),1,0)</f>
        <v>0</v>
      </c>
      <c r="AU81" s="298" cm="1">
        <f t="array" ref="AU81">IF(AND(AU$2&lt;&gt;0,TblTech[[#This Row],[Hour]:[Hour]]&gt;=AU$2),1,0)</f>
        <v>0</v>
      </c>
      <c r="AV81" s="298" cm="1">
        <f t="array" ref="AV81">IF(AND(AV$2&lt;&gt;0,TblTech[[#This Row],[Hour]:[Hour]]&gt;=AV$2),1,0)</f>
        <v>0</v>
      </c>
      <c r="AW81" s="298" cm="1">
        <f t="array" ref="AW81">IF(AND(AW$2&lt;&gt;0,TblTech[[#This Row],[Hour]:[Hour]]&gt;=AW$2),1,0)</f>
        <v>0</v>
      </c>
      <c r="AX81" s="298" cm="1">
        <f t="array" ref="AX81">IF(AND(AX$2&lt;&gt;0,TblTech[[#This Row],[Hour]:[Hour]]&gt;=AX$2),1,0)</f>
        <v>0</v>
      </c>
      <c r="AY81" s="298" cm="1">
        <f t="array" ref="AY81">IF(AND(AY$2&lt;&gt;0,TblTech[[#This Row],[Hour]:[Hour]]&gt;=AY$2),1,0)</f>
        <v>0</v>
      </c>
      <c r="AZ81" s="298" cm="1">
        <f t="array" ref="AZ81">IF(AND(AZ$2&lt;&gt;0,TblTech[[#This Row],[Hour]:[Hour]]&gt;=AZ$2),1,0)</f>
        <v>0</v>
      </c>
      <c r="BA81" s="298" cm="1">
        <f t="array" ref="BA81">IF(AND(BA$2&lt;&gt;0,TblTech[[#This Row],[Hour]:[Hour]]&gt;=BA$2),1,0)</f>
        <v>0</v>
      </c>
      <c r="BB81" s="298" cm="1">
        <f t="array" ref="BB81">IF(AND(BB$2&lt;&gt;0,TblTech[[#This Row],[Hour]:[Hour]]&gt;=BB$2),1,0)</f>
        <v>0</v>
      </c>
      <c r="BC81" s="298" cm="1">
        <f t="array" ref="BC81">IF(AND(BC$2&lt;&gt;0,TblTech[[#This Row],[Hour]:[Hour]]&gt;=BC$2),1,0)</f>
        <v>0</v>
      </c>
      <c r="BD81" s="298" cm="1">
        <f t="array" ref="BD81">IF(AND(BD$2&lt;&gt;0,TblTech[[#This Row],[Hour]:[Hour]]&gt;=BD$2),1,0)</f>
        <v>0</v>
      </c>
      <c r="BE81" s="298" cm="1">
        <f t="array" ref="BE81">IF(AND(BE$2&lt;&gt;0,TblTech[[#This Row],[Hour]:[Hour]]&gt;=BE$2),1,0)</f>
        <v>0</v>
      </c>
      <c r="BF81" s="298" cm="1">
        <f t="array" ref="BF81">IF(AND(BF$2&lt;&gt;0,TblTech[[#This Row],[Hour]:[Hour]]&gt;=BF$2),1,0)</f>
        <v>0</v>
      </c>
      <c r="BG81" s="298" cm="1">
        <f t="array" ref="BG81">IF(AND(BG$2&lt;&gt;0,TblTech[[#This Row],[Hour]:[Hour]]&gt;=BG$2),1,0)</f>
        <v>0</v>
      </c>
      <c r="BH81" s="298" cm="1">
        <f t="array" ref="BH81">IF(AND(BH$2&lt;&gt;0,TblTech[[#This Row],[Hour]:[Hour]]&gt;=BH$2),1,0)</f>
        <v>0</v>
      </c>
      <c r="BI81" s="298" cm="1">
        <f t="array" ref="BI81">IF(AND(BI$2&lt;&gt;0,TblTech[[#This Row],[Hour]:[Hour]]&gt;=BI$2),1,0)</f>
        <v>0</v>
      </c>
      <c r="BJ81" s="298" cm="1">
        <f t="array" ref="BJ81">IF(AND(BJ$2&lt;&gt;0,TblTech[[#This Row],[Hour]:[Hour]]&gt;=BJ$2),1,0)</f>
        <v>0</v>
      </c>
      <c r="BK81" s="298" cm="1">
        <f t="array" ref="BK81">IF(AND(BK$2&lt;&gt;0,TblTech[[#This Row],[Hour]:[Hour]]&gt;=BK$2),1,0)</f>
        <v>0</v>
      </c>
      <c r="BL81" s="298" cm="1">
        <f t="array" ref="BL81">IF(AND(BL$2&lt;&gt;0,TblTech[[#This Row],[Hour]:[Hour]]&gt;=BL$2),1,0)</f>
        <v>0</v>
      </c>
      <c r="BM81" s="298" cm="1">
        <f t="array" ref="BM81">IF(AND(BM$2&lt;&gt;0,TblTech[[#This Row],[Hour]:[Hour]]&gt;=BM$2),1,0)</f>
        <v>0</v>
      </c>
      <c r="BN81" s="298" cm="1">
        <f t="array" ref="BN81">IF(AND(BN$2&lt;&gt;0,TblTech[[#This Row],[Hour]:[Hour]]&gt;=BN$2),1,0)</f>
        <v>0</v>
      </c>
      <c r="BO81" s="298" cm="1">
        <f t="array" ref="BO81">IF(AND(BO$2&lt;&gt;0,TblTech[[#This Row],[Hour]:[Hour]]&gt;=BO$2),1,0)</f>
        <v>0</v>
      </c>
      <c r="BP81" s="298" cm="1">
        <f t="array" ref="BP81">IF(AND(BP$2&lt;&gt;0,TblTech[[#This Row],[Hour]:[Hour]]&gt;=BP$2),1,0)</f>
        <v>0</v>
      </c>
      <c r="BQ81" s="298" cm="1">
        <f t="array" ref="BQ81">IF(AND(BQ$2&lt;&gt;0,TblTech[[#This Row],[Hour]:[Hour]]&gt;=BQ$2),1,0)</f>
        <v>0</v>
      </c>
      <c r="BR81" s="298" cm="1">
        <f t="array" ref="BR81">IF(AND(BR$2&lt;&gt;0,TblTech[[#This Row],[Hour]:[Hour]]&gt;=BR$2),1,0)</f>
        <v>0</v>
      </c>
      <c r="BS81" s="298" cm="1">
        <f t="array" ref="BS81">IF(AND(BS$2&lt;&gt;0,TblTech[[#This Row],[Hour]:[Hour]]&gt;=BS$2),1,0)</f>
        <v>0</v>
      </c>
      <c r="BT81" s="298" cm="1">
        <f t="array" ref="BT81">IF(AND(BT$2&lt;&gt;0,TblTech[[#This Row],[Hour]:[Hour]]&gt;=BT$2),1,0)</f>
        <v>0</v>
      </c>
      <c r="BU81" s="298" cm="1">
        <f t="array" ref="BU81">IF(AND(BU$2&lt;&gt;0,TblTech[[#This Row],[Hour]:[Hour]]&gt;=BU$2),1,0)</f>
        <v>0</v>
      </c>
      <c r="BV81" s="298" cm="1">
        <f t="array" ref="BV81">IF(AND(BV$2&lt;&gt;0,TblTech[[#This Row],[Hour]:[Hour]]&gt;=BV$2),1,0)</f>
        <v>0</v>
      </c>
      <c r="BW81" s="298" cm="1">
        <f t="array" ref="BW81">IF(AND(BW$2&lt;&gt;0,TblTech[[#This Row],[Hour]:[Hour]]&gt;=BW$2),1,0)</f>
        <v>0</v>
      </c>
      <c r="BX81" s="298" cm="1">
        <f t="array" ref="BX81">IF(AND(BX$2&lt;&gt;0,TblTech[[#This Row],[Hour]:[Hour]]&gt;=BX$2),1,0)</f>
        <v>0</v>
      </c>
      <c r="BY81" s="298" cm="1">
        <f t="array" ref="BY81">IF(AND(BY$2&lt;&gt;0,TblTech[[#This Row],[Hour]:[Hour]]&gt;=BY$2),1,0)</f>
        <v>0</v>
      </c>
      <c r="BZ81" s="298" cm="1">
        <f t="array" ref="BZ81">IF(AND(BZ$2&lt;&gt;0,TblTech[[#This Row],[Hour]:[Hour]]&gt;=BZ$2),1,0)</f>
        <v>0</v>
      </c>
      <c r="CA81" s="402">
        <f>IFERROR(INDEX($H$4:$H$79,MATCH(INDEX(TblTech[[#Headers],[1-1]:[11-1]],1,MATCH(TblTech[[#This Row],[Hour]],$M$2:$BZ$2,0)),$G$4:$G$79,0)),)</f>
        <v>0</v>
      </c>
    </row>
    <row r="82" spans="1:79" x14ac:dyDescent="0.2">
      <c r="A82" s="290">
        <f>TblRezone[[#This Row],[Hour]]</f>
        <v>79</v>
      </c>
      <c r="B82" s="291">
        <f ca="1">TblExplore[[#This Row],[Land-DB]]</f>
        <v>250</v>
      </c>
      <c r="C82" s="292">
        <f ca="1">TblProd[[#This Row],[Techpoints]]</f>
        <v>0</v>
      </c>
      <c r="D82" s="292">
        <f ca="1">TblProd[[#This Row],[Required]]</f>
        <v>3750</v>
      </c>
      <c r="E82" s="301"/>
      <c r="F82" s="302"/>
      <c r="G82" s="295" t="s">
        <v>973</v>
      </c>
      <c r="H82" s="296"/>
      <c r="I82" s="296"/>
      <c r="J82" s="296"/>
      <c r="K82" s="95">
        <f ca="1">IF(TblTech[[#This Row],[Sum of tech]]&lt;&gt;OFFSET(TblTech[[#This Row],[Sum of tech]],-1,0),1,0)</f>
        <v>0</v>
      </c>
      <c r="L82" s="297">
        <f>COUNTIF(TblTech[[#This Row],[1-1]:[11-1]],1)</f>
        <v>0</v>
      </c>
      <c r="M82" s="298" cm="1">
        <f t="array" ref="M82">IF(AND(M$2&lt;&gt;0,TblTech[[#This Row],[Hour]:[Hour]]&gt;=M$2),1,0)</f>
        <v>0</v>
      </c>
      <c r="N82" s="298" cm="1">
        <f t="array" ref="N82">IF(AND(N$2&lt;&gt;0,TblTech[[#This Row],[Hour]:[Hour]]&gt;=N$2),1,0)</f>
        <v>0</v>
      </c>
      <c r="O82" s="298" cm="1">
        <f t="array" ref="O82">IF(AND(O$2&lt;&gt;0,TblTech[[#This Row],[Hour]:[Hour]]&gt;=O$2),1,0)</f>
        <v>0</v>
      </c>
      <c r="P82" s="298" cm="1">
        <f t="array" ref="P82">IF(AND(P$2&lt;&gt;0,TblTech[[#This Row],[Hour]:[Hour]]&gt;=P$2),1,0)</f>
        <v>0</v>
      </c>
      <c r="Q82" s="298" cm="1">
        <f t="array" ref="Q82">IF(AND(Q$2&lt;&gt;0,TblTech[[#This Row],[Hour]:[Hour]]&gt;=Q$2),1,0)</f>
        <v>0</v>
      </c>
      <c r="R82" s="298" cm="1">
        <f t="array" ref="R82">IF(AND(R$2&lt;&gt;0,TblTech[[#This Row],[Hour]:[Hour]]&gt;=R$2),1,0)</f>
        <v>0</v>
      </c>
      <c r="S82" s="298" cm="1">
        <f t="array" ref="S82">IF(AND(S$2&lt;&gt;0,TblTech[[#This Row],[Hour]:[Hour]]&gt;=S$2),1,0)</f>
        <v>0</v>
      </c>
      <c r="T82" s="298" cm="1">
        <f t="array" ref="T82">IF(AND(T$2&lt;&gt;0,TblTech[[#This Row],[Hour]:[Hour]]&gt;=T$2),1,0)</f>
        <v>0</v>
      </c>
      <c r="U82" s="298" cm="1">
        <f t="array" ref="U82">IF(AND(U$2&lt;&gt;0,TblTech[[#This Row],[Hour]:[Hour]]&gt;=U$2),1,0)</f>
        <v>0</v>
      </c>
      <c r="V82" s="298" cm="1">
        <f t="array" ref="V82">IF(AND(V$2&lt;&gt;0,TblTech[[#This Row],[Hour]:[Hour]]&gt;=V$2),1,0)</f>
        <v>0</v>
      </c>
      <c r="W82" s="298" cm="1">
        <f t="array" ref="W82">IF(AND(W$2&lt;&gt;0,TblTech[[#This Row],[Hour]:[Hour]]&gt;=W$2),1,0)</f>
        <v>0</v>
      </c>
      <c r="X82" s="298" cm="1">
        <f t="array" ref="X82">IF(AND(X$2&lt;&gt;0,TblTech[[#This Row],[Hour]:[Hour]]&gt;=X$2),1,0)</f>
        <v>0</v>
      </c>
      <c r="Y82" s="298" cm="1">
        <f t="array" ref="Y82">IF(AND(Y$2&lt;&gt;0,TblTech[[#This Row],[Hour]:[Hour]]&gt;=Y$2),1,0)</f>
        <v>0</v>
      </c>
      <c r="Z82" s="298" cm="1">
        <f t="array" ref="Z82">IF(AND(Z$2&lt;&gt;0,TblTech[[#This Row],[Hour]:[Hour]]&gt;=Z$2),1,0)</f>
        <v>0</v>
      </c>
      <c r="AA82" s="298" cm="1">
        <f t="array" ref="AA82">IF(AND(AA$2&lt;&gt;0,TblTech[[#This Row],[Hour]:[Hour]]&gt;=AA$2),1,0)</f>
        <v>0</v>
      </c>
      <c r="AB82" s="298" cm="1">
        <f t="array" ref="AB82">IF(AND(AB$2&lt;&gt;0,TblTech[[#This Row],[Hour]:[Hour]]&gt;=AB$2),1,0)</f>
        <v>0</v>
      </c>
      <c r="AC82" s="298" cm="1">
        <f t="array" ref="AC82">IF(AND(AC$2&lt;&gt;0,TblTech[[#This Row],[Hour]:[Hour]]&gt;=AC$2),1,0)</f>
        <v>0</v>
      </c>
      <c r="AD82" s="298" cm="1">
        <f t="array" ref="AD82">IF(AND(AD$2&lt;&gt;0,TblTech[[#This Row],[Hour]:[Hour]]&gt;=AD$2),1,0)</f>
        <v>0</v>
      </c>
      <c r="AE82" s="298" cm="1">
        <f t="array" ref="AE82">IF(AND(AE$2&lt;&gt;0,TblTech[[#This Row],[Hour]:[Hour]]&gt;=AE$2),1,0)</f>
        <v>0</v>
      </c>
      <c r="AF82" s="298" cm="1">
        <f t="array" ref="AF82">IF(AND(AF$2&lt;&gt;0,TblTech[[#This Row],[Hour]:[Hour]]&gt;=AF$2),1,0)</f>
        <v>0</v>
      </c>
      <c r="AG82" s="298" cm="1">
        <f t="array" ref="AG82">IF(AND(AG$2&lt;&gt;0,TblTech[[#This Row],[Hour]:[Hour]]&gt;=AG$2),1,0)</f>
        <v>0</v>
      </c>
      <c r="AH82" s="298" cm="1">
        <f t="array" ref="AH82">IF(AND(AH$2&lt;&gt;0,TblTech[[#This Row],[Hour]:[Hour]]&gt;=AH$2),1,0)</f>
        <v>0</v>
      </c>
      <c r="AI82" s="298" cm="1">
        <f t="array" ref="AI82">IF(AND(AI$2&lt;&gt;0,TblTech[[#This Row],[Hour]:[Hour]]&gt;=AI$2),1,0)</f>
        <v>0</v>
      </c>
      <c r="AJ82" s="298" cm="1">
        <f t="array" ref="AJ82">IF(AND(AJ$2&lt;&gt;0,TblTech[[#This Row],[Hour]:[Hour]]&gt;=AJ$2),1,0)</f>
        <v>0</v>
      </c>
      <c r="AK82" s="298" cm="1">
        <f t="array" ref="AK82">IF(AND(AK$2&lt;&gt;0,TblTech[[#This Row],[Hour]:[Hour]]&gt;=AK$2),1,0)</f>
        <v>0</v>
      </c>
      <c r="AL82" s="298" cm="1">
        <f t="array" ref="AL82">IF(AND(AL$2&lt;&gt;0,TblTech[[#This Row],[Hour]:[Hour]]&gt;=AL$2),1,0)</f>
        <v>0</v>
      </c>
      <c r="AM82" s="298" cm="1">
        <f t="array" ref="AM82">IF(AND(AM$2&lt;&gt;0,TblTech[[#This Row],[Hour]:[Hour]]&gt;=AM$2),1,0)</f>
        <v>0</v>
      </c>
      <c r="AN82" s="298" cm="1">
        <f t="array" ref="AN82">IF(AND(AN$2&lt;&gt;0,TblTech[[#This Row],[Hour]:[Hour]]&gt;=AN$2),1,0)</f>
        <v>0</v>
      </c>
      <c r="AO82" s="298" cm="1">
        <f t="array" ref="AO82">IF(AND(AO$2&lt;&gt;0,TblTech[[#This Row],[Hour]:[Hour]]&gt;=AO$2),1,0)</f>
        <v>0</v>
      </c>
      <c r="AP82" s="298" cm="1">
        <f t="array" ref="AP82">IF(AND(AP$2&lt;&gt;0,TblTech[[#This Row],[Hour]:[Hour]]&gt;=AP$2),1,0)</f>
        <v>0</v>
      </c>
      <c r="AQ82" s="298" cm="1">
        <f t="array" ref="AQ82">IF(AND(AQ$2&lt;&gt;0,TblTech[[#This Row],[Hour]:[Hour]]&gt;=AQ$2),1,0)</f>
        <v>0</v>
      </c>
      <c r="AR82" s="298" cm="1">
        <f t="array" ref="AR82">IF(AND(AR$2&lt;&gt;0,TblTech[[#This Row],[Hour]:[Hour]]&gt;=AR$2),1,0)</f>
        <v>0</v>
      </c>
      <c r="AS82" s="298" cm="1">
        <f t="array" ref="AS82">IF(AND(AS$2&lt;&gt;0,TblTech[[#This Row],[Hour]:[Hour]]&gt;=AS$2),1,0)</f>
        <v>0</v>
      </c>
      <c r="AT82" s="298" cm="1">
        <f t="array" ref="AT82">IF(AND(AT$2&lt;&gt;0,TblTech[[#This Row],[Hour]:[Hour]]&gt;=AT$2),1,0)</f>
        <v>0</v>
      </c>
      <c r="AU82" s="298" cm="1">
        <f t="array" ref="AU82">IF(AND(AU$2&lt;&gt;0,TblTech[[#This Row],[Hour]:[Hour]]&gt;=AU$2),1,0)</f>
        <v>0</v>
      </c>
      <c r="AV82" s="298" cm="1">
        <f t="array" ref="AV82">IF(AND(AV$2&lt;&gt;0,TblTech[[#This Row],[Hour]:[Hour]]&gt;=AV$2),1,0)</f>
        <v>0</v>
      </c>
      <c r="AW82" s="298" cm="1">
        <f t="array" ref="AW82">IF(AND(AW$2&lt;&gt;0,TblTech[[#This Row],[Hour]:[Hour]]&gt;=AW$2),1,0)</f>
        <v>0</v>
      </c>
      <c r="AX82" s="298" cm="1">
        <f t="array" ref="AX82">IF(AND(AX$2&lt;&gt;0,TblTech[[#This Row],[Hour]:[Hour]]&gt;=AX$2),1,0)</f>
        <v>0</v>
      </c>
      <c r="AY82" s="298" cm="1">
        <f t="array" ref="AY82">IF(AND(AY$2&lt;&gt;0,TblTech[[#This Row],[Hour]:[Hour]]&gt;=AY$2),1,0)</f>
        <v>0</v>
      </c>
      <c r="AZ82" s="298" cm="1">
        <f t="array" ref="AZ82">IF(AND(AZ$2&lt;&gt;0,TblTech[[#This Row],[Hour]:[Hour]]&gt;=AZ$2),1,0)</f>
        <v>0</v>
      </c>
      <c r="BA82" s="298" cm="1">
        <f t="array" ref="BA82">IF(AND(BA$2&lt;&gt;0,TblTech[[#This Row],[Hour]:[Hour]]&gt;=BA$2),1,0)</f>
        <v>0</v>
      </c>
      <c r="BB82" s="298" cm="1">
        <f t="array" ref="BB82">IF(AND(BB$2&lt;&gt;0,TblTech[[#This Row],[Hour]:[Hour]]&gt;=BB$2),1,0)</f>
        <v>0</v>
      </c>
      <c r="BC82" s="298" cm="1">
        <f t="array" ref="BC82">IF(AND(BC$2&lt;&gt;0,TblTech[[#This Row],[Hour]:[Hour]]&gt;=BC$2),1,0)</f>
        <v>0</v>
      </c>
      <c r="BD82" s="298" cm="1">
        <f t="array" ref="BD82">IF(AND(BD$2&lt;&gt;0,TblTech[[#This Row],[Hour]:[Hour]]&gt;=BD$2),1,0)</f>
        <v>0</v>
      </c>
      <c r="BE82" s="298" cm="1">
        <f t="array" ref="BE82">IF(AND(BE$2&lt;&gt;0,TblTech[[#This Row],[Hour]:[Hour]]&gt;=BE$2),1,0)</f>
        <v>0</v>
      </c>
      <c r="BF82" s="298" cm="1">
        <f t="array" ref="BF82">IF(AND(BF$2&lt;&gt;0,TblTech[[#This Row],[Hour]:[Hour]]&gt;=BF$2),1,0)</f>
        <v>0</v>
      </c>
      <c r="BG82" s="298" cm="1">
        <f t="array" ref="BG82">IF(AND(BG$2&lt;&gt;0,TblTech[[#This Row],[Hour]:[Hour]]&gt;=BG$2),1,0)</f>
        <v>0</v>
      </c>
      <c r="BH82" s="298" cm="1">
        <f t="array" ref="BH82">IF(AND(BH$2&lt;&gt;0,TblTech[[#This Row],[Hour]:[Hour]]&gt;=BH$2),1,0)</f>
        <v>0</v>
      </c>
      <c r="BI82" s="298" cm="1">
        <f t="array" ref="BI82">IF(AND(BI$2&lt;&gt;0,TblTech[[#This Row],[Hour]:[Hour]]&gt;=BI$2),1,0)</f>
        <v>0</v>
      </c>
      <c r="BJ82" s="298" cm="1">
        <f t="array" ref="BJ82">IF(AND(BJ$2&lt;&gt;0,TblTech[[#This Row],[Hour]:[Hour]]&gt;=BJ$2),1,0)</f>
        <v>0</v>
      </c>
      <c r="BK82" s="298" cm="1">
        <f t="array" ref="BK82">IF(AND(BK$2&lt;&gt;0,TblTech[[#This Row],[Hour]:[Hour]]&gt;=BK$2),1,0)</f>
        <v>0</v>
      </c>
      <c r="BL82" s="298" cm="1">
        <f t="array" ref="BL82">IF(AND(BL$2&lt;&gt;0,TblTech[[#This Row],[Hour]:[Hour]]&gt;=BL$2),1,0)</f>
        <v>0</v>
      </c>
      <c r="BM82" s="298" cm="1">
        <f t="array" ref="BM82">IF(AND(BM$2&lt;&gt;0,TblTech[[#This Row],[Hour]:[Hour]]&gt;=BM$2),1,0)</f>
        <v>0</v>
      </c>
      <c r="BN82" s="298" cm="1">
        <f t="array" ref="BN82">IF(AND(BN$2&lt;&gt;0,TblTech[[#This Row],[Hour]:[Hour]]&gt;=BN$2),1,0)</f>
        <v>0</v>
      </c>
      <c r="BO82" s="298" cm="1">
        <f t="array" ref="BO82">IF(AND(BO$2&lt;&gt;0,TblTech[[#This Row],[Hour]:[Hour]]&gt;=BO$2),1,0)</f>
        <v>0</v>
      </c>
      <c r="BP82" s="298" cm="1">
        <f t="array" ref="BP82">IF(AND(BP$2&lt;&gt;0,TblTech[[#This Row],[Hour]:[Hour]]&gt;=BP$2),1,0)</f>
        <v>0</v>
      </c>
      <c r="BQ82" s="298" cm="1">
        <f t="array" ref="BQ82">IF(AND(BQ$2&lt;&gt;0,TblTech[[#This Row],[Hour]:[Hour]]&gt;=BQ$2),1,0)</f>
        <v>0</v>
      </c>
      <c r="BR82" s="298" cm="1">
        <f t="array" ref="BR82">IF(AND(BR$2&lt;&gt;0,TblTech[[#This Row],[Hour]:[Hour]]&gt;=BR$2),1,0)</f>
        <v>0</v>
      </c>
      <c r="BS82" s="298" cm="1">
        <f t="array" ref="BS82">IF(AND(BS$2&lt;&gt;0,TblTech[[#This Row],[Hour]:[Hour]]&gt;=BS$2),1,0)</f>
        <v>0</v>
      </c>
      <c r="BT82" s="298" cm="1">
        <f t="array" ref="BT82">IF(AND(BT$2&lt;&gt;0,TblTech[[#This Row],[Hour]:[Hour]]&gt;=BT$2),1,0)</f>
        <v>0</v>
      </c>
      <c r="BU82" s="298" cm="1">
        <f t="array" ref="BU82">IF(AND(BU$2&lt;&gt;0,TblTech[[#This Row],[Hour]:[Hour]]&gt;=BU$2),1,0)</f>
        <v>0</v>
      </c>
      <c r="BV82" s="298" cm="1">
        <f t="array" ref="BV82">IF(AND(BV$2&lt;&gt;0,TblTech[[#This Row],[Hour]:[Hour]]&gt;=BV$2),1,0)</f>
        <v>0</v>
      </c>
      <c r="BW82" s="298" cm="1">
        <f t="array" ref="BW82">IF(AND(BW$2&lt;&gt;0,TblTech[[#This Row],[Hour]:[Hour]]&gt;=BW$2),1,0)</f>
        <v>0</v>
      </c>
      <c r="BX82" s="298" cm="1">
        <f t="array" ref="BX82">IF(AND(BX$2&lt;&gt;0,TblTech[[#This Row],[Hour]:[Hour]]&gt;=BX$2),1,0)</f>
        <v>0</v>
      </c>
      <c r="BY82" s="298" cm="1">
        <f t="array" ref="BY82">IF(AND(BY$2&lt;&gt;0,TblTech[[#This Row],[Hour]:[Hour]]&gt;=BY$2),1,0)</f>
        <v>0</v>
      </c>
      <c r="BZ82" s="298" cm="1">
        <f t="array" ref="BZ82">IF(AND(BZ$2&lt;&gt;0,TblTech[[#This Row],[Hour]:[Hour]]&gt;=BZ$2),1,0)</f>
        <v>0</v>
      </c>
      <c r="CA82" s="402">
        <f>IFERROR(INDEX($H$4:$H$79,MATCH(INDEX(TblTech[[#Headers],[1-1]:[11-1]],1,MATCH(TblTech[[#This Row],[Hour]],$M$2:$BZ$2,0)),$G$4:$G$79,0)),)</f>
        <v>0</v>
      </c>
    </row>
    <row r="83" spans="1:79" x14ac:dyDescent="0.2">
      <c r="A83" s="290">
        <f>TblRezone[[#This Row],[Hour]]</f>
        <v>80</v>
      </c>
      <c r="B83" s="291">
        <f ca="1">TblExplore[[#This Row],[Land-DB]]</f>
        <v>250</v>
      </c>
      <c r="C83" s="292">
        <f ca="1">TblProd[[#This Row],[Techpoints]]</f>
        <v>0</v>
      </c>
      <c r="D83" s="292">
        <f ca="1">TblProd[[#This Row],[Required]]</f>
        <v>3750</v>
      </c>
      <c r="E83" s="301"/>
      <c r="F83" s="302"/>
      <c r="G83" s="295"/>
      <c r="H83" s="296"/>
      <c r="I83" s="296"/>
      <c r="J83" s="296"/>
      <c r="K83" s="95">
        <f ca="1">IF(TblTech[[#This Row],[Sum of tech]]&lt;&gt;OFFSET(TblTech[[#This Row],[Sum of tech]],-1,0),1,0)</f>
        <v>0</v>
      </c>
      <c r="L83" s="297">
        <f>COUNTIF(TblTech[[#This Row],[1-1]:[11-1]],1)</f>
        <v>0</v>
      </c>
      <c r="M83" s="298" cm="1">
        <f t="array" ref="M83">IF(AND(M$2&lt;&gt;0,TblTech[[#This Row],[Hour]:[Hour]]&gt;=M$2),1,0)</f>
        <v>0</v>
      </c>
      <c r="N83" s="298" cm="1">
        <f t="array" ref="N83">IF(AND(N$2&lt;&gt;0,TblTech[[#This Row],[Hour]:[Hour]]&gt;=N$2),1,0)</f>
        <v>0</v>
      </c>
      <c r="O83" s="298" cm="1">
        <f t="array" ref="O83">IF(AND(O$2&lt;&gt;0,TblTech[[#This Row],[Hour]:[Hour]]&gt;=O$2),1,0)</f>
        <v>0</v>
      </c>
      <c r="P83" s="298" cm="1">
        <f t="array" ref="P83">IF(AND(P$2&lt;&gt;0,TblTech[[#This Row],[Hour]:[Hour]]&gt;=P$2),1,0)</f>
        <v>0</v>
      </c>
      <c r="Q83" s="298" cm="1">
        <f t="array" ref="Q83">IF(AND(Q$2&lt;&gt;0,TblTech[[#This Row],[Hour]:[Hour]]&gt;=Q$2),1,0)</f>
        <v>0</v>
      </c>
      <c r="R83" s="298" cm="1">
        <f t="array" ref="R83">IF(AND(R$2&lt;&gt;0,TblTech[[#This Row],[Hour]:[Hour]]&gt;=R$2),1,0)</f>
        <v>0</v>
      </c>
      <c r="S83" s="298" cm="1">
        <f t="array" ref="S83">IF(AND(S$2&lt;&gt;0,TblTech[[#This Row],[Hour]:[Hour]]&gt;=S$2),1,0)</f>
        <v>0</v>
      </c>
      <c r="T83" s="298" cm="1">
        <f t="array" ref="T83">IF(AND(T$2&lt;&gt;0,TblTech[[#This Row],[Hour]:[Hour]]&gt;=T$2),1,0)</f>
        <v>0</v>
      </c>
      <c r="U83" s="298" cm="1">
        <f t="array" ref="U83">IF(AND(U$2&lt;&gt;0,TblTech[[#This Row],[Hour]:[Hour]]&gt;=U$2),1,0)</f>
        <v>0</v>
      </c>
      <c r="V83" s="298" cm="1">
        <f t="array" ref="V83">IF(AND(V$2&lt;&gt;0,TblTech[[#This Row],[Hour]:[Hour]]&gt;=V$2),1,0)</f>
        <v>0</v>
      </c>
      <c r="W83" s="298" cm="1">
        <f t="array" ref="W83">IF(AND(W$2&lt;&gt;0,TblTech[[#This Row],[Hour]:[Hour]]&gt;=W$2),1,0)</f>
        <v>0</v>
      </c>
      <c r="X83" s="298" cm="1">
        <f t="array" ref="X83">IF(AND(X$2&lt;&gt;0,TblTech[[#This Row],[Hour]:[Hour]]&gt;=X$2),1,0)</f>
        <v>0</v>
      </c>
      <c r="Y83" s="298" cm="1">
        <f t="array" ref="Y83">IF(AND(Y$2&lt;&gt;0,TblTech[[#This Row],[Hour]:[Hour]]&gt;=Y$2),1,0)</f>
        <v>0</v>
      </c>
      <c r="Z83" s="298" cm="1">
        <f t="array" ref="Z83">IF(AND(Z$2&lt;&gt;0,TblTech[[#This Row],[Hour]:[Hour]]&gt;=Z$2),1,0)</f>
        <v>0</v>
      </c>
      <c r="AA83" s="298" cm="1">
        <f t="array" ref="AA83">IF(AND(AA$2&lt;&gt;0,TblTech[[#This Row],[Hour]:[Hour]]&gt;=AA$2),1,0)</f>
        <v>0</v>
      </c>
      <c r="AB83" s="298" cm="1">
        <f t="array" ref="AB83">IF(AND(AB$2&lt;&gt;0,TblTech[[#This Row],[Hour]:[Hour]]&gt;=AB$2),1,0)</f>
        <v>0</v>
      </c>
      <c r="AC83" s="298" cm="1">
        <f t="array" ref="AC83">IF(AND(AC$2&lt;&gt;0,TblTech[[#This Row],[Hour]:[Hour]]&gt;=AC$2),1,0)</f>
        <v>0</v>
      </c>
      <c r="AD83" s="298" cm="1">
        <f t="array" ref="AD83">IF(AND(AD$2&lt;&gt;0,TblTech[[#This Row],[Hour]:[Hour]]&gt;=AD$2),1,0)</f>
        <v>0</v>
      </c>
      <c r="AE83" s="298" cm="1">
        <f t="array" ref="AE83">IF(AND(AE$2&lt;&gt;0,TblTech[[#This Row],[Hour]:[Hour]]&gt;=AE$2),1,0)</f>
        <v>0</v>
      </c>
      <c r="AF83" s="298" cm="1">
        <f t="array" ref="AF83">IF(AND(AF$2&lt;&gt;0,TblTech[[#This Row],[Hour]:[Hour]]&gt;=AF$2),1,0)</f>
        <v>0</v>
      </c>
      <c r="AG83" s="298" cm="1">
        <f t="array" ref="AG83">IF(AND(AG$2&lt;&gt;0,TblTech[[#This Row],[Hour]:[Hour]]&gt;=AG$2),1,0)</f>
        <v>0</v>
      </c>
      <c r="AH83" s="298" cm="1">
        <f t="array" ref="AH83">IF(AND(AH$2&lt;&gt;0,TblTech[[#This Row],[Hour]:[Hour]]&gt;=AH$2),1,0)</f>
        <v>0</v>
      </c>
      <c r="AI83" s="298" cm="1">
        <f t="array" ref="AI83">IF(AND(AI$2&lt;&gt;0,TblTech[[#This Row],[Hour]:[Hour]]&gt;=AI$2),1,0)</f>
        <v>0</v>
      </c>
      <c r="AJ83" s="298" cm="1">
        <f t="array" ref="AJ83">IF(AND(AJ$2&lt;&gt;0,TblTech[[#This Row],[Hour]:[Hour]]&gt;=AJ$2),1,0)</f>
        <v>0</v>
      </c>
      <c r="AK83" s="298" cm="1">
        <f t="array" ref="AK83">IF(AND(AK$2&lt;&gt;0,TblTech[[#This Row],[Hour]:[Hour]]&gt;=AK$2),1,0)</f>
        <v>0</v>
      </c>
      <c r="AL83" s="298" cm="1">
        <f t="array" ref="AL83">IF(AND(AL$2&lt;&gt;0,TblTech[[#This Row],[Hour]:[Hour]]&gt;=AL$2),1,0)</f>
        <v>0</v>
      </c>
      <c r="AM83" s="298" cm="1">
        <f t="array" ref="AM83">IF(AND(AM$2&lt;&gt;0,TblTech[[#This Row],[Hour]:[Hour]]&gt;=AM$2),1,0)</f>
        <v>0</v>
      </c>
      <c r="AN83" s="298" cm="1">
        <f t="array" ref="AN83">IF(AND(AN$2&lt;&gt;0,TblTech[[#This Row],[Hour]:[Hour]]&gt;=AN$2),1,0)</f>
        <v>0</v>
      </c>
      <c r="AO83" s="298" cm="1">
        <f t="array" ref="AO83">IF(AND(AO$2&lt;&gt;0,TblTech[[#This Row],[Hour]:[Hour]]&gt;=AO$2),1,0)</f>
        <v>0</v>
      </c>
      <c r="AP83" s="298" cm="1">
        <f t="array" ref="AP83">IF(AND(AP$2&lt;&gt;0,TblTech[[#This Row],[Hour]:[Hour]]&gt;=AP$2),1,0)</f>
        <v>0</v>
      </c>
      <c r="AQ83" s="298" cm="1">
        <f t="array" ref="AQ83">IF(AND(AQ$2&lt;&gt;0,TblTech[[#This Row],[Hour]:[Hour]]&gt;=AQ$2),1,0)</f>
        <v>0</v>
      </c>
      <c r="AR83" s="298" cm="1">
        <f t="array" ref="AR83">IF(AND(AR$2&lt;&gt;0,TblTech[[#This Row],[Hour]:[Hour]]&gt;=AR$2),1,0)</f>
        <v>0</v>
      </c>
      <c r="AS83" s="298" cm="1">
        <f t="array" ref="AS83">IF(AND(AS$2&lt;&gt;0,TblTech[[#This Row],[Hour]:[Hour]]&gt;=AS$2),1,0)</f>
        <v>0</v>
      </c>
      <c r="AT83" s="298" cm="1">
        <f t="array" ref="AT83">IF(AND(AT$2&lt;&gt;0,TblTech[[#This Row],[Hour]:[Hour]]&gt;=AT$2),1,0)</f>
        <v>0</v>
      </c>
      <c r="AU83" s="298" cm="1">
        <f t="array" ref="AU83">IF(AND(AU$2&lt;&gt;0,TblTech[[#This Row],[Hour]:[Hour]]&gt;=AU$2),1,0)</f>
        <v>0</v>
      </c>
      <c r="AV83" s="298" cm="1">
        <f t="array" ref="AV83">IF(AND(AV$2&lt;&gt;0,TblTech[[#This Row],[Hour]:[Hour]]&gt;=AV$2),1,0)</f>
        <v>0</v>
      </c>
      <c r="AW83" s="298" cm="1">
        <f t="array" ref="AW83">IF(AND(AW$2&lt;&gt;0,TblTech[[#This Row],[Hour]:[Hour]]&gt;=AW$2),1,0)</f>
        <v>0</v>
      </c>
      <c r="AX83" s="298" cm="1">
        <f t="array" ref="AX83">IF(AND(AX$2&lt;&gt;0,TblTech[[#This Row],[Hour]:[Hour]]&gt;=AX$2),1,0)</f>
        <v>0</v>
      </c>
      <c r="AY83" s="298" cm="1">
        <f t="array" ref="AY83">IF(AND(AY$2&lt;&gt;0,TblTech[[#This Row],[Hour]:[Hour]]&gt;=AY$2),1,0)</f>
        <v>0</v>
      </c>
      <c r="AZ83" s="298" cm="1">
        <f t="array" ref="AZ83">IF(AND(AZ$2&lt;&gt;0,TblTech[[#This Row],[Hour]:[Hour]]&gt;=AZ$2),1,0)</f>
        <v>0</v>
      </c>
      <c r="BA83" s="298" cm="1">
        <f t="array" ref="BA83">IF(AND(BA$2&lt;&gt;0,TblTech[[#This Row],[Hour]:[Hour]]&gt;=BA$2),1,0)</f>
        <v>0</v>
      </c>
      <c r="BB83" s="298" cm="1">
        <f t="array" ref="BB83">IF(AND(BB$2&lt;&gt;0,TblTech[[#This Row],[Hour]:[Hour]]&gt;=BB$2),1,0)</f>
        <v>0</v>
      </c>
      <c r="BC83" s="298" cm="1">
        <f t="array" ref="BC83">IF(AND(BC$2&lt;&gt;0,TblTech[[#This Row],[Hour]:[Hour]]&gt;=BC$2),1,0)</f>
        <v>0</v>
      </c>
      <c r="BD83" s="298" cm="1">
        <f t="array" ref="BD83">IF(AND(BD$2&lt;&gt;0,TblTech[[#This Row],[Hour]:[Hour]]&gt;=BD$2),1,0)</f>
        <v>0</v>
      </c>
      <c r="BE83" s="298" cm="1">
        <f t="array" ref="BE83">IF(AND(BE$2&lt;&gt;0,TblTech[[#This Row],[Hour]:[Hour]]&gt;=BE$2),1,0)</f>
        <v>0</v>
      </c>
      <c r="BF83" s="298" cm="1">
        <f t="array" ref="BF83">IF(AND(BF$2&lt;&gt;0,TblTech[[#This Row],[Hour]:[Hour]]&gt;=BF$2),1,0)</f>
        <v>0</v>
      </c>
      <c r="BG83" s="298" cm="1">
        <f t="array" ref="BG83">IF(AND(BG$2&lt;&gt;0,TblTech[[#This Row],[Hour]:[Hour]]&gt;=BG$2),1,0)</f>
        <v>0</v>
      </c>
      <c r="BH83" s="298" cm="1">
        <f t="array" ref="BH83">IF(AND(BH$2&lt;&gt;0,TblTech[[#This Row],[Hour]:[Hour]]&gt;=BH$2),1,0)</f>
        <v>0</v>
      </c>
      <c r="BI83" s="298" cm="1">
        <f t="array" ref="BI83">IF(AND(BI$2&lt;&gt;0,TblTech[[#This Row],[Hour]:[Hour]]&gt;=BI$2),1,0)</f>
        <v>0</v>
      </c>
      <c r="BJ83" s="298" cm="1">
        <f t="array" ref="BJ83">IF(AND(BJ$2&lt;&gt;0,TblTech[[#This Row],[Hour]:[Hour]]&gt;=BJ$2),1,0)</f>
        <v>0</v>
      </c>
      <c r="BK83" s="298" cm="1">
        <f t="array" ref="BK83">IF(AND(BK$2&lt;&gt;0,TblTech[[#This Row],[Hour]:[Hour]]&gt;=BK$2),1,0)</f>
        <v>0</v>
      </c>
      <c r="BL83" s="298" cm="1">
        <f t="array" ref="BL83">IF(AND(BL$2&lt;&gt;0,TblTech[[#This Row],[Hour]:[Hour]]&gt;=BL$2),1,0)</f>
        <v>0</v>
      </c>
      <c r="BM83" s="298" cm="1">
        <f t="array" ref="BM83">IF(AND(BM$2&lt;&gt;0,TblTech[[#This Row],[Hour]:[Hour]]&gt;=BM$2),1,0)</f>
        <v>0</v>
      </c>
      <c r="BN83" s="298" cm="1">
        <f t="array" ref="BN83">IF(AND(BN$2&lt;&gt;0,TblTech[[#This Row],[Hour]:[Hour]]&gt;=BN$2),1,0)</f>
        <v>0</v>
      </c>
      <c r="BO83" s="298" cm="1">
        <f t="array" ref="BO83">IF(AND(BO$2&lt;&gt;0,TblTech[[#This Row],[Hour]:[Hour]]&gt;=BO$2),1,0)</f>
        <v>0</v>
      </c>
      <c r="BP83" s="298" cm="1">
        <f t="array" ref="BP83">IF(AND(BP$2&lt;&gt;0,TblTech[[#This Row],[Hour]:[Hour]]&gt;=BP$2),1,0)</f>
        <v>0</v>
      </c>
      <c r="BQ83" s="298" cm="1">
        <f t="array" ref="BQ83">IF(AND(BQ$2&lt;&gt;0,TblTech[[#This Row],[Hour]:[Hour]]&gt;=BQ$2),1,0)</f>
        <v>0</v>
      </c>
      <c r="BR83" s="298" cm="1">
        <f t="array" ref="BR83">IF(AND(BR$2&lt;&gt;0,TblTech[[#This Row],[Hour]:[Hour]]&gt;=BR$2),1,0)</f>
        <v>0</v>
      </c>
      <c r="BS83" s="298" cm="1">
        <f t="array" ref="BS83">IF(AND(BS$2&lt;&gt;0,TblTech[[#This Row],[Hour]:[Hour]]&gt;=BS$2),1,0)</f>
        <v>0</v>
      </c>
      <c r="BT83" s="298" cm="1">
        <f t="array" ref="BT83">IF(AND(BT$2&lt;&gt;0,TblTech[[#This Row],[Hour]:[Hour]]&gt;=BT$2),1,0)</f>
        <v>0</v>
      </c>
      <c r="BU83" s="298" cm="1">
        <f t="array" ref="BU83">IF(AND(BU$2&lt;&gt;0,TblTech[[#This Row],[Hour]:[Hour]]&gt;=BU$2),1,0)</f>
        <v>0</v>
      </c>
      <c r="BV83" s="298" cm="1">
        <f t="array" ref="BV83">IF(AND(BV$2&lt;&gt;0,TblTech[[#This Row],[Hour]:[Hour]]&gt;=BV$2),1,0)</f>
        <v>0</v>
      </c>
      <c r="BW83" s="298" cm="1">
        <f t="array" ref="BW83">IF(AND(BW$2&lt;&gt;0,TblTech[[#This Row],[Hour]:[Hour]]&gt;=BW$2),1,0)</f>
        <v>0</v>
      </c>
      <c r="BX83" s="298" cm="1">
        <f t="array" ref="BX83">IF(AND(BX$2&lt;&gt;0,TblTech[[#This Row],[Hour]:[Hour]]&gt;=BX$2),1,0)</f>
        <v>0</v>
      </c>
      <c r="BY83" s="298" cm="1">
        <f t="array" ref="BY83">IF(AND(BY$2&lt;&gt;0,TblTech[[#This Row],[Hour]:[Hour]]&gt;=BY$2),1,0)</f>
        <v>0</v>
      </c>
      <c r="BZ83" s="298" cm="1">
        <f t="array" ref="BZ83">IF(AND(BZ$2&lt;&gt;0,TblTech[[#This Row],[Hour]:[Hour]]&gt;=BZ$2),1,0)</f>
        <v>0</v>
      </c>
      <c r="CA83" s="402">
        <f>IFERROR(INDEX($H$4:$H$79,MATCH(INDEX(TblTech[[#Headers],[1-1]:[11-1]],1,MATCH(TblTech[[#This Row],[Hour]],$M$2:$BZ$2,0)),$G$4:$G$79,0)),)</f>
        <v>0</v>
      </c>
    </row>
    <row r="84" spans="1:79" x14ac:dyDescent="0.2">
      <c r="A84" s="290">
        <f>TblRezone[[#This Row],[Hour]]</f>
        <v>81</v>
      </c>
      <c r="B84" s="291">
        <f ca="1">TblExplore[[#This Row],[Land-DB]]</f>
        <v>250</v>
      </c>
      <c r="C84" s="292">
        <f ca="1">TblProd[[#This Row],[Techpoints]]</f>
        <v>0</v>
      </c>
      <c r="D84" s="292">
        <f ca="1">TblProd[[#This Row],[Required]]</f>
        <v>3750</v>
      </c>
      <c r="E84" s="301"/>
      <c r="F84" s="302"/>
      <c r="G84" s="295"/>
      <c r="H84" s="296"/>
      <c r="I84" s="296"/>
      <c r="J84" s="296"/>
      <c r="K84" s="95">
        <f ca="1">IF(TblTech[[#This Row],[Sum of tech]]&lt;&gt;OFFSET(TblTech[[#This Row],[Sum of tech]],-1,0),1,0)</f>
        <v>0</v>
      </c>
      <c r="L84" s="297">
        <f>COUNTIF(TblTech[[#This Row],[1-1]:[11-1]],1)</f>
        <v>0</v>
      </c>
      <c r="M84" s="298" cm="1">
        <f t="array" ref="M84">IF(AND(M$2&lt;&gt;0,TblTech[[#This Row],[Hour]:[Hour]]&gt;=M$2),1,0)</f>
        <v>0</v>
      </c>
      <c r="N84" s="298" cm="1">
        <f t="array" ref="N84">IF(AND(N$2&lt;&gt;0,TblTech[[#This Row],[Hour]:[Hour]]&gt;=N$2),1,0)</f>
        <v>0</v>
      </c>
      <c r="O84" s="298" cm="1">
        <f t="array" ref="O84">IF(AND(O$2&lt;&gt;0,TblTech[[#This Row],[Hour]:[Hour]]&gt;=O$2),1,0)</f>
        <v>0</v>
      </c>
      <c r="P84" s="298" cm="1">
        <f t="array" ref="P84">IF(AND(P$2&lt;&gt;0,TblTech[[#This Row],[Hour]:[Hour]]&gt;=P$2),1,0)</f>
        <v>0</v>
      </c>
      <c r="Q84" s="298" cm="1">
        <f t="array" ref="Q84">IF(AND(Q$2&lt;&gt;0,TblTech[[#This Row],[Hour]:[Hour]]&gt;=Q$2),1,0)</f>
        <v>0</v>
      </c>
      <c r="R84" s="298" cm="1">
        <f t="array" ref="R84">IF(AND(R$2&lt;&gt;0,TblTech[[#This Row],[Hour]:[Hour]]&gt;=R$2),1,0)</f>
        <v>0</v>
      </c>
      <c r="S84" s="298" cm="1">
        <f t="array" ref="S84">IF(AND(S$2&lt;&gt;0,TblTech[[#This Row],[Hour]:[Hour]]&gt;=S$2),1,0)</f>
        <v>0</v>
      </c>
      <c r="T84" s="298" cm="1">
        <f t="array" ref="T84">IF(AND(T$2&lt;&gt;0,TblTech[[#This Row],[Hour]:[Hour]]&gt;=T$2),1,0)</f>
        <v>0</v>
      </c>
      <c r="U84" s="298" cm="1">
        <f t="array" ref="U84">IF(AND(U$2&lt;&gt;0,TblTech[[#This Row],[Hour]:[Hour]]&gt;=U$2),1,0)</f>
        <v>0</v>
      </c>
      <c r="V84" s="298" cm="1">
        <f t="array" ref="V84">IF(AND(V$2&lt;&gt;0,TblTech[[#This Row],[Hour]:[Hour]]&gt;=V$2),1,0)</f>
        <v>0</v>
      </c>
      <c r="W84" s="298" cm="1">
        <f t="array" ref="W84">IF(AND(W$2&lt;&gt;0,TblTech[[#This Row],[Hour]:[Hour]]&gt;=W$2),1,0)</f>
        <v>0</v>
      </c>
      <c r="X84" s="298" cm="1">
        <f t="array" ref="X84">IF(AND(X$2&lt;&gt;0,TblTech[[#This Row],[Hour]:[Hour]]&gt;=X$2),1,0)</f>
        <v>0</v>
      </c>
      <c r="Y84" s="298" cm="1">
        <f t="array" ref="Y84">IF(AND(Y$2&lt;&gt;0,TblTech[[#This Row],[Hour]:[Hour]]&gt;=Y$2),1,0)</f>
        <v>0</v>
      </c>
      <c r="Z84" s="298" cm="1">
        <f t="array" ref="Z84">IF(AND(Z$2&lt;&gt;0,TblTech[[#This Row],[Hour]:[Hour]]&gt;=Z$2),1,0)</f>
        <v>0</v>
      </c>
      <c r="AA84" s="298" cm="1">
        <f t="array" ref="AA84">IF(AND(AA$2&lt;&gt;0,TblTech[[#This Row],[Hour]:[Hour]]&gt;=AA$2),1,0)</f>
        <v>0</v>
      </c>
      <c r="AB84" s="298" cm="1">
        <f t="array" ref="AB84">IF(AND(AB$2&lt;&gt;0,TblTech[[#This Row],[Hour]:[Hour]]&gt;=AB$2),1,0)</f>
        <v>0</v>
      </c>
      <c r="AC84" s="298" cm="1">
        <f t="array" ref="AC84">IF(AND(AC$2&lt;&gt;0,TblTech[[#This Row],[Hour]:[Hour]]&gt;=AC$2),1,0)</f>
        <v>0</v>
      </c>
      <c r="AD84" s="298" cm="1">
        <f t="array" ref="AD84">IF(AND(AD$2&lt;&gt;0,TblTech[[#This Row],[Hour]:[Hour]]&gt;=AD$2),1,0)</f>
        <v>0</v>
      </c>
      <c r="AE84" s="298" cm="1">
        <f t="array" ref="AE84">IF(AND(AE$2&lt;&gt;0,TblTech[[#This Row],[Hour]:[Hour]]&gt;=AE$2),1,0)</f>
        <v>0</v>
      </c>
      <c r="AF84" s="298" cm="1">
        <f t="array" ref="AF84">IF(AND(AF$2&lt;&gt;0,TblTech[[#This Row],[Hour]:[Hour]]&gt;=AF$2),1,0)</f>
        <v>0</v>
      </c>
      <c r="AG84" s="298" cm="1">
        <f t="array" ref="AG84">IF(AND(AG$2&lt;&gt;0,TblTech[[#This Row],[Hour]:[Hour]]&gt;=AG$2),1,0)</f>
        <v>0</v>
      </c>
      <c r="AH84" s="298" cm="1">
        <f t="array" ref="AH84">IF(AND(AH$2&lt;&gt;0,TblTech[[#This Row],[Hour]:[Hour]]&gt;=AH$2),1,0)</f>
        <v>0</v>
      </c>
      <c r="AI84" s="298" cm="1">
        <f t="array" ref="AI84">IF(AND(AI$2&lt;&gt;0,TblTech[[#This Row],[Hour]:[Hour]]&gt;=AI$2),1,0)</f>
        <v>0</v>
      </c>
      <c r="AJ84" s="298" cm="1">
        <f t="array" ref="AJ84">IF(AND(AJ$2&lt;&gt;0,TblTech[[#This Row],[Hour]:[Hour]]&gt;=AJ$2),1,0)</f>
        <v>0</v>
      </c>
      <c r="AK84" s="298" cm="1">
        <f t="array" ref="AK84">IF(AND(AK$2&lt;&gt;0,TblTech[[#This Row],[Hour]:[Hour]]&gt;=AK$2),1,0)</f>
        <v>0</v>
      </c>
      <c r="AL84" s="298" cm="1">
        <f t="array" ref="AL84">IF(AND(AL$2&lt;&gt;0,TblTech[[#This Row],[Hour]:[Hour]]&gt;=AL$2),1,0)</f>
        <v>0</v>
      </c>
      <c r="AM84" s="298" cm="1">
        <f t="array" ref="AM84">IF(AND(AM$2&lt;&gt;0,TblTech[[#This Row],[Hour]:[Hour]]&gt;=AM$2),1,0)</f>
        <v>0</v>
      </c>
      <c r="AN84" s="298" cm="1">
        <f t="array" ref="AN84">IF(AND(AN$2&lt;&gt;0,TblTech[[#This Row],[Hour]:[Hour]]&gt;=AN$2),1,0)</f>
        <v>0</v>
      </c>
      <c r="AO84" s="298" cm="1">
        <f t="array" ref="AO84">IF(AND(AO$2&lt;&gt;0,TblTech[[#This Row],[Hour]:[Hour]]&gt;=AO$2),1,0)</f>
        <v>0</v>
      </c>
      <c r="AP84" s="298" cm="1">
        <f t="array" ref="AP84">IF(AND(AP$2&lt;&gt;0,TblTech[[#This Row],[Hour]:[Hour]]&gt;=AP$2),1,0)</f>
        <v>0</v>
      </c>
      <c r="AQ84" s="298" cm="1">
        <f t="array" ref="AQ84">IF(AND(AQ$2&lt;&gt;0,TblTech[[#This Row],[Hour]:[Hour]]&gt;=AQ$2),1,0)</f>
        <v>0</v>
      </c>
      <c r="AR84" s="298" cm="1">
        <f t="array" ref="AR84">IF(AND(AR$2&lt;&gt;0,TblTech[[#This Row],[Hour]:[Hour]]&gt;=AR$2),1,0)</f>
        <v>0</v>
      </c>
      <c r="AS84" s="298" cm="1">
        <f t="array" ref="AS84">IF(AND(AS$2&lt;&gt;0,TblTech[[#This Row],[Hour]:[Hour]]&gt;=AS$2),1,0)</f>
        <v>0</v>
      </c>
      <c r="AT84" s="298" cm="1">
        <f t="array" ref="AT84">IF(AND(AT$2&lt;&gt;0,TblTech[[#This Row],[Hour]:[Hour]]&gt;=AT$2),1,0)</f>
        <v>0</v>
      </c>
      <c r="AU84" s="298" cm="1">
        <f t="array" ref="AU84">IF(AND(AU$2&lt;&gt;0,TblTech[[#This Row],[Hour]:[Hour]]&gt;=AU$2),1,0)</f>
        <v>0</v>
      </c>
      <c r="AV84" s="298" cm="1">
        <f t="array" ref="AV84">IF(AND(AV$2&lt;&gt;0,TblTech[[#This Row],[Hour]:[Hour]]&gt;=AV$2),1,0)</f>
        <v>0</v>
      </c>
      <c r="AW84" s="298" cm="1">
        <f t="array" ref="AW84">IF(AND(AW$2&lt;&gt;0,TblTech[[#This Row],[Hour]:[Hour]]&gt;=AW$2),1,0)</f>
        <v>0</v>
      </c>
      <c r="AX84" s="298" cm="1">
        <f t="array" ref="AX84">IF(AND(AX$2&lt;&gt;0,TblTech[[#This Row],[Hour]:[Hour]]&gt;=AX$2),1,0)</f>
        <v>0</v>
      </c>
      <c r="AY84" s="298" cm="1">
        <f t="array" ref="AY84">IF(AND(AY$2&lt;&gt;0,TblTech[[#This Row],[Hour]:[Hour]]&gt;=AY$2),1,0)</f>
        <v>0</v>
      </c>
      <c r="AZ84" s="298" cm="1">
        <f t="array" ref="AZ84">IF(AND(AZ$2&lt;&gt;0,TblTech[[#This Row],[Hour]:[Hour]]&gt;=AZ$2),1,0)</f>
        <v>0</v>
      </c>
      <c r="BA84" s="298" cm="1">
        <f t="array" ref="BA84">IF(AND(BA$2&lt;&gt;0,TblTech[[#This Row],[Hour]:[Hour]]&gt;=BA$2),1,0)</f>
        <v>0</v>
      </c>
      <c r="BB84" s="298" cm="1">
        <f t="array" ref="BB84">IF(AND(BB$2&lt;&gt;0,TblTech[[#This Row],[Hour]:[Hour]]&gt;=BB$2),1,0)</f>
        <v>0</v>
      </c>
      <c r="BC84" s="298" cm="1">
        <f t="array" ref="BC84">IF(AND(BC$2&lt;&gt;0,TblTech[[#This Row],[Hour]:[Hour]]&gt;=BC$2),1,0)</f>
        <v>0</v>
      </c>
      <c r="BD84" s="298" cm="1">
        <f t="array" ref="BD84">IF(AND(BD$2&lt;&gt;0,TblTech[[#This Row],[Hour]:[Hour]]&gt;=BD$2),1,0)</f>
        <v>0</v>
      </c>
      <c r="BE84" s="298" cm="1">
        <f t="array" ref="BE84">IF(AND(BE$2&lt;&gt;0,TblTech[[#This Row],[Hour]:[Hour]]&gt;=BE$2),1,0)</f>
        <v>0</v>
      </c>
      <c r="BF84" s="298" cm="1">
        <f t="array" ref="BF84">IF(AND(BF$2&lt;&gt;0,TblTech[[#This Row],[Hour]:[Hour]]&gt;=BF$2),1,0)</f>
        <v>0</v>
      </c>
      <c r="BG84" s="298" cm="1">
        <f t="array" ref="BG84">IF(AND(BG$2&lt;&gt;0,TblTech[[#This Row],[Hour]:[Hour]]&gt;=BG$2),1,0)</f>
        <v>0</v>
      </c>
      <c r="BH84" s="298" cm="1">
        <f t="array" ref="BH84">IF(AND(BH$2&lt;&gt;0,TblTech[[#This Row],[Hour]:[Hour]]&gt;=BH$2),1,0)</f>
        <v>0</v>
      </c>
      <c r="BI84" s="298" cm="1">
        <f t="array" ref="BI84">IF(AND(BI$2&lt;&gt;0,TblTech[[#This Row],[Hour]:[Hour]]&gt;=BI$2),1,0)</f>
        <v>0</v>
      </c>
      <c r="BJ84" s="298" cm="1">
        <f t="array" ref="BJ84">IF(AND(BJ$2&lt;&gt;0,TblTech[[#This Row],[Hour]:[Hour]]&gt;=BJ$2),1,0)</f>
        <v>0</v>
      </c>
      <c r="BK84" s="298" cm="1">
        <f t="array" ref="BK84">IF(AND(BK$2&lt;&gt;0,TblTech[[#This Row],[Hour]:[Hour]]&gt;=BK$2),1,0)</f>
        <v>0</v>
      </c>
      <c r="BL84" s="298" cm="1">
        <f t="array" ref="BL84">IF(AND(BL$2&lt;&gt;0,TblTech[[#This Row],[Hour]:[Hour]]&gt;=BL$2),1,0)</f>
        <v>0</v>
      </c>
      <c r="BM84" s="298" cm="1">
        <f t="array" ref="BM84">IF(AND(BM$2&lt;&gt;0,TblTech[[#This Row],[Hour]:[Hour]]&gt;=BM$2),1,0)</f>
        <v>0</v>
      </c>
      <c r="BN84" s="298" cm="1">
        <f t="array" ref="BN84">IF(AND(BN$2&lt;&gt;0,TblTech[[#This Row],[Hour]:[Hour]]&gt;=BN$2),1,0)</f>
        <v>0</v>
      </c>
      <c r="BO84" s="298" cm="1">
        <f t="array" ref="BO84">IF(AND(BO$2&lt;&gt;0,TblTech[[#This Row],[Hour]:[Hour]]&gt;=BO$2),1,0)</f>
        <v>0</v>
      </c>
      <c r="BP84" s="298" cm="1">
        <f t="array" ref="BP84">IF(AND(BP$2&lt;&gt;0,TblTech[[#This Row],[Hour]:[Hour]]&gt;=BP$2),1,0)</f>
        <v>0</v>
      </c>
      <c r="BQ84" s="298" cm="1">
        <f t="array" ref="BQ84">IF(AND(BQ$2&lt;&gt;0,TblTech[[#This Row],[Hour]:[Hour]]&gt;=BQ$2),1,0)</f>
        <v>0</v>
      </c>
      <c r="BR84" s="298" cm="1">
        <f t="array" ref="BR84">IF(AND(BR$2&lt;&gt;0,TblTech[[#This Row],[Hour]:[Hour]]&gt;=BR$2),1,0)</f>
        <v>0</v>
      </c>
      <c r="BS84" s="298" cm="1">
        <f t="array" ref="BS84">IF(AND(BS$2&lt;&gt;0,TblTech[[#This Row],[Hour]:[Hour]]&gt;=BS$2),1,0)</f>
        <v>0</v>
      </c>
      <c r="BT84" s="298" cm="1">
        <f t="array" ref="BT84">IF(AND(BT$2&lt;&gt;0,TblTech[[#This Row],[Hour]:[Hour]]&gt;=BT$2),1,0)</f>
        <v>0</v>
      </c>
      <c r="BU84" s="298" cm="1">
        <f t="array" ref="BU84">IF(AND(BU$2&lt;&gt;0,TblTech[[#This Row],[Hour]:[Hour]]&gt;=BU$2),1,0)</f>
        <v>0</v>
      </c>
      <c r="BV84" s="298" cm="1">
        <f t="array" ref="BV84">IF(AND(BV$2&lt;&gt;0,TblTech[[#This Row],[Hour]:[Hour]]&gt;=BV$2),1,0)</f>
        <v>0</v>
      </c>
      <c r="BW84" s="298" cm="1">
        <f t="array" ref="BW84">IF(AND(BW$2&lt;&gt;0,TblTech[[#This Row],[Hour]:[Hour]]&gt;=BW$2),1,0)</f>
        <v>0</v>
      </c>
      <c r="BX84" s="298" cm="1">
        <f t="array" ref="BX84">IF(AND(BX$2&lt;&gt;0,TblTech[[#This Row],[Hour]:[Hour]]&gt;=BX$2),1,0)</f>
        <v>0</v>
      </c>
      <c r="BY84" s="298" cm="1">
        <f t="array" ref="BY84">IF(AND(BY$2&lt;&gt;0,TblTech[[#This Row],[Hour]:[Hour]]&gt;=BY$2),1,0)</f>
        <v>0</v>
      </c>
      <c r="BZ84" s="298" cm="1">
        <f t="array" ref="BZ84">IF(AND(BZ$2&lt;&gt;0,TblTech[[#This Row],[Hour]:[Hour]]&gt;=BZ$2),1,0)</f>
        <v>0</v>
      </c>
      <c r="CA84" s="402">
        <f>IFERROR(INDEX($H$4:$H$79,MATCH(INDEX(TblTech[[#Headers],[1-1]:[11-1]],1,MATCH(TblTech[[#This Row],[Hour]],$M$2:$BZ$2,0)),$G$4:$G$79,0)),)</f>
        <v>0</v>
      </c>
    </row>
    <row r="85" spans="1:79" x14ac:dyDescent="0.2">
      <c r="A85" s="290">
        <f>TblRezone[[#This Row],[Hour]]</f>
        <v>82</v>
      </c>
      <c r="B85" s="291">
        <f ca="1">TblExplore[[#This Row],[Land-DB]]</f>
        <v>250</v>
      </c>
      <c r="C85" s="292">
        <f ca="1">TblProd[[#This Row],[Techpoints]]</f>
        <v>0</v>
      </c>
      <c r="D85" s="292">
        <f ca="1">TblProd[[#This Row],[Required]]</f>
        <v>3750</v>
      </c>
      <c r="E85" s="301"/>
      <c r="F85" s="302"/>
      <c r="G85" s="295"/>
      <c r="H85" s="296"/>
      <c r="I85" s="296"/>
      <c r="J85" s="296"/>
      <c r="K85" s="95">
        <f ca="1">IF(TblTech[[#This Row],[Sum of tech]]&lt;&gt;OFFSET(TblTech[[#This Row],[Sum of tech]],-1,0),1,0)</f>
        <v>0</v>
      </c>
      <c r="L85" s="297">
        <f>COUNTIF(TblTech[[#This Row],[1-1]:[11-1]],1)</f>
        <v>0</v>
      </c>
      <c r="M85" s="298" cm="1">
        <f t="array" ref="M85">IF(AND(M$2&lt;&gt;0,TblTech[[#This Row],[Hour]:[Hour]]&gt;=M$2),1,0)</f>
        <v>0</v>
      </c>
      <c r="N85" s="298" cm="1">
        <f t="array" ref="N85">IF(AND(N$2&lt;&gt;0,TblTech[[#This Row],[Hour]:[Hour]]&gt;=N$2),1,0)</f>
        <v>0</v>
      </c>
      <c r="O85" s="298" cm="1">
        <f t="array" ref="O85">IF(AND(O$2&lt;&gt;0,TblTech[[#This Row],[Hour]:[Hour]]&gt;=O$2),1,0)</f>
        <v>0</v>
      </c>
      <c r="P85" s="298" cm="1">
        <f t="array" ref="P85">IF(AND(P$2&lt;&gt;0,TblTech[[#This Row],[Hour]:[Hour]]&gt;=P$2),1,0)</f>
        <v>0</v>
      </c>
      <c r="Q85" s="298" cm="1">
        <f t="array" ref="Q85">IF(AND(Q$2&lt;&gt;0,TblTech[[#This Row],[Hour]:[Hour]]&gt;=Q$2),1,0)</f>
        <v>0</v>
      </c>
      <c r="R85" s="298" cm="1">
        <f t="array" ref="R85">IF(AND(R$2&lt;&gt;0,TblTech[[#This Row],[Hour]:[Hour]]&gt;=R$2),1,0)</f>
        <v>0</v>
      </c>
      <c r="S85" s="298" cm="1">
        <f t="array" ref="S85">IF(AND(S$2&lt;&gt;0,TblTech[[#This Row],[Hour]:[Hour]]&gt;=S$2),1,0)</f>
        <v>0</v>
      </c>
      <c r="T85" s="298" cm="1">
        <f t="array" ref="T85">IF(AND(T$2&lt;&gt;0,TblTech[[#This Row],[Hour]:[Hour]]&gt;=T$2),1,0)</f>
        <v>0</v>
      </c>
      <c r="U85" s="298" cm="1">
        <f t="array" ref="U85">IF(AND(U$2&lt;&gt;0,TblTech[[#This Row],[Hour]:[Hour]]&gt;=U$2),1,0)</f>
        <v>0</v>
      </c>
      <c r="V85" s="298" cm="1">
        <f t="array" ref="V85">IF(AND(V$2&lt;&gt;0,TblTech[[#This Row],[Hour]:[Hour]]&gt;=V$2),1,0)</f>
        <v>0</v>
      </c>
      <c r="W85" s="298" cm="1">
        <f t="array" ref="W85">IF(AND(W$2&lt;&gt;0,TblTech[[#This Row],[Hour]:[Hour]]&gt;=W$2),1,0)</f>
        <v>0</v>
      </c>
      <c r="X85" s="298" cm="1">
        <f t="array" ref="X85">IF(AND(X$2&lt;&gt;0,TblTech[[#This Row],[Hour]:[Hour]]&gt;=X$2),1,0)</f>
        <v>0</v>
      </c>
      <c r="Y85" s="298" cm="1">
        <f t="array" ref="Y85">IF(AND(Y$2&lt;&gt;0,TblTech[[#This Row],[Hour]:[Hour]]&gt;=Y$2),1,0)</f>
        <v>0</v>
      </c>
      <c r="Z85" s="298" cm="1">
        <f t="array" ref="Z85">IF(AND(Z$2&lt;&gt;0,TblTech[[#This Row],[Hour]:[Hour]]&gt;=Z$2),1,0)</f>
        <v>0</v>
      </c>
      <c r="AA85" s="298" cm="1">
        <f t="array" ref="AA85">IF(AND(AA$2&lt;&gt;0,TblTech[[#This Row],[Hour]:[Hour]]&gt;=AA$2),1,0)</f>
        <v>0</v>
      </c>
      <c r="AB85" s="298" cm="1">
        <f t="array" ref="AB85">IF(AND(AB$2&lt;&gt;0,TblTech[[#This Row],[Hour]:[Hour]]&gt;=AB$2),1,0)</f>
        <v>0</v>
      </c>
      <c r="AC85" s="298" cm="1">
        <f t="array" ref="AC85">IF(AND(AC$2&lt;&gt;0,TblTech[[#This Row],[Hour]:[Hour]]&gt;=AC$2),1,0)</f>
        <v>0</v>
      </c>
      <c r="AD85" s="298" cm="1">
        <f t="array" ref="AD85">IF(AND(AD$2&lt;&gt;0,TblTech[[#This Row],[Hour]:[Hour]]&gt;=AD$2),1,0)</f>
        <v>0</v>
      </c>
      <c r="AE85" s="298" cm="1">
        <f t="array" ref="AE85">IF(AND(AE$2&lt;&gt;0,TblTech[[#This Row],[Hour]:[Hour]]&gt;=AE$2),1,0)</f>
        <v>0</v>
      </c>
      <c r="AF85" s="298" cm="1">
        <f t="array" ref="AF85">IF(AND(AF$2&lt;&gt;0,TblTech[[#This Row],[Hour]:[Hour]]&gt;=AF$2),1,0)</f>
        <v>0</v>
      </c>
      <c r="AG85" s="298" cm="1">
        <f t="array" ref="AG85">IF(AND(AG$2&lt;&gt;0,TblTech[[#This Row],[Hour]:[Hour]]&gt;=AG$2),1,0)</f>
        <v>0</v>
      </c>
      <c r="AH85" s="298" cm="1">
        <f t="array" ref="AH85">IF(AND(AH$2&lt;&gt;0,TblTech[[#This Row],[Hour]:[Hour]]&gt;=AH$2),1,0)</f>
        <v>0</v>
      </c>
      <c r="AI85" s="298" cm="1">
        <f t="array" ref="AI85">IF(AND(AI$2&lt;&gt;0,TblTech[[#This Row],[Hour]:[Hour]]&gt;=AI$2),1,0)</f>
        <v>0</v>
      </c>
      <c r="AJ85" s="298" cm="1">
        <f t="array" ref="AJ85">IF(AND(AJ$2&lt;&gt;0,TblTech[[#This Row],[Hour]:[Hour]]&gt;=AJ$2),1,0)</f>
        <v>0</v>
      </c>
      <c r="AK85" s="298" cm="1">
        <f t="array" ref="AK85">IF(AND(AK$2&lt;&gt;0,TblTech[[#This Row],[Hour]:[Hour]]&gt;=AK$2),1,0)</f>
        <v>0</v>
      </c>
      <c r="AL85" s="298" cm="1">
        <f t="array" ref="AL85">IF(AND(AL$2&lt;&gt;0,TblTech[[#This Row],[Hour]:[Hour]]&gt;=AL$2),1,0)</f>
        <v>0</v>
      </c>
      <c r="AM85" s="298" cm="1">
        <f t="array" ref="AM85">IF(AND(AM$2&lt;&gt;0,TblTech[[#This Row],[Hour]:[Hour]]&gt;=AM$2),1,0)</f>
        <v>0</v>
      </c>
      <c r="AN85" s="298" cm="1">
        <f t="array" ref="AN85">IF(AND(AN$2&lt;&gt;0,TblTech[[#This Row],[Hour]:[Hour]]&gt;=AN$2),1,0)</f>
        <v>0</v>
      </c>
      <c r="AO85" s="298" cm="1">
        <f t="array" ref="AO85">IF(AND(AO$2&lt;&gt;0,TblTech[[#This Row],[Hour]:[Hour]]&gt;=AO$2),1,0)</f>
        <v>0</v>
      </c>
      <c r="AP85" s="298" cm="1">
        <f t="array" ref="AP85">IF(AND(AP$2&lt;&gt;0,TblTech[[#This Row],[Hour]:[Hour]]&gt;=AP$2),1,0)</f>
        <v>0</v>
      </c>
      <c r="AQ85" s="298" cm="1">
        <f t="array" ref="AQ85">IF(AND(AQ$2&lt;&gt;0,TblTech[[#This Row],[Hour]:[Hour]]&gt;=AQ$2),1,0)</f>
        <v>0</v>
      </c>
      <c r="AR85" s="298" cm="1">
        <f t="array" ref="AR85">IF(AND(AR$2&lt;&gt;0,TblTech[[#This Row],[Hour]:[Hour]]&gt;=AR$2),1,0)</f>
        <v>0</v>
      </c>
      <c r="AS85" s="298" cm="1">
        <f t="array" ref="AS85">IF(AND(AS$2&lt;&gt;0,TblTech[[#This Row],[Hour]:[Hour]]&gt;=AS$2),1,0)</f>
        <v>0</v>
      </c>
      <c r="AT85" s="298" cm="1">
        <f t="array" ref="AT85">IF(AND(AT$2&lt;&gt;0,TblTech[[#This Row],[Hour]:[Hour]]&gt;=AT$2),1,0)</f>
        <v>0</v>
      </c>
      <c r="AU85" s="298" cm="1">
        <f t="array" ref="AU85">IF(AND(AU$2&lt;&gt;0,TblTech[[#This Row],[Hour]:[Hour]]&gt;=AU$2),1,0)</f>
        <v>0</v>
      </c>
      <c r="AV85" s="298" cm="1">
        <f t="array" ref="AV85">IF(AND(AV$2&lt;&gt;0,TblTech[[#This Row],[Hour]:[Hour]]&gt;=AV$2),1,0)</f>
        <v>0</v>
      </c>
      <c r="AW85" s="298" cm="1">
        <f t="array" ref="AW85">IF(AND(AW$2&lt;&gt;0,TblTech[[#This Row],[Hour]:[Hour]]&gt;=AW$2),1,0)</f>
        <v>0</v>
      </c>
      <c r="AX85" s="298" cm="1">
        <f t="array" ref="AX85">IF(AND(AX$2&lt;&gt;0,TblTech[[#This Row],[Hour]:[Hour]]&gt;=AX$2),1,0)</f>
        <v>0</v>
      </c>
      <c r="AY85" s="298" cm="1">
        <f t="array" ref="AY85">IF(AND(AY$2&lt;&gt;0,TblTech[[#This Row],[Hour]:[Hour]]&gt;=AY$2),1,0)</f>
        <v>0</v>
      </c>
      <c r="AZ85" s="298" cm="1">
        <f t="array" ref="AZ85">IF(AND(AZ$2&lt;&gt;0,TblTech[[#This Row],[Hour]:[Hour]]&gt;=AZ$2),1,0)</f>
        <v>0</v>
      </c>
      <c r="BA85" s="298" cm="1">
        <f t="array" ref="BA85">IF(AND(BA$2&lt;&gt;0,TblTech[[#This Row],[Hour]:[Hour]]&gt;=BA$2),1,0)</f>
        <v>0</v>
      </c>
      <c r="BB85" s="298" cm="1">
        <f t="array" ref="BB85">IF(AND(BB$2&lt;&gt;0,TblTech[[#This Row],[Hour]:[Hour]]&gt;=BB$2),1,0)</f>
        <v>0</v>
      </c>
      <c r="BC85" s="298" cm="1">
        <f t="array" ref="BC85">IF(AND(BC$2&lt;&gt;0,TblTech[[#This Row],[Hour]:[Hour]]&gt;=BC$2),1,0)</f>
        <v>0</v>
      </c>
      <c r="BD85" s="298" cm="1">
        <f t="array" ref="BD85">IF(AND(BD$2&lt;&gt;0,TblTech[[#This Row],[Hour]:[Hour]]&gt;=BD$2),1,0)</f>
        <v>0</v>
      </c>
      <c r="BE85" s="298" cm="1">
        <f t="array" ref="BE85">IF(AND(BE$2&lt;&gt;0,TblTech[[#This Row],[Hour]:[Hour]]&gt;=BE$2),1,0)</f>
        <v>0</v>
      </c>
      <c r="BF85" s="298" cm="1">
        <f t="array" ref="BF85">IF(AND(BF$2&lt;&gt;0,TblTech[[#This Row],[Hour]:[Hour]]&gt;=BF$2),1,0)</f>
        <v>0</v>
      </c>
      <c r="BG85" s="298" cm="1">
        <f t="array" ref="BG85">IF(AND(BG$2&lt;&gt;0,TblTech[[#This Row],[Hour]:[Hour]]&gt;=BG$2),1,0)</f>
        <v>0</v>
      </c>
      <c r="BH85" s="298" cm="1">
        <f t="array" ref="BH85">IF(AND(BH$2&lt;&gt;0,TblTech[[#This Row],[Hour]:[Hour]]&gt;=BH$2),1,0)</f>
        <v>0</v>
      </c>
      <c r="BI85" s="298" cm="1">
        <f t="array" ref="BI85">IF(AND(BI$2&lt;&gt;0,TblTech[[#This Row],[Hour]:[Hour]]&gt;=BI$2),1,0)</f>
        <v>0</v>
      </c>
      <c r="BJ85" s="298" cm="1">
        <f t="array" ref="BJ85">IF(AND(BJ$2&lt;&gt;0,TblTech[[#This Row],[Hour]:[Hour]]&gt;=BJ$2),1,0)</f>
        <v>0</v>
      </c>
      <c r="BK85" s="298" cm="1">
        <f t="array" ref="BK85">IF(AND(BK$2&lt;&gt;0,TblTech[[#This Row],[Hour]:[Hour]]&gt;=BK$2),1,0)</f>
        <v>0</v>
      </c>
      <c r="BL85" s="298" cm="1">
        <f t="array" ref="BL85">IF(AND(BL$2&lt;&gt;0,TblTech[[#This Row],[Hour]:[Hour]]&gt;=BL$2),1,0)</f>
        <v>0</v>
      </c>
      <c r="BM85" s="298" cm="1">
        <f t="array" ref="BM85">IF(AND(BM$2&lt;&gt;0,TblTech[[#This Row],[Hour]:[Hour]]&gt;=BM$2),1,0)</f>
        <v>0</v>
      </c>
      <c r="BN85" s="298" cm="1">
        <f t="array" ref="BN85">IF(AND(BN$2&lt;&gt;0,TblTech[[#This Row],[Hour]:[Hour]]&gt;=BN$2),1,0)</f>
        <v>0</v>
      </c>
      <c r="BO85" s="298" cm="1">
        <f t="array" ref="BO85">IF(AND(BO$2&lt;&gt;0,TblTech[[#This Row],[Hour]:[Hour]]&gt;=BO$2),1,0)</f>
        <v>0</v>
      </c>
      <c r="BP85" s="298" cm="1">
        <f t="array" ref="BP85">IF(AND(BP$2&lt;&gt;0,TblTech[[#This Row],[Hour]:[Hour]]&gt;=BP$2),1,0)</f>
        <v>0</v>
      </c>
      <c r="BQ85" s="298" cm="1">
        <f t="array" ref="BQ85">IF(AND(BQ$2&lt;&gt;0,TblTech[[#This Row],[Hour]:[Hour]]&gt;=BQ$2),1,0)</f>
        <v>0</v>
      </c>
      <c r="BR85" s="298" cm="1">
        <f t="array" ref="BR85">IF(AND(BR$2&lt;&gt;0,TblTech[[#This Row],[Hour]:[Hour]]&gt;=BR$2),1,0)</f>
        <v>0</v>
      </c>
      <c r="BS85" s="298" cm="1">
        <f t="array" ref="BS85">IF(AND(BS$2&lt;&gt;0,TblTech[[#This Row],[Hour]:[Hour]]&gt;=BS$2),1,0)</f>
        <v>0</v>
      </c>
      <c r="BT85" s="298" cm="1">
        <f t="array" ref="BT85">IF(AND(BT$2&lt;&gt;0,TblTech[[#This Row],[Hour]:[Hour]]&gt;=BT$2),1,0)</f>
        <v>0</v>
      </c>
      <c r="BU85" s="298" cm="1">
        <f t="array" ref="BU85">IF(AND(BU$2&lt;&gt;0,TblTech[[#This Row],[Hour]:[Hour]]&gt;=BU$2),1,0)</f>
        <v>0</v>
      </c>
      <c r="BV85" s="298" cm="1">
        <f t="array" ref="BV85">IF(AND(BV$2&lt;&gt;0,TblTech[[#This Row],[Hour]:[Hour]]&gt;=BV$2),1,0)</f>
        <v>0</v>
      </c>
      <c r="BW85" s="298" cm="1">
        <f t="array" ref="BW85">IF(AND(BW$2&lt;&gt;0,TblTech[[#This Row],[Hour]:[Hour]]&gt;=BW$2),1,0)</f>
        <v>0</v>
      </c>
      <c r="BX85" s="298" cm="1">
        <f t="array" ref="BX85">IF(AND(BX$2&lt;&gt;0,TblTech[[#This Row],[Hour]:[Hour]]&gt;=BX$2),1,0)</f>
        <v>0</v>
      </c>
      <c r="BY85" s="298" cm="1">
        <f t="array" ref="BY85">IF(AND(BY$2&lt;&gt;0,TblTech[[#This Row],[Hour]:[Hour]]&gt;=BY$2),1,0)</f>
        <v>0</v>
      </c>
      <c r="BZ85" s="298" cm="1">
        <f t="array" ref="BZ85">IF(AND(BZ$2&lt;&gt;0,TblTech[[#This Row],[Hour]:[Hour]]&gt;=BZ$2),1,0)</f>
        <v>0</v>
      </c>
      <c r="CA85" s="402">
        <f>IFERROR(INDEX($H$4:$H$79,MATCH(INDEX(TblTech[[#Headers],[1-1]:[11-1]],1,MATCH(TblTech[[#This Row],[Hour]],$M$2:$BZ$2,0)),$G$4:$G$79,0)),)</f>
        <v>0</v>
      </c>
    </row>
    <row r="86" spans="1:79" x14ac:dyDescent="0.2">
      <c r="A86" s="290">
        <f>TblRezone[[#This Row],[Hour]]</f>
        <v>83</v>
      </c>
      <c r="B86" s="291">
        <f ca="1">TblExplore[[#This Row],[Land-DB]]</f>
        <v>250</v>
      </c>
      <c r="C86" s="292">
        <f ca="1">TblProd[[#This Row],[Techpoints]]</f>
        <v>0</v>
      </c>
      <c r="D86" s="292">
        <f ca="1">TblProd[[#This Row],[Required]]</f>
        <v>3750</v>
      </c>
      <c r="E86" s="301"/>
      <c r="F86" s="302"/>
      <c r="G86" s="295"/>
      <c r="H86" s="296"/>
      <c r="I86" s="296"/>
      <c r="J86" s="296"/>
      <c r="K86" s="95">
        <f ca="1">IF(TblTech[[#This Row],[Sum of tech]]&lt;&gt;OFFSET(TblTech[[#This Row],[Sum of tech]],-1,0),1,0)</f>
        <v>0</v>
      </c>
      <c r="L86" s="297">
        <f>COUNTIF(TblTech[[#This Row],[1-1]:[11-1]],1)</f>
        <v>0</v>
      </c>
      <c r="M86" s="298" cm="1">
        <f t="array" ref="M86">IF(AND(M$2&lt;&gt;0,TblTech[[#This Row],[Hour]:[Hour]]&gt;=M$2),1,0)</f>
        <v>0</v>
      </c>
      <c r="N86" s="298" cm="1">
        <f t="array" ref="N86">IF(AND(N$2&lt;&gt;0,TblTech[[#This Row],[Hour]:[Hour]]&gt;=N$2),1,0)</f>
        <v>0</v>
      </c>
      <c r="O86" s="298" cm="1">
        <f t="array" ref="O86">IF(AND(O$2&lt;&gt;0,TblTech[[#This Row],[Hour]:[Hour]]&gt;=O$2),1,0)</f>
        <v>0</v>
      </c>
      <c r="P86" s="298" cm="1">
        <f t="array" ref="P86">IF(AND(P$2&lt;&gt;0,TblTech[[#This Row],[Hour]:[Hour]]&gt;=P$2),1,0)</f>
        <v>0</v>
      </c>
      <c r="Q86" s="298" cm="1">
        <f t="array" ref="Q86">IF(AND(Q$2&lt;&gt;0,TblTech[[#This Row],[Hour]:[Hour]]&gt;=Q$2),1,0)</f>
        <v>0</v>
      </c>
      <c r="R86" s="298" cm="1">
        <f t="array" ref="R86">IF(AND(R$2&lt;&gt;0,TblTech[[#This Row],[Hour]:[Hour]]&gt;=R$2),1,0)</f>
        <v>0</v>
      </c>
      <c r="S86" s="298" cm="1">
        <f t="array" ref="S86">IF(AND(S$2&lt;&gt;0,TblTech[[#This Row],[Hour]:[Hour]]&gt;=S$2),1,0)</f>
        <v>0</v>
      </c>
      <c r="T86" s="298" cm="1">
        <f t="array" ref="T86">IF(AND(T$2&lt;&gt;0,TblTech[[#This Row],[Hour]:[Hour]]&gt;=T$2),1,0)</f>
        <v>0</v>
      </c>
      <c r="U86" s="298" cm="1">
        <f t="array" ref="U86">IF(AND(U$2&lt;&gt;0,TblTech[[#This Row],[Hour]:[Hour]]&gt;=U$2),1,0)</f>
        <v>0</v>
      </c>
      <c r="V86" s="298" cm="1">
        <f t="array" ref="V86">IF(AND(V$2&lt;&gt;0,TblTech[[#This Row],[Hour]:[Hour]]&gt;=V$2),1,0)</f>
        <v>0</v>
      </c>
      <c r="W86" s="298" cm="1">
        <f t="array" ref="W86">IF(AND(W$2&lt;&gt;0,TblTech[[#This Row],[Hour]:[Hour]]&gt;=W$2),1,0)</f>
        <v>0</v>
      </c>
      <c r="X86" s="298" cm="1">
        <f t="array" ref="X86">IF(AND(X$2&lt;&gt;0,TblTech[[#This Row],[Hour]:[Hour]]&gt;=X$2),1,0)</f>
        <v>0</v>
      </c>
      <c r="Y86" s="298" cm="1">
        <f t="array" ref="Y86">IF(AND(Y$2&lt;&gt;0,TblTech[[#This Row],[Hour]:[Hour]]&gt;=Y$2),1,0)</f>
        <v>0</v>
      </c>
      <c r="Z86" s="298" cm="1">
        <f t="array" ref="Z86">IF(AND(Z$2&lt;&gt;0,TblTech[[#This Row],[Hour]:[Hour]]&gt;=Z$2),1,0)</f>
        <v>0</v>
      </c>
      <c r="AA86" s="298" cm="1">
        <f t="array" ref="AA86">IF(AND(AA$2&lt;&gt;0,TblTech[[#This Row],[Hour]:[Hour]]&gt;=AA$2),1,0)</f>
        <v>0</v>
      </c>
      <c r="AB86" s="298" cm="1">
        <f t="array" ref="AB86">IF(AND(AB$2&lt;&gt;0,TblTech[[#This Row],[Hour]:[Hour]]&gt;=AB$2),1,0)</f>
        <v>0</v>
      </c>
      <c r="AC86" s="298" cm="1">
        <f t="array" ref="AC86">IF(AND(AC$2&lt;&gt;0,TblTech[[#This Row],[Hour]:[Hour]]&gt;=AC$2),1,0)</f>
        <v>0</v>
      </c>
      <c r="AD86" s="298" cm="1">
        <f t="array" ref="AD86">IF(AND(AD$2&lt;&gt;0,TblTech[[#This Row],[Hour]:[Hour]]&gt;=AD$2),1,0)</f>
        <v>0</v>
      </c>
      <c r="AE86" s="298" cm="1">
        <f t="array" ref="AE86">IF(AND(AE$2&lt;&gt;0,TblTech[[#This Row],[Hour]:[Hour]]&gt;=AE$2),1,0)</f>
        <v>0</v>
      </c>
      <c r="AF86" s="298" cm="1">
        <f t="array" ref="AF86">IF(AND(AF$2&lt;&gt;0,TblTech[[#This Row],[Hour]:[Hour]]&gt;=AF$2),1,0)</f>
        <v>0</v>
      </c>
      <c r="AG86" s="298" cm="1">
        <f t="array" ref="AG86">IF(AND(AG$2&lt;&gt;0,TblTech[[#This Row],[Hour]:[Hour]]&gt;=AG$2),1,0)</f>
        <v>0</v>
      </c>
      <c r="AH86" s="298" cm="1">
        <f t="array" ref="AH86">IF(AND(AH$2&lt;&gt;0,TblTech[[#This Row],[Hour]:[Hour]]&gt;=AH$2),1,0)</f>
        <v>0</v>
      </c>
      <c r="AI86" s="298" cm="1">
        <f t="array" ref="AI86">IF(AND(AI$2&lt;&gt;0,TblTech[[#This Row],[Hour]:[Hour]]&gt;=AI$2),1,0)</f>
        <v>0</v>
      </c>
      <c r="AJ86" s="298" cm="1">
        <f t="array" ref="AJ86">IF(AND(AJ$2&lt;&gt;0,TblTech[[#This Row],[Hour]:[Hour]]&gt;=AJ$2),1,0)</f>
        <v>0</v>
      </c>
      <c r="AK86" s="298" cm="1">
        <f t="array" ref="AK86">IF(AND(AK$2&lt;&gt;0,TblTech[[#This Row],[Hour]:[Hour]]&gt;=AK$2),1,0)</f>
        <v>0</v>
      </c>
      <c r="AL86" s="298" cm="1">
        <f t="array" ref="AL86">IF(AND(AL$2&lt;&gt;0,TblTech[[#This Row],[Hour]:[Hour]]&gt;=AL$2),1,0)</f>
        <v>0</v>
      </c>
      <c r="AM86" s="298" cm="1">
        <f t="array" ref="AM86">IF(AND(AM$2&lt;&gt;0,TblTech[[#This Row],[Hour]:[Hour]]&gt;=AM$2),1,0)</f>
        <v>0</v>
      </c>
      <c r="AN86" s="298" cm="1">
        <f t="array" ref="AN86">IF(AND(AN$2&lt;&gt;0,TblTech[[#This Row],[Hour]:[Hour]]&gt;=AN$2),1,0)</f>
        <v>0</v>
      </c>
      <c r="AO86" s="298" cm="1">
        <f t="array" ref="AO86">IF(AND(AO$2&lt;&gt;0,TblTech[[#This Row],[Hour]:[Hour]]&gt;=AO$2),1,0)</f>
        <v>0</v>
      </c>
      <c r="AP86" s="298" cm="1">
        <f t="array" ref="AP86">IF(AND(AP$2&lt;&gt;0,TblTech[[#This Row],[Hour]:[Hour]]&gt;=AP$2),1,0)</f>
        <v>0</v>
      </c>
      <c r="AQ86" s="298" cm="1">
        <f t="array" ref="AQ86">IF(AND(AQ$2&lt;&gt;0,TblTech[[#This Row],[Hour]:[Hour]]&gt;=AQ$2),1,0)</f>
        <v>0</v>
      </c>
      <c r="AR86" s="298" cm="1">
        <f t="array" ref="AR86">IF(AND(AR$2&lt;&gt;0,TblTech[[#This Row],[Hour]:[Hour]]&gt;=AR$2),1,0)</f>
        <v>0</v>
      </c>
      <c r="AS86" s="298" cm="1">
        <f t="array" ref="AS86">IF(AND(AS$2&lt;&gt;0,TblTech[[#This Row],[Hour]:[Hour]]&gt;=AS$2),1,0)</f>
        <v>0</v>
      </c>
      <c r="AT86" s="298" cm="1">
        <f t="array" ref="AT86">IF(AND(AT$2&lt;&gt;0,TblTech[[#This Row],[Hour]:[Hour]]&gt;=AT$2),1,0)</f>
        <v>0</v>
      </c>
      <c r="AU86" s="298" cm="1">
        <f t="array" ref="AU86">IF(AND(AU$2&lt;&gt;0,TblTech[[#This Row],[Hour]:[Hour]]&gt;=AU$2),1,0)</f>
        <v>0</v>
      </c>
      <c r="AV86" s="298" cm="1">
        <f t="array" ref="AV86">IF(AND(AV$2&lt;&gt;0,TblTech[[#This Row],[Hour]:[Hour]]&gt;=AV$2),1,0)</f>
        <v>0</v>
      </c>
      <c r="AW86" s="298" cm="1">
        <f t="array" ref="AW86">IF(AND(AW$2&lt;&gt;0,TblTech[[#This Row],[Hour]:[Hour]]&gt;=AW$2),1,0)</f>
        <v>0</v>
      </c>
      <c r="AX86" s="298" cm="1">
        <f t="array" ref="AX86">IF(AND(AX$2&lt;&gt;0,TblTech[[#This Row],[Hour]:[Hour]]&gt;=AX$2),1,0)</f>
        <v>0</v>
      </c>
      <c r="AY86" s="298" cm="1">
        <f t="array" ref="AY86">IF(AND(AY$2&lt;&gt;0,TblTech[[#This Row],[Hour]:[Hour]]&gt;=AY$2),1,0)</f>
        <v>0</v>
      </c>
      <c r="AZ86" s="298" cm="1">
        <f t="array" ref="AZ86">IF(AND(AZ$2&lt;&gt;0,TblTech[[#This Row],[Hour]:[Hour]]&gt;=AZ$2),1,0)</f>
        <v>0</v>
      </c>
      <c r="BA86" s="298" cm="1">
        <f t="array" ref="BA86">IF(AND(BA$2&lt;&gt;0,TblTech[[#This Row],[Hour]:[Hour]]&gt;=BA$2),1,0)</f>
        <v>0</v>
      </c>
      <c r="BB86" s="298" cm="1">
        <f t="array" ref="BB86">IF(AND(BB$2&lt;&gt;0,TblTech[[#This Row],[Hour]:[Hour]]&gt;=BB$2),1,0)</f>
        <v>0</v>
      </c>
      <c r="BC86" s="298" cm="1">
        <f t="array" ref="BC86">IF(AND(BC$2&lt;&gt;0,TblTech[[#This Row],[Hour]:[Hour]]&gt;=BC$2),1,0)</f>
        <v>0</v>
      </c>
      <c r="BD86" s="298" cm="1">
        <f t="array" ref="BD86">IF(AND(BD$2&lt;&gt;0,TblTech[[#This Row],[Hour]:[Hour]]&gt;=BD$2),1,0)</f>
        <v>0</v>
      </c>
      <c r="BE86" s="298" cm="1">
        <f t="array" ref="BE86">IF(AND(BE$2&lt;&gt;0,TblTech[[#This Row],[Hour]:[Hour]]&gt;=BE$2),1,0)</f>
        <v>0</v>
      </c>
      <c r="BF86" s="298" cm="1">
        <f t="array" ref="BF86">IF(AND(BF$2&lt;&gt;0,TblTech[[#This Row],[Hour]:[Hour]]&gt;=BF$2),1,0)</f>
        <v>0</v>
      </c>
      <c r="BG86" s="298" cm="1">
        <f t="array" ref="BG86">IF(AND(BG$2&lt;&gt;0,TblTech[[#This Row],[Hour]:[Hour]]&gt;=BG$2),1,0)</f>
        <v>0</v>
      </c>
      <c r="BH86" s="298" cm="1">
        <f t="array" ref="BH86">IF(AND(BH$2&lt;&gt;0,TblTech[[#This Row],[Hour]:[Hour]]&gt;=BH$2),1,0)</f>
        <v>0</v>
      </c>
      <c r="BI86" s="298" cm="1">
        <f t="array" ref="BI86">IF(AND(BI$2&lt;&gt;0,TblTech[[#This Row],[Hour]:[Hour]]&gt;=BI$2),1,0)</f>
        <v>0</v>
      </c>
      <c r="BJ86" s="298" cm="1">
        <f t="array" ref="BJ86">IF(AND(BJ$2&lt;&gt;0,TblTech[[#This Row],[Hour]:[Hour]]&gt;=BJ$2),1,0)</f>
        <v>0</v>
      </c>
      <c r="BK86" s="298" cm="1">
        <f t="array" ref="BK86">IF(AND(BK$2&lt;&gt;0,TblTech[[#This Row],[Hour]:[Hour]]&gt;=BK$2),1,0)</f>
        <v>0</v>
      </c>
      <c r="BL86" s="298" cm="1">
        <f t="array" ref="BL86">IF(AND(BL$2&lt;&gt;0,TblTech[[#This Row],[Hour]:[Hour]]&gt;=BL$2),1,0)</f>
        <v>0</v>
      </c>
      <c r="BM86" s="298" cm="1">
        <f t="array" ref="BM86">IF(AND(BM$2&lt;&gt;0,TblTech[[#This Row],[Hour]:[Hour]]&gt;=BM$2),1,0)</f>
        <v>0</v>
      </c>
      <c r="BN86" s="298" cm="1">
        <f t="array" ref="BN86">IF(AND(BN$2&lt;&gt;0,TblTech[[#This Row],[Hour]:[Hour]]&gt;=BN$2),1,0)</f>
        <v>0</v>
      </c>
      <c r="BO86" s="298" cm="1">
        <f t="array" ref="BO86">IF(AND(BO$2&lt;&gt;0,TblTech[[#This Row],[Hour]:[Hour]]&gt;=BO$2),1,0)</f>
        <v>0</v>
      </c>
      <c r="BP86" s="298" cm="1">
        <f t="array" ref="BP86">IF(AND(BP$2&lt;&gt;0,TblTech[[#This Row],[Hour]:[Hour]]&gt;=BP$2),1,0)</f>
        <v>0</v>
      </c>
      <c r="BQ86" s="298" cm="1">
        <f t="array" ref="BQ86">IF(AND(BQ$2&lt;&gt;0,TblTech[[#This Row],[Hour]:[Hour]]&gt;=BQ$2),1,0)</f>
        <v>0</v>
      </c>
      <c r="BR86" s="298" cm="1">
        <f t="array" ref="BR86">IF(AND(BR$2&lt;&gt;0,TblTech[[#This Row],[Hour]:[Hour]]&gt;=BR$2),1,0)</f>
        <v>0</v>
      </c>
      <c r="BS86" s="298" cm="1">
        <f t="array" ref="BS86">IF(AND(BS$2&lt;&gt;0,TblTech[[#This Row],[Hour]:[Hour]]&gt;=BS$2),1,0)</f>
        <v>0</v>
      </c>
      <c r="BT86" s="298" cm="1">
        <f t="array" ref="BT86">IF(AND(BT$2&lt;&gt;0,TblTech[[#This Row],[Hour]:[Hour]]&gt;=BT$2),1,0)</f>
        <v>0</v>
      </c>
      <c r="BU86" s="298" cm="1">
        <f t="array" ref="BU86">IF(AND(BU$2&lt;&gt;0,TblTech[[#This Row],[Hour]:[Hour]]&gt;=BU$2),1,0)</f>
        <v>0</v>
      </c>
      <c r="BV86" s="298" cm="1">
        <f t="array" ref="BV86">IF(AND(BV$2&lt;&gt;0,TblTech[[#This Row],[Hour]:[Hour]]&gt;=BV$2),1,0)</f>
        <v>0</v>
      </c>
      <c r="BW86" s="298" cm="1">
        <f t="array" ref="BW86">IF(AND(BW$2&lt;&gt;0,TblTech[[#This Row],[Hour]:[Hour]]&gt;=BW$2),1,0)</f>
        <v>0</v>
      </c>
      <c r="BX86" s="298" cm="1">
        <f t="array" ref="BX86">IF(AND(BX$2&lt;&gt;0,TblTech[[#This Row],[Hour]:[Hour]]&gt;=BX$2),1,0)</f>
        <v>0</v>
      </c>
      <c r="BY86" s="298" cm="1">
        <f t="array" ref="BY86">IF(AND(BY$2&lt;&gt;0,TblTech[[#This Row],[Hour]:[Hour]]&gt;=BY$2),1,0)</f>
        <v>0</v>
      </c>
      <c r="BZ86" s="298" cm="1">
        <f t="array" ref="BZ86">IF(AND(BZ$2&lt;&gt;0,TblTech[[#This Row],[Hour]:[Hour]]&gt;=BZ$2),1,0)</f>
        <v>0</v>
      </c>
      <c r="CA86" s="402">
        <f>IFERROR(INDEX($H$4:$H$79,MATCH(INDEX(TblTech[[#Headers],[1-1]:[11-1]],1,MATCH(TblTech[[#This Row],[Hour]],$M$2:$BZ$2,0)),$G$4:$G$79,0)),)</f>
        <v>0</v>
      </c>
    </row>
    <row r="87" spans="1:79" x14ac:dyDescent="0.2">
      <c r="A87" s="290">
        <f>TblRezone[[#This Row],[Hour]]</f>
        <v>84</v>
      </c>
      <c r="B87" s="291">
        <f ca="1">TblExplore[[#This Row],[Land-DB]]</f>
        <v>250</v>
      </c>
      <c r="C87" s="292">
        <f ca="1">TblProd[[#This Row],[Techpoints]]</f>
        <v>0</v>
      </c>
      <c r="D87" s="292">
        <f ca="1">TblProd[[#This Row],[Required]]</f>
        <v>3750</v>
      </c>
      <c r="E87" s="301"/>
      <c r="F87" s="302"/>
      <c r="G87" s="295"/>
      <c r="H87" s="296"/>
      <c r="I87" s="296"/>
      <c r="J87" s="296"/>
      <c r="K87" s="95">
        <f ca="1">IF(TblTech[[#This Row],[Sum of tech]]&lt;&gt;OFFSET(TblTech[[#This Row],[Sum of tech]],-1,0),1,0)</f>
        <v>0</v>
      </c>
      <c r="L87" s="297">
        <f>COUNTIF(TblTech[[#This Row],[1-1]:[11-1]],1)</f>
        <v>0</v>
      </c>
      <c r="M87" s="298" cm="1">
        <f t="array" ref="M87">IF(AND(M$2&lt;&gt;0,TblTech[[#This Row],[Hour]:[Hour]]&gt;=M$2),1,0)</f>
        <v>0</v>
      </c>
      <c r="N87" s="298" cm="1">
        <f t="array" ref="N87">IF(AND(N$2&lt;&gt;0,TblTech[[#This Row],[Hour]:[Hour]]&gt;=N$2),1,0)</f>
        <v>0</v>
      </c>
      <c r="O87" s="298" cm="1">
        <f t="array" ref="O87">IF(AND(O$2&lt;&gt;0,TblTech[[#This Row],[Hour]:[Hour]]&gt;=O$2),1,0)</f>
        <v>0</v>
      </c>
      <c r="P87" s="298" cm="1">
        <f t="array" ref="P87">IF(AND(P$2&lt;&gt;0,TblTech[[#This Row],[Hour]:[Hour]]&gt;=P$2),1,0)</f>
        <v>0</v>
      </c>
      <c r="Q87" s="298" cm="1">
        <f t="array" ref="Q87">IF(AND(Q$2&lt;&gt;0,TblTech[[#This Row],[Hour]:[Hour]]&gt;=Q$2),1,0)</f>
        <v>0</v>
      </c>
      <c r="R87" s="298" cm="1">
        <f t="array" ref="R87">IF(AND(R$2&lt;&gt;0,TblTech[[#This Row],[Hour]:[Hour]]&gt;=R$2),1,0)</f>
        <v>0</v>
      </c>
      <c r="S87" s="298" cm="1">
        <f t="array" ref="S87">IF(AND(S$2&lt;&gt;0,TblTech[[#This Row],[Hour]:[Hour]]&gt;=S$2),1,0)</f>
        <v>0</v>
      </c>
      <c r="T87" s="298" cm="1">
        <f t="array" ref="T87">IF(AND(T$2&lt;&gt;0,TblTech[[#This Row],[Hour]:[Hour]]&gt;=T$2),1,0)</f>
        <v>0</v>
      </c>
      <c r="U87" s="298" cm="1">
        <f t="array" ref="U87">IF(AND(U$2&lt;&gt;0,TblTech[[#This Row],[Hour]:[Hour]]&gt;=U$2),1,0)</f>
        <v>0</v>
      </c>
      <c r="V87" s="298" cm="1">
        <f t="array" ref="V87">IF(AND(V$2&lt;&gt;0,TblTech[[#This Row],[Hour]:[Hour]]&gt;=V$2),1,0)</f>
        <v>0</v>
      </c>
      <c r="W87" s="298" cm="1">
        <f t="array" ref="W87">IF(AND(W$2&lt;&gt;0,TblTech[[#This Row],[Hour]:[Hour]]&gt;=W$2),1,0)</f>
        <v>0</v>
      </c>
      <c r="X87" s="298" cm="1">
        <f t="array" ref="X87">IF(AND(X$2&lt;&gt;0,TblTech[[#This Row],[Hour]:[Hour]]&gt;=X$2),1,0)</f>
        <v>0</v>
      </c>
      <c r="Y87" s="298" cm="1">
        <f t="array" ref="Y87">IF(AND(Y$2&lt;&gt;0,TblTech[[#This Row],[Hour]:[Hour]]&gt;=Y$2),1,0)</f>
        <v>0</v>
      </c>
      <c r="Z87" s="298" cm="1">
        <f t="array" ref="Z87">IF(AND(Z$2&lt;&gt;0,TblTech[[#This Row],[Hour]:[Hour]]&gt;=Z$2),1,0)</f>
        <v>0</v>
      </c>
      <c r="AA87" s="298" cm="1">
        <f t="array" ref="AA87">IF(AND(AA$2&lt;&gt;0,TblTech[[#This Row],[Hour]:[Hour]]&gt;=AA$2),1,0)</f>
        <v>0</v>
      </c>
      <c r="AB87" s="298" cm="1">
        <f t="array" ref="AB87">IF(AND(AB$2&lt;&gt;0,TblTech[[#This Row],[Hour]:[Hour]]&gt;=AB$2),1,0)</f>
        <v>0</v>
      </c>
      <c r="AC87" s="298" cm="1">
        <f t="array" ref="AC87">IF(AND(AC$2&lt;&gt;0,TblTech[[#This Row],[Hour]:[Hour]]&gt;=AC$2),1,0)</f>
        <v>0</v>
      </c>
      <c r="AD87" s="298" cm="1">
        <f t="array" ref="AD87">IF(AND(AD$2&lt;&gt;0,TblTech[[#This Row],[Hour]:[Hour]]&gt;=AD$2),1,0)</f>
        <v>0</v>
      </c>
      <c r="AE87" s="298" cm="1">
        <f t="array" ref="AE87">IF(AND(AE$2&lt;&gt;0,TblTech[[#This Row],[Hour]:[Hour]]&gt;=AE$2),1,0)</f>
        <v>0</v>
      </c>
      <c r="AF87" s="298" cm="1">
        <f t="array" ref="AF87">IF(AND(AF$2&lt;&gt;0,TblTech[[#This Row],[Hour]:[Hour]]&gt;=AF$2),1,0)</f>
        <v>0</v>
      </c>
      <c r="AG87" s="298" cm="1">
        <f t="array" ref="AG87">IF(AND(AG$2&lt;&gt;0,TblTech[[#This Row],[Hour]:[Hour]]&gt;=AG$2),1,0)</f>
        <v>0</v>
      </c>
      <c r="AH87" s="298" cm="1">
        <f t="array" ref="AH87">IF(AND(AH$2&lt;&gt;0,TblTech[[#This Row],[Hour]:[Hour]]&gt;=AH$2),1,0)</f>
        <v>0</v>
      </c>
      <c r="AI87" s="298" cm="1">
        <f t="array" ref="AI87">IF(AND(AI$2&lt;&gt;0,TblTech[[#This Row],[Hour]:[Hour]]&gt;=AI$2),1,0)</f>
        <v>0</v>
      </c>
      <c r="AJ87" s="298" cm="1">
        <f t="array" ref="AJ87">IF(AND(AJ$2&lt;&gt;0,TblTech[[#This Row],[Hour]:[Hour]]&gt;=AJ$2),1,0)</f>
        <v>0</v>
      </c>
      <c r="AK87" s="298" cm="1">
        <f t="array" ref="AK87">IF(AND(AK$2&lt;&gt;0,TblTech[[#This Row],[Hour]:[Hour]]&gt;=AK$2),1,0)</f>
        <v>0</v>
      </c>
      <c r="AL87" s="298" cm="1">
        <f t="array" ref="AL87">IF(AND(AL$2&lt;&gt;0,TblTech[[#This Row],[Hour]:[Hour]]&gt;=AL$2),1,0)</f>
        <v>0</v>
      </c>
      <c r="AM87" s="298" cm="1">
        <f t="array" ref="AM87">IF(AND(AM$2&lt;&gt;0,TblTech[[#This Row],[Hour]:[Hour]]&gt;=AM$2),1,0)</f>
        <v>0</v>
      </c>
      <c r="AN87" s="298" cm="1">
        <f t="array" ref="AN87">IF(AND(AN$2&lt;&gt;0,TblTech[[#This Row],[Hour]:[Hour]]&gt;=AN$2),1,0)</f>
        <v>0</v>
      </c>
      <c r="AO87" s="298" cm="1">
        <f t="array" ref="AO87">IF(AND(AO$2&lt;&gt;0,TblTech[[#This Row],[Hour]:[Hour]]&gt;=AO$2),1,0)</f>
        <v>0</v>
      </c>
      <c r="AP87" s="298" cm="1">
        <f t="array" ref="AP87">IF(AND(AP$2&lt;&gt;0,TblTech[[#This Row],[Hour]:[Hour]]&gt;=AP$2),1,0)</f>
        <v>0</v>
      </c>
      <c r="AQ87" s="298" cm="1">
        <f t="array" ref="AQ87">IF(AND(AQ$2&lt;&gt;0,TblTech[[#This Row],[Hour]:[Hour]]&gt;=AQ$2),1,0)</f>
        <v>0</v>
      </c>
      <c r="AR87" s="298" cm="1">
        <f t="array" ref="AR87">IF(AND(AR$2&lt;&gt;0,TblTech[[#This Row],[Hour]:[Hour]]&gt;=AR$2),1,0)</f>
        <v>0</v>
      </c>
      <c r="AS87" s="298" cm="1">
        <f t="array" ref="AS87">IF(AND(AS$2&lt;&gt;0,TblTech[[#This Row],[Hour]:[Hour]]&gt;=AS$2),1,0)</f>
        <v>0</v>
      </c>
      <c r="AT87" s="298" cm="1">
        <f t="array" ref="AT87">IF(AND(AT$2&lt;&gt;0,TblTech[[#This Row],[Hour]:[Hour]]&gt;=AT$2),1,0)</f>
        <v>0</v>
      </c>
      <c r="AU87" s="298" cm="1">
        <f t="array" ref="AU87">IF(AND(AU$2&lt;&gt;0,TblTech[[#This Row],[Hour]:[Hour]]&gt;=AU$2),1,0)</f>
        <v>0</v>
      </c>
      <c r="AV87" s="298" cm="1">
        <f t="array" ref="AV87">IF(AND(AV$2&lt;&gt;0,TblTech[[#This Row],[Hour]:[Hour]]&gt;=AV$2),1,0)</f>
        <v>0</v>
      </c>
      <c r="AW87" s="298" cm="1">
        <f t="array" ref="AW87">IF(AND(AW$2&lt;&gt;0,TblTech[[#This Row],[Hour]:[Hour]]&gt;=AW$2),1,0)</f>
        <v>0</v>
      </c>
      <c r="AX87" s="298" cm="1">
        <f t="array" ref="AX87">IF(AND(AX$2&lt;&gt;0,TblTech[[#This Row],[Hour]:[Hour]]&gt;=AX$2),1,0)</f>
        <v>0</v>
      </c>
      <c r="AY87" s="298" cm="1">
        <f t="array" ref="AY87">IF(AND(AY$2&lt;&gt;0,TblTech[[#This Row],[Hour]:[Hour]]&gt;=AY$2),1,0)</f>
        <v>0</v>
      </c>
      <c r="AZ87" s="298" cm="1">
        <f t="array" ref="AZ87">IF(AND(AZ$2&lt;&gt;0,TblTech[[#This Row],[Hour]:[Hour]]&gt;=AZ$2),1,0)</f>
        <v>0</v>
      </c>
      <c r="BA87" s="298" cm="1">
        <f t="array" ref="BA87">IF(AND(BA$2&lt;&gt;0,TblTech[[#This Row],[Hour]:[Hour]]&gt;=BA$2),1,0)</f>
        <v>0</v>
      </c>
      <c r="BB87" s="298" cm="1">
        <f t="array" ref="BB87">IF(AND(BB$2&lt;&gt;0,TblTech[[#This Row],[Hour]:[Hour]]&gt;=BB$2),1,0)</f>
        <v>0</v>
      </c>
      <c r="BC87" s="298" cm="1">
        <f t="array" ref="BC87">IF(AND(BC$2&lt;&gt;0,TblTech[[#This Row],[Hour]:[Hour]]&gt;=BC$2),1,0)</f>
        <v>0</v>
      </c>
      <c r="BD87" s="298" cm="1">
        <f t="array" ref="BD87">IF(AND(BD$2&lt;&gt;0,TblTech[[#This Row],[Hour]:[Hour]]&gt;=BD$2),1,0)</f>
        <v>0</v>
      </c>
      <c r="BE87" s="298" cm="1">
        <f t="array" ref="BE87">IF(AND(BE$2&lt;&gt;0,TblTech[[#This Row],[Hour]:[Hour]]&gt;=BE$2),1,0)</f>
        <v>0</v>
      </c>
      <c r="BF87" s="298" cm="1">
        <f t="array" ref="BF87">IF(AND(BF$2&lt;&gt;0,TblTech[[#This Row],[Hour]:[Hour]]&gt;=BF$2),1,0)</f>
        <v>0</v>
      </c>
      <c r="BG87" s="298" cm="1">
        <f t="array" ref="BG87">IF(AND(BG$2&lt;&gt;0,TblTech[[#This Row],[Hour]:[Hour]]&gt;=BG$2),1,0)</f>
        <v>0</v>
      </c>
      <c r="BH87" s="298" cm="1">
        <f t="array" ref="BH87">IF(AND(BH$2&lt;&gt;0,TblTech[[#This Row],[Hour]:[Hour]]&gt;=BH$2),1,0)</f>
        <v>0</v>
      </c>
      <c r="BI87" s="298" cm="1">
        <f t="array" ref="BI87">IF(AND(BI$2&lt;&gt;0,TblTech[[#This Row],[Hour]:[Hour]]&gt;=BI$2),1,0)</f>
        <v>0</v>
      </c>
      <c r="BJ87" s="298" cm="1">
        <f t="array" ref="BJ87">IF(AND(BJ$2&lt;&gt;0,TblTech[[#This Row],[Hour]:[Hour]]&gt;=BJ$2),1,0)</f>
        <v>0</v>
      </c>
      <c r="BK87" s="298" cm="1">
        <f t="array" ref="BK87">IF(AND(BK$2&lt;&gt;0,TblTech[[#This Row],[Hour]:[Hour]]&gt;=BK$2),1,0)</f>
        <v>0</v>
      </c>
      <c r="BL87" s="298" cm="1">
        <f t="array" ref="BL87">IF(AND(BL$2&lt;&gt;0,TblTech[[#This Row],[Hour]:[Hour]]&gt;=BL$2),1,0)</f>
        <v>0</v>
      </c>
      <c r="BM87" s="298" cm="1">
        <f t="array" ref="BM87">IF(AND(BM$2&lt;&gt;0,TblTech[[#This Row],[Hour]:[Hour]]&gt;=BM$2),1,0)</f>
        <v>0</v>
      </c>
      <c r="BN87" s="298" cm="1">
        <f t="array" ref="BN87">IF(AND(BN$2&lt;&gt;0,TblTech[[#This Row],[Hour]:[Hour]]&gt;=BN$2),1,0)</f>
        <v>0</v>
      </c>
      <c r="BO87" s="298" cm="1">
        <f t="array" ref="BO87">IF(AND(BO$2&lt;&gt;0,TblTech[[#This Row],[Hour]:[Hour]]&gt;=BO$2),1,0)</f>
        <v>0</v>
      </c>
      <c r="BP87" s="298" cm="1">
        <f t="array" ref="BP87">IF(AND(BP$2&lt;&gt;0,TblTech[[#This Row],[Hour]:[Hour]]&gt;=BP$2),1,0)</f>
        <v>0</v>
      </c>
      <c r="BQ87" s="298" cm="1">
        <f t="array" ref="BQ87">IF(AND(BQ$2&lt;&gt;0,TblTech[[#This Row],[Hour]:[Hour]]&gt;=BQ$2),1,0)</f>
        <v>0</v>
      </c>
      <c r="BR87" s="298" cm="1">
        <f t="array" ref="BR87">IF(AND(BR$2&lt;&gt;0,TblTech[[#This Row],[Hour]:[Hour]]&gt;=BR$2),1,0)</f>
        <v>0</v>
      </c>
      <c r="BS87" s="298" cm="1">
        <f t="array" ref="BS87">IF(AND(BS$2&lt;&gt;0,TblTech[[#This Row],[Hour]:[Hour]]&gt;=BS$2),1,0)</f>
        <v>0</v>
      </c>
      <c r="BT87" s="298" cm="1">
        <f t="array" ref="BT87">IF(AND(BT$2&lt;&gt;0,TblTech[[#This Row],[Hour]:[Hour]]&gt;=BT$2),1,0)</f>
        <v>0</v>
      </c>
      <c r="BU87" s="298" cm="1">
        <f t="array" ref="BU87">IF(AND(BU$2&lt;&gt;0,TblTech[[#This Row],[Hour]:[Hour]]&gt;=BU$2),1,0)</f>
        <v>0</v>
      </c>
      <c r="BV87" s="298" cm="1">
        <f t="array" ref="BV87">IF(AND(BV$2&lt;&gt;0,TblTech[[#This Row],[Hour]:[Hour]]&gt;=BV$2),1,0)</f>
        <v>0</v>
      </c>
      <c r="BW87" s="298" cm="1">
        <f t="array" ref="BW87">IF(AND(BW$2&lt;&gt;0,TblTech[[#This Row],[Hour]:[Hour]]&gt;=BW$2),1,0)</f>
        <v>0</v>
      </c>
      <c r="BX87" s="298" cm="1">
        <f t="array" ref="BX87">IF(AND(BX$2&lt;&gt;0,TblTech[[#This Row],[Hour]:[Hour]]&gt;=BX$2),1,0)</f>
        <v>0</v>
      </c>
      <c r="BY87" s="298" cm="1">
        <f t="array" ref="BY87">IF(AND(BY$2&lt;&gt;0,TblTech[[#This Row],[Hour]:[Hour]]&gt;=BY$2),1,0)</f>
        <v>0</v>
      </c>
      <c r="BZ87" s="298" cm="1">
        <f t="array" ref="BZ87">IF(AND(BZ$2&lt;&gt;0,TblTech[[#This Row],[Hour]:[Hour]]&gt;=BZ$2),1,0)</f>
        <v>0</v>
      </c>
      <c r="CA87" s="402">
        <f>IFERROR(INDEX($H$4:$H$79,MATCH(INDEX(TblTech[[#Headers],[1-1]:[11-1]],1,MATCH(TblTech[[#This Row],[Hour]],$M$2:$BZ$2,0)),$G$4:$G$79,0)),)</f>
        <v>0</v>
      </c>
    </row>
    <row r="88" spans="1:79" x14ac:dyDescent="0.2">
      <c r="A88" s="290">
        <f>TblRezone[[#This Row],[Hour]]</f>
        <v>85</v>
      </c>
      <c r="B88" s="291">
        <f ca="1">TblExplore[[#This Row],[Land-DB]]</f>
        <v>250</v>
      </c>
      <c r="C88" s="292">
        <f ca="1">TblProd[[#This Row],[Techpoints]]</f>
        <v>0</v>
      </c>
      <c r="D88" s="292">
        <f ca="1">TblProd[[#This Row],[Required]]</f>
        <v>3750</v>
      </c>
      <c r="E88" s="301"/>
      <c r="F88" s="302"/>
      <c r="G88" s="295"/>
      <c r="H88" s="296"/>
      <c r="I88" s="296"/>
      <c r="J88" s="296"/>
      <c r="K88" s="95">
        <f ca="1">IF(TblTech[[#This Row],[Sum of tech]]&lt;&gt;OFFSET(TblTech[[#This Row],[Sum of tech]],-1,0),1,0)</f>
        <v>0</v>
      </c>
      <c r="L88" s="297">
        <f>COUNTIF(TblTech[[#This Row],[1-1]:[11-1]],1)</f>
        <v>0</v>
      </c>
      <c r="M88" s="298" cm="1">
        <f t="array" ref="M88">IF(AND(M$2&lt;&gt;0,TblTech[[#This Row],[Hour]:[Hour]]&gt;=M$2),1,0)</f>
        <v>0</v>
      </c>
      <c r="N88" s="298" cm="1">
        <f t="array" ref="N88">IF(AND(N$2&lt;&gt;0,TblTech[[#This Row],[Hour]:[Hour]]&gt;=N$2),1,0)</f>
        <v>0</v>
      </c>
      <c r="O88" s="298" cm="1">
        <f t="array" ref="O88">IF(AND(O$2&lt;&gt;0,TblTech[[#This Row],[Hour]:[Hour]]&gt;=O$2),1,0)</f>
        <v>0</v>
      </c>
      <c r="P88" s="298" cm="1">
        <f t="array" ref="P88">IF(AND(P$2&lt;&gt;0,TblTech[[#This Row],[Hour]:[Hour]]&gt;=P$2),1,0)</f>
        <v>0</v>
      </c>
      <c r="Q88" s="298" cm="1">
        <f t="array" ref="Q88">IF(AND(Q$2&lt;&gt;0,TblTech[[#This Row],[Hour]:[Hour]]&gt;=Q$2),1,0)</f>
        <v>0</v>
      </c>
      <c r="R88" s="298" cm="1">
        <f t="array" ref="R88">IF(AND(R$2&lt;&gt;0,TblTech[[#This Row],[Hour]:[Hour]]&gt;=R$2),1,0)</f>
        <v>0</v>
      </c>
      <c r="S88" s="298" cm="1">
        <f t="array" ref="S88">IF(AND(S$2&lt;&gt;0,TblTech[[#This Row],[Hour]:[Hour]]&gt;=S$2),1,0)</f>
        <v>0</v>
      </c>
      <c r="T88" s="298" cm="1">
        <f t="array" ref="T88">IF(AND(T$2&lt;&gt;0,TblTech[[#This Row],[Hour]:[Hour]]&gt;=T$2),1,0)</f>
        <v>0</v>
      </c>
      <c r="U88" s="298" cm="1">
        <f t="array" ref="U88">IF(AND(U$2&lt;&gt;0,TblTech[[#This Row],[Hour]:[Hour]]&gt;=U$2),1,0)</f>
        <v>0</v>
      </c>
      <c r="V88" s="298" cm="1">
        <f t="array" ref="V88">IF(AND(V$2&lt;&gt;0,TblTech[[#This Row],[Hour]:[Hour]]&gt;=V$2),1,0)</f>
        <v>0</v>
      </c>
      <c r="W88" s="298" cm="1">
        <f t="array" ref="W88">IF(AND(W$2&lt;&gt;0,TblTech[[#This Row],[Hour]:[Hour]]&gt;=W$2),1,0)</f>
        <v>0</v>
      </c>
      <c r="X88" s="298" cm="1">
        <f t="array" ref="X88">IF(AND(X$2&lt;&gt;0,TblTech[[#This Row],[Hour]:[Hour]]&gt;=X$2),1,0)</f>
        <v>0</v>
      </c>
      <c r="Y88" s="298" cm="1">
        <f t="array" ref="Y88">IF(AND(Y$2&lt;&gt;0,TblTech[[#This Row],[Hour]:[Hour]]&gt;=Y$2),1,0)</f>
        <v>0</v>
      </c>
      <c r="Z88" s="298" cm="1">
        <f t="array" ref="Z88">IF(AND(Z$2&lt;&gt;0,TblTech[[#This Row],[Hour]:[Hour]]&gt;=Z$2),1,0)</f>
        <v>0</v>
      </c>
      <c r="AA88" s="298" cm="1">
        <f t="array" ref="AA88">IF(AND(AA$2&lt;&gt;0,TblTech[[#This Row],[Hour]:[Hour]]&gt;=AA$2),1,0)</f>
        <v>0</v>
      </c>
      <c r="AB88" s="298" cm="1">
        <f t="array" ref="AB88">IF(AND(AB$2&lt;&gt;0,TblTech[[#This Row],[Hour]:[Hour]]&gt;=AB$2),1,0)</f>
        <v>0</v>
      </c>
      <c r="AC88" s="298" cm="1">
        <f t="array" ref="AC88">IF(AND(AC$2&lt;&gt;0,TblTech[[#This Row],[Hour]:[Hour]]&gt;=AC$2),1,0)</f>
        <v>0</v>
      </c>
      <c r="AD88" s="298" cm="1">
        <f t="array" ref="AD88">IF(AND(AD$2&lt;&gt;0,TblTech[[#This Row],[Hour]:[Hour]]&gt;=AD$2),1,0)</f>
        <v>0</v>
      </c>
      <c r="AE88" s="298" cm="1">
        <f t="array" ref="AE88">IF(AND(AE$2&lt;&gt;0,TblTech[[#This Row],[Hour]:[Hour]]&gt;=AE$2),1,0)</f>
        <v>0</v>
      </c>
      <c r="AF88" s="298" cm="1">
        <f t="array" ref="AF88">IF(AND(AF$2&lt;&gt;0,TblTech[[#This Row],[Hour]:[Hour]]&gt;=AF$2),1,0)</f>
        <v>0</v>
      </c>
      <c r="AG88" s="298" cm="1">
        <f t="array" ref="AG88">IF(AND(AG$2&lt;&gt;0,TblTech[[#This Row],[Hour]:[Hour]]&gt;=AG$2),1,0)</f>
        <v>0</v>
      </c>
      <c r="AH88" s="298" cm="1">
        <f t="array" ref="AH88">IF(AND(AH$2&lt;&gt;0,TblTech[[#This Row],[Hour]:[Hour]]&gt;=AH$2),1,0)</f>
        <v>0</v>
      </c>
      <c r="AI88" s="298" cm="1">
        <f t="array" ref="AI88">IF(AND(AI$2&lt;&gt;0,TblTech[[#This Row],[Hour]:[Hour]]&gt;=AI$2),1,0)</f>
        <v>0</v>
      </c>
      <c r="AJ88" s="298" cm="1">
        <f t="array" ref="AJ88">IF(AND(AJ$2&lt;&gt;0,TblTech[[#This Row],[Hour]:[Hour]]&gt;=AJ$2),1,0)</f>
        <v>0</v>
      </c>
      <c r="AK88" s="298" cm="1">
        <f t="array" ref="AK88">IF(AND(AK$2&lt;&gt;0,TblTech[[#This Row],[Hour]:[Hour]]&gt;=AK$2),1,0)</f>
        <v>0</v>
      </c>
      <c r="AL88" s="298" cm="1">
        <f t="array" ref="AL88">IF(AND(AL$2&lt;&gt;0,TblTech[[#This Row],[Hour]:[Hour]]&gt;=AL$2),1,0)</f>
        <v>0</v>
      </c>
      <c r="AM88" s="298" cm="1">
        <f t="array" ref="AM88">IF(AND(AM$2&lt;&gt;0,TblTech[[#This Row],[Hour]:[Hour]]&gt;=AM$2),1,0)</f>
        <v>0</v>
      </c>
      <c r="AN88" s="298" cm="1">
        <f t="array" ref="AN88">IF(AND(AN$2&lt;&gt;0,TblTech[[#This Row],[Hour]:[Hour]]&gt;=AN$2),1,0)</f>
        <v>0</v>
      </c>
      <c r="AO88" s="298" cm="1">
        <f t="array" ref="AO88">IF(AND(AO$2&lt;&gt;0,TblTech[[#This Row],[Hour]:[Hour]]&gt;=AO$2),1,0)</f>
        <v>0</v>
      </c>
      <c r="AP88" s="298" cm="1">
        <f t="array" ref="AP88">IF(AND(AP$2&lt;&gt;0,TblTech[[#This Row],[Hour]:[Hour]]&gt;=AP$2),1,0)</f>
        <v>0</v>
      </c>
      <c r="AQ88" s="298" cm="1">
        <f t="array" ref="AQ88">IF(AND(AQ$2&lt;&gt;0,TblTech[[#This Row],[Hour]:[Hour]]&gt;=AQ$2),1,0)</f>
        <v>0</v>
      </c>
      <c r="AR88" s="298" cm="1">
        <f t="array" ref="AR88">IF(AND(AR$2&lt;&gt;0,TblTech[[#This Row],[Hour]:[Hour]]&gt;=AR$2),1,0)</f>
        <v>0</v>
      </c>
      <c r="AS88" s="298" cm="1">
        <f t="array" ref="AS88">IF(AND(AS$2&lt;&gt;0,TblTech[[#This Row],[Hour]:[Hour]]&gt;=AS$2),1,0)</f>
        <v>0</v>
      </c>
      <c r="AT88" s="298" cm="1">
        <f t="array" ref="AT88">IF(AND(AT$2&lt;&gt;0,TblTech[[#This Row],[Hour]:[Hour]]&gt;=AT$2),1,0)</f>
        <v>0</v>
      </c>
      <c r="AU88" s="298" cm="1">
        <f t="array" ref="AU88">IF(AND(AU$2&lt;&gt;0,TblTech[[#This Row],[Hour]:[Hour]]&gt;=AU$2),1,0)</f>
        <v>0</v>
      </c>
      <c r="AV88" s="298" cm="1">
        <f t="array" ref="AV88">IF(AND(AV$2&lt;&gt;0,TblTech[[#This Row],[Hour]:[Hour]]&gt;=AV$2),1,0)</f>
        <v>0</v>
      </c>
      <c r="AW88" s="298" cm="1">
        <f t="array" ref="AW88">IF(AND(AW$2&lt;&gt;0,TblTech[[#This Row],[Hour]:[Hour]]&gt;=AW$2),1,0)</f>
        <v>0</v>
      </c>
      <c r="AX88" s="298" cm="1">
        <f t="array" ref="AX88">IF(AND(AX$2&lt;&gt;0,TblTech[[#This Row],[Hour]:[Hour]]&gt;=AX$2),1,0)</f>
        <v>0</v>
      </c>
      <c r="AY88" s="298" cm="1">
        <f t="array" ref="AY88">IF(AND(AY$2&lt;&gt;0,TblTech[[#This Row],[Hour]:[Hour]]&gt;=AY$2),1,0)</f>
        <v>0</v>
      </c>
      <c r="AZ88" s="298" cm="1">
        <f t="array" ref="AZ88">IF(AND(AZ$2&lt;&gt;0,TblTech[[#This Row],[Hour]:[Hour]]&gt;=AZ$2),1,0)</f>
        <v>0</v>
      </c>
      <c r="BA88" s="298" cm="1">
        <f t="array" ref="BA88">IF(AND(BA$2&lt;&gt;0,TblTech[[#This Row],[Hour]:[Hour]]&gt;=BA$2),1,0)</f>
        <v>0</v>
      </c>
      <c r="BB88" s="298" cm="1">
        <f t="array" ref="BB88">IF(AND(BB$2&lt;&gt;0,TblTech[[#This Row],[Hour]:[Hour]]&gt;=BB$2),1,0)</f>
        <v>0</v>
      </c>
      <c r="BC88" s="298" cm="1">
        <f t="array" ref="BC88">IF(AND(BC$2&lt;&gt;0,TblTech[[#This Row],[Hour]:[Hour]]&gt;=BC$2),1,0)</f>
        <v>0</v>
      </c>
      <c r="BD88" s="298" cm="1">
        <f t="array" ref="BD88">IF(AND(BD$2&lt;&gt;0,TblTech[[#This Row],[Hour]:[Hour]]&gt;=BD$2),1,0)</f>
        <v>0</v>
      </c>
      <c r="BE88" s="298" cm="1">
        <f t="array" ref="BE88">IF(AND(BE$2&lt;&gt;0,TblTech[[#This Row],[Hour]:[Hour]]&gt;=BE$2),1,0)</f>
        <v>0</v>
      </c>
      <c r="BF88" s="298" cm="1">
        <f t="array" ref="BF88">IF(AND(BF$2&lt;&gt;0,TblTech[[#This Row],[Hour]:[Hour]]&gt;=BF$2),1,0)</f>
        <v>0</v>
      </c>
      <c r="BG88" s="298" cm="1">
        <f t="array" ref="BG88">IF(AND(BG$2&lt;&gt;0,TblTech[[#This Row],[Hour]:[Hour]]&gt;=BG$2),1,0)</f>
        <v>0</v>
      </c>
      <c r="BH88" s="298" cm="1">
        <f t="array" ref="BH88">IF(AND(BH$2&lt;&gt;0,TblTech[[#This Row],[Hour]:[Hour]]&gt;=BH$2),1,0)</f>
        <v>0</v>
      </c>
      <c r="BI88" s="298" cm="1">
        <f t="array" ref="BI88">IF(AND(BI$2&lt;&gt;0,TblTech[[#This Row],[Hour]:[Hour]]&gt;=BI$2),1,0)</f>
        <v>0</v>
      </c>
      <c r="BJ88" s="298" cm="1">
        <f t="array" ref="BJ88">IF(AND(BJ$2&lt;&gt;0,TblTech[[#This Row],[Hour]:[Hour]]&gt;=BJ$2),1,0)</f>
        <v>0</v>
      </c>
      <c r="BK88" s="298" cm="1">
        <f t="array" ref="BK88">IF(AND(BK$2&lt;&gt;0,TblTech[[#This Row],[Hour]:[Hour]]&gt;=BK$2),1,0)</f>
        <v>0</v>
      </c>
      <c r="BL88" s="298" cm="1">
        <f t="array" ref="BL88">IF(AND(BL$2&lt;&gt;0,TblTech[[#This Row],[Hour]:[Hour]]&gt;=BL$2),1,0)</f>
        <v>0</v>
      </c>
      <c r="BM88" s="298" cm="1">
        <f t="array" ref="BM88">IF(AND(BM$2&lt;&gt;0,TblTech[[#This Row],[Hour]:[Hour]]&gt;=BM$2),1,0)</f>
        <v>0</v>
      </c>
      <c r="BN88" s="298" cm="1">
        <f t="array" ref="BN88">IF(AND(BN$2&lt;&gt;0,TblTech[[#This Row],[Hour]:[Hour]]&gt;=BN$2),1,0)</f>
        <v>0</v>
      </c>
      <c r="BO88" s="298" cm="1">
        <f t="array" ref="BO88">IF(AND(BO$2&lt;&gt;0,TblTech[[#This Row],[Hour]:[Hour]]&gt;=BO$2),1,0)</f>
        <v>0</v>
      </c>
      <c r="BP88" s="298" cm="1">
        <f t="array" ref="BP88">IF(AND(BP$2&lt;&gt;0,TblTech[[#This Row],[Hour]:[Hour]]&gt;=BP$2),1,0)</f>
        <v>0</v>
      </c>
      <c r="BQ88" s="298" cm="1">
        <f t="array" ref="BQ88">IF(AND(BQ$2&lt;&gt;0,TblTech[[#This Row],[Hour]:[Hour]]&gt;=BQ$2),1,0)</f>
        <v>0</v>
      </c>
      <c r="BR88" s="298" cm="1">
        <f t="array" ref="BR88">IF(AND(BR$2&lt;&gt;0,TblTech[[#This Row],[Hour]:[Hour]]&gt;=BR$2),1,0)</f>
        <v>0</v>
      </c>
      <c r="BS88" s="298" cm="1">
        <f t="array" ref="BS88">IF(AND(BS$2&lt;&gt;0,TblTech[[#This Row],[Hour]:[Hour]]&gt;=BS$2),1,0)</f>
        <v>0</v>
      </c>
      <c r="BT88" s="298" cm="1">
        <f t="array" ref="BT88">IF(AND(BT$2&lt;&gt;0,TblTech[[#This Row],[Hour]:[Hour]]&gt;=BT$2),1,0)</f>
        <v>0</v>
      </c>
      <c r="BU88" s="298" cm="1">
        <f t="array" ref="BU88">IF(AND(BU$2&lt;&gt;0,TblTech[[#This Row],[Hour]:[Hour]]&gt;=BU$2),1,0)</f>
        <v>0</v>
      </c>
      <c r="BV88" s="298" cm="1">
        <f t="array" ref="BV88">IF(AND(BV$2&lt;&gt;0,TblTech[[#This Row],[Hour]:[Hour]]&gt;=BV$2),1,0)</f>
        <v>0</v>
      </c>
      <c r="BW88" s="298" cm="1">
        <f t="array" ref="BW88">IF(AND(BW$2&lt;&gt;0,TblTech[[#This Row],[Hour]:[Hour]]&gt;=BW$2),1,0)</f>
        <v>0</v>
      </c>
      <c r="BX88" s="298" cm="1">
        <f t="array" ref="BX88">IF(AND(BX$2&lt;&gt;0,TblTech[[#This Row],[Hour]:[Hour]]&gt;=BX$2),1,0)</f>
        <v>0</v>
      </c>
      <c r="BY88" s="298" cm="1">
        <f t="array" ref="BY88">IF(AND(BY$2&lt;&gt;0,TblTech[[#This Row],[Hour]:[Hour]]&gt;=BY$2),1,0)</f>
        <v>0</v>
      </c>
      <c r="BZ88" s="298" cm="1">
        <f t="array" ref="BZ88">IF(AND(BZ$2&lt;&gt;0,TblTech[[#This Row],[Hour]:[Hour]]&gt;=BZ$2),1,0)</f>
        <v>0</v>
      </c>
      <c r="CA88" s="402">
        <f>IFERROR(INDEX($H$4:$H$79,MATCH(INDEX(TblTech[[#Headers],[1-1]:[11-1]],1,MATCH(TblTech[[#This Row],[Hour]],$M$2:$BZ$2,0)),$G$4:$G$79,0)),)</f>
        <v>0</v>
      </c>
    </row>
    <row r="89" spans="1:79" x14ac:dyDescent="0.2">
      <c r="A89" s="290">
        <f>TblRezone[[#This Row],[Hour]]</f>
        <v>86</v>
      </c>
      <c r="B89" s="291">
        <f ca="1">TblExplore[[#This Row],[Land-DB]]</f>
        <v>250</v>
      </c>
      <c r="C89" s="292">
        <f ca="1">TblProd[[#This Row],[Techpoints]]</f>
        <v>0</v>
      </c>
      <c r="D89" s="292">
        <f ca="1">TblProd[[#This Row],[Required]]</f>
        <v>3750</v>
      </c>
      <c r="E89" s="301"/>
      <c r="F89" s="302"/>
      <c r="G89" s="295"/>
      <c r="H89" s="296"/>
      <c r="I89" s="296"/>
      <c r="J89" s="296"/>
      <c r="K89" s="95">
        <f ca="1">IF(TblTech[[#This Row],[Sum of tech]]&lt;&gt;OFFSET(TblTech[[#This Row],[Sum of tech]],-1,0),1,0)</f>
        <v>0</v>
      </c>
      <c r="L89" s="297">
        <f>COUNTIF(TblTech[[#This Row],[1-1]:[11-1]],1)</f>
        <v>0</v>
      </c>
      <c r="M89" s="298" cm="1">
        <f t="array" ref="M89">IF(AND(M$2&lt;&gt;0,TblTech[[#This Row],[Hour]:[Hour]]&gt;=M$2),1,0)</f>
        <v>0</v>
      </c>
      <c r="N89" s="298" cm="1">
        <f t="array" ref="N89">IF(AND(N$2&lt;&gt;0,TblTech[[#This Row],[Hour]:[Hour]]&gt;=N$2),1,0)</f>
        <v>0</v>
      </c>
      <c r="O89" s="298" cm="1">
        <f t="array" ref="O89">IF(AND(O$2&lt;&gt;0,TblTech[[#This Row],[Hour]:[Hour]]&gt;=O$2),1,0)</f>
        <v>0</v>
      </c>
      <c r="P89" s="298" cm="1">
        <f t="array" ref="P89">IF(AND(P$2&lt;&gt;0,TblTech[[#This Row],[Hour]:[Hour]]&gt;=P$2),1,0)</f>
        <v>0</v>
      </c>
      <c r="Q89" s="298" cm="1">
        <f t="array" ref="Q89">IF(AND(Q$2&lt;&gt;0,TblTech[[#This Row],[Hour]:[Hour]]&gt;=Q$2),1,0)</f>
        <v>0</v>
      </c>
      <c r="R89" s="298" cm="1">
        <f t="array" ref="R89">IF(AND(R$2&lt;&gt;0,TblTech[[#This Row],[Hour]:[Hour]]&gt;=R$2),1,0)</f>
        <v>0</v>
      </c>
      <c r="S89" s="298" cm="1">
        <f t="array" ref="S89">IF(AND(S$2&lt;&gt;0,TblTech[[#This Row],[Hour]:[Hour]]&gt;=S$2),1,0)</f>
        <v>0</v>
      </c>
      <c r="T89" s="298" cm="1">
        <f t="array" ref="T89">IF(AND(T$2&lt;&gt;0,TblTech[[#This Row],[Hour]:[Hour]]&gt;=T$2),1,0)</f>
        <v>0</v>
      </c>
      <c r="U89" s="298" cm="1">
        <f t="array" ref="U89">IF(AND(U$2&lt;&gt;0,TblTech[[#This Row],[Hour]:[Hour]]&gt;=U$2),1,0)</f>
        <v>0</v>
      </c>
      <c r="V89" s="298" cm="1">
        <f t="array" ref="V89">IF(AND(V$2&lt;&gt;0,TblTech[[#This Row],[Hour]:[Hour]]&gt;=V$2),1,0)</f>
        <v>0</v>
      </c>
      <c r="W89" s="298" cm="1">
        <f t="array" ref="W89">IF(AND(W$2&lt;&gt;0,TblTech[[#This Row],[Hour]:[Hour]]&gt;=W$2),1,0)</f>
        <v>0</v>
      </c>
      <c r="X89" s="298" cm="1">
        <f t="array" ref="X89">IF(AND(X$2&lt;&gt;0,TblTech[[#This Row],[Hour]:[Hour]]&gt;=X$2),1,0)</f>
        <v>0</v>
      </c>
      <c r="Y89" s="298" cm="1">
        <f t="array" ref="Y89">IF(AND(Y$2&lt;&gt;0,TblTech[[#This Row],[Hour]:[Hour]]&gt;=Y$2),1,0)</f>
        <v>0</v>
      </c>
      <c r="Z89" s="298" cm="1">
        <f t="array" ref="Z89">IF(AND(Z$2&lt;&gt;0,TblTech[[#This Row],[Hour]:[Hour]]&gt;=Z$2),1,0)</f>
        <v>0</v>
      </c>
      <c r="AA89" s="298" cm="1">
        <f t="array" ref="AA89">IF(AND(AA$2&lt;&gt;0,TblTech[[#This Row],[Hour]:[Hour]]&gt;=AA$2),1,0)</f>
        <v>0</v>
      </c>
      <c r="AB89" s="298" cm="1">
        <f t="array" ref="AB89">IF(AND(AB$2&lt;&gt;0,TblTech[[#This Row],[Hour]:[Hour]]&gt;=AB$2),1,0)</f>
        <v>0</v>
      </c>
      <c r="AC89" s="298" cm="1">
        <f t="array" ref="AC89">IF(AND(AC$2&lt;&gt;0,TblTech[[#This Row],[Hour]:[Hour]]&gt;=AC$2),1,0)</f>
        <v>0</v>
      </c>
      <c r="AD89" s="298" cm="1">
        <f t="array" ref="AD89">IF(AND(AD$2&lt;&gt;0,TblTech[[#This Row],[Hour]:[Hour]]&gt;=AD$2),1,0)</f>
        <v>0</v>
      </c>
      <c r="AE89" s="298" cm="1">
        <f t="array" ref="AE89">IF(AND(AE$2&lt;&gt;0,TblTech[[#This Row],[Hour]:[Hour]]&gt;=AE$2),1,0)</f>
        <v>0</v>
      </c>
      <c r="AF89" s="298" cm="1">
        <f t="array" ref="AF89">IF(AND(AF$2&lt;&gt;0,TblTech[[#This Row],[Hour]:[Hour]]&gt;=AF$2),1,0)</f>
        <v>0</v>
      </c>
      <c r="AG89" s="298" cm="1">
        <f t="array" ref="AG89">IF(AND(AG$2&lt;&gt;0,TblTech[[#This Row],[Hour]:[Hour]]&gt;=AG$2),1,0)</f>
        <v>0</v>
      </c>
      <c r="AH89" s="298" cm="1">
        <f t="array" ref="AH89">IF(AND(AH$2&lt;&gt;0,TblTech[[#This Row],[Hour]:[Hour]]&gt;=AH$2),1,0)</f>
        <v>0</v>
      </c>
      <c r="AI89" s="298" cm="1">
        <f t="array" ref="AI89">IF(AND(AI$2&lt;&gt;0,TblTech[[#This Row],[Hour]:[Hour]]&gt;=AI$2),1,0)</f>
        <v>0</v>
      </c>
      <c r="AJ89" s="298" cm="1">
        <f t="array" ref="AJ89">IF(AND(AJ$2&lt;&gt;0,TblTech[[#This Row],[Hour]:[Hour]]&gt;=AJ$2),1,0)</f>
        <v>0</v>
      </c>
      <c r="AK89" s="298" cm="1">
        <f t="array" ref="AK89">IF(AND(AK$2&lt;&gt;0,TblTech[[#This Row],[Hour]:[Hour]]&gt;=AK$2),1,0)</f>
        <v>0</v>
      </c>
      <c r="AL89" s="298" cm="1">
        <f t="array" ref="AL89">IF(AND(AL$2&lt;&gt;0,TblTech[[#This Row],[Hour]:[Hour]]&gt;=AL$2),1,0)</f>
        <v>0</v>
      </c>
      <c r="AM89" s="298" cm="1">
        <f t="array" ref="AM89">IF(AND(AM$2&lt;&gt;0,TblTech[[#This Row],[Hour]:[Hour]]&gt;=AM$2),1,0)</f>
        <v>0</v>
      </c>
      <c r="AN89" s="298" cm="1">
        <f t="array" ref="AN89">IF(AND(AN$2&lt;&gt;0,TblTech[[#This Row],[Hour]:[Hour]]&gt;=AN$2),1,0)</f>
        <v>0</v>
      </c>
      <c r="AO89" s="298" cm="1">
        <f t="array" ref="AO89">IF(AND(AO$2&lt;&gt;0,TblTech[[#This Row],[Hour]:[Hour]]&gt;=AO$2),1,0)</f>
        <v>0</v>
      </c>
      <c r="AP89" s="298" cm="1">
        <f t="array" ref="AP89">IF(AND(AP$2&lt;&gt;0,TblTech[[#This Row],[Hour]:[Hour]]&gt;=AP$2),1,0)</f>
        <v>0</v>
      </c>
      <c r="AQ89" s="298" cm="1">
        <f t="array" ref="AQ89">IF(AND(AQ$2&lt;&gt;0,TblTech[[#This Row],[Hour]:[Hour]]&gt;=AQ$2),1,0)</f>
        <v>0</v>
      </c>
      <c r="AR89" s="298" cm="1">
        <f t="array" ref="AR89">IF(AND(AR$2&lt;&gt;0,TblTech[[#This Row],[Hour]:[Hour]]&gt;=AR$2),1,0)</f>
        <v>0</v>
      </c>
      <c r="AS89" s="298" cm="1">
        <f t="array" ref="AS89">IF(AND(AS$2&lt;&gt;0,TblTech[[#This Row],[Hour]:[Hour]]&gt;=AS$2),1,0)</f>
        <v>0</v>
      </c>
      <c r="AT89" s="298" cm="1">
        <f t="array" ref="AT89">IF(AND(AT$2&lt;&gt;0,TblTech[[#This Row],[Hour]:[Hour]]&gt;=AT$2),1,0)</f>
        <v>0</v>
      </c>
      <c r="AU89" s="298" cm="1">
        <f t="array" ref="AU89">IF(AND(AU$2&lt;&gt;0,TblTech[[#This Row],[Hour]:[Hour]]&gt;=AU$2),1,0)</f>
        <v>0</v>
      </c>
      <c r="AV89" s="298" cm="1">
        <f t="array" ref="AV89">IF(AND(AV$2&lt;&gt;0,TblTech[[#This Row],[Hour]:[Hour]]&gt;=AV$2),1,0)</f>
        <v>0</v>
      </c>
      <c r="AW89" s="298" cm="1">
        <f t="array" ref="AW89">IF(AND(AW$2&lt;&gt;0,TblTech[[#This Row],[Hour]:[Hour]]&gt;=AW$2),1,0)</f>
        <v>0</v>
      </c>
      <c r="AX89" s="298" cm="1">
        <f t="array" ref="AX89">IF(AND(AX$2&lt;&gt;0,TblTech[[#This Row],[Hour]:[Hour]]&gt;=AX$2),1,0)</f>
        <v>0</v>
      </c>
      <c r="AY89" s="298" cm="1">
        <f t="array" ref="AY89">IF(AND(AY$2&lt;&gt;0,TblTech[[#This Row],[Hour]:[Hour]]&gt;=AY$2),1,0)</f>
        <v>0</v>
      </c>
      <c r="AZ89" s="298" cm="1">
        <f t="array" ref="AZ89">IF(AND(AZ$2&lt;&gt;0,TblTech[[#This Row],[Hour]:[Hour]]&gt;=AZ$2),1,0)</f>
        <v>0</v>
      </c>
      <c r="BA89" s="298" cm="1">
        <f t="array" ref="BA89">IF(AND(BA$2&lt;&gt;0,TblTech[[#This Row],[Hour]:[Hour]]&gt;=BA$2),1,0)</f>
        <v>0</v>
      </c>
      <c r="BB89" s="298" cm="1">
        <f t="array" ref="BB89">IF(AND(BB$2&lt;&gt;0,TblTech[[#This Row],[Hour]:[Hour]]&gt;=BB$2),1,0)</f>
        <v>0</v>
      </c>
      <c r="BC89" s="298" cm="1">
        <f t="array" ref="BC89">IF(AND(BC$2&lt;&gt;0,TblTech[[#This Row],[Hour]:[Hour]]&gt;=BC$2),1,0)</f>
        <v>0</v>
      </c>
      <c r="BD89" s="298" cm="1">
        <f t="array" ref="BD89">IF(AND(BD$2&lt;&gt;0,TblTech[[#This Row],[Hour]:[Hour]]&gt;=BD$2),1,0)</f>
        <v>0</v>
      </c>
      <c r="BE89" s="298" cm="1">
        <f t="array" ref="BE89">IF(AND(BE$2&lt;&gt;0,TblTech[[#This Row],[Hour]:[Hour]]&gt;=BE$2),1,0)</f>
        <v>0</v>
      </c>
      <c r="BF89" s="298" cm="1">
        <f t="array" ref="BF89">IF(AND(BF$2&lt;&gt;0,TblTech[[#This Row],[Hour]:[Hour]]&gt;=BF$2),1,0)</f>
        <v>0</v>
      </c>
      <c r="BG89" s="298" cm="1">
        <f t="array" ref="BG89">IF(AND(BG$2&lt;&gt;0,TblTech[[#This Row],[Hour]:[Hour]]&gt;=BG$2),1,0)</f>
        <v>0</v>
      </c>
      <c r="BH89" s="298" cm="1">
        <f t="array" ref="BH89">IF(AND(BH$2&lt;&gt;0,TblTech[[#This Row],[Hour]:[Hour]]&gt;=BH$2),1,0)</f>
        <v>0</v>
      </c>
      <c r="BI89" s="298" cm="1">
        <f t="array" ref="BI89">IF(AND(BI$2&lt;&gt;0,TblTech[[#This Row],[Hour]:[Hour]]&gt;=BI$2),1,0)</f>
        <v>0</v>
      </c>
      <c r="BJ89" s="298" cm="1">
        <f t="array" ref="BJ89">IF(AND(BJ$2&lt;&gt;0,TblTech[[#This Row],[Hour]:[Hour]]&gt;=BJ$2),1,0)</f>
        <v>0</v>
      </c>
      <c r="BK89" s="298" cm="1">
        <f t="array" ref="BK89">IF(AND(BK$2&lt;&gt;0,TblTech[[#This Row],[Hour]:[Hour]]&gt;=BK$2),1,0)</f>
        <v>0</v>
      </c>
      <c r="BL89" s="298" cm="1">
        <f t="array" ref="BL89">IF(AND(BL$2&lt;&gt;0,TblTech[[#This Row],[Hour]:[Hour]]&gt;=BL$2),1,0)</f>
        <v>0</v>
      </c>
      <c r="BM89" s="298" cm="1">
        <f t="array" ref="BM89">IF(AND(BM$2&lt;&gt;0,TblTech[[#This Row],[Hour]:[Hour]]&gt;=BM$2),1,0)</f>
        <v>0</v>
      </c>
      <c r="BN89" s="298" cm="1">
        <f t="array" ref="BN89">IF(AND(BN$2&lt;&gt;0,TblTech[[#This Row],[Hour]:[Hour]]&gt;=BN$2),1,0)</f>
        <v>0</v>
      </c>
      <c r="BO89" s="298" cm="1">
        <f t="array" ref="BO89">IF(AND(BO$2&lt;&gt;0,TblTech[[#This Row],[Hour]:[Hour]]&gt;=BO$2),1,0)</f>
        <v>0</v>
      </c>
      <c r="BP89" s="298" cm="1">
        <f t="array" ref="BP89">IF(AND(BP$2&lt;&gt;0,TblTech[[#This Row],[Hour]:[Hour]]&gt;=BP$2),1,0)</f>
        <v>0</v>
      </c>
      <c r="BQ89" s="298" cm="1">
        <f t="array" ref="BQ89">IF(AND(BQ$2&lt;&gt;0,TblTech[[#This Row],[Hour]:[Hour]]&gt;=BQ$2),1,0)</f>
        <v>0</v>
      </c>
      <c r="BR89" s="298" cm="1">
        <f t="array" ref="BR89">IF(AND(BR$2&lt;&gt;0,TblTech[[#This Row],[Hour]:[Hour]]&gt;=BR$2),1,0)</f>
        <v>0</v>
      </c>
      <c r="BS89" s="298" cm="1">
        <f t="array" ref="BS89">IF(AND(BS$2&lt;&gt;0,TblTech[[#This Row],[Hour]:[Hour]]&gt;=BS$2),1,0)</f>
        <v>0</v>
      </c>
      <c r="BT89" s="298" cm="1">
        <f t="array" ref="BT89">IF(AND(BT$2&lt;&gt;0,TblTech[[#This Row],[Hour]:[Hour]]&gt;=BT$2),1,0)</f>
        <v>0</v>
      </c>
      <c r="BU89" s="298" cm="1">
        <f t="array" ref="BU89">IF(AND(BU$2&lt;&gt;0,TblTech[[#This Row],[Hour]:[Hour]]&gt;=BU$2),1,0)</f>
        <v>0</v>
      </c>
      <c r="BV89" s="298" cm="1">
        <f t="array" ref="BV89">IF(AND(BV$2&lt;&gt;0,TblTech[[#This Row],[Hour]:[Hour]]&gt;=BV$2),1,0)</f>
        <v>0</v>
      </c>
      <c r="BW89" s="298" cm="1">
        <f t="array" ref="BW89">IF(AND(BW$2&lt;&gt;0,TblTech[[#This Row],[Hour]:[Hour]]&gt;=BW$2),1,0)</f>
        <v>0</v>
      </c>
      <c r="BX89" s="298" cm="1">
        <f t="array" ref="BX89">IF(AND(BX$2&lt;&gt;0,TblTech[[#This Row],[Hour]:[Hour]]&gt;=BX$2),1,0)</f>
        <v>0</v>
      </c>
      <c r="BY89" s="298" cm="1">
        <f t="array" ref="BY89">IF(AND(BY$2&lt;&gt;0,TblTech[[#This Row],[Hour]:[Hour]]&gt;=BY$2),1,0)</f>
        <v>0</v>
      </c>
      <c r="BZ89" s="298" cm="1">
        <f t="array" ref="BZ89">IF(AND(BZ$2&lt;&gt;0,TblTech[[#This Row],[Hour]:[Hour]]&gt;=BZ$2),1,0)</f>
        <v>0</v>
      </c>
      <c r="CA89" s="402">
        <f>IFERROR(INDEX($H$4:$H$79,MATCH(INDEX(TblTech[[#Headers],[1-1]:[11-1]],1,MATCH(TblTech[[#This Row],[Hour]],$M$2:$BZ$2,0)),$G$4:$G$79,0)),)</f>
        <v>0</v>
      </c>
    </row>
    <row r="90" spans="1:79" x14ac:dyDescent="0.2">
      <c r="A90" s="290">
        <f>TblRezone[[#This Row],[Hour]]</f>
        <v>87</v>
      </c>
      <c r="B90" s="291">
        <f ca="1">TblExplore[[#This Row],[Land-DB]]</f>
        <v>250</v>
      </c>
      <c r="C90" s="292">
        <f ca="1">TblProd[[#This Row],[Techpoints]]</f>
        <v>0</v>
      </c>
      <c r="D90" s="292">
        <f ca="1">TblProd[[#This Row],[Required]]</f>
        <v>3750</v>
      </c>
      <c r="E90" s="301"/>
      <c r="F90" s="302"/>
      <c r="G90" s="295"/>
      <c r="H90" s="296"/>
      <c r="I90" s="296"/>
      <c r="J90" s="296"/>
      <c r="K90" s="95">
        <f ca="1">IF(TblTech[[#This Row],[Sum of tech]]&lt;&gt;OFFSET(TblTech[[#This Row],[Sum of tech]],-1,0),1,0)</f>
        <v>0</v>
      </c>
      <c r="L90" s="297">
        <f>COUNTIF(TblTech[[#This Row],[1-1]:[11-1]],1)</f>
        <v>0</v>
      </c>
      <c r="M90" s="298" cm="1">
        <f t="array" ref="M90">IF(AND(M$2&lt;&gt;0,TblTech[[#This Row],[Hour]:[Hour]]&gt;=M$2),1,0)</f>
        <v>0</v>
      </c>
      <c r="N90" s="298" cm="1">
        <f t="array" ref="N90">IF(AND(N$2&lt;&gt;0,TblTech[[#This Row],[Hour]:[Hour]]&gt;=N$2),1,0)</f>
        <v>0</v>
      </c>
      <c r="O90" s="298" cm="1">
        <f t="array" ref="O90">IF(AND(O$2&lt;&gt;0,TblTech[[#This Row],[Hour]:[Hour]]&gt;=O$2),1,0)</f>
        <v>0</v>
      </c>
      <c r="P90" s="298" cm="1">
        <f t="array" ref="P90">IF(AND(P$2&lt;&gt;0,TblTech[[#This Row],[Hour]:[Hour]]&gt;=P$2),1,0)</f>
        <v>0</v>
      </c>
      <c r="Q90" s="298" cm="1">
        <f t="array" ref="Q90">IF(AND(Q$2&lt;&gt;0,TblTech[[#This Row],[Hour]:[Hour]]&gt;=Q$2),1,0)</f>
        <v>0</v>
      </c>
      <c r="R90" s="298" cm="1">
        <f t="array" ref="R90">IF(AND(R$2&lt;&gt;0,TblTech[[#This Row],[Hour]:[Hour]]&gt;=R$2),1,0)</f>
        <v>0</v>
      </c>
      <c r="S90" s="298" cm="1">
        <f t="array" ref="S90">IF(AND(S$2&lt;&gt;0,TblTech[[#This Row],[Hour]:[Hour]]&gt;=S$2),1,0)</f>
        <v>0</v>
      </c>
      <c r="T90" s="298" cm="1">
        <f t="array" ref="T90">IF(AND(T$2&lt;&gt;0,TblTech[[#This Row],[Hour]:[Hour]]&gt;=T$2),1,0)</f>
        <v>0</v>
      </c>
      <c r="U90" s="298" cm="1">
        <f t="array" ref="U90">IF(AND(U$2&lt;&gt;0,TblTech[[#This Row],[Hour]:[Hour]]&gt;=U$2),1,0)</f>
        <v>0</v>
      </c>
      <c r="V90" s="298" cm="1">
        <f t="array" ref="V90">IF(AND(V$2&lt;&gt;0,TblTech[[#This Row],[Hour]:[Hour]]&gt;=V$2),1,0)</f>
        <v>0</v>
      </c>
      <c r="W90" s="298" cm="1">
        <f t="array" ref="W90">IF(AND(W$2&lt;&gt;0,TblTech[[#This Row],[Hour]:[Hour]]&gt;=W$2),1,0)</f>
        <v>0</v>
      </c>
      <c r="X90" s="298" cm="1">
        <f t="array" ref="X90">IF(AND(X$2&lt;&gt;0,TblTech[[#This Row],[Hour]:[Hour]]&gt;=X$2),1,0)</f>
        <v>0</v>
      </c>
      <c r="Y90" s="298" cm="1">
        <f t="array" ref="Y90">IF(AND(Y$2&lt;&gt;0,TblTech[[#This Row],[Hour]:[Hour]]&gt;=Y$2),1,0)</f>
        <v>0</v>
      </c>
      <c r="Z90" s="298" cm="1">
        <f t="array" ref="Z90">IF(AND(Z$2&lt;&gt;0,TblTech[[#This Row],[Hour]:[Hour]]&gt;=Z$2),1,0)</f>
        <v>0</v>
      </c>
      <c r="AA90" s="298" cm="1">
        <f t="array" ref="AA90">IF(AND(AA$2&lt;&gt;0,TblTech[[#This Row],[Hour]:[Hour]]&gt;=AA$2),1,0)</f>
        <v>0</v>
      </c>
      <c r="AB90" s="298" cm="1">
        <f t="array" ref="AB90">IF(AND(AB$2&lt;&gt;0,TblTech[[#This Row],[Hour]:[Hour]]&gt;=AB$2),1,0)</f>
        <v>0</v>
      </c>
      <c r="AC90" s="298" cm="1">
        <f t="array" ref="AC90">IF(AND(AC$2&lt;&gt;0,TblTech[[#This Row],[Hour]:[Hour]]&gt;=AC$2),1,0)</f>
        <v>0</v>
      </c>
      <c r="AD90" s="298" cm="1">
        <f t="array" ref="AD90">IF(AND(AD$2&lt;&gt;0,TblTech[[#This Row],[Hour]:[Hour]]&gt;=AD$2),1,0)</f>
        <v>0</v>
      </c>
      <c r="AE90" s="298" cm="1">
        <f t="array" ref="AE90">IF(AND(AE$2&lt;&gt;0,TblTech[[#This Row],[Hour]:[Hour]]&gt;=AE$2),1,0)</f>
        <v>0</v>
      </c>
      <c r="AF90" s="298" cm="1">
        <f t="array" ref="AF90">IF(AND(AF$2&lt;&gt;0,TblTech[[#This Row],[Hour]:[Hour]]&gt;=AF$2),1,0)</f>
        <v>0</v>
      </c>
      <c r="AG90" s="298" cm="1">
        <f t="array" ref="AG90">IF(AND(AG$2&lt;&gt;0,TblTech[[#This Row],[Hour]:[Hour]]&gt;=AG$2),1,0)</f>
        <v>0</v>
      </c>
      <c r="AH90" s="298" cm="1">
        <f t="array" ref="AH90">IF(AND(AH$2&lt;&gt;0,TblTech[[#This Row],[Hour]:[Hour]]&gt;=AH$2),1,0)</f>
        <v>0</v>
      </c>
      <c r="AI90" s="298" cm="1">
        <f t="array" ref="AI90">IF(AND(AI$2&lt;&gt;0,TblTech[[#This Row],[Hour]:[Hour]]&gt;=AI$2),1,0)</f>
        <v>0</v>
      </c>
      <c r="AJ90" s="298" cm="1">
        <f t="array" ref="AJ90">IF(AND(AJ$2&lt;&gt;0,TblTech[[#This Row],[Hour]:[Hour]]&gt;=AJ$2),1,0)</f>
        <v>0</v>
      </c>
      <c r="AK90" s="298" cm="1">
        <f t="array" ref="AK90">IF(AND(AK$2&lt;&gt;0,TblTech[[#This Row],[Hour]:[Hour]]&gt;=AK$2),1,0)</f>
        <v>0</v>
      </c>
      <c r="AL90" s="298" cm="1">
        <f t="array" ref="AL90">IF(AND(AL$2&lt;&gt;0,TblTech[[#This Row],[Hour]:[Hour]]&gt;=AL$2),1,0)</f>
        <v>0</v>
      </c>
      <c r="AM90" s="298" cm="1">
        <f t="array" ref="AM90">IF(AND(AM$2&lt;&gt;0,TblTech[[#This Row],[Hour]:[Hour]]&gt;=AM$2),1,0)</f>
        <v>0</v>
      </c>
      <c r="AN90" s="298" cm="1">
        <f t="array" ref="AN90">IF(AND(AN$2&lt;&gt;0,TblTech[[#This Row],[Hour]:[Hour]]&gt;=AN$2),1,0)</f>
        <v>0</v>
      </c>
      <c r="AO90" s="298" cm="1">
        <f t="array" ref="AO90">IF(AND(AO$2&lt;&gt;0,TblTech[[#This Row],[Hour]:[Hour]]&gt;=AO$2),1,0)</f>
        <v>0</v>
      </c>
      <c r="AP90" s="298" cm="1">
        <f t="array" ref="AP90">IF(AND(AP$2&lt;&gt;0,TblTech[[#This Row],[Hour]:[Hour]]&gt;=AP$2),1,0)</f>
        <v>0</v>
      </c>
      <c r="AQ90" s="298" cm="1">
        <f t="array" ref="AQ90">IF(AND(AQ$2&lt;&gt;0,TblTech[[#This Row],[Hour]:[Hour]]&gt;=AQ$2),1,0)</f>
        <v>0</v>
      </c>
      <c r="AR90" s="298" cm="1">
        <f t="array" ref="AR90">IF(AND(AR$2&lt;&gt;0,TblTech[[#This Row],[Hour]:[Hour]]&gt;=AR$2),1,0)</f>
        <v>0</v>
      </c>
      <c r="AS90" s="298" cm="1">
        <f t="array" ref="AS90">IF(AND(AS$2&lt;&gt;0,TblTech[[#This Row],[Hour]:[Hour]]&gt;=AS$2),1,0)</f>
        <v>0</v>
      </c>
      <c r="AT90" s="298" cm="1">
        <f t="array" ref="AT90">IF(AND(AT$2&lt;&gt;0,TblTech[[#This Row],[Hour]:[Hour]]&gt;=AT$2),1,0)</f>
        <v>0</v>
      </c>
      <c r="AU90" s="298" cm="1">
        <f t="array" ref="AU90">IF(AND(AU$2&lt;&gt;0,TblTech[[#This Row],[Hour]:[Hour]]&gt;=AU$2),1,0)</f>
        <v>0</v>
      </c>
      <c r="AV90" s="298" cm="1">
        <f t="array" ref="AV90">IF(AND(AV$2&lt;&gt;0,TblTech[[#This Row],[Hour]:[Hour]]&gt;=AV$2),1,0)</f>
        <v>0</v>
      </c>
      <c r="AW90" s="298" cm="1">
        <f t="array" ref="AW90">IF(AND(AW$2&lt;&gt;0,TblTech[[#This Row],[Hour]:[Hour]]&gt;=AW$2),1,0)</f>
        <v>0</v>
      </c>
      <c r="AX90" s="298" cm="1">
        <f t="array" ref="AX90">IF(AND(AX$2&lt;&gt;0,TblTech[[#This Row],[Hour]:[Hour]]&gt;=AX$2),1,0)</f>
        <v>0</v>
      </c>
      <c r="AY90" s="298" cm="1">
        <f t="array" ref="AY90">IF(AND(AY$2&lt;&gt;0,TblTech[[#This Row],[Hour]:[Hour]]&gt;=AY$2),1,0)</f>
        <v>0</v>
      </c>
      <c r="AZ90" s="298" cm="1">
        <f t="array" ref="AZ90">IF(AND(AZ$2&lt;&gt;0,TblTech[[#This Row],[Hour]:[Hour]]&gt;=AZ$2),1,0)</f>
        <v>0</v>
      </c>
      <c r="BA90" s="298" cm="1">
        <f t="array" ref="BA90">IF(AND(BA$2&lt;&gt;0,TblTech[[#This Row],[Hour]:[Hour]]&gt;=BA$2),1,0)</f>
        <v>0</v>
      </c>
      <c r="BB90" s="298" cm="1">
        <f t="array" ref="BB90">IF(AND(BB$2&lt;&gt;0,TblTech[[#This Row],[Hour]:[Hour]]&gt;=BB$2),1,0)</f>
        <v>0</v>
      </c>
      <c r="BC90" s="298" cm="1">
        <f t="array" ref="BC90">IF(AND(BC$2&lt;&gt;0,TblTech[[#This Row],[Hour]:[Hour]]&gt;=BC$2),1,0)</f>
        <v>0</v>
      </c>
      <c r="BD90" s="298" cm="1">
        <f t="array" ref="BD90">IF(AND(BD$2&lt;&gt;0,TblTech[[#This Row],[Hour]:[Hour]]&gt;=BD$2),1,0)</f>
        <v>0</v>
      </c>
      <c r="BE90" s="298" cm="1">
        <f t="array" ref="BE90">IF(AND(BE$2&lt;&gt;0,TblTech[[#This Row],[Hour]:[Hour]]&gt;=BE$2),1,0)</f>
        <v>0</v>
      </c>
      <c r="BF90" s="298" cm="1">
        <f t="array" ref="BF90">IF(AND(BF$2&lt;&gt;0,TblTech[[#This Row],[Hour]:[Hour]]&gt;=BF$2),1,0)</f>
        <v>0</v>
      </c>
      <c r="BG90" s="298" cm="1">
        <f t="array" ref="BG90">IF(AND(BG$2&lt;&gt;0,TblTech[[#This Row],[Hour]:[Hour]]&gt;=BG$2),1,0)</f>
        <v>0</v>
      </c>
      <c r="BH90" s="298" cm="1">
        <f t="array" ref="BH90">IF(AND(BH$2&lt;&gt;0,TblTech[[#This Row],[Hour]:[Hour]]&gt;=BH$2),1,0)</f>
        <v>0</v>
      </c>
      <c r="BI90" s="298" cm="1">
        <f t="array" ref="BI90">IF(AND(BI$2&lt;&gt;0,TblTech[[#This Row],[Hour]:[Hour]]&gt;=BI$2),1,0)</f>
        <v>0</v>
      </c>
      <c r="BJ90" s="298" cm="1">
        <f t="array" ref="BJ90">IF(AND(BJ$2&lt;&gt;0,TblTech[[#This Row],[Hour]:[Hour]]&gt;=BJ$2),1,0)</f>
        <v>0</v>
      </c>
      <c r="BK90" s="298" cm="1">
        <f t="array" ref="BK90">IF(AND(BK$2&lt;&gt;0,TblTech[[#This Row],[Hour]:[Hour]]&gt;=BK$2),1,0)</f>
        <v>0</v>
      </c>
      <c r="BL90" s="298" cm="1">
        <f t="array" ref="BL90">IF(AND(BL$2&lt;&gt;0,TblTech[[#This Row],[Hour]:[Hour]]&gt;=BL$2),1,0)</f>
        <v>0</v>
      </c>
      <c r="BM90" s="298" cm="1">
        <f t="array" ref="BM90">IF(AND(BM$2&lt;&gt;0,TblTech[[#This Row],[Hour]:[Hour]]&gt;=BM$2),1,0)</f>
        <v>0</v>
      </c>
      <c r="BN90" s="298" cm="1">
        <f t="array" ref="BN90">IF(AND(BN$2&lt;&gt;0,TblTech[[#This Row],[Hour]:[Hour]]&gt;=BN$2),1,0)</f>
        <v>0</v>
      </c>
      <c r="BO90" s="298" cm="1">
        <f t="array" ref="BO90">IF(AND(BO$2&lt;&gt;0,TblTech[[#This Row],[Hour]:[Hour]]&gt;=BO$2),1,0)</f>
        <v>0</v>
      </c>
      <c r="BP90" s="298" cm="1">
        <f t="array" ref="BP90">IF(AND(BP$2&lt;&gt;0,TblTech[[#This Row],[Hour]:[Hour]]&gt;=BP$2),1,0)</f>
        <v>0</v>
      </c>
      <c r="BQ90" s="298" cm="1">
        <f t="array" ref="BQ90">IF(AND(BQ$2&lt;&gt;0,TblTech[[#This Row],[Hour]:[Hour]]&gt;=BQ$2),1,0)</f>
        <v>0</v>
      </c>
      <c r="BR90" s="298" cm="1">
        <f t="array" ref="BR90">IF(AND(BR$2&lt;&gt;0,TblTech[[#This Row],[Hour]:[Hour]]&gt;=BR$2),1,0)</f>
        <v>0</v>
      </c>
      <c r="BS90" s="298" cm="1">
        <f t="array" ref="BS90">IF(AND(BS$2&lt;&gt;0,TblTech[[#This Row],[Hour]:[Hour]]&gt;=BS$2),1,0)</f>
        <v>0</v>
      </c>
      <c r="BT90" s="298" cm="1">
        <f t="array" ref="BT90">IF(AND(BT$2&lt;&gt;0,TblTech[[#This Row],[Hour]:[Hour]]&gt;=BT$2),1,0)</f>
        <v>0</v>
      </c>
      <c r="BU90" s="298" cm="1">
        <f t="array" ref="BU90">IF(AND(BU$2&lt;&gt;0,TblTech[[#This Row],[Hour]:[Hour]]&gt;=BU$2),1,0)</f>
        <v>0</v>
      </c>
      <c r="BV90" s="298" cm="1">
        <f t="array" ref="BV90">IF(AND(BV$2&lt;&gt;0,TblTech[[#This Row],[Hour]:[Hour]]&gt;=BV$2),1,0)</f>
        <v>0</v>
      </c>
      <c r="BW90" s="298" cm="1">
        <f t="array" ref="BW90">IF(AND(BW$2&lt;&gt;0,TblTech[[#This Row],[Hour]:[Hour]]&gt;=BW$2),1,0)</f>
        <v>0</v>
      </c>
      <c r="BX90" s="298" cm="1">
        <f t="array" ref="BX90">IF(AND(BX$2&lt;&gt;0,TblTech[[#This Row],[Hour]:[Hour]]&gt;=BX$2),1,0)</f>
        <v>0</v>
      </c>
      <c r="BY90" s="298" cm="1">
        <f t="array" ref="BY90">IF(AND(BY$2&lt;&gt;0,TblTech[[#This Row],[Hour]:[Hour]]&gt;=BY$2),1,0)</f>
        <v>0</v>
      </c>
      <c r="BZ90" s="298" cm="1">
        <f t="array" ref="BZ90">IF(AND(BZ$2&lt;&gt;0,TblTech[[#This Row],[Hour]:[Hour]]&gt;=BZ$2),1,0)</f>
        <v>0</v>
      </c>
      <c r="CA90" s="402">
        <f>IFERROR(INDEX($H$4:$H$79,MATCH(INDEX(TblTech[[#Headers],[1-1]:[11-1]],1,MATCH(TblTech[[#This Row],[Hour]],$M$2:$BZ$2,0)),$G$4:$G$79,0)),)</f>
        <v>0</v>
      </c>
    </row>
    <row r="91" spans="1:79" x14ac:dyDescent="0.2">
      <c r="A91" s="290">
        <f>TblRezone[[#This Row],[Hour]]</f>
        <v>88</v>
      </c>
      <c r="B91" s="291">
        <f ca="1">TblExplore[[#This Row],[Land-DB]]</f>
        <v>250</v>
      </c>
      <c r="C91" s="292">
        <f ca="1">TblProd[[#This Row],[Techpoints]]</f>
        <v>0</v>
      </c>
      <c r="D91" s="292">
        <f ca="1">TblProd[[#This Row],[Required]]</f>
        <v>3750</v>
      </c>
      <c r="E91" s="301"/>
      <c r="F91" s="302"/>
      <c r="G91" s="295"/>
      <c r="H91" s="296"/>
      <c r="I91" s="296"/>
      <c r="J91" s="296"/>
      <c r="K91" s="95">
        <f ca="1">IF(TblTech[[#This Row],[Sum of tech]]&lt;&gt;OFFSET(TblTech[[#This Row],[Sum of tech]],-1,0),1,0)</f>
        <v>0</v>
      </c>
      <c r="L91" s="297">
        <f>COUNTIF(TblTech[[#This Row],[1-1]:[11-1]],1)</f>
        <v>0</v>
      </c>
      <c r="M91" s="298" cm="1">
        <f t="array" ref="M91">IF(AND(M$2&lt;&gt;0,TblTech[[#This Row],[Hour]:[Hour]]&gt;=M$2),1,0)</f>
        <v>0</v>
      </c>
      <c r="N91" s="298" cm="1">
        <f t="array" ref="N91">IF(AND(N$2&lt;&gt;0,TblTech[[#This Row],[Hour]:[Hour]]&gt;=N$2),1,0)</f>
        <v>0</v>
      </c>
      <c r="O91" s="298" cm="1">
        <f t="array" ref="O91">IF(AND(O$2&lt;&gt;0,TblTech[[#This Row],[Hour]:[Hour]]&gt;=O$2),1,0)</f>
        <v>0</v>
      </c>
      <c r="P91" s="298" cm="1">
        <f t="array" ref="P91">IF(AND(P$2&lt;&gt;0,TblTech[[#This Row],[Hour]:[Hour]]&gt;=P$2),1,0)</f>
        <v>0</v>
      </c>
      <c r="Q91" s="298" cm="1">
        <f t="array" ref="Q91">IF(AND(Q$2&lt;&gt;0,TblTech[[#This Row],[Hour]:[Hour]]&gt;=Q$2),1,0)</f>
        <v>0</v>
      </c>
      <c r="R91" s="298" cm="1">
        <f t="array" ref="R91">IF(AND(R$2&lt;&gt;0,TblTech[[#This Row],[Hour]:[Hour]]&gt;=R$2),1,0)</f>
        <v>0</v>
      </c>
      <c r="S91" s="298" cm="1">
        <f t="array" ref="S91">IF(AND(S$2&lt;&gt;0,TblTech[[#This Row],[Hour]:[Hour]]&gt;=S$2),1,0)</f>
        <v>0</v>
      </c>
      <c r="T91" s="298" cm="1">
        <f t="array" ref="T91">IF(AND(T$2&lt;&gt;0,TblTech[[#This Row],[Hour]:[Hour]]&gt;=T$2),1,0)</f>
        <v>0</v>
      </c>
      <c r="U91" s="298" cm="1">
        <f t="array" ref="U91">IF(AND(U$2&lt;&gt;0,TblTech[[#This Row],[Hour]:[Hour]]&gt;=U$2),1,0)</f>
        <v>0</v>
      </c>
      <c r="V91" s="298" cm="1">
        <f t="array" ref="V91">IF(AND(V$2&lt;&gt;0,TblTech[[#This Row],[Hour]:[Hour]]&gt;=V$2),1,0)</f>
        <v>0</v>
      </c>
      <c r="W91" s="298" cm="1">
        <f t="array" ref="W91">IF(AND(W$2&lt;&gt;0,TblTech[[#This Row],[Hour]:[Hour]]&gt;=W$2),1,0)</f>
        <v>0</v>
      </c>
      <c r="X91" s="298" cm="1">
        <f t="array" ref="X91">IF(AND(X$2&lt;&gt;0,TblTech[[#This Row],[Hour]:[Hour]]&gt;=X$2),1,0)</f>
        <v>0</v>
      </c>
      <c r="Y91" s="298" cm="1">
        <f t="array" ref="Y91">IF(AND(Y$2&lt;&gt;0,TblTech[[#This Row],[Hour]:[Hour]]&gt;=Y$2),1,0)</f>
        <v>0</v>
      </c>
      <c r="Z91" s="298" cm="1">
        <f t="array" ref="Z91">IF(AND(Z$2&lt;&gt;0,TblTech[[#This Row],[Hour]:[Hour]]&gt;=Z$2),1,0)</f>
        <v>0</v>
      </c>
      <c r="AA91" s="298" cm="1">
        <f t="array" ref="AA91">IF(AND(AA$2&lt;&gt;0,TblTech[[#This Row],[Hour]:[Hour]]&gt;=AA$2),1,0)</f>
        <v>0</v>
      </c>
      <c r="AB91" s="298" cm="1">
        <f t="array" ref="AB91">IF(AND(AB$2&lt;&gt;0,TblTech[[#This Row],[Hour]:[Hour]]&gt;=AB$2),1,0)</f>
        <v>0</v>
      </c>
      <c r="AC91" s="298" cm="1">
        <f t="array" ref="AC91">IF(AND(AC$2&lt;&gt;0,TblTech[[#This Row],[Hour]:[Hour]]&gt;=AC$2),1,0)</f>
        <v>0</v>
      </c>
      <c r="AD91" s="298" cm="1">
        <f t="array" ref="AD91">IF(AND(AD$2&lt;&gt;0,TblTech[[#This Row],[Hour]:[Hour]]&gt;=AD$2),1,0)</f>
        <v>0</v>
      </c>
      <c r="AE91" s="298" cm="1">
        <f t="array" ref="AE91">IF(AND(AE$2&lt;&gt;0,TblTech[[#This Row],[Hour]:[Hour]]&gt;=AE$2),1,0)</f>
        <v>0</v>
      </c>
      <c r="AF91" s="298" cm="1">
        <f t="array" ref="AF91">IF(AND(AF$2&lt;&gt;0,TblTech[[#This Row],[Hour]:[Hour]]&gt;=AF$2),1,0)</f>
        <v>0</v>
      </c>
      <c r="AG91" s="298" cm="1">
        <f t="array" ref="AG91">IF(AND(AG$2&lt;&gt;0,TblTech[[#This Row],[Hour]:[Hour]]&gt;=AG$2),1,0)</f>
        <v>0</v>
      </c>
      <c r="AH91" s="298" cm="1">
        <f t="array" ref="AH91">IF(AND(AH$2&lt;&gt;0,TblTech[[#This Row],[Hour]:[Hour]]&gt;=AH$2),1,0)</f>
        <v>0</v>
      </c>
      <c r="AI91" s="298" cm="1">
        <f t="array" ref="AI91">IF(AND(AI$2&lt;&gt;0,TblTech[[#This Row],[Hour]:[Hour]]&gt;=AI$2),1,0)</f>
        <v>0</v>
      </c>
      <c r="AJ91" s="298" cm="1">
        <f t="array" ref="AJ91">IF(AND(AJ$2&lt;&gt;0,TblTech[[#This Row],[Hour]:[Hour]]&gt;=AJ$2),1,0)</f>
        <v>0</v>
      </c>
      <c r="AK91" s="298" cm="1">
        <f t="array" ref="AK91">IF(AND(AK$2&lt;&gt;0,TblTech[[#This Row],[Hour]:[Hour]]&gt;=AK$2),1,0)</f>
        <v>0</v>
      </c>
      <c r="AL91" s="298" cm="1">
        <f t="array" ref="AL91">IF(AND(AL$2&lt;&gt;0,TblTech[[#This Row],[Hour]:[Hour]]&gt;=AL$2),1,0)</f>
        <v>0</v>
      </c>
      <c r="AM91" s="298" cm="1">
        <f t="array" ref="AM91">IF(AND(AM$2&lt;&gt;0,TblTech[[#This Row],[Hour]:[Hour]]&gt;=AM$2),1,0)</f>
        <v>0</v>
      </c>
      <c r="AN91" s="298" cm="1">
        <f t="array" ref="AN91">IF(AND(AN$2&lt;&gt;0,TblTech[[#This Row],[Hour]:[Hour]]&gt;=AN$2),1,0)</f>
        <v>0</v>
      </c>
      <c r="AO91" s="298" cm="1">
        <f t="array" ref="AO91">IF(AND(AO$2&lt;&gt;0,TblTech[[#This Row],[Hour]:[Hour]]&gt;=AO$2),1,0)</f>
        <v>0</v>
      </c>
      <c r="AP91" s="298" cm="1">
        <f t="array" ref="AP91">IF(AND(AP$2&lt;&gt;0,TblTech[[#This Row],[Hour]:[Hour]]&gt;=AP$2),1,0)</f>
        <v>0</v>
      </c>
      <c r="AQ91" s="298" cm="1">
        <f t="array" ref="AQ91">IF(AND(AQ$2&lt;&gt;0,TblTech[[#This Row],[Hour]:[Hour]]&gt;=AQ$2),1,0)</f>
        <v>0</v>
      </c>
      <c r="AR91" s="298" cm="1">
        <f t="array" ref="AR91">IF(AND(AR$2&lt;&gt;0,TblTech[[#This Row],[Hour]:[Hour]]&gt;=AR$2),1,0)</f>
        <v>0</v>
      </c>
      <c r="AS91" s="298" cm="1">
        <f t="array" ref="AS91">IF(AND(AS$2&lt;&gt;0,TblTech[[#This Row],[Hour]:[Hour]]&gt;=AS$2),1,0)</f>
        <v>0</v>
      </c>
      <c r="AT91" s="298" cm="1">
        <f t="array" ref="AT91">IF(AND(AT$2&lt;&gt;0,TblTech[[#This Row],[Hour]:[Hour]]&gt;=AT$2),1,0)</f>
        <v>0</v>
      </c>
      <c r="AU91" s="298" cm="1">
        <f t="array" ref="AU91">IF(AND(AU$2&lt;&gt;0,TblTech[[#This Row],[Hour]:[Hour]]&gt;=AU$2),1,0)</f>
        <v>0</v>
      </c>
      <c r="AV91" s="298" cm="1">
        <f t="array" ref="AV91">IF(AND(AV$2&lt;&gt;0,TblTech[[#This Row],[Hour]:[Hour]]&gt;=AV$2),1,0)</f>
        <v>0</v>
      </c>
      <c r="AW91" s="298" cm="1">
        <f t="array" ref="AW91">IF(AND(AW$2&lt;&gt;0,TblTech[[#This Row],[Hour]:[Hour]]&gt;=AW$2),1,0)</f>
        <v>0</v>
      </c>
      <c r="AX91" s="298" cm="1">
        <f t="array" ref="AX91">IF(AND(AX$2&lt;&gt;0,TblTech[[#This Row],[Hour]:[Hour]]&gt;=AX$2),1,0)</f>
        <v>0</v>
      </c>
      <c r="AY91" s="298" cm="1">
        <f t="array" ref="AY91">IF(AND(AY$2&lt;&gt;0,TblTech[[#This Row],[Hour]:[Hour]]&gt;=AY$2),1,0)</f>
        <v>0</v>
      </c>
      <c r="AZ91" s="298" cm="1">
        <f t="array" ref="AZ91">IF(AND(AZ$2&lt;&gt;0,TblTech[[#This Row],[Hour]:[Hour]]&gt;=AZ$2),1,0)</f>
        <v>0</v>
      </c>
      <c r="BA91" s="298" cm="1">
        <f t="array" ref="BA91">IF(AND(BA$2&lt;&gt;0,TblTech[[#This Row],[Hour]:[Hour]]&gt;=BA$2),1,0)</f>
        <v>0</v>
      </c>
      <c r="BB91" s="298" cm="1">
        <f t="array" ref="BB91">IF(AND(BB$2&lt;&gt;0,TblTech[[#This Row],[Hour]:[Hour]]&gt;=BB$2),1,0)</f>
        <v>0</v>
      </c>
      <c r="BC91" s="298" cm="1">
        <f t="array" ref="BC91">IF(AND(BC$2&lt;&gt;0,TblTech[[#This Row],[Hour]:[Hour]]&gt;=BC$2),1,0)</f>
        <v>0</v>
      </c>
      <c r="BD91" s="298" cm="1">
        <f t="array" ref="BD91">IF(AND(BD$2&lt;&gt;0,TblTech[[#This Row],[Hour]:[Hour]]&gt;=BD$2),1,0)</f>
        <v>0</v>
      </c>
      <c r="BE91" s="298" cm="1">
        <f t="array" ref="BE91">IF(AND(BE$2&lt;&gt;0,TblTech[[#This Row],[Hour]:[Hour]]&gt;=BE$2),1,0)</f>
        <v>0</v>
      </c>
      <c r="BF91" s="298" cm="1">
        <f t="array" ref="BF91">IF(AND(BF$2&lt;&gt;0,TblTech[[#This Row],[Hour]:[Hour]]&gt;=BF$2),1,0)</f>
        <v>0</v>
      </c>
      <c r="BG91" s="298" cm="1">
        <f t="array" ref="BG91">IF(AND(BG$2&lt;&gt;0,TblTech[[#This Row],[Hour]:[Hour]]&gt;=BG$2),1,0)</f>
        <v>0</v>
      </c>
      <c r="BH91" s="298" cm="1">
        <f t="array" ref="BH91">IF(AND(BH$2&lt;&gt;0,TblTech[[#This Row],[Hour]:[Hour]]&gt;=BH$2),1,0)</f>
        <v>0</v>
      </c>
      <c r="BI91" s="298" cm="1">
        <f t="array" ref="BI91">IF(AND(BI$2&lt;&gt;0,TblTech[[#This Row],[Hour]:[Hour]]&gt;=BI$2),1,0)</f>
        <v>0</v>
      </c>
      <c r="BJ91" s="298" cm="1">
        <f t="array" ref="BJ91">IF(AND(BJ$2&lt;&gt;0,TblTech[[#This Row],[Hour]:[Hour]]&gt;=BJ$2),1,0)</f>
        <v>0</v>
      </c>
      <c r="BK91" s="298" cm="1">
        <f t="array" ref="BK91">IF(AND(BK$2&lt;&gt;0,TblTech[[#This Row],[Hour]:[Hour]]&gt;=BK$2),1,0)</f>
        <v>0</v>
      </c>
      <c r="BL91" s="298" cm="1">
        <f t="array" ref="BL91">IF(AND(BL$2&lt;&gt;0,TblTech[[#This Row],[Hour]:[Hour]]&gt;=BL$2),1,0)</f>
        <v>0</v>
      </c>
      <c r="BM91" s="298" cm="1">
        <f t="array" ref="BM91">IF(AND(BM$2&lt;&gt;0,TblTech[[#This Row],[Hour]:[Hour]]&gt;=BM$2),1,0)</f>
        <v>0</v>
      </c>
      <c r="BN91" s="298" cm="1">
        <f t="array" ref="BN91">IF(AND(BN$2&lt;&gt;0,TblTech[[#This Row],[Hour]:[Hour]]&gt;=BN$2),1,0)</f>
        <v>0</v>
      </c>
      <c r="BO91" s="298" cm="1">
        <f t="array" ref="BO91">IF(AND(BO$2&lt;&gt;0,TblTech[[#This Row],[Hour]:[Hour]]&gt;=BO$2),1,0)</f>
        <v>0</v>
      </c>
      <c r="BP91" s="298" cm="1">
        <f t="array" ref="BP91">IF(AND(BP$2&lt;&gt;0,TblTech[[#This Row],[Hour]:[Hour]]&gt;=BP$2),1,0)</f>
        <v>0</v>
      </c>
      <c r="BQ91" s="298" cm="1">
        <f t="array" ref="BQ91">IF(AND(BQ$2&lt;&gt;0,TblTech[[#This Row],[Hour]:[Hour]]&gt;=BQ$2),1,0)</f>
        <v>0</v>
      </c>
      <c r="BR91" s="298" cm="1">
        <f t="array" ref="BR91">IF(AND(BR$2&lt;&gt;0,TblTech[[#This Row],[Hour]:[Hour]]&gt;=BR$2),1,0)</f>
        <v>0</v>
      </c>
      <c r="BS91" s="298" cm="1">
        <f t="array" ref="BS91">IF(AND(BS$2&lt;&gt;0,TblTech[[#This Row],[Hour]:[Hour]]&gt;=BS$2),1,0)</f>
        <v>0</v>
      </c>
      <c r="BT91" s="298" cm="1">
        <f t="array" ref="BT91">IF(AND(BT$2&lt;&gt;0,TblTech[[#This Row],[Hour]:[Hour]]&gt;=BT$2),1,0)</f>
        <v>0</v>
      </c>
      <c r="BU91" s="298" cm="1">
        <f t="array" ref="BU91">IF(AND(BU$2&lt;&gt;0,TblTech[[#This Row],[Hour]:[Hour]]&gt;=BU$2),1,0)</f>
        <v>0</v>
      </c>
      <c r="BV91" s="298" cm="1">
        <f t="array" ref="BV91">IF(AND(BV$2&lt;&gt;0,TblTech[[#This Row],[Hour]:[Hour]]&gt;=BV$2),1,0)</f>
        <v>0</v>
      </c>
      <c r="BW91" s="298" cm="1">
        <f t="array" ref="BW91">IF(AND(BW$2&lt;&gt;0,TblTech[[#This Row],[Hour]:[Hour]]&gt;=BW$2),1,0)</f>
        <v>0</v>
      </c>
      <c r="BX91" s="298" cm="1">
        <f t="array" ref="BX91">IF(AND(BX$2&lt;&gt;0,TblTech[[#This Row],[Hour]:[Hour]]&gt;=BX$2),1,0)</f>
        <v>0</v>
      </c>
      <c r="BY91" s="298" cm="1">
        <f t="array" ref="BY91">IF(AND(BY$2&lt;&gt;0,TblTech[[#This Row],[Hour]:[Hour]]&gt;=BY$2),1,0)</f>
        <v>0</v>
      </c>
      <c r="BZ91" s="298" cm="1">
        <f t="array" ref="BZ91">IF(AND(BZ$2&lt;&gt;0,TblTech[[#This Row],[Hour]:[Hour]]&gt;=BZ$2),1,0)</f>
        <v>0</v>
      </c>
      <c r="CA91" s="402">
        <f>IFERROR(INDEX($H$4:$H$79,MATCH(INDEX(TblTech[[#Headers],[1-1]:[11-1]],1,MATCH(TblTech[[#This Row],[Hour]],$M$2:$BZ$2,0)),$G$4:$G$79,0)),)</f>
        <v>0</v>
      </c>
    </row>
    <row r="92" spans="1:79" x14ac:dyDescent="0.2">
      <c r="A92" s="290">
        <f>TblRezone[[#This Row],[Hour]]</f>
        <v>89</v>
      </c>
      <c r="B92" s="291">
        <f ca="1">TblExplore[[#This Row],[Land-DB]]</f>
        <v>250</v>
      </c>
      <c r="C92" s="292">
        <f ca="1">TblProd[[#This Row],[Techpoints]]</f>
        <v>0</v>
      </c>
      <c r="D92" s="292">
        <f ca="1">TblProd[[#This Row],[Required]]</f>
        <v>3750</v>
      </c>
      <c r="E92" s="301"/>
      <c r="F92" s="302"/>
      <c r="G92" s="295"/>
      <c r="H92" s="296"/>
      <c r="I92" s="296"/>
      <c r="J92" s="296"/>
      <c r="K92" s="95">
        <f ca="1">IF(TblTech[[#This Row],[Sum of tech]]&lt;&gt;OFFSET(TblTech[[#This Row],[Sum of tech]],-1,0),1,0)</f>
        <v>0</v>
      </c>
      <c r="L92" s="297">
        <f>COUNTIF(TblTech[[#This Row],[1-1]:[11-1]],1)</f>
        <v>0</v>
      </c>
      <c r="M92" s="298" cm="1">
        <f t="array" ref="M92">IF(AND(M$2&lt;&gt;0,TblTech[[#This Row],[Hour]:[Hour]]&gt;=M$2),1,0)</f>
        <v>0</v>
      </c>
      <c r="N92" s="298" cm="1">
        <f t="array" ref="N92">IF(AND(N$2&lt;&gt;0,TblTech[[#This Row],[Hour]:[Hour]]&gt;=N$2),1,0)</f>
        <v>0</v>
      </c>
      <c r="O92" s="298" cm="1">
        <f t="array" ref="O92">IF(AND(O$2&lt;&gt;0,TblTech[[#This Row],[Hour]:[Hour]]&gt;=O$2),1,0)</f>
        <v>0</v>
      </c>
      <c r="P92" s="298" cm="1">
        <f t="array" ref="P92">IF(AND(P$2&lt;&gt;0,TblTech[[#This Row],[Hour]:[Hour]]&gt;=P$2),1,0)</f>
        <v>0</v>
      </c>
      <c r="Q92" s="298" cm="1">
        <f t="array" ref="Q92">IF(AND(Q$2&lt;&gt;0,TblTech[[#This Row],[Hour]:[Hour]]&gt;=Q$2),1,0)</f>
        <v>0</v>
      </c>
      <c r="R92" s="298" cm="1">
        <f t="array" ref="R92">IF(AND(R$2&lt;&gt;0,TblTech[[#This Row],[Hour]:[Hour]]&gt;=R$2),1,0)</f>
        <v>0</v>
      </c>
      <c r="S92" s="298" cm="1">
        <f t="array" ref="S92">IF(AND(S$2&lt;&gt;0,TblTech[[#This Row],[Hour]:[Hour]]&gt;=S$2),1,0)</f>
        <v>0</v>
      </c>
      <c r="T92" s="298" cm="1">
        <f t="array" ref="T92">IF(AND(T$2&lt;&gt;0,TblTech[[#This Row],[Hour]:[Hour]]&gt;=T$2),1,0)</f>
        <v>0</v>
      </c>
      <c r="U92" s="298" cm="1">
        <f t="array" ref="U92">IF(AND(U$2&lt;&gt;0,TblTech[[#This Row],[Hour]:[Hour]]&gt;=U$2),1,0)</f>
        <v>0</v>
      </c>
      <c r="V92" s="298" cm="1">
        <f t="array" ref="V92">IF(AND(V$2&lt;&gt;0,TblTech[[#This Row],[Hour]:[Hour]]&gt;=V$2),1,0)</f>
        <v>0</v>
      </c>
      <c r="W92" s="298" cm="1">
        <f t="array" ref="W92">IF(AND(W$2&lt;&gt;0,TblTech[[#This Row],[Hour]:[Hour]]&gt;=W$2),1,0)</f>
        <v>0</v>
      </c>
      <c r="X92" s="298" cm="1">
        <f t="array" ref="X92">IF(AND(X$2&lt;&gt;0,TblTech[[#This Row],[Hour]:[Hour]]&gt;=X$2),1,0)</f>
        <v>0</v>
      </c>
      <c r="Y92" s="298" cm="1">
        <f t="array" ref="Y92">IF(AND(Y$2&lt;&gt;0,TblTech[[#This Row],[Hour]:[Hour]]&gt;=Y$2),1,0)</f>
        <v>0</v>
      </c>
      <c r="Z92" s="298" cm="1">
        <f t="array" ref="Z92">IF(AND(Z$2&lt;&gt;0,TblTech[[#This Row],[Hour]:[Hour]]&gt;=Z$2),1,0)</f>
        <v>0</v>
      </c>
      <c r="AA92" s="298" cm="1">
        <f t="array" ref="AA92">IF(AND(AA$2&lt;&gt;0,TblTech[[#This Row],[Hour]:[Hour]]&gt;=AA$2),1,0)</f>
        <v>0</v>
      </c>
      <c r="AB92" s="298" cm="1">
        <f t="array" ref="AB92">IF(AND(AB$2&lt;&gt;0,TblTech[[#This Row],[Hour]:[Hour]]&gt;=AB$2),1,0)</f>
        <v>0</v>
      </c>
      <c r="AC92" s="298" cm="1">
        <f t="array" ref="AC92">IF(AND(AC$2&lt;&gt;0,TblTech[[#This Row],[Hour]:[Hour]]&gt;=AC$2),1,0)</f>
        <v>0</v>
      </c>
      <c r="AD92" s="298" cm="1">
        <f t="array" ref="AD92">IF(AND(AD$2&lt;&gt;0,TblTech[[#This Row],[Hour]:[Hour]]&gt;=AD$2),1,0)</f>
        <v>0</v>
      </c>
      <c r="AE92" s="298" cm="1">
        <f t="array" ref="AE92">IF(AND(AE$2&lt;&gt;0,TblTech[[#This Row],[Hour]:[Hour]]&gt;=AE$2),1,0)</f>
        <v>0</v>
      </c>
      <c r="AF92" s="298" cm="1">
        <f t="array" ref="AF92">IF(AND(AF$2&lt;&gt;0,TblTech[[#This Row],[Hour]:[Hour]]&gt;=AF$2),1,0)</f>
        <v>0</v>
      </c>
      <c r="AG92" s="298" cm="1">
        <f t="array" ref="AG92">IF(AND(AG$2&lt;&gt;0,TblTech[[#This Row],[Hour]:[Hour]]&gt;=AG$2),1,0)</f>
        <v>0</v>
      </c>
      <c r="AH92" s="298" cm="1">
        <f t="array" ref="AH92">IF(AND(AH$2&lt;&gt;0,TblTech[[#This Row],[Hour]:[Hour]]&gt;=AH$2),1,0)</f>
        <v>0</v>
      </c>
      <c r="AI92" s="298" cm="1">
        <f t="array" ref="AI92">IF(AND(AI$2&lt;&gt;0,TblTech[[#This Row],[Hour]:[Hour]]&gt;=AI$2),1,0)</f>
        <v>0</v>
      </c>
      <c r="AJ92" s="298" cm="1">
        <f t="array" ref="AJ92">IF(AND(AJ$2&lt;&gt;0,TblTech[[#This Row],[Hour]:[Hour]]&gt;=AJ$2),1,0)</f>
        <v>0</v>
      </c>
      <c r="AK92" s="298" cm="1">
        <f t="array" ref="AK92">IF(AND(AK$2&lt;&gt;0,TblTech[[#This Row],[Hour]:[Hour]]&gt;=AK$2),1,0)</f>
        <v>0</v>
      </c>
      <c r="AL92" s="298" cm="1">
        <f t="array" ref="AL92">IF(AND(AL$2&lt;&gt;0,TblTech[[#This Row],[Hour]:[Hour]]&gt;=AL$2),1,0)</f>
        <v>0</v>
      </c>
      <c r="AM92" s="298" cm="1">
        <f t="array" ref="AM92">IF(AND(AM$2&lt;&gt;0,TblTech[[#This Row],[Hour]:[Hour]]&gt;=AM$2),1,0)</f>
        <v>0</v>
      </c>
      <c r="AN92" s="298" cm="1">
        <f t="array" ref="AN92">IF(AND(AN$2&lt;&gt;0,TblTech[[#This Row],[Hour]:[Hour]]&gt;=AN$2),1,0)</f>
        <v>0</v>
      </c>
      <c r="AO92" s="298" cm="1">
        <f t="array" ref="AO92">IF(AND(AO$2&lt;&gt;0,TblTech[[#This Row],[Hour]:[Hour]]&gt;=AO$2),1,0)</f>
        <v>0</v>
      </c>
      <c r="AP92" s="298" cm="1">
        <f t="array" ref="AP92">IF(AND(AP$2&lt;&gt;0,TblTech[[#This Row],[Hour]:[Hour]]&gt;=AP$2),1,0)</f>
        <v>0</v>
      </c>
      <c r="AQ92" s="298" cm="1">
        <f t="array" ref="AQ92">IF(AND(AQ$2&lt;&gt;0,TblTech[[#This Row],[Hour]:[Hour]]&gt;=AQ$2),1,0)</f>
        <v>0</v>
      </c>
      <c r="AR92" s="298" cm="1">
        <f t="array" ref="AR92">IF(AND(AR$2&lt;&gt;0,TblTech[[#This Row],[Hour]:[Hour]]&gt;=AR$2),1,0)</f>
        <v>0</v>
      </c>
      <c r="AS92" s="298" cm="1">
        <f t="array" ref="AS92">IF(AND(AS$2&lt;&gt;0,TblTech[[#This Row],[Hour]:[Hour]]&gt;=AS$2),1,0)</f>
        <v>0</v>
      </c>
      <c r="AT92" s="298" cm="1">
        <f t="array" ref="AT92">IF(AND(AT$2&lt;&gt;0,TblTech[[#This Row],[Hour]:[Hour]]&gt;=AT$2),1,0)</f>
        <v>0</v>
      </c>
      <c r="AU92" s="298" cm="1">
        <f t="array" ref="AU92">IF(AND(AU$2&lt;&gt;0,TblTech[[#This Row],[Hour]:[Hour]]&gt;=AU$2),1,0)</f>
        <v>0</v>
      </c>
      <c r="AV92" s="298" cm="1">
        <f t="array" ref="AV92">IF(AND(AV$2&lt;&gt;0,TblTech[[#This Row],[Hour]:[Hour]]&gt;=AV$2),1,0)</f>
        <v>0</v>
      </c>
      <c r="AW92" s="298" cm="1">
        <f t="array" ref="AW92">IF(AND(AW$2&lt;&gt;0,TblTech[[#This Row],[Hour]:[Hour]]&gt;=AW$2),1,0)</f>
        <v>0</v>
      </c>
      <c r="AX92" s="298" cm="1">
        <f t="array" ref="AX92">IF(AND(AX$2&lt;&gt;0,TblTech[[#This Row],[Hour]:[Hour]]&gt;=AX$2),1,0)</f>
        <v>0</v>
      </c>
      <c r="AY92" s="298" cm="1">
        <f t="array" ref="AY92">IF(AND(AY$2&lt;&gt;0,TblTech[[#This Row],[Hour]:[Hour]]&gt;=AY$2),1,0)</f>
        <v>0</v>
      </c>
      <c r="AZ92" s="298" cm="1">
        <f t="array" ref="AZ92">IF(AND(AZ$2&lt;&gt;0,TblTech[[#This Row],[Hour]:[Hour]]&gt;=AZ$2),1,0)</f>
        <v>0</v>
      </c>
      <c r="BA92" s="298" cm="1">
        <f t="array" ref="BA92">IF(AND(BA$2&lt;&gt;0,TblTech[[#This Row],[Hour]:[Hour]]&gt;=BA$2),1,0)</f>
        <v>0</v>
      </c>
      <c r="BB92" s="298" cm="1">
        <f t="array" ref="BB92">IF(AND(BB$2&lt;&gt;0,TblTech[[#This Row],[Hour]:[Hour]]&gt;=BB$2),1,0)</f>
        <v>0</v>
      </c>
      <c r="BC92" s="298" cm="1">
        <f t="array" ref="BC92">IF(AND(BC$2&lt;&gt;0,TblTech[[#This Row],[Hour]:[Hour]]&gt;=BC$2),1,0)</f>
        <v>0</v>
      </c>
      <c r="BD92" s="298" cm="1">
        <f t="array" ref="BD92">IF(AND(BD$2&lt;&gt;0,TblTech[[#This Row],[Hour]:[Hour]]&gt;=BD$2),1,0)</f>
        <v>0</v>
      </c>
      <c r="BE92" s="298" cm="1">
        <f t="array" ref="BE92">IF(AND(BE$2&lt;&gt;0,TblTech[[#This Row],[Hour]:[Hour]]&gt;=BE$2),1,0)</f>
        <v>0</v>
      </c>
      <c r="BF92" s="298" cm="1">
        <f t="array" ref="BF92">IF(AND(BF$2&lt;&gt;0,TblTech[[#This Row],[Hour]:[Hour]]&gt;=BF$2),1,0)</f>
        <v>0</v>
      </c>
      <c r="BG92" s="298" cm="1">
        <f t="array" ref="BG92">IF(AND(BG$2&lt;&gt;0,TblTech[[#This Row],[Hour]:[Hour]]&gt;=BG$2),1,0)</f>
        <v>0</v>
      </c>
      <c r="BH92" s="298" cm="1">
        <f t="array" ref="BH92">IF(AND(BH$2&lt;&gt;0,TblTech[[#This Row],[Hour]:[Hour]]&gt;=BH$2),1,0)</f>
        <v>0</v>
      </c>
      <c r="BI92" s="298" cm="1">
        <f t="array" ref="BI92">IF(AND(BI$2&lt;&gt;0,TblTech[[#This Row],[Hour]:[Hour]]&gt;=BI$2),1,0)</f>
        <v>0</v>
      </c>
      <c r="BJ92" s="298" cm="1">
        <f t="array" ref="BJ92">IF(AND(BJ$2&lt;&gt;0,TblTech[[#This Row],[Hour]:[Hour]]&gt;=BJ$2),1,0)</f>
        <v>0</v>
      </c>
      <c r="BK92" s="298" cm="1">
        <f t="array" ref="BK92">IF(AND(BK$2&lt;&gt;0,TblTech[[#This Row],[Hour]:[Hour]]&gt;=BK$2),1,0)</f>
        <v>0</v>
      </c>
      <c r="BL92" s="298" cm="1">
        <f t="array" ref="BL92">IF(AND(BL$2&lt;&gt;0,TblTech[[#This Row],[Hour]:[Hour]]&gt;=BL$2),1,0)</f>
        <v>0</v>
      </c>
      <c r="BM92" s="298" cm="1">
        <f t="array" ref="BM92">IF(AND(BM$2&lt;&gt;0,TblTech[[#This Row],[Hour]:[Hour]]&gt;=BM$2),1,0)</f>
        <v>0</v>
      </c>
      <c r="BN92" s="298" cm="1">
        <f t="array" ref="BN92">IF(AND(BN$2&lt;&gt;0,TblTech[[#This Row],[Hour]:[Hour]]&gt;=BN$2),1,0)</f>
        <v>0</v>
      </c>
      <c r="BO92" s="298" cm="1">
        <f t="array" ref="BO92">IF(AND(BO$2&lt;&gt;0,TblTech[[#This Row],[Hour]:[Hour]]&gt;=BO$2),1,0)</f>
        <v>0</v>
      </c>
      <c r="BP92" s="298" cm="1">
        <f t="array" ref="BP92">IF(AND(BP$2&lt;&gt;0,TblTech[[#This Row],[Hour]:[Hour]]&gt;=BP$2),1,0)</f>
        <v>0</v>
      </c>
      <c r="BQ92" s="298" cm="1">
        <f t="array" ref="BQ92">IF(AND(BQ$2&lt;&gt;0,TblTech[[#This Row],[Hour]:[Hour]]&gt;=BQ$2),1,0)</f>
        <v>0</v>
      </c>
      <c r="BR92" s="298" cm="1">
        <f t="array" ref="BR92">IF(AND(BR$2&lt;&gt;0,TblTech[[#This Row],[Hour]:[Hour]]&gt;=BR$2),1,0)</f>
        <v>0</v>
      </c>
      <c r="BS92" s="298" cm="1">
        <f t="array" ref="BS92">IF(AND(BS$2&lt;&gt;0,TblTech[[#This Row],[Hour]:[Hour]]&gt;=BS$2),1,0)</f>
        <v>0</v>
      </c>
      <c r="BT92" s="298" cm="1">
        <f t="array" ref="BT92">IF(AND(BT$2&lt;&gt;0,TblTech[[#This Row],[Hour]:[Hour]]&gt;=BT$2),1,0)</f>
        <v>0</v>
      </c>
      <c r="BU92" s="298" cm="1">
        <f t="array" ref="BU92">IF(AND(BU$2&lt;&gt;0,TblTech[[#This Row],[Hour]:[Hour]]&gt;=BU$2),1,0)</f>
        <v>0</v>
      </c>
      <c r="BV92" s="298" cm="1">
        <f t="array" ref="BV92">IF(AND(BV$2&lt;&gt;0,TblTech[[#This Row],[Hour]:[Hour]]&gt;=BV$2),1,0)</f>
        <v>0</v>
      </c>
      <c r="BW92" s="298" cm="1">
        <f t="array" ref="BW92">IF(AND(BW$2&lt;&gt;0,TblTech[[#This Row],[Hour]:[Hour]]&gt;=BW$2),1,0)</f>
        <v>0</v>
      </c>
      <c r="BX92" s="298" cm="1">
        <f t="array" ref="BX92">IF(AND(BX$2&lt;&gt;0,TblTech[[#This Row],[Hour]:[Hour]]&gt;=BX$2),1,0)</f>
        <v>0</v>
      </c>
      <c r="BY92" s="298" cm="1">
        <f t="array" ref="BY92">IF(AND(BY$2&lt;&gt;0,TblTech[[#This Row],[Hour]:[Hour]]&gt;=BY$2),1,0)</f>
        <v>0</v>
      </c>
      <c r="BZ92" s="298" cm="1">
        <f t="array" ref="BZ92">IF(AND(BZ$2&lt;&gt;0,TblTech[[#This Row],[Hour]:[Hour]]&gt;=BZ$2),1,0)</f>
        <v>0</v>
      </c>
      <c r="CA92" s="402">
        <f>IFERROR(INDEX($H$4:$H$79,MATCH(INDEX(TblTech[[#Headers],[1-1]:[11-1]],1,MATCH(TblTech[[#This Row],[Hour]],$M$2:$BZ$2,0)),$G$4:$G$79,0)),)</f>
        <v>0</v>
      </c>
    </row>
    <row r="93" spans="1:79" x14ac:dyDescent="0.2">
      <c r="A93" s="290">
        <f>TblRezone[[#This Row],[Hour]]</f>
        <v>90</v>
      </c>
      <c r="B93" s="291">
        <f ca="1">TblExplore[[#This Row],[Land-DB]]</f>
        <v>250</v>
      </c>
      <c r="C93" s="292">
        <f ca="1">TblProd[[#This Row],[Techpoints]]</f>
        <v>0</v>
      </c>
      <c r="D93" s="292">
        <f ca="1">TblProd[[#This Row],[Required]]</f>
        <v>3750</v>
      </c>
      <c r="E93" s="301"/>
      <c r="F93" s="302"/>
      <c r="G93" s="295"/>
      <c r="H93" s="296"/>
      <c r="I93" s="296"/>
      <c r="J93" s="296"/>
      <c r="K93" s="95">
        <f ca="1">IF(TblTech[[#This Row],[Sum of tech]]&lt;&gt;OFFSET(TblTech[[#This Row],[Sum of tech]],-1,0),1,0)</f>
        <v>0</v>
      </c>
      <c r="L93" s="297">
        <f>COUNTIF(TblTech[[#This Row],[1-1]:[11-1]],1)</f>
        <v>0</v>
      </c>
      <c r="M93" s="298" cm="1">
        <f t="array" ref="M93">IF(AND(M$2&lt;&gt;0,TblTech[[#This Row],[Hour]:[Hour]]&gt;=M$2),1,0)</f>
        <v>0</v>
      </c>
      <c r="N93" s="298" cm="1">
        <f t="array" ref="N93">IF(AND(N$2&lt;&gt;0,TblTech[[#This Row],[Hour]:[Hour]]&gt;=N$2),1,0)</f>
        <v>0</v>
      </c>
      <c r="O93" s="298" cm="1">
        <f t="array" ref="O93">IF(AND(O$2&lt;&gt;0,TblTech[[#This Row],[Hour]:[Hour]]&gt;=O$2),1,0)</f>
        <v>0</v>
      </c>
      <c r="P93" s="298" cm="1">
        <f t="array" ref="P93">IF(AND(P$2&lt;&gt;0,TblTech[[#This Row],[Hour]:[Hour]]&gt;=P$2),1,0)</f>
        <v>0</v>
      </c>
      <c r="Q93" s="298" cm="1">
        <f t="array" ref="Q93">IF(AND(Q$2&lt;&gt;0,TblTech[[#This Row],[Hour]:[Hour]]&gt;=Q$2),1,0)</f>
        <v>0</v>
      </c>
      <c r="R93" s="298" cm="1">
        <f t="array" ref="R93">IF(AND(R$2&lt;&gt;0,TblTech[[#This Row],[Hour]:[Hour]]&gt;=R$2),1,0)</f>
        <v>0</v>
      </c>
      <c r="S93" s="298" cm="1">
        <f t="array" ref="S93">IF(AND(S$2&lt;&gt;0,TblTech[[#This Row],[Hour]:[Hour]]&gt;=S$2),1,0)</f>
        <v>0</v>
      </c>
      <c r="T93" s="298" cm="1">
        <f t="array" ref="T93">IF(AND(T$2&lt;&gt;0,TblTech[[#This Row],[Hour]:[Hour]]&gt;=T$2),1,0)</f>
        <v>0</v>
      </c>
      <c r="U93" s="298" cm="1">
        <f t="array" ref="U93">IF(AND(U$2&lt;&gt;0,TblTech[[#This Row],[Hour]:[Hour]]&gt;=U$2),1,0)</f>
        <v>0</v>
      </c>
      <c r="V93" s="298" cm="1">
        <f t="array" ref="V93">IF(AND(V$2&lt;&gt;0,TblTech[[#This Row],[Hour]:[Hour]]&gt;=V$2),1,0)</f>
        <v>0</v>
      </c>
      <c r="W93" s="298" cm="1">
        <f t="array" ref="W93">IF(AND(W$2&lt;&gt;0,TblTech[[#This Row],[Hour]:[Hour]]&gt;=W$2),1,0)</f>
        <v>0</v>
      </c>
      <c r="X93" s="298" cm="1">
        <f t="array" ref="X93">IF(AND(X$2&lt;&gt;0,TblTech[[#This Row],[Hour]:[Hour]]&gt;=X$2),1,0)</f>
        <v>0</v>
      </c>
      <c r="Y93" s="298" cm="1">
        <f t="array" ref="Y93">IF(AND(Y$2&lt;&gt;0,TblTech[[#This Row],[Hour]:[Hour]]&gt;=Y$2),1,0)</f>
        <v>0</v>
      </c>
      <c r="Z93" s="298" cm="1">
        <f t="array" ref="Z93">IF(AND(Z$2&lt;&gt;0,TblTech[[#This Row],[Hour]:[Hour]]&gt;=Z$2),1,0)</f>
        <v>0</v>
      </c>
      <c r="AA93" s="298" cm="1">
        <f t="array" ref="AA93">IF(AND(AA$2&lt;&gt;0,TblTech[[#This Row],[Hour]:[Hour]]&gt;=AA$2),1,0)</f>
        <v>0</v>
      </c>
      <c r="AB93" s="298" cm="1">
        <f t="array" ref="AB93">IF(AND(AB$2&lt;&gt;0,TblTech[[#This Row],[Hour]:[Hour]]&gt;=AB$2),1,0)</f>
        <v>0</v>
      </c>
      <c r="AC93" s="298" cm="1">
        <f t="array" ref="AC93">IF(AND(AC$2&lt;&gt;0,TblTech[[#This Row],[Hour]:[Hour]]&gt;=AC$2),1,0)</f>
        <v>0</v>
      </c>
      <c r="AD93" s="298" cm="1">
        <f t="array" ref="AD93">IF(AND(AD$2&lt;&gt;0,TblTech[[#This Row],[Hour]:[Hour]]&gt;=AD$2),1,0)</f>
        <v>0</v>
      </c>
      <c r="AE93" s="298" cm="1">
        <f t="array" ref="AE93">IF(AND(AE$2&lt;&gt;0,TblTech[[#This Row],[Hour]:[Hour]]&gt;=AE$2),1,0)</f>
        <v>0</v>
      </c>
      <c r="AF93" s="298" cm="1">
        <f t="array" ref="AF93">IF(AND(AF$2&lt;&gt;0,TblTech[[#This Row],[Hour]:[Hour]]&gt;=AF$2),1,0)</f>
        <v>0</v>
      </c>
      <c r="AG93" s="298" cm="1">
        <f t="array" ref="AG93">IF(AND(AG$2&lt;&gt;0,TblTech[[#This Row],[Hour]:[Hour]]&gt;=AG$2),1,0)</f>
        <v>0</v>
      </c>
      <c r="AH93" s="298" cm="1">
        <f t="array" ref="AH93">IF(AND(AH$2&lt;&gt;0,TblTech[[#This Row],[Hour]:[Hour]]&gt;=AH$2),1,0)</f>
        <v>0</v>
      </c>
      <c r="AI93" s="298" cm="1">
        <f t="array" ref="AI93">IF(AND(AI$2&lt;&gt;0,TblTech[[#This Row],[Hour]:[Hour]]&gt;=AI$2),1,0)</f>
        <v>0</v>
      </c>
      <c r="AJ93" s="298" cm="1">
        <f t="array" ref="AJ93">IF(AND(AJ$2&lt;&gt;0,TblTech[[#This Row],[Hour]:[Hour]]&gt;=AJ$2),1,0)</f>
        <v>0</v>
      </c>
      <c r="AK93" s="298" cm="1">
        <f t="array" ref="AK93">IF(AND(AK$2&lt;&gt;0,TblTech[[#This Row],[Hour]:[Hour]]&gt;=AK$2),1,0)</f>
        <v>0</v>
      </c>
      <c r="AL93" s="298" cm="1">
        <f t="array" ref="AL93">IF(AND(AL$2&lt;&gt;0,TblTech[[#This Row],[Hour]:[Hour]]&gt;=AL$2),1,0)</f>
        <v>0</v>
      </c>
      <c r="AM93" s="298" cm="1">
        <f t="array" ref="AM93">IF(AND(AM$2&lt;&gt;0,TblTech[[#This Row],[Hour]:[Hour]]&gt;=AM$2),1,0)</f>
        <v>0</v>
      </c>
      <c r="AN93" s="298" cm="1">
        <f t="array" ref="AN93">IF(AND(AN$2&lt;&gt;0,TblTech[[#This Row],[Hour]:[Hour]]&gt;=AN$2),1,0)</f>
        <v>0</v>
      </c>
      <c r="AO93" s="298" cm="1">
        <f t="array" ref="AO93">IF(AND(AO$2&lt;&gt;0,TblTech[[#This Row],[Hour]:[Hour]]&gt;=AO$2),1,0)</f>
        <v>0</v>
      </c>
      <c r="AP93" s="298" cm="1">
        <f t="array" ref="AP93">IF(AND(AP$2&lt;&gt;0,TblTech[[#This Row],[Hour]:[Hour]]&gt;=AP$2),1,0)</f>
        <v>0</v>
      </c>
      <c r="AQ93" s="298" cm="1">
        <f t="array" ref="AQ93">IF(AND(AQ$2&lt;&gt;0,TblTech[[#This Row],[Hour]:[Hour]]&gt;=AQ$2),1,0)</f>
        <v>0</v>
      </c>
      <c r="AR93" s="298" cm="1">
        <f t="array" ref="AR93">IF(AND(AR$2&lt;&gt;0,TblTech[[#This Row],[Hour]:[Hour]]&gt;=AR$2),1,0)</f>
        <v>0</v>
      </c>
      <c r="AS93" s="298" cm="1">
        <f t="array" ref="AS93">IF(AND(AS$2&lt;&gt;0,TblTech[[#This Row],[Hour]:[Hour]]&gt;=AS$2),1,0)</f>
        <v>0</v>
      </c>
      <c r="AT93" s="298" cm="1">
        <f t="array" ref="AT93">IF(AND(AT$2&lt;&gt;0,TblTech[[#This Row],[Hour]:[Hour]]&gt;=AT$2),1,0)</f>
        <v>0</v>
      </c>
      <c r="AU93" s="298" cm="1">
        <f t="array" ref="AU93">IF(AND(AU$2&lt;&gt;0,TblTech[[#This Row],[Hour]:[Hour]]&gt;=AU$2),1,0)</f>
        <v>0</v>
      </c>
      <c r="AV93" s="298" cm="1">
        <f t="array" ref="AV93">IF(AND(AV$2&lt;&gt;0,TblTech[[#This Row],[Hour]:[Hour]]&gt;=AV$2),1,0)</f>
        <v>0</v>
      </c>
      <c r="AW93" s="298" cm="1">
        <f t="array" ref="AW93">IF(AND(AW$2&lt;&gt;0,TblTech[[#This Row],[Hour]:[Hour]]&gt;=AW$2),1,0)</f>
        <v>0</v>
      </c>
      <c r="AX93" s="298" cm="1">
        <f t="array" ref="AX93">IF(AND(AX$2&lt;&gt;0,TblTech[[#This Row],[Hour]:[Hour]]&gt;=AX$2),1,0)</f>
        <v>0</v>
      </c>
      <c r="AY93" s="298" cm="1">
        <f t="array" ref="AY93">IF(AND(AY$2&lt;&gt;0,TblTech[[#This Row],[Hour]:[Hour]]&gt;=AY$2),1,0)</f>
        <v>0</v>
      </c>
      <c r="AZ93" s="298" cm="1">
        <f t="array" ref="AZ93">IF(AND(AZ$2&lt;&gt;0,TblTech[[#This Row],[Hour]:[Hour]]&gt;=AZ$2),1,0)</f>
        <v>0</v>
      </c>
      <c r="BA93" s="298" cm="1">
        <f t="array" ref="BA93">IF(AND(BA$2&lt;&gt;0,TblTech[[#This Row],[Hour]:[Hour]]&gt;=BA$2),1,0)</f>
        <v>0</v>
      </c>
      <c r="BB93" s="298" cm="1">
        <f t="array" ref="BB93">IF(AND(BB$2&lt;&gt;0,TblTech[[#This Row],[Hour]:[Hour]]&gt;=BB$2),1,0)</f>
        <v>0</v>
      </c>
      <c r="BC93" s="298" cm="1">
        <f t="array" ref="BC93">IF(AND(BC$2&lt;&gt;0,TblTech[[#This Row],[Hour]:[Hour]]&gt;=BC$2),1,0)</f>
        <v>0</v>
      </c>
      <c r="BD93" s="298" cm="1">
        <f t="array" ref="BD93">IF(AND(BD$2&lt;&gt;0,TblTech[[#This Row],[Hour]:[Hour]]&gt;=BD$2),1,0)</f>
        <v>0</v>
      </c>
      <c r="BE93" s="298" cm="1">
        <f t="array" ref="BE93">IF(AND(BE$2&lt;&gt;0,TblTech[[#This Row],[Hour]:[Hour]]&gt;=BE$2),1,0)</f>
        <v>0</v>
      </c>
      <c r="BF93" s="298" cm="1">
        <f t="array" ref="BF93">IF(AND(BF$2&lt;&gt;0,TblTech[[#This Row],[Hour]:[Hour]]&gt;=BF$2),1,0)</f>
        <v>0</v>
      </c>
      <c r="BG93" s="298" cm="1">
        <f t="array" ref="BG93">IF(AND(BG$2&lt;&gt;0,TblTech[[#This Row],[Hour]:[Hour]]&gt;=BG$2),1,0)</f>
        <v>0</v>
      </c>
      <c r="BH93" s="298" cm="1">
        <f t="array" ref="BH93">IF(AND(BH$2&lt;&gt;0,TblTech[[#This Row],[Hour]:[Hour]]&gt;=BH$2),1,0)</f>
        <v>0</v>
      </c>
      <c r="BI93" s="298" cm="1">
        <f t="array" ref="BI93">IF(AND(BI$2&lt;&gt;0,TblTech[[#This Row],[Hour]:[Hour]]&gt;=BI$2),1,0)</f>
        <v>0</v>
      </c>
      <c r="BJ93" s="298" cm="1">
        <f t="array" ref="BJ93">IF(AND(BJ$2&lt;&gt;0,TblTech[[#This Row],[Hour]:[Hour]]&gt;=BJ$2),1,0)</f>
        <v>0</v>
      </c>
      <c r="BK93" s="298" cm="1">
        <f t="array" ref="BK93">IF(AND(BK$2&lt;&gt;0,TblTech[[#This Row],[Hour]:[Hour]]&gt;=BK$2),1,0)</f>
        <v>0</v>
      </c>
      <c r="BL93" s="298" cm="1">
        <f t="array" ref="BL93">IF(AND(BL$2&lt;&gt;0,TblTech[[#This Row],[Hour]:[Hour]]&gt;=BL$2),1,0)</f>
        <v>0</v>
      </c>
      <c r="BM93" s="298" cm="1">
        <f t="array" ref="BM93">IF(AND(BM$2&lt;&gt;0,TblTech[[#This Row],[Hour]:[Hour]]&gt;=BM$2),1,0)</f>
        <v>0</v>
      </c>
      <c r="BN93" s="298" cm="1">
        <f t="array" ref="BN93">IF(AND(BN$2&lt;&gt;0,TblTech[[#This Row],[Hour]:[Hour]]&gt;=BN$2),1,0)</f>
        <v>0</v>
      </c>
      <c r="BO93" s="298" cm="1">
        <f t="array" ref="BO93">IF(AND(BO$2&lt;&gt;0,TblTech[[#This Row],[Hour]:[Hour]]&gt;=BO$2),1,0)</f>
        <v>0</v>
      </c>
      <c r="BP93" s="298" cm="1">
        <f t="array" ref="BP93">IF(AND(BP$2&lt;&gt;0,TblTech[[#This Row],[Hour]:[Hour]]&gt;=BP$2),1,0)</f>
        <v>0</v>
      </c>
      <c r="BQ93" s="298" cm="1">
        <f t="array" ref="BQ93">IF(AND(BQ$2&lt;&gt;0,TblTech[[#This Row],[Hour]:[Hour]]&gt;=BQ$2),1,0)</f>
        <v>0</v>
      </c>
      <c r="BR93" s="298" cm="1">
        <f t="array" ref="BR93">IF(AND(BR$2&lt;&gt;0,TblTech[[#This Row],[Hour]:[Hour]]&gt;=BR$2),1,0)</f>
        <v>0</v>
      </c>
      <c r="BS93" s="298" cm="1">
        <f t="array" ref="BS93">IF(AND(BS$2&lt;&gt;0,TblTech[[#This Row],[Hour]:[Hour]]&gt;=BS$2),1,0)</f>
        <v>0</v>
      </c>
      <c r="BT93" s="298" cm="1">
        <f t="array" ref="BT93">IF(AND(BT$2&lt;&gt;0,TblTech[[#This Row],[Hour]:[Hour]]&gt;=BT$2),1,0)</f>
        <v>0</v>
      </c>
      <c r="BU93" s="298" cm="1">
        <f t="array" ref="BU93">IF(AND(BU$2&lt;&gt;0,TblTech[[#This Row],[Hour]:[Hour]]&gt;=BU$2),1,0)</f>
        <v>0</v>
      </c>
      <c r="BV93" s="298" cm="1">
        <f t="array" ref="BV93">IF(AND(BV$2&lt;&gt;0,TblTech[[#This Row],[Hour]:[Hour]]&gt;=BV$2),1,0)</f>
        <v>0</v>
      </c>
      <c r="BW93" s="298" cm="1">
        <f t="array" ref="BW93">IF(AND(BW$2&lt;&gt;0,TblTech[[#This Row],[Hour]:[Hour]]&gt;=BW$2),1,0)</f>
        <v>0</v>
      </c>
      <c r="BX93" s="298" cm="1">
        <f t="array" ref="BX93">IF(AND(BX$2&lt;&gt;0,TblTech[[#This Row],[Hour]:[Hour]]&gt;=BX$2),1,0)</f>
        <v>0</v>
      </c>
      <c r="BY93" s="298" cm="1">
        <f t="array" ref="BY93">IF(AND(BY$2&lt;&gt;0,TblTech[[#This Row],[Hour]:[Hour]]&gt;=BY$2),1,0)</f>
        <v>0</v>
      </c>
      <c r="BZ93" s="298" cm="1">
        <f t="array" ref="BZ93">IF(AND(BZ$2&lt;&gt;0,TblTech[[#This Row],[Hour]:[Hour]]&gt;=BZ$2),1,0)</f>
        <v>0</v>
      </c>
      <c r="CA93" s="402">
        <f>IFERROR(INDEX($H$4:$H$79,MATCH(INDEX(TblTech[[#Headers],[1-1]:[11-1]],1,MATCH(TblTech[[#This Row],[Hour]],$M$2:$BZ$2,0)),$G$4:$G$79,0)),)</f>
        <v>0</v>
      </c>
    </row>
    <row r="94" spans="1:79" x14ac:dyDescent="0.2">
      <c r="A94" s="290">
        <f>TblRezone[[#This Row],[Hour]]</f>
        <v>91</v>
      </c>
      <c r="B94" s="291">
        <f ca="1">TblExplore[[#This Row],[Land-DB]]</f>
        <v>250</v>
      </c>
      <c r="C94" s="292">
        <f ca="1">TblProd[[#This Row],[Techpoints]]</f>
        <v>0</v>
      </c>
      <c r="D94" s="292">
        <f ca="1">TblProd[[#This Row],[Required]]</f>
        <v>3750</v>
      </c>
      <c r="E94" s="301"/>
      <c r="F94" s="302"/>
      <c r="G94" s="295"/>
      <c r="H94" s="296"/>
      <c r="I94" s="296"/>
      <c r="J94" s="296"/>
      <c r="K94" s="95">
        <f ca="1">IF(TblTech[[#This Row],[Sum of tech]]&lt;&gt;OFFSET(TblTech[[#This Row],[Sum of tech]],-1,0),1,0)</f>
        <v>0</v>
      </c>
      <c r="L94" s="297">
        <f>COUNTIF(TblTech[[#This Row],[1-1]:[11-1]],1)</f>
        <v>0</v>
      </c>
      <c r="M94" s="298" cm="1">
        <f t="array" ref="M94">IF(AND(M$2&lt;&gt;0,TblTech[[#This Row],[Hour]:[Hour]]&gt;=M$2),1,0)</f>
        <v>0</v>
      </c>
      <c r="N94" s="298" cm="1">
        <f t="array" ref="N94">IF(AND(N$2&lt;&gt;0,TblTech[[#This Row],[Hour]:[Hour]]&gt;=N$2),1,0)</f>
        <v>0</v>
      </c>
      <c r="O94" s="298" cm="1">
        <f t="array" ref="O94">IF(AND(O$2&lt;&gt;0,TblTech[[#This Row],[Hour]:[Hour]]&gt;=O$2),1,0)</f>
        <v>0</v>
      </c>
      <c r="P94" s="298" cm="1">
        <f t="array" ref="P94">IF(AND(P$2&lt;&gt;0,TblTech[[#This Row],[Hour]:[Hour]]&gt;=P$2),1,0)</f>
        <v>0</v>
      </c>
      <c r="Q94" s="298" cm="1">
        <f t="array" ref="Q94">IF(AND(Q$2&lt;&gt;0,TblTech[[#This Row],[Hour]:[Hour]]&gt;=Q$2),1,0)</f>
        <v>0</v>
      </c>
      <c r="R94" s="298" cm="1">
        <f t="array" ref="R94">IF(AND(R$2&lt;&gt;0,TblTech[[#This Row],[Hour]:[Hour]]&gt;=R$2),1,0)</f>
        <v>0</v>
      </c>
      <c r="S94" s="298" cm="1">
        <f t="array" ref="S94">IF(AND(S$2&lt;&gt;0,TblTech[[#This Row],[Hour]:[Hour]]&gt;=S$2),1,0)</f>
        <v>0</v>
      </c>
      <c r="T94" s="298" cm="1">
        <f t="array" ref="T94">IF(AND(T$2&lt;&gt;0,TblTech[[#This Row],[Hour]:[Hour]]&gt;=T$2),1,0)</f>
        <v>0</v>
      </c>
      <c r="U94" s="298" cm="1">
        <f t="array" ref="U94">IF(AND(U$2&lt;&gt;0,TblTech[[#This Row],[Hour]:[Hour]]&gt;=U$2),1,0)</f>
        <v>0</v>
      </c>
      <c r="V94" s="298" cm="1">
        <f t="array" ref="V94">IF(AND(V$2&lt;&gt;0,TblTech[[#This Row],[Hour]:[Hour]]&gt;=V$2),1,0)</f>
        <v>0</v>
      </c>
      <c r="W94" s="298" cm="1">
        <f t="array" ref="W94">IF(AND(W$2&lt;&gt;0,TblTech[[#This Row],[Hour]:[Hour]]&gt;=W$2),1,0)</f>
        <v>0</v>
      </c>
      <c r="X94" s="298" cm="1">
        <f t="array" ref="X94">IF(AND(X$2&lt;&gt;0,TblTech[[#This Row],[Hour]:[Hour]]&gt;=X$2),1,0)</f>
        <v>0</v>
      </c>
      <c r="Y94" s="298" cm="1">
        <f t="array" ref="Y94">IF(AND(Y$2&lt;&gt;0,TblTech[[#This Row],[Hour]:[Hour]]&gt;=Y$2),1,0)</f>
        <v>0</v>
      </c>
      <c r="Z94" s="298" cm="1">
        <f t="array" ref="Z94">IF(AND(Z$2&lt;&gt;0,TblTech[[#This Row],[Hour]:[Hour]]&gt;=Z$2),1,0)</f>
        <v>0</v>
      </c>
      <c r="AA94" s="298" cm="1">
        <f t="array" ref="AA94">IF(AND(AA$2&lt;&gt;0,TblTech[[#This Row],[Hour]:[Hour]]&gt;=AA$2),1,0)</f>
        <v>0</v>
      </c>
      <c r="AB94" s="298" cm="1">
        <f t="array" ref="AB94">IF(AND(AB$2&lt;&gt;0,TblTech[[#This Row],[Hour]:[Hour]]&gt;=AB$2),1,0)</f>
        <v>0</v>
      </c>
      <c r="AC94" s="298" cm="1">
        <f t="array" ref="AC94">IF(AND(AC$2&lt;&gt;0,TblTech[[#This Row],[Hour]:[Hour]]&gt;=AC$2),1,0)</f>
        <v>0</v>
      </c>
      <c r="AD94" s="298" cm="1">
        <f t="array" ref="AD94">IF(AND(AD$2&lt;&gt;0,TblTech[[#This Row],[Hour]:[Hour]]&gt;=AD$2),1,0)</f>
        <v>0</v>
      </c>
      <c r="AE94" s="298" cm="1">
        <f t="array" ref="AE94">IF(AND(AE$2&lt;&gt;0,TblTech[[#This Row],[Hour]:[Hour]]&gt;=AE$2),1,0)</f>
        <v>0</v>
      </c>
      <c r="AF94" s="298" cm="1">
        <f t="array" ref="AF94">IF(AND(AF$2&lt;&gt;0,TblTech[[#This Row],[Hour]:[Hour]]&gt;=AF$2),1,0)</f>
        <v>0</v>
      </c>
      <c r="AG94" s="298" cm="1">
        <f t="array" ref="AG94">IF(AND(AG$2&lt;&gt;0,TblTech[[#This Row],[Hour]:[Hour]]&gt;=AG$2),1,0)</f>
        <v>0</v>
      </c>
      <c r="AH94" s="298" cm="1">
        <f t="array" ref="AH94">IF(AND(AH$2&lt;&gt;0,TblTech[[#This Row],[Hour]:[Hour]]&gt;=AH$2),1,0)</f>
        <v>0</v>
      </c>
      <c r="AI94" s="298" cm="1">
        <f t="array" ref="AI94">IF(AND(AI$2&lt;&gt;0,TblTech[[#This Row],[Hour]:[Hour]]&gt;=AI$2),1,0)</f>
        <v>0</v>
      </c>
      <c r="AJ94" s="298" cm="1">
        <f t="array" ref="AJ94">IF(AND(AJ$2&lt;&gt;0,TblTech[[#This Row],[Hour]:[Hour]]&gt;=AJ$2),1,0)</f>
        <v>0</v>
      </c>
      <c r="AK94" s="298" cm="1">
        <f t="array" ref="AK94">IF(AND(AK$2&lt;&gt;0,TblTech[[#This Row],[Hour]:[Hour]]&gt;=AK$2),1,0)</f>
        <v>0</v>
      </c>
      <c r="AL94" s="298" cm="1">
        <f t="array" ref="AL94">IF(AND(AL$2&lt;&gt;0,TblTech[[#This Row],[Hour]:[Hour]]&gt;=AL$2),1,0)</f>
        <v>0</v>
      </c>
      <c r="AM94" s="298" cm="1">
        <f t="array" ref="AM94">IF(AND(AM$2&lt;&gt;0,TblTech[[#This Row],[Hour]:[Hour]]&gt;=AM$2),1,0)</f>
        <v>0</v>
      </c>
      <c r="AN94" s="298" cm="1">
        <f t="array" ref="AN94">IF(AND(AN$2&lt;&gt;0,TblTech[[#This Row],[Hour]:[Hour]]&gt;=AN$2),1,0)</f>
        <v>0</v>
      </c>
      <c r="AO94" s="298" cm="1">
        <f t="array" ref="AO94">IF(AND(AO$2&lt;&gt;0,TblTech[[#This Row],[Hour]:[Hour]]&gt;=AO$2),1,0)</f>
        <v>0</v>
      </c>
      <c r="AP94" s="298" cm="1">
        <f t="array" ref="AP94">IF(AND(AP$2&lt;&gt;0,TblTech[[#This Row],[Hour]:[Hour]]&gt;=AP$2),1,0)</f>
        <v>0</v>
      </c>
      <c r="AQ94" s="298" cm="1">
        <f t="array" ref="AQ94">IF(AND(AQ$2&lt;&gt;0,TblTech[[#This Row],[Hour]:[Hour]]&gt;=AQ$2),1,0)</f>
        <v>0</v>
      </c>
      <c r="AR94" s="298" cm="1">
        <f t="array" ref="AR94">IF(AND(AR$2&lt;&gt;0,TblTech[[#This Row],[Hour]:[Hour]]&gt;=AR$2),1,0)</f>
        <v>0</v>
      </c>
      <c r="AS94" s="298" cm="1">
        <f t="array" ref="AS94">IF(AND(AS$2&lt;&gt;0,TblTech[[#This Row],[Hour]:[Hour]]&gt;=AS$2),1,0)</f>
        <v>0</v>
      </c>
      <c r="AT94" s="298" cm="1">
        <f t="array" ref="AT94">IF(AND(AT$2&lt;&gt;0,TblTech[[#This Row],[Hour]:[Hour]]&gt;=AT$2),1,0)</f>
        <v>0</v>
      </c>
      <c r="AU94" s="298" cm="1">
        <f t="array" ref="AU94">IF(AND(AU$2&lt;&gt;0,TblTech[[#This Row],[Hour]:[Hour]]&gt;=AU$2),1,0)</f>
        <v>0</v>
      </c>
      <c r="AV94" s="298" cm="1">
        <f t="array" ref="AV94">IF(AND(AV$2&lt;&gt;0,TblTech[[#This Row],[Hour]:[Hour]]&gt;=AV$2),1,0)</f>
        <v>0</v>
      </c>
      <c r="AW94" s="298" cm="1">
        <f t="array" ref="AW94">IF(AND(AW$2&lt;&gt;0,TblTech[[#This Row],[Hour]:[Hour]]&gt;=AW$2),1,0)</f>
        <v>0</v>
      </c>
      <c r="AX94" s="298" cm="1">
        <f t="array" ref="AX94">IF(AND(AX$2&lt;&gt;0,TblTech[[#This Row],[Hour]:[Hour]]&gt;=AX$2),1,0)</f>
        <v>0</v>
      </c>
      <c r="AY94" s="298" cm="1">
        <f t="array" ref="AY94">IF(AND(AY$2&lt;&gt;0,TblTech[[#This Row],[Hour]:[Hour]]&gt;=AY$2),1,0)</f>
        <v>0</v>
      </c>
      <c r="AZ94" s="298" cm="1">
        <f t="array" ref="AZ94">IF(AND(AZ$2&lt;&gt;0,TblTech[[#This Row],[Hour]:[Hour]]&gt;=AZ$2),1,0)</f>
        <v>0</v>
      </c>
      <c r="BA94" s="298" cm="1">
        <f t="array" ref="BA94">IF(AND(BA$2&lt;&gt;0,TblTech[[#This Row],[Hour]:[Hour]]&gt;=BA$2),1,0)</f>
        <v>0</v>
      </c>
      <c r="BB94" s="298" cm="1">
        <f t="array" ref="BB94">IF(AND(BB$2&lt;&gt;0,TblTech[[#This Row],[Hour]:[Hour]]&gt;=BB$2),1,0)</f>
        <v>0</v>
      </c>
      <c r="BC94" s="298" cm="1">
        <f t="array" ref="BC94">IF(AND(BC$2&lt;&gt;0,TblTech[[#This Row],[Hour]:[Hour]]&gt;=BC$2),1,0)</f>
        <v>0</v>
      </c>
      <c r="BD94" s="298" cm="1">
        <f t="array" ref="BD94">IF(AND(BD$2&lt;&gt;0,TblTech[[#This Row],[Hour]:[Hour]]&gt;=BD$2),1,0)</f>
        <v>0</v>
      </c>
      <c r="BE94" s="298" cm="1">
        <f t="array" ref="BE94">IF(AND(BE$2&lt;&gt;0,TblTech[[#This Row],[Hour]:[Hour]]&gt;=BE$2),1,0)</f>
        <v>0</v>
      </c>
      <c r="BF94" s="298" cm="1">
        <f t="array" ref="BF94">IF(AND(BF$2&lt;&gt;0,TblTech[[#This Row],[Hour]:[Hour]]&gt;=BF$2),1,0)</f>
        <v>0</v>
      </c>
      <c r="BG94" s="298" cm="1">
        <f t="array" ref="BG94">IF(AND(BG$2&lt;&gt;0,TblTech[[#This Row],[Hour]:[Hour]]&gt;=BG$2),1,0)</f>
        <v>0</v>
      </c>
      <c r="BH94" s="298" cm="1">
        <f t="array" ref="BH94">IF(AND(BH$2&lt;&gt;0,TblTech[[#This Row],[Hour]:[Hour]]&gt;=BH$2),1,0)</f>
        <v>0</v>
      </c>
      <c r="BI94" s="298" cm="1">
        <f t="array" ref="BI94">IF(AND(BI$2&lt;&gt;0,TblTech[[#This Row],[Hour]:[Hour]]&gt;=BI$2),1,0)</f>
        <v>0</v>
      </c>
      <c r="BJ94" s="298" cm="1">
        <f t="array" ref="BJ94">IF(AND(BJ$2&lt;&gt;0,TblTech[[#This Row],[Hour]:[Hour]]&gt;=BJ$2),1,0)</f>
        <v>0</v>
      </c>
      <c r="BK94" s="298" cm="1">
        <f t="array" ref="BK94">IF(AND(BK$2&lt;&gt;0,TblTech[[#This Row],[Hour]:[Hour]]&gt;=BK$2),1,0)</f>
        <v>0</v>
      </c>
      <c r="BL94" s="298" cm="1">
        <f t="array" ref="BL94">IF(AND(BL$2&lt;&gt;0,TblTech[[#This Row],[Hour]:[Hour]]&gt;=BL$2),1,0)</f>
        <v>0</v>
      </c>
      <c r="BM94" s="298" cm="1">
        <f t="array" ref="BM94">IF(AND(BM$2&lt;&gt;0,TblTech[[#This Row],[Hour]:[Hour]]&gt;=BM$2),1,0)</f>
        <v>0</v>
      </c>
      <c r="BN94" s="298" cm="1">
        <f t="array" ref="BN94">IF(AND(BN$2&lt;&gt;0,TblTech[[#This Row],[Hour]:[Hour]]&gt;=BN$2),1,0)</f>
        <v>0</v>
      </c>
      <c r="BO94" s="298" cm="1">
        <f t="array" ref="BO94">IF(AND(BO$2&lt;&gt;0,TblTech[[#This Row],[Hour]:[Hour]]&gt;=BO$2),1,0)</f>
        <v>0</v>
      </c>
      <c r="BP94" s="298" cm="1">
        <f t="array" ref="BP94">IF(AND(BP$2&lt;&gt;0,TblTech[[#This Row],[Hour]:[Hour]]&gt;=BP$2),1,0)</f>
        <v>0</v>
      </c>
      <c r="BQ94" s="298" cm="1">
        <f t="array" ref="BQ94">IF(AND(BQ$2&lt;&gt;0,TblTech[[#This Row],[Hour]:[Hour]]&gt;=BQ$2),1,0)</f>
        <v>0</v>
      </c>
      <c r="BR94" s="298" cm="1">
        <f t="array" ref="BR94">IF(AND(BR$2&lt;&gt;0,TblTech[[#This Row],[Hour]:[Hour]]&gt;=BR$2),1,0)</f>
        <v>0</v>
      </c>
      <c r="BS94" s="298" cm="1">
        <f t="array" ref="BS94">IF(AND(BS$2&lt;&gt;0,TblTech[[#This Row],[Hour]:[Hour]]&gt;=BS$2),1,0)</f>
        <v>0</v>
      </c>
      <c r="BT94" s="298" cm="1">
        <f t="array" ref="BT94">IF(AND(BT$2&lt;&gt;0,TblTech[[#This Row],[Hour]:[Hour]]&gt;=BT$2),1,0)</f>
        <v>0</v>
      </c>
      <c r="BU94" s="298" cm="1">
        <f t="array" ref="BU94">IF(AND(BU$2&lt;&gt;0,TblTech[[#This Row],[Hour]:[Hour]]&gt;=BU$2),1,0)</f>
        <v>0</v>
      </c>
      <c r="BV94" s="298" cm="1">
        <f t="array" ref="BV94">IF(AND(BV$2&lt;&gt;0,TblTech[[#This Row],[Hour]:[Hour]]&gt;=BV$2),1,0)</f>
        <v>0</v>
      </c>
      <c r="BW94" s="298" cm="1">
        <f t="array" ref="BW94">IF(AND(BW$2&lt;&gt;0,TblTech[[#This Row],[Hour]:[Hour]]&gt;=BW$2),1,0)</f>
        <v>0</v>
      </c>
      <c r="BX94" s="298" cm="1">
        <f t="array" ref="BX94">IF(AND(BX$2&lt;&gt;0,TblTech[[#This Row],[Hour]:[Hour]]&gt;=BX$2),1,0)</f>
        <v>0</v>
      </c>
      <c r="BY94" s="298" cm="1">
        <f t="array" ref="BY94">IF(AND(BY$2&lt;&gt;0,TblTech[[#This Row],[Hour]:[Hour]]&gt;=BY$2),1,0)</f>
        <v>0</v>
      </c>
      <c r="BZ94" s="298" cm="1">
        <f t="array" ref="BZ94">IF(AND(BZ$2&lt;&gt;0,TblTech[[#This Row],[Hour]:[Hour]]&gt;=BZ$2),1,0)</f>
        <v>0</v>
      </c>
      <c r="CA94" s="402">
        <f>IFERROR(INDEX($H$4:$H$79,MATCH(INDEX(TblTech[[#Headers],[1-1]:[11-1]],1,MATCH(TblTech[[#This Row],[Hour]],$M$2:$BZ$2,0)),$G$4:$G$79,0)),)</f>
        <v>0</v>
      </c>
    </row>
    <row r="95" spans="1:79" x14ac:dyDescent="0.2">
      <c r="A95" s="290">
        <f>TblRezone[[#This Row],[Hour]]</f>
        <v>92</v>
      </c>
      <c r="B95" s="291">
        <f ca="1">TblExplore[[#This Row],[Land-DB]]</f>
        <v>250</v>
      </c>
      <c r="C95" s="292">
        <f ca="1">TblProd[[#This Row],[Techpoints]]</f>
        <v>0</v>
      </c>
      <c r="D95" s="292">
        <f ca="1">TblProd[[#This Row],[Required]]</f>
        <v>3750</v>
      </c>
      <c r="E95" s="301"/>
      <c r="F95" s="302"/>
      <c r="G95" s="295"/>
      <c r="H95" s="296"/>
      <c r="I95" s="296"/>
      <c r="J95" s="296"/>
      <c r="K95" s="95">
        <f ca="1">IF(TblTech[[#This Row],[Sum of tech]]&lt;&gt;OFFSET(TblTech[[#This Row],[Sum of tech]],-1,0),1,0)</f>
        <v>0</v>
      </c>
      <c r="L95" s="297">
        <f>COUNTIF(TblTech[[#This Row],[1-1]:[11-1]],1)</f>
        <v>0</v>
      </c>
      <c r="M95" s="298" cm="1">
        <f t="array" ref="M95">IF(AND(M$2&lt;&gt;0,TblTech[[#This Row],[Hour]:[Hour]]&gt;=M$2),1,0)</f>
        <v>0</v>
      </c>
      <c r="N95" s="298" cm="1">
        <f t="array" ref="N95">IF(AND(N$2&lt;&gt;0,TblTech[[#This Row],[Hour]:[Hour]]&gt;=N$2),1,0)</f>
        <v>0</v>
      </c>
      <c r="O95" s="298" cm="1">
        <f t="array" ref="O95">IF(AND(O$2&lt;&gt;0,TblTech[[#This Row],[Hour]:[Hour]]&gt;=O$2),1,0)</f>
        <v>0</v>
      </c>
      <c r="P95" s="298" cm="1">
        <f t="array" ref="P95">IF(AND(P$2&lt;&gt;0,TblTech[[#This Row],[Hour]:[Hour]]&gt;=P$2),1,0)</f>
        <v>0</v>
      </c>
      <c r="Q95" s="298" cm="1">
        <f t="array" ref="Q95">IF(AND(Q$2&lt;&gt;0,TblTech[[#This Row],[Hour]:[Hour]]&gt;=Q$2),1,0)</f>
        <v>0</v>
      </c>
      <c r="R95" s="298" cm="1">
        <f t="array" ref="R95">IF(AND(R$2&lt;&gt;0,TblTech[[#This Row],[Hour]:[Hour]]&gt;=R$2),1,0)</f>
        <v>0</v>
      </c>
      <c r="S95" s="298" cm="1">
        <f t="array" ref="S95">IF(AND(S$2&lt;&gt;0,TblTech[[#This Row],[Hour]:[Hour]]&gt;=S$2),1,0)</f>
        <v>0</v>
      </c>
      <c r="T95" s="298" cm="1">
        <f t="array" ref="T95">IF(AND(T$2&lt;&gt;0,TblTech[[#This Row],[Hour]:[Hour]]&gt;=T$2),1,0)</f>
        <v>0</v>
      </c>
      <c r="U95" s="298" cm="1">
        <f t="array" ref="U95">IF(AND(U$2&lt;&gt;0,TblTech[[#This Row],[Hour]:[Hour]]&gt;=U$2),1,0)</f>
        <v>0</v>
      </c>
      <c r="V95" s="298" cm="1">
        <f t="array" ref="V95">IF(AND(V$2&lt;&gt;0,TblTech[[#This Row],[Hour]:[Hour]]&gt;=V$2),1,0)</f>
        <v>0</v>
      </c>
      <c r="W95" s="298" cm="1">
        <f t="array" ref="W95">IF(AND(W$2&lt;&gt;0,TblTech[[#This Row],[Hour]:[Hour]]&gt;=W$2),1,0)</f>
        <v>0</v>
      </c>
      <c r="X95" s="298" cm="1">
        <f t="array" ref="X95">IF(AND(X$2&lt;&gt;0,TblTech[[#This Row],[Hour]:[Hour]]&gt;=X$2),1,0)</f>
        <v>0</v>
      </c>
      <c r="Y95" s="298" cm="1">
        <f t="array" ref="Y95">IF(AND(Y$2&lt;&gt;0,TblTech[[#This Row],[Hour]:[Hour]]&gt;=Y$2),1,0)</f>
        <v>0</v>
      </c>
      <c r="Z95" s="298" cm="1">
        <f t="array" ref="Z95">IF(AND(Z$2&lt;&gt;0,TblTech[[#This Row],[Hour]:[Hour]]&gt;=Z$2),1,0)</f>
        <v>0</v>
      </c>
      <c r="AA95" s="298" cm="1">
        <f t="array" ref="AA95">IF(AND(AA$2&lt;&gt;0,TblTech[[#This Row],[Hour]:[Hour]]&gt;=AA$2),1,0)</f>
        <v>0</v>
      </c>
      <c r="AB95" s="298" cm="1">
        <f t="array" ref="AB95">IF(AND(AB$2&lt;&gt;0,TblTech[[#This Row],[Hour]:[Hour]]&gt;=AB$2),1,0)</f>
        <v>0</v>
      </c>
      <c r="AC95" s="298" cm="1">
        <f t="array" ref="AC95">IF(AND(AC$2&lt;&gt;0,TblTech[[#This Row],[Hour]:[Hour]]&gt;=AC$2),1,0)</f>
        <v>0</v>
      </c>
      <c r="AD95" s="298" cm="1">
        <f t="array" ref="AD95">IF(AND(AD$2&lt;&gt;0,TblTech[[#This Row],[Hour]:[Hour]]&gt;=AD$2),1,0)</f>
        <v>0</v>
      </c>
      <c r="AE95" s="298" cm="1">
        <f t="array" ref="AE95">IF(AND(AE$2&lt;&gt;0,TblTech[[#This Row],[Hour]:[Hour]]&gt;=AE$2),1,0)</f>
        <v>0</v>
      </c>
      <c r="AF95" s="298" cm="1">
        <f t="array" ref="AF95">IF(AND(AF$2&lt;&gt;0,TblTech[[#This Row],[Hour]:[Hour]]&gt;=AF$2),1,0)</f>
        <v>0</v>
      </c>
      <c r="AG95" s="298" cm="1">
        <f t="array" ref="AG95">IF(AND(AG$2&lt;&gt;0,TblTech[[#This Row],[Hour]:[Hour]]&gt;=AG$2),1,0)</f>
        <v>0</v>
      </c>
      <c r="AH95" s="298" cm="1">
        <f t="array" ref="AH95">IF(AND(AH$2&lt;&gt;0,TblTech[[#This Row],[Hour]:[Hour]]&gt;=AH$2),1,0)</f>
        <v>0</v>
      </c>
      <c r="AI95" s="298" cm="1">
        <f t="array" ref="AI95">IF(AND(AI$2&lt;&gt;0,TblTech[[#This Row],[Hour]:[Hour]]&gt;=AI$2),1,0)</f>
        <v>0</v>
      </c>
      <c r="AJ95" s="298" cm="1">
        <f t="array" ref="AJ95">IF(AND(AJ$2&lt;&gt;0,TblTech[[#This Row],[Hour]:[Hour]]&gt;=AJ$2),1,0)</f>
        <v>0</v>
      </c>
      <c r="AK95" s="298" cm="1">
        <f t="array" ref="AK95">IF(AND(AK$2&lt;&gt;0,TblTech[[#This Row],[Hour]:[Hour]]&gt;=AK$2),1,0)</f>
        <v>0</v>
      </c>
      <c r="AL95" s="298" cm="1">
        <f t="array" ref="AL95">IF(AND(AL$2&lt;&gt;0,TblTech[[#This Row],[Hour]:[Hour]]&gt;=AL$2),1,0)</f>
        <v>0</v>
      </c>
      <c r="AM95" s="298" cm="1">
        <f t="array" ref="AM95">IF(AND(AM$2&lt;&gt;0,TblTech[[#This Row],[Hour]:[Hour]]&gt;=AM$2),1,0)</f>
        <v>0</v>
      </c>
      <c r="AN95" s="298" cm="1">
        <f t="array" ref="AN95">IF(AND(AN$2&lt;&gt;0,TblTech[[#This Row],[Hour]:[Hour]]&gt;=AN$2),1,0)</f>
        <v>0</v>
      </c>
      <c r="AO95" s="298" cm="1">
        <f t="array" ref="AO95">IF(AND(AO$2&lt;&gt;0,TblTech[[#This Row],[Hour]:[Hour]]&gt;=AO$2),1,0)</f>
        <v>0</v>
      </c>
      <c r="AP95" s="298" cm="1">
        <f t="array" ref="AP95">IF(AND(AP$2&lt;&gt;0,TblTech[[#This Row],[Hour]:[Hour]]&gt;=AP$2),1,0)</f>
        <v>0</v>
      </c>
      <c r="AQ95" s="298" cm="1">
        <f t="array" ref="AQ95">IF(AND(AQ$2&lt;&gt;0,TblTech[[#This Row],[Hour]:[Hour]]&gt;=AQ$2),1,0)</f>
        <v>0</v>
      </c>
      <c r="AR95" s="298" cm="1">
        <f t="array" ref="AR95">IF(AND(AR$2&lt;&gt;0,TblTech[[#This Row],[Hour]:[Hour]]&gt;=AR$2),1,0)</f>
        <v>0</v>
      </c>
      <c r="AS95" s="298" cm="1">
        <f t="array" ref="AS95">IF(AND(AS$2&lt;&gt;0,TblTech[[#This Row],[Hour]:[Hour]]&gt;=AS$2),1,0)</f>
        <v>0</v>
      </c>
      <c r="AT95" s="298" cm="1">
        <f t="array" ref="AT95">IF(AND(AT$2&lt;&gt;0,TblTech[[#This Row],[Hour]:[Hour]]&gt;=AT$2),1,0)</f>
        <v>0</v>
      </c>
      <c r="AU95" s="298" cm="1">
        <f t="array" ref="AU95">IF(AND(AU$2&lt;&gt;0,TblTech[[#This Row],[Hour]:[Hour]]&gt;=AU$2),1,0)</f>
        <v>0</v>
      </c>
      <c r="AV95" s="298" cm="1">
        <f t="array" ref="AV95">IF(AND(AV$2&lt;&gt;0,TblTech[[#This Row],[Hour]:[Hour]]&gt;=AV$2),1,0)</f>
        <v>0</v>
      </c>
      <c r="AW95" s="298" cm="1">
        <f t="array" ref="AW95">IF(AND(AW$2&lt;&gt;0,TblTech[[#This Row],[Hour]:[Hour]]&gt;=AW$2),1,0)</f>
        <v>0</v>
      </c>
      <c r="AX95" s="298" cm="1">
        <f t="array" ref="AX95">IF(AND(AX$2&lt;&gt;0,TblTech[[#This Row],[Hour]:[Hour]]&gt;=AX$2),1,0)</f>
        <v>0</v>
      </c>
      <c r="AY95" s="298" cm="1">
        <f t="array" ref="AY95">IF(AND(AY$2&lt;&gt;0,TblTech[[#This Row],[Hour]:[Hour]]&gt;=AY$2),1,0)</f>
        <v>0</v>
      </c>
      <c r="AZ95" s="298" cm="1">
        <f t="array" ref="AZ95">IF(AND(AZ$2&lt;&gt;0,TblTech[[#This Row],[Hour]:[Hour]]&gt;=AZ$2),1,0)</f>
        <v>0</v>
      </c>
      <c r="BA95" s="298" cm="1">
        <f t="array" ref="BA95">IF(AND(BA$2&lt;&gt;0,TblTech[[#This Row],[Hour]:[Hour]]&gt;=BA$2),1,0)</f>
        <v>0</v>
      </c>
      <c r="BB95" s="298" cm="1">
        <f t="array" ref="BB95">IF(AND(BB$2&lt;&gt;0,TblTech[[#This Row],[Hour]:[Hour]]&gt;=BB$2),1,0)</f>
        <v>0</v>
      </c>
      <c r="BC95" s="298" cm="1">
        <f t="array" ref="BC95">IF(AND(BC$2&lt;&gt;0,TblTech[[#This Row],[Hour]:[Hour]]&gt;=BC$2),1,0)</f>
        <v>0</v>
      </c>
      <c r="BD95" s="298" cm="1">
        <f t="array" ref="BD95">IF(AND(BD$2&lt;&gt;0,TblTech[[#This Row],[Hour]:[Hour]]&gt;=BD$2),1,0)</f>
        <v>0</v>
      </c>
      <c r="BE95" s="298" cm="1">
        <f t="array" ref="BE95">IF(AND(BE$2&lt;&gt;0,TblTech[[#This Row],[Hour]:[Hour]]&gt;=BE$2),1,0)</f>
        <v>0</v>
      </c>
      <c r="BF95" s="298" cm="1">
        <f t="array" ref="BF95">IF(AND(BF$2&lt;&gt;0,TblTech[[#This Row],[Hour]:[Hour]]&gt;=BF$2),1,0)</f>
        <v>0</v>
      </c>
      <c r="BG95" s="298" cm="1">
        <f t="array" ref="BG95">IF(AND(BG$2&lt;&gt;0,TblTech[[#This Row],[Hour]:[Hour]]&gt;=BG$2),1,0)</f>
        <v>0</v>
      </c>
      <c r="BH95" s="298" cm="1">
        <f t="array" ref="BH95">IF(AND(BH$2&lt;&gt;0,TblTech[[#This Row],[Hour]:[Hour]]&gt;=BH$2),1,0)</f>
        <v>0</v>
      </c>
      <c r="BI95" s="298" cm="1">
        <f t="array" ref="BI95">IF(AND(BI$2&lt;&gt;0,TblTech[[#This Row],[Hour]:[Hour]]&gt;=BI$2),1,0)</f>
        <v>0</v>
      </c>
      <c r="BJ95" s="298" cm="1">
        <f t="array" ref="BJ95">IF(AND(BJ$2&lt;&gt;0,TblTech[[#This Row],[Hour]:[Hour]]&gt;=BJ$2),1,0)</f>
        <v>0</v>
      </c>
      <c r="BK95" s="298" cm="1">
        <f t="array" ref="BK95">IF(AND(BK$2&lt;&gt;0,TblTech[[#This Row],[Hour]:[Hour]]&gt;=BK$2),1,0)</f>
        <v>0</v>
      </c>
      <c r="BL95" s="298" cm="1">
        <f t="array" ref="BL95">IF(AND(BL$2&lt;&gt;0,TblTech[[#This Row],[Hour]:[Hour]]&gt;=BL$2),1,0)</f>
        <v>0</v>
      </c>
      <c r="BM95" s="298" cm="1">
        <f t="array" ref="BM95">IF(AND(BM$2&lt;&gt;0,TblTech[[#This Row],[Hour]:[Hour]]&gt;=BM$2),1,0)</f>
        <v>0</v>
      </c>
      <c r="BN95" s="298" cm="1">
        <f t="array" ref="BN95">IF(AND(BN$2&lt;&gt;0,TblTech[[#This Row],[Hour]:[Hour]]&gt;=BN$2),1,0)</f>
        <v>0</v>
      </c>
      <c r="BO95" s="298" cm="1">
        <f t="array" ref="BO95">IF(AND(BO$2&lt;&gt;0,TblTech[[#This Row],[Hour]:[Hour]]&gt;=BO$2),1,0)</f>
        <v>0</v>
      </c>
      <c r="BP95" s="298" cm="1">
        <f t="array" ref="BP95">IF(AND(BP$2&lt;&gt;0,TblTech[[#This Row],[Hour]:[Hour]]&gt;=BP$2),1,0)</f>
        <v>0</v>
      </c>
      <c r="BQ95" s="298" cm="1">
        <f t="array" ref="BQ95">IF(AND(BQ$2&lt;&gt;0,TblTech[[#This Row],[Hour]:[Hour]]&gt;=BQ$2),1,0)</f>
        <v>0</v>
      </c>
      <c r="BR95" s="298" cm="1">
        <f t="array" ref="BR95">IF(AND(BR$2&lt;&gt;0,TblTech[[#This Row],[Hour]:[Hour]]&gt;=BR$2),1,0)</f>
        <v>0</v>
      </c>
      <c r="BS95" s="298" cm="1">
        <f t="array" ref="BS95">IF(AND(BS$2&lt;&gt;0,TblTech[[#This Row],[Hour]:[Hour]]&gt;=BS$2),1,0)</f>
        <v>0</v>
      </c>
      <c r="BT95" s="298" cm="1">
        <f t="array" ref="BT95">IF(AND(BT$2&lt;&gt;0,TblTech[[#This Row],[Hour]:[Hour]]&gt;=BT$2),1,0)</f>
        <v>0</v>
      </c>
      <c r="BU95" s="298" cm="1">
        <f t="array" ref="BU95">IF(AND(BU$2&lt;&gt;0,TblTech[[#This Row],[Hour]:[Hour]]&gt;=BU$2),1,0)</f>
        <v>0</v>
      </c>
      <c r="BV95" s="298" cm="1">
        <f t="array" ref="BV95">IF(AND(BV$2&lt;&gt;0,TblTech[[#This Row],[Hour]:[Hour]]&gt;=BV$2),1,0)</f>
        <v>0</v>
      </c>
      <c r="BW95" s="298" cm="1">
        <f t="array" ref="BW95">IF(AND(BW$2&lt;&gt;0,TblTech[[#This Row],[Hour]:[Hour]]&gt;=BW$2),1,0)</f>
        <v>0</v>
      </c>
      <c r="BX95" s="298" cm="1">
        <f t="array" ref="BX95">IF(AND(BX$2&lt;&gt;0,TblTech[[#This Row],[Hour]:[Hour]]&gt;=BX$2),1,0)</f>
        <v>0</v>
      </c>
      <c r="BY95" s="298" cm="1">
        <f t="array" ref="BY95">IF(AND(BY$2&lt;&gt;0,TblTech[[#This Row],[Hour]:[Hour]]&gt;=BY$2),1,0)</f>
        <v>0</v>
      </c>
      <c r="BZ95" s="298" cm="1">
        <f t="array" ref="BZ95">IF(AND(BZ$2&lt;&gt;0,TblTech[[#This Row],[Hour]:[Hour]]&gt;=BZ$2),1,0)</f>
        <v>0</v>
      </c>
      <c r="CA95" s="402">
        <f>IFERROR(INDEX($H$4:$H$79,MATCH(INDEX(TblTech[[#Headers],[1-1]:[11-1]],1,MATCH(TblTech[[#This Row],[Hour]],$M$2:$BZ$2,0)),$G$4:$G$79,0)),)</f>
        <v>0</v>
      </c>
    </row>
    <row r="96" spans="1:79" x14ac:dyDescent="0.2">
      <c r="A96" s="290">
        <f>TblRezone[[#This Row],[Hour]]</f>
        <v>93</v>
      </c>
      <c r="B96" s="291">
        <f ca="1">TblExplore[[#This Row],[Land-DB]]</f>
        <v>250</v>
      </c>
      <c r="C96" s="292">
        <f ca="1">TblProd[[#This Row],[Techpoints]]</f>
        <v>0</v>
      </c>
      <c r="D96" s="292">
        <f ca="1">TblProd[[#This Row],[Required]]</f>
        <v>3750</v>
      </c>
      <c r="E96" s="301"/>
      <c r="F96" s="302"/>
      <c r="G96" s="295"/>
      <c r="H96" s="296"/>
      <c r="I96" s="296"/>
      <c r="J96" s="296"/>
      <c r="K96" s="95">
        <f ca="1">IF(TblTech[[#This Row],[Sum of tech]]&lt;&gt;OFFSET(TblTech[[#This Row],[Sum of tech]],-1,0),1,0)</f>
        <v>0</v>
      </c>
      <c r="L96" s="297">
        <f>COUNTIF(TblTech[[#This Row],[1-1]:[11-1]],1)</f>
        <v>0</v>
      </c>
      <c r="M96" s="298" cm="1">
        <f t="array" ref="M96">IF(AND(M$2&lt;&gt;0,TblTech[[#This Row],[Hour]:[Hour]]&gt;=M$2),1,0)</f>
        <v>0</v>
      </c>
      <c r="N96" s="298" cm="1">
        <f t="array" ref="N96">IF(AND(N$2&lt;&gt;0,TblTech[[#This Row],[Hour]:[Hour]]&gt;=N$2),1,0)</f>
        <v>0</v>
      </c>
      <c r="O96" s="298" cm="1">
        <f t="array" ref="O96">IF(AND(O$2&lt;&gt;0,TblTech[[#This Row],[Hour]:[Hour]]&gt;=O$2),1,0)</f>
        <v>0</v>
      </c>
      <c r="P96" s="298" cm="1">
        <f t="array" ref="P96">IF(AND(P$2&lt;&gt;0,TblTech[[#This Row],[Hour]:[Hour]]&gt;=P$2),1,0)</f>
        <v>0</v>
      </c>
      <c r="Q96" s="298" cm="1">
        <f t="array" ref="Q96">IF(AND(Q$2&lt;&gt;0,TblTech[[#This Row],[Hour]:[Hour]]&gt;=Q$2),1,0)</f>
        <v>0</v>
      </c>
      <c r="R96" s="298" cm="1">
        <f t="array" ref="R96">IF(AND(R$2&lt;&gt;0,TblTech[[#This Row],[Hour]:[Hour]]&gt;=R$2),1,0)</f>
        <v>0</v>
      </c>
      <c r="S96" s="298" cm="1">
        <f t="array" ref="S96">IF(AND(S$2&lt;&gt;0,TblTech[[#This Row],[Hour]:[Hour]]&gt;=S$2),1,0)</f>
        <v>0</v>
      </c>
      <c r="T96" s="298" cm="1">
        <f t="array" ref="T96">IF(AND(T$2&lt;&gt;0,TblTech[[#This Row],[Hour]:[Hour]]&gt;=T$2),1,0)</f>
        <v>0</v>
      </c>
      <c r="U96" s="298" cm="1">
        <f t="array" ref="U96">IF(AND(U$2&lt;&gt;0,TblTech[[#This Row],[Hour]:[Hour]]&gt;=U$2),1,0)</f>
        <v>0</v>
      </c>
      <c r="V96" s="298" cm="1">
        <f t="array" ref="V96">IF(AND(V$2&lt;&gt;0,TblTech[[#This Row],[Hour]:[Hour]]&gt;=V$2),1,0)</f>
        <v>0</v>
      </c>
      <c r="W96" s="298" cm="1">
        <f t="array" ref="W96">IF(AND(W$2&lt;&gt;0,TblTech[[#This Row],[Hour]:[Hour]]&gt;=W$2),1,0)</f>
        <v>0</v>
      </c>
      <c r="X96" s="298" cm="1">
        <f t="array" ref="X96">IF(AND(X$2&lt;&gt;0,TblTech[[#This Row],[Hour]:[Hour]]&gt;=X$2),1,0)</f>
        <v>0</v>
      </c>
      <c r="Y96" s="298" cm="1">
        <f t="array" ref="Y96">IF(AND(Y$2&lt;&gt;0,TblTech[[#This Row],[Hour]:[Hour]]&gt;=Y$2),1,0)</f>
        <v>0</v>
      </c>
      <c r="Z96" s="298" cm="1">
        <f t="array" ref="Z96">IF(AND(Z$2&lt;&gt;0,TblTech[[#This Row],[Hour]:[Hour]]&gt;=Z$2),1,0)</f>
        <v>0</v>
      </c>
      <c r="AA96" s="298" cm="1">
        <f t="array" ref="AA96">IF(AND(AA$2&lt;&gt;0,TblTech[[#This Row],[Hour]:[Hour]]&gt;=AA$2),1,0)</f>
        <v>0</v>
      </c>
      <c r="AB96" s="298" cm="1">
        <f t="array" ref="AB96">IF(AND(AB$2&lt;&gt;0,TblTech[[#This Row],[Hour]:[Hour]]&gt;=AB$2),1,0)</f>
        <v>0</v>
      </c>
      <c r="AC96" s="298" cm="1">
        <f t="array" ref="AC96">IF(AND(AC$2&lt;&gt;0,TblTech[[#This Row],[Hour]:[Hour]]&gt;=AC$2),1,0)</f>
        <v>0</v>
      </c>
      <c r="AD96" s="298" cm="1">
        <f t="array" ref="AD96">IF(AND(AD$2&lt;&gt;0,TblTech[[#This Row],[Hour]:[Hour]]&gt;=AD$2),1,0)</f>
        <v>0</v>
      </c>
      <c r="AE96" s="298" cm="1">
        <f t="array" ref="AE96">IF(AND(AE$2&lt;&gt;0,TblTech[[#This Row],[Hour]:[Hour]]&gt;=AE$2),1,0)</f>
        <v>0</v>
      </c>
      <c r="AF96" s="298" cm="1">
        <f t="array" ref="AF96">IF(AND(AF$2&lt;&gt;0,TblTech[[#This Row],[Hour]:[Hour]]&gt;=AF$2),1,0)</f>
        <v>0</v>
      </c>
      <c r="AG96" s="298" cm="1">
        <f t="array" ref="AG96">IF(AND(AG$2&lt;&gt;0,TblTech[[#This Row],[Hour]:[Hour]]&gt;=AG$2),1,0)</f>
        <v>0</v>
      </c>
      <c r="AH96" s="298" cm="1">
        <f t="array" ref="AH96">IF(AND(AH$2&lt;&gt;0,TblTech[[#This Row],[Hour]:[Hour]]&gt;=AH$2),1,0)</f>
        <v>0</v>
      </c>
      <c r="AI96" s="298" cm="1">
        <f t="array" ref="AI96">IF(AND(AI$2&lt;&gt;0,TblTech[[#This Row],[Hour]:[Hour]]&gt;=AI$2),1,0)</f>
        <v>0</v>
      </c>
      <c r="AJ96" s="298" cm="1">
        <f t="array" ref="AJ96">IF(AND(AJ$2&lt;&gt;0,TblTech[[#This Row],[Hour]:[Hour]]&gt;=AJ$2),1,0)</f>
        <v>0</v>
      </c>
      <c r="AK96" s="298" cm="1">
        <f t="array" ref="AK96">IF(AND(AK$2&lt;&gt;0,TblTech[[#This Row],[Hour]:[Hour]]&gt;=AK$2),1,0)</f>
        <v>0</v>
      </c>
      <c r="AL96" s="298" cm="1">
        <f t="array" ref="AL96">IF(AND(AL$2&lt;&gt;0,TblTech[[#This Row],[Hour]:[Hour]]&gt;=AL$2),1,0)</f>
        <v>0</v>
      </c>
      <c r="AM96" s="298" cm="1">
        <f t="array" ref="AM96">IF(AND(AM$2&lt;&gt;0,TblTech[[#This Row],[Hour]:[Hour]]&gt;=AM$2),1,0)</f>
        <v>0</v>
      </c>
      <c r="AN96" s="298" cm="1">
        <f t="array" ref="AN96">IF(AND(AN$2&lt;&gt;0,TblTech[[#This Row],[Hour]:[Hour]]&gt;=AN$2),1,0)</f>
        <v>0</v>
      </c>
      <c r="AO96" s="298" cm="1">
        <f t="array" ref="AO96">IF(AND(AO$2&lt;&gt;0,TblTech[[#This Row],[Hour]:[Hour]]&gt;=AO$2),1,0)</f>
        <v>0</v>
      </c>
      <c r="AP96" s="298" cm="1">
        <f t="array" ref="AP96">IF(AND(AP$2&lt;&gt;0,TblTech[[#This Row],[Hour]:[Hour]]&gt;=AP$2),1,0)</f>
        <v>0</v>
      </c>
      <c r="AQ96" s="298" cm="1">
        <f t="array" ref="AQ96">IF(AND(AQ$2&lt;&gt;0,TblTech[[#This Row],[Hour]:[Hour]]&gt;=AQ$2),1,0)</f>
        <v>0</v>
      </c>
      <c r="AR96" s="298" cm="1">
        <f t="array" ref="AR96">IF(AND(AR$2&lt;&gt;0,TblTech[[#This Row],[Hour]:[Hour]]&gt;=AR$2),1,0)</f>
        <v>0</v>
      </c>
      <c r="AS96" s="298" cm="1">
        <f t="array" ref="AS96">IF(AND(AS$2&lt;&gt;0,TblTech[[#This Row],[Hour]:[Hour]]&gt;=AS$2),1,0)</f>
        <v>0</v>
      </c>
      <c r="AT96" s="298" cm="1">
        <f t="array" ref="AT96">IF(AND(AT$2&lt;&gt;0,TblTech[[#This Row],[Hour]:[Hour]]&gt;=AT$2),1,0)</f>
        <v>0</v>
      </c>
      <c r="AU96" s="298" cm="1">
        <f t="array" ref="AU96">IF(AND(AU$2&lt;&gt;0,TblTech[[#This Row],[Hour]:[Hour]]&gt;=AU$2),1,0)</f>
        <v>0</v>
      </c>
      <c r="AV96" s="298" cm="1">
        <f t="array" ref="AV96">IF(AND(AV$2&lt;&gt;0,TblTech[[#This Row],[Hour]:[Hour]]&gt;=AV$2),1,0)</f>
        <v>0</v>
      </c>
      <c r="AW96" s="298" cm="1">
        <f t="array" ref="AW96">IF(AND(AW$2&lt;&gt;0,TblTech[[#This Row],[Hour]:[Hour]]&gt;=AW$2),1,0)</f>
        <v>0</v>
      </c>
      <c r="AX96" s="298" cm="1">
        <f t="array" ref="AX96">IF(AND(AX$2&lt;&gt;0,TblTech[[#This Row],[Hour]:[Hour]]&gt;=AX$2),1,0)</f>
        <v>0</v>
      </c>
      <c r="AY96" s="298" cm="1">
        <f t="array" ref="AY96">IF(AND(AY$2&lt;&gt;0,TblTech[[#This Row],[Hour]:[Hour]]&gt;=AY$2),1,0)</f>
        <v>0</v>
      </c>
      <c r="AZ96" s="298" cm="1">
        <f t="array" ref="AZ96">IF(AND(AZ$2&lt;&gt;0,TblTech[[#This Row],[Hour]:[Hour]]&gt;=AZ$2),1,0)</f>
        <v>0</v>
      </c>
      <c r="BA96" s="298" cm="1">
        <f t="array" ref="BA96">IF(AND(BA$2&lt;&gt;0,TblTech[[#This Row],[Hour]:[Hour]]&gt;=BA$2),1,0)</f>
        <v>0</v>
      </c>
      <c r="BB96" s="298" cm="1">
        <f t="array" ref="BB96">IF(AND(BB$2&lt;&gt;0,TblTech[[#This Row],[Hour]:[Hour]]&gt;=BB$2),1,0)</f>
        <v>0</v>
      </c>
      <c r="BC96" s="298" cm="1">
        <f t="array" ref="BC96">IF(AND(BC$2&lt;&gt;0,TblTech[[#This Row],[Hour]:[Hour]]&gt;=BC$2),1,0)</f>
        <v>0</v>
      </c>
      <c r="BD96" s="298" cm="1">
        <f t="array" ref="BD96">IF(AND(BD$2&lt;&gt;0,TblTech[[#This Row],[Hour]:[Hour]]&gt;=BD$2),1,0)</f>
        <v>0</v>
      </c>
      <c r="BE96" s="298" cm="1">
        <f t="array" ref="BE96">IF(AND(BE$2&lt;&gt;0,TblTech[[#This Row],[Hour]:[Hour]]&gt;=BE$2),1,0)</f>
        <v>0</v>
      </c>
      <c r="BF96" s="298" cm="1">
        <f t="array" ref="BF96">IF(AND(BF$2&lt;&gt;0,TblTech[[#This Row],[Hour]:[Hour]]&gt;=BF$2),1,0)</f>
        <v>0</v>
      </c>
      <c r="BG96" s="298" cm="1">
        <f t="array" ref="BG96">IF(AND(BG$2&lt;&gt;0,TblTech[[#This Row],[Hour]:[Hour]]&gt;=BG$2),1,0)</f>
        <v>0</v>
      </c>
      <c r="BH96" s="298" cm="1">
        <f t="array" ref="BH96">IF(AND(BH$2&lt;&gt;0,TblTech[[#This Row],[Hour]:[Hour]]&gt;=BH$2),1,0)</f>
        <v>0</v>
      </c>
      <c r="BI96" s="298" cm="1">
        <f t="array" ref="BI96">IF(AND(BI$2&lt;&gt;0,TblTech[[#This Row],[Hour]:[Hour]]&gt;=BI$2),1,0)</f>
        <v>0</v>
      </c>
      <c r="BJ96" s="298" cm="1">
        <f t="array" ref="BJ96">IF(AND(BJ$2&lt;&gt;0,TblTech[[#This Row],[Hour]:[Hour]]&gt;=BJ$2),1,0)</f>
        <v>0</v>
      </c>
      <c r="BK96" s="298" cm="1">
        <f t="array" ref="BK96">IF(AND(BK$2&lt;&gt;0,TblTech[[#This Row],[Hour]:[Hour]]&gt;=BK$2),1,0)</f>
        <v>0</v>
      </c>
      <c r="BL96" s="298" cm="1">
        <f t="array" ref="BL96">IF(AND(BL$2&lt;&gt;0,TblTech[[#This Row],[Hour]:[Hour]]&gt;=BL$2),1,0)</f>
        <v>0</v>
      </c>
      <c r="BM96" s="298" cm="1">
        <f t="array" ref="BM96">IF(AND(BM$2&lt;&gt;0,TblTech[[#This Row],[Hour]:[Hour]]&gt;=BM$2),1,0)</f>
        <v>0</v>
      </c>
      <c r="BN96" s="298" cm="1">
        <f t="array" ref="BN96">IF(AND(BN$2&lt;&gt;0,TblTech[[#This Row],[Hour]:[Hour]]&gt;=BN$2),1,0)</f>
        <v>0</v>
      </c>
      <c r="BO96" s="298" cm="1">
        <f t="array" ref="BO96">IF(AND(BO$2&lt;&gt;0,TblTech[[#This Row],[Hour]:[Hour]]&gt;=BO$2),1,0)</f>
        <v>0</v>
      </c>
      <c r="BP96" s="298" cm="1">
        <f t="array" ref="BP96">IF(AND(BP$2&lt;&gt;0,TblTech[[#This Row],[Hour]:[Hour]]&gt;=BP$2),1,0)</f>
        <v>0</v>
      </c>
      <c r="BQ96" s="298" cm="1">
        <f t="array" ref="BQ96">IF(AND(BQ$2&lt;&gt;0,TblTech[[#This Row],[Hour]:[Hour]]&gt;=BQ$2),1,0)</f>
        <v>0</v>
      </c>
      <c r="BR96" s="298" cm="1">
        <f t="array" ref="BR96">IF(AND(BR$2&lt;&gt;0,TblTech[[#This Row],[Hour]:[Hour]]&gt;=BR$2),1,0)</f>
        <v>0</v>
      </c>
      <c r="BS96" s="298" cm="1">
        <f t="array" ref="BS96">IF(AND(BS$2&lt;&gt;0,TblTech[[#This Row],[Hour]:[Hour]]&gt;=BS$2),1,0)</f>
        <v>0</v>
      </c>
      <c r="BT96" s="298" cm="1">
        <f t="array" ref="BT96">IF(AND(BT$2&lt;&gt;0,TblTech[[#This Row],[Hour]:[Hour]]&gt;=BT$2),1,0)</f>
        <v>0</v>
      </c>
      <c r="BU96" s="298" cm="1">
        <f t="array" ref="BU96">IF(AND(BU$2&lt;&gt;0,TblTech[[#This Row],[Hour]:[Hour]]&gt;=BU$2),1,0)</f>
        <v>0</v>
      </c>
      <c r="BV96" s="298" cm="1">
        <f t="array" ref="BV96">IF(AND(BV$2&lt;&gt;0,TblTech[[#This Row],[Hour]:[Hour]]&gt;=BV$2),1,0)</f>
        <v>0</v>
      </c>
      <c r="BW96" s="298" cm="1">
        <f t="array" ref="BW96">IF(AND(BW$2&lt;&gt;0,TblTech[[#This Row],[Hour]:[Hour]]&gt;=BW$2),1,0)</f>
        <v>0</v>
      </c>
      <c r="BX96" s="298" cm="1">
        <f t="array" ref="BX96">IF(AND(BX$2&lt;&gt;0,TblTech[[#This Row],[Hour]:[Hour]]&gt;=BX$2),1,0)</f>
        <v>0</v>
      </c>
      <c r="BY96" s="298" cm="1">
        <f t="array" ref="BY96">IF(AND(BY$2&lt;&gt;0,TblTech[[#This Row],[Hour]:[Hour]]&gt;=BY$2),1,0)</f>
        <v>0</v>
      </c>
      <c r="BZ96" s="298" cm="1">
        <f t="array" ref="BZ96">IF(AND(BZ$2&lt;&gt;0,TblTech[[#This Row],[Hour]:[Hour]]&gt;=BZ$2),1,0)</f>
        <v>0</v>
      </c>
      <c r="CA96" s="402">
        <f>IFERROR(INDEX($H$4:$H$79,MATCH(INDEX(TblTech[[#Headers],[1-1]:[11-1]],1,MATCH(TblTech[[#This Row],[Hour]],$M$2:$BZ$2,0)),$G$4:$G$79,0)),)</f>
        <v>0</v>
      </c>
    </row>
    <row r="97" spans="1:79" x14ac:dyDescent="0.2">
      <c r="A97" s="290">
        <f>TblRezone[[#This Row],[Hour]]</f>
        <v>94</v>
      </c>
      <c r="B97" s="291">
        <f ca="1">TblExplore[[#This Row],[Land-DB]]</f>
        <v>250</v>
      </c>
      <c r="C97" s="292">
        <f ca="1">TblProd[[#This Row],[Techpoints]]</f>
        <v>0</v>
      </c>
      <c r="D97" s="292">
        <f ca="1">TblProd[[#This Row],[Required]]</f>
        <v>3750</v>
      </c>
      <c r="E97" s="301"/>
      <c r="F97" s="302"/>
      <c r="G97" s="295"/>
      <c r="H97" s="296"/>
      <c r="I97" s="296"/>
      <c r="J97" s="296"/>
      <c r="K97" s="95">
        <f ca="1">IF(TblTech[[#This Row],[Sum of tech]]&lt;&gt;OFFSET(TblTech[[#This Row],[Sum of tech]],-1,0),1,0)</f>
        <v>0</v>
      </c>
      <c r="L97" s="297">
        <f>COUNTIF(TblTech[[#This Row],[1-1]:[11-1]],1)</f>
        <v>0</v>
      </c>
      <c r="M97" s="298" cm="1">
        <f t="array" ref="M97">IF(AND(M$2&lt;&gt;0,TblTech[[#This Row],[Hour]:[Hour]]&gt;=M$2),1,0)</f>
        <v>0</v>
      </c>
      <c r="N97" s="298" cm="1">
        <f t="array" ref="N97">IF(AND(N$2&lt;&gt;0,TblTech[[#This Row],[Hour]:[Hour]]&gt;=N$2),1,0)</f>
        <v>0</v>
      </c>
      <c r="O97" s="298" cm="1">
        <f t="array" ref="O97">IF(AND(O$2&lt;&gt;0,TblTech[[#This Row],[Hour]:[Hour]]&gt;=O$2),1,0)</f>
        <v>0</v>
      </c>
      <c r="P97" s="298" cm="1">
        <f t="array" ref="P97">IF(AND(P$2&lt;&gt;0,TblTech[[#This Row],[Hour]:[Hour]]&gt;=P$2),1,0)</f>
        <v>0</v>
      </c>
      <c r="Q97" s="298" cm="1">
        <f t="array" ref="Q97">IF(AND(Q$2&lt;&gt;0,TblTech[[#This Row],[Hour]:[Hour]]&gt;=Q$2),1,0)</f>
        <v>0</v>
      </c>
      <c r="R97" s="298" cm="1">
        <f t="array" ref="R97">IF(AND(R$2&lt;&gt;0,TblTech[[#This Row],[Hour]:[Hour]]&gt;=R$2),1,0)</f>
        <v>0</v>
      </c>
      <c r="S97" s="298" cm="1">
        <f t="array" ref="S97">IF(AND(S$2&lt;&gt;0,TblTech[[#This Row],[Hour]:[Hour]]&gt;=S$2),1,0)</f>
        <v>0</v>
      </c>
      <c r="T97" s="298" cm="1">
        <f t="array" ref="T97">IF(AND(T$2&lt;&gt;0,TblTech[[#This Row],[Hour]:[Hour]]&gt;=T$2),1,0)</f>
        <v>0</v>
      </c>
      <c r="U97" s="298" cm="1">
        <f t="array" ref="U97">IF(AND(U$2&lt;&gt;0,TblTech[[#This Row],[Hour]:[Hour]]&gt;=U$2),1,0)</f>
        <v>0</v>
      </c>
      <c r="V97" s="298" cm="1">
        <f t="array" ref="V97">IF(AND(V$2&lt;&gt;0,TblTech[[#This Row],[Hour]:[Hour]]&gt;=V$2),1,0)</f>
        <v>0</v>
      </c>
      <c r="W97" s="298" cm="1">
        <f t="array" ref="W97">IF(AND(W$2&lt;&gt;0,TblTech[[#This Row],[Hour]:[Hour]]&gt;=W$2),1,0)</f>
        <v>0</v>
      </c>
      <c r="X97" s="298" cm="1">
        <f t="array" ref="X97">IF(AND(X$2&lt;&gt;0,TblTech[[#This Row],[Hour]:[Hour]]&gt;=X$2),1,0)</f>
        <v>0</v>
      </c>
      <c r="Y97" s="298" cm="1">
        <f t="array" ref="Y97">IF(AND(Y$2&lt;&gt;0,TblTech[[#This Row],[Hour]:[Hour]]&gt;=Y$2),1,0)</f>
        <v>0</v>
      </c>
      <c r="Z97" s="298" cm="1">
        <f t="array" ref="Z97">IF(AND(Z$2&lt;&gt;0,TblTech[[#This Row],[Hour]:[Hour]]&gt;=Z$2),1,0)</f>
        <v>0</v>
      </c>
      <c r="AA97" s="298" cm="1">
        <f t="array" ref="AA97">IF(AND(AA$2&lt;&gt;0,TblTech[[#This Row],[Hour]:[Hour]]&gt;=AA$2),1,0)</f>
        <v>0</v>
      </c>
      <c r="AB97" s="298" cm="1">
        <f t="array" ref="AB97">IF(AND(AB$2&lt;&gt;0,TblTech[[#This Row],[Hour]:[Hour]]&gt;=AB$2),1,0)</f>
        <v>0</v>
      </c>
      <c r="AC97" s="298" cm="1">
        <f t="array" ref="AC97">IF(AND(AC$2&lt;&gt;0,TblTech[[#This Row],[Hour]:[Hour]]&gt;=AC$2),1,0)</f>
        <v>0</v>
      </c>
      <c r="AD97" s="298" cm="1">
        <f t="array" ref="AD97">IF(AND(AD$2&lt;&gt;0,TblTech[[#This Row],[Hour]:[Hour]]&gt;=AD$2),1,0)</f>
        <v>0</v>
      </c>
      <c r="AE97" s="298" cm="1">
        <f t="array" ref="AE97">IF(AND(AE$2&lt;&gt;0,TblTech[[#This Row],[Hour]:[Hour]]&gt;=AE$2),1,0)</f>
        <v>0</v>
      </c>
      <c r="AF97" s="298" cm="1">
        <f t="array" ref="AF97">IF(AND(AF$2&lt;&gt;0,TblTech[[#This Row],[Hour]:[Hour]]&gt;=AF$2),1,0)</f>
        <v>0</v>
      </c>
      <c r="AG97" s="298" cm="1">
        <f t="array" ref="AG97">IF(AND(AG$2&lt;&gt;0,TblTech[[#This Row],[Hour]:[Hour]]&gt;=AG$2),1,0)</f>
        <v>0</v>
      </c>
      <c r="AH97" s="298" cm="1">
        <f t="array" ref="AH97">IF(AND(AH$2&lt;&gt;0,TblTech[[#This Row],[Hour]:[Hour]]&gt;=AH$2),1,0)</f>
        <v>0</v>
      </c>
      <c r="AI97" s="298" cm="1">
        <f t="array" ref="AI97">IF(AND(AI$2&lt;&gt;0,TblTech[[#This Row],[Hour]:[Hour]]&gt;=AI$2),1,0)</f>
        <v>0</v>
      </c>
      <c r="AJ97" s="298" cm="1">
        <f t="array" ref="AJ97">IF(AND(AJ$2&lt;&gt;0,TblTech[[#This Row],[Hour]:[Hour]]&gt;=AJ$2),1,0)</f>
        <v>0</v>
      </c>
      <c r="AK97" s="298" cm="1">
        <f t="array" ref="AK97">IF(AND(AK$2&lt;&gt;0,TblTech[[#This Row],[Hour]:[Hour]]&gt;=AK$2),1,0)</f>
        <v>0</v>
      </c>
      <c r="AL97" s="298" cm="1">
        <f t="array" ref="AL97">IF(AND(AL$2&lt;&gt;0,TblTech[[#This Row],[Hour]:[Hour]]&gt;=AL$2),1,0)</f>
        <v>0</v>
      </c>
      <c r="AM97" s="298" cm="1">
        <f t="array" ref="AM97">IF(AND(AM$2&lt;&gt;0,TblTech[[#This Row],[Hour]:[Hour]]&gt;=AM$2),1,0)</f>
        <v>0</v>
      </c>
      <c r="AN97" s="298" cm="1">
        <f t="array" ref="AN97">IF(AND(AN$2&lt;&gt;0,TblTech[[#This Row],[Hour]:[Hour]]&gt;=AN$2),1,0)</f>
        <v>0</v>
      </c>
      <c r="AO97" s="298" cm="1">
        <f t="array" ref="AO97">IF(AND(AO$2&lt;&gt;0,TblTech[[#This Row],[Hour]:[Hour]]&gt;=AO$2),1,0)</f>
        <v>0</v>
      </c>
      <c r="AP97" s="298" cm="1">
        <f t="array" ref="AP97">IF(AND(AP$2&lt;&gt;0,TblTech[[#This Row],[Hour]:[Hour]]&gt;=AP$2),1,0)</f>
        <v>0</v>
      </c>
      <c r="AQ97" s="298" cm="1">
        <f t="array" ref="AQ97">IF(AND(AQ$2&lt;&gt;0,TblTech[[#This Row],[Hour]:[Hour]]&gt;=AQ$2),1,0)</f>
        <v>0</v>
      </c>
      <c r="AR97" s="298" cm="1">
        <f t="array" ref="AR97">IF(AND(AR$2&lt;&gt;0,TblTech[[#This Row],[Hour]:[Hour]]&gt;=AR$2),1,0)</f>
        <v>0</v>
      </c>
      <c r="AS97" s="298" cm="1">
        <f t="array" ref="AS97">IF(AND(AS$2&lt;&gt;0,TblTech[[#This Row],[Hour]:[Hour]]&gt;=AS$2),1,0)</f>
        <v>0</v>
      </c>
      <c r="AT97" s="298" cm="1">
        <f t="array" ref="AT97">IF(AND(AT$2&lt;&gt;0,TblTech[[#This Row],[Hour]:[Hour]]&gt;=AT$2),1,0)</f>
        <v>0</v>
      </c>
      <c r="AU97" s="298" cm="1">
        <f t="array" ref="AU97">IF(AND(AU$2&lt;&gt;0,TblTech[[#This Row],[Hour]:[Hour]]&gt;=AU$2),1,0)</f>
        <v>0</v>
      </c>
      <c r="AV97" s="298" cm="1">
        <f t="array" ref="AV97">IF(AND(AV$2&lt;&gt;0,TblTech[[#This Row],[Hour]:[Hour]]&gt;=AV$2),1,0)</f>
        <v>0</v>
      </c>
      <c r="AW97" s="298" cm="1">
        <f t="array" ref="AW97">IF(AND(AW$2&lt;&gt;0,TblTech[[#This Row],[Hour]:[Hour]]&gt;=AW$2),1,0)</f>
        <v>0</v>
      </c>
      <c r="AX97" s="298" cm="1">
        <f t="array" ref="AX97">IF(AND(AX$2&lt;&gt;0,TblTech[[#This Row],[Hour]:[Hour]]&gt;=AX$2),1,0)</f>
        <v>0</v>
      </c>
      <c r="AY97" s="298" cm="1">
        <f t="array" ref="AY97">IF(AND(AY$2&lt;&gt;0,TblTech[[#This Row],[Hour]:[Hour]]&gt;=AY$2),1,0)</f>
        <v>0</v>
      </c>
      <c r="AZ97" s="298" cm="1">
        <f t="array" ref="AZ97">IF(AND(AZ$2&lt;&gt;0,TblTech[[#This Row],[Hour]:[Hour]]&gt;=AZ$2),1,0)</f>
        <v>0</v>
      </c>
      <c r="BA97" s="298" cm="1">
        <f t="array" ref="BA97">IF(AND(BA$2&lt;&gt;0,TblTech[[#This Row],[Hour]:[Hour]]&gt;=BA$2),1,0)</f>
        <v>0</v>
      </c>
      <c r="BB97" s="298" cm="1">
        <f t="array" ref="BB97">IF(AND(BB$2&lt;&gt;0,TblTech[[#This Row],[Hour]:[Hour]]&gt;=BB$2),1,0)</f>
        <v>0</v>
      </c>
      <c r="BC97" s="298" cm="1">
        <f t="array" ref="BC97">IF(AND(BC$2&lt;&gt;0,TblTech[[#This Row],[Hour]:[Hour]]&gt;=BC$2),1,0)</f>
        <v>0</v>
      </c>
      <c r="BD97" s="298" cm="1">
        <f t="array" ref="BD97">IF(AND(BD$2&lt;&gt;0,TblTech[[#This Row],[Hour]:[Hour]]&gt;=BD$2),1,0)</f>
        <v>0</v>
      </c>
      <c r="BE97" s="298" cm="1">
        <f t="array" ref="BE97">IF(AND(BE$2&lt;&gt;0,TblTech[[#This Row],[Hour]:[Hour]]&gt;=BE$2),1,0)</f>
        <v>0</v>
      </c>
      <c r="BF97" s="298" cm="1">
        <f t="array" ref="BF97">IF(AND(BF$2&lt;&gt;0,TblTech[[#This Row],[Hour]:[Hour]]&gt;=BF$2),1,0)</f>
        <v>0</v>
      </c>
      <c r="BG97" s="298" cm="1">
        <f t="array" ref="BG97">IF(AND(BG$2&lt;&gt;0,TblTech[[#This Row],[Hour]:[Hour]]&gt;=BG$2),1,0)</f>
        <v>0</v>
      </c>
      <c r="BH97" s="298" cm="1">
        <f t="array" ref="BH97">IF(AND(BH$2&lt;&gt;0,TblTech[[#This Row],[Hour]:[Hour]]&gt;=BH$2),1,0)</f>
        <v>0</v>
      </c>
      <c r="BI97" s="298" cm="1">
        <f t="array" ref="BI97">IF(AND(BI$2&lt;&gt;0,TblTech[[#This Row],[Hour]:[Hour]]&gt;=BI$2),1,0)</f>
        <v>0</v>
      </c>
      <c r="BJ97" s="298" cm="1">
        <f t="array" ref="BJ97">IF(AND(BJ$2&lt;&gt;0,TblTech[[#This Row],[Hour]:[Hour]]&gt;=BJ$2),1,0)</f>
        <v>0</v>
      </c>
      <c r="BK97" s="298" cm="1">
        <f t="array" ref="BK97">IF(AND(BK$2&lt;&gt;0,TblTech[[#This Row],[Hour]:[Hour]]&gt;=BK$2),1,0)</f>
        <v>0</v>
      </c>
      <c r="BL97" s="298" cm="1">
        <f t="array" ref="BL97">IF(AND(BL$2&lt;&gt;0,TblTech[[#This Row],[Hour]:[Hour]]&gt;=BL$2),1,0)</f>
        <v>0</v>
      </c>
      <c r="BM97" s="298" cm="1">
        <f t="array" ref="BM97">IF(AND(BM$2&lt;&gt;0,TblTech[[#This Row],[Hour]:[Hour]]&gt;=BM$2),1,0)</f>
        <v>0</v>
      </c>
      <c r="BN97" s="298" cm="1">
        <f t="array" ref="BN97">IF(AND(BN$2&lt;&gt;0,TblTech[[#This Row],[Hour]:[Hour]]&gt;=BN$2),1,0)</f>
        <v>0</v>
      </c>
      <c r="BO97" s="298" cm="1">
        <f t="array" ref="BO97">IF(AND(BO$2&lt;&gt;0,TblTech[[#This Row],[Hour]:[Hour]]&gt;=BO$2),1,0)</f>
        <v>0</v>
      </c>
      <c r="BP97" s="298" cm="1">
        <f t="array" ref="BP97">IF(AND(BP$2&lt;&gt;0,TblTech[[#This Row],[Hour]:[Hour]]&gt;=BP$2),1,0)</f>
        <v>0</v>
      </c>
      <c r="BQ97" s="298" cm="1">
        <f t="array" ref="BQ97">IF(AND(BQ$2&lt;&gt;0,TblTech[[#This Row],[Hour]:[Hour]]&gt;=BQ$2),1,0)</f>
        <v>0</v>
      </c>
      <c r="BR97" s="298" cm="1">
        <f t="array" ref="BR97">IF(AND(BR$2&lt;&gt;0,TblTech[[#This Row],[Hour]:[Hour]]&gt;=BR$2),1,0)</f>
        <v>0</v>
      </c>
      <c r="BS97" s="298" cm="1">
        <f t="array" ref="BS97">IF(AND(BS$2&lt;&gt;0,TblTech[[#This Row],[Hour]:[Hour]]&gt;=BS$2),1,0)</f>
        <v>0</v>
      </c>
      <c r="BT97" s="298" cm="1">
        <f t="array" ref="BT97">IF(AND(BT$2&lt;&gt;0,TblTech[[#This Row],[Hour]:[Hour]]&gt;=BT$2),1,0)</f>
        <v>0</v>
      </c>
      <c r="BU97" s="298" cm="1">
        <f t="array" ref="BU97">IF(AND(BU$2&lt;&gt;0,TblTech[[#This Row],[Hour]:[Hour]]&gt;=BU$2),1,0)</f>
        <v>0</v>
      </c>
      <c r="BV97" s="298" cm="1">
        <f t="array" ref="BV97">IF(AND(BV$2&lt;&gt;0,TblTech[[#This Row],[Hour]:[Hour]]&gt;=BV$2),1,0)</f>
        <v>0</v>
      </c>
      <c r="BW97" s="298" cm="1">
        <f t="array" ref="BW97">IF(AND(BW$2&lt;&gt;0,TblTech[[#This Row],[Hour]:[Hour]]&gt;=BW$2),1,0)</f>
        <v>0</v>
      </c>
      <c r="BX97" s="298" cm="1">
        <f t="array" ref="BX97">IF(AND(BX$2&lt;&gt;0,TblTech[[#This Row],[Hour]:[Hour]]&gt;=BX$2),1,0)</f>
        <v>0</v>
      </c>
      <c r="BY97" s="298" cm="1">
        <f t="array" ref="BY97">IF(AND(BY$2&lt;&gt;0,TblTech[[#This Row],[Hour]:[Hour]]&gt;=BY$2),1,0)</f>
        <v>0</v>
      </c>
      <c r="BZ97" s="298" cm="1">
        <f t="array" ref="BZ97">IF(AND(BZ$2&lt;&gt;0,TblTech[[#This Row],[Hour]:[Hour]]&gt;=BZ$2),1,0)</f>
        <v>0</v>
      </c>
      <c r="CA97" s="402">
        <f>IFERROR(INDEX($H$4:$H$79,MATCH(INDEX(TblTech[[#Headers],[1-1]:[11-1]],1,MATCH(TblTech[[#This Row],[Hour]],$M$2:$BZ$2,0)),$G$4:$G$79,0)),)</f>
        <v>0</v>
      </c>
    </row>
    <row r="98" spans="1:79" x14ac:dyDescent="0.2">
      <c r="A98" s="290">
        <f>TblRezone[[#This Row],[Hour]]</f>
        <v>95</v>
      </c>
      <c r="B98" s="291">
        <f ca="1">TblExplore[[#This Row],[Land-DB]]</f>
        <v>250</v>
      </c>
      <c r="C98" s="292">
        <f ca="1">TblProd[[#This Row],[Techpoints]]</f>
        <v>0</v>
      </c>
      <c r="D98" s="292">
        <f ca="1">TblProd[[#This Row],[Required]]</f>
        <v>3750</v>
      </c>
      <c r="E98" s="301"/>
      <c r="F98" s="302"/>
      <c r="G98" s="295"/>
      <c r="H98" s="296"/>
      <c r="I98" s="296"/>
      <c r="J98" s="296"/>
      <c r="K98" s="95">
        <f ca="1">IF(TblTech[[#This Row],[Sum of tech]]&lt;&gt;OFFSET(TblTech[[#This Row],[Sum of tech]],-1,0),1,0)</f>
        <v>0</v>
      </c>
      <c r="L98" s="297">
        <f>COUNTIF(TblTech[[#This Row],[1-1]:[11-1]],1)</f>
        <v>0</v>
      </c>
      <c r="M98" s="298" cm="1">
        <f t="array" ref="M98">IF(AND(M$2&lt;&gt;0,TblTech[[#This Row],[Hour]:[Hour]]&gt;=M$2),1,0)</f>
        <v>0</v>
      </c>
      <c r="N98" s="298" cm="1">
        <f t="array" ref="N98">IF(AND(N$2&lt;&gt;0,TblTech[[#This Row],[Hour]:[Hour]]&gt;=N$2),1,0)</f>
        <v>0</v>
      </c>
      <c r="O98" s="298" cm="1">
        <f t="array" ref="O98">IF(AND(O$2&lt;&gt;0,TblTech[[#This Row],[Hour]:[Hour]]&gt;=O$2),1,0)</f>
        <v>0</v>
      </c>
      <c r="P98" s="298" cm="1">
        <f t="array" ref="P98">IF(AND(P$2&lt;&gt;0,TblTech[[#This Row],[Hour]:[Hour]]&gt;=P$2),1,0)</f>
        <v>0</v>
      </c>
      <c r="Q98" s="298" cm="1">
        <f t="array" ref="Q98">IF(AND(Q$2&lt;&gt;0,TblTech[[#This Row],[Hour]:[Hour]]&gt;=Q$2),1,0)</f>
        <v>0</v>
      </c>
      <c r="R98" s="298" cm="1">
        <f t="array" ref="R98">IF(AND(R$2&lt;&gt;0,TblTech[[#This Row],[Hour]:[Hour]]&gt;=R$2),1,0)</f>
        <v>0</v>
      </c>
      <c r="S98" s="298" cm="1">
        <f t="array" ref="S98">IF(AND(S$2&lt;&gt;0,TblTech[[#This Row],[Hour]:[Hour]]&gt;=S$2),1,0)</f>
        <v>0</v>
      </c>
      <c r="T98" s="298" cm="1">
        <f t="array" ref="T98">IF(AND(T$2&lt;&gt;0,TblTech[[#This Row],[Hour]:[Hour]]&gt;=T$2),1,0)</f>
        <v>0</v>
      </c>
      <c r="U98" s="298" cm="1">
        <f t="array" ref="U98">IF(AND(U$2&lt;&gt;0,TblTech[[#This Row],[Hour]:[Hour]]&gt;=U$2),1,0)</f>
        <v>0</v>
      </c>
      <c r="V98" s="298" cm="1">
        <f t="array" ref="V98">IF(AND(V$2&lt;&gt;0,TblTech[[#This Row],[Hour]:[Hour]]&gt;=V$2),1,0)</f>
        <v>0</v>
      </c>
      <c r="W98" s="298" cm="1">
        <f t="array" ref="W98">IF(AND(W$2&lt;&gt;0,TblTech[[#This Row],[Hour]:[Hour]]&gt;=W$2),1,0)</f>
        <v>0</v>
      </c>
      <c r="X98" s="298" cm="1">
        <f t="array" ref="X98">IF(AND(X$2&lt;&gt;0,TblTech[[#This Row],[Hour]:[Hour]]&gt;=X$2),1,0)</f>
        <v>0</v>
      </c>
      <c r="Y98" s="298" cm="1">
        <f t="array" ref="Y98">IF(AND(Y$2&lt;&gt;0,TblTech[[#This Row],[Hour]:[Hour]]&gt;=Y$2),1,0)</f>
        <v>0</v>
      </c>
      <c r="Z98" s="298" cm="1">
        <f t="array" ref="Z98">IF(AND(Z$2&lt;&gt;0,TblTech[[#This Row],[Hour]:[Hour]]&gt;=Z$2),1,0)</f>
        <v>0</v>
      </c>
      <c r="AA98" s="298" cm="1">
        <f t="array" ref="AA98">IF(AND(AA$2&lt;&gt;0,TblTech[[#This Row],[Hour]:[Hour]]&gt;=AA$2),1,0)</f>
        <v>0</v>
      </c>
      <c r="AB98" s="298" cm="1">
        <f t="array" ref="AB98">IF(AND(AB$2&lt;&gt;0,TblTech[[#This Row],[Hour]:[Hour]]&gt;=AB$2),1,0)</f>
        <v>0</v>
      </c>
      <c r="AC98" s="298" cm="1">
        <f t="array" ref="AC98">IF(AND(AC$2&lt;&gt;0,TblTech[[#This Row],[Hour]:[Hour]]&gt;=AC$2),1,0)</f>
        <v>0</v>
      </c>
      <c r="AD98" s="298" cm="1">
        <f t="array" ref="AD98">IF(AND(AD$2&lt;&gt;0,TblTech[[#This Row],[Hour]:[Hour]]&gt;=AD$2),1,0)</f>
        <v>0</v>
      </c>
      <c r="AE98" s="298" cm="1">
        <f t="array" ref="AE98">IF(AND(AE$2&lt;&gt;0,TblTech[[#This Row],[Hour]:[Hour]]&gt;=AE$2),1,0)</f>
        <v>0</v>
      </c>
      <c r="AF98" s="298" cm="1">
        <f t="array" ref="AF98">IF(AND(AF$2&lt;&gt;0,TblTech[[#This Row],[Hour]:[Hour]]&gt;=AF$2),1,0)</f>
        <v>0</v>
      </c>
      <c r="AG98" s="298" cm="1">
        <f t="array" ref="AG98">IF(AND(AG$2&lt;&gt;0,TblTech[[#This Row],[Hour]:[Hour]]&gt;=AG$2),1,0)</f>
        <v>0</v>
      </c>
      <c r="AH98" s="298" cm="1">
        <f t="array" ref="AH98">IF(AND(AH$2&lt;&gt;0,TblTech[[#This Row],[Hour]:[Hour]]&gt;=AH$2),1,0)</f>
        <v>0</v>
      </c>
      <c r="AI98" s="298" cm="1">
        <f t="array" ref="AI98">IF(AND(AI$2&lt;&gt;0,TblTech[[#This Row],[Hour]:[Hour]]&gt;=AI$2),1,0)</f>
        <v>0</v>
      </c>
      <c r="AJ98" s="298" cm="1">
        <f t="array" ref="AJ98">IF(AND(AJ$2&lt;&gt;0,TblTech[[#This Row],[Hour]:[Hour]]&gt;=AJ$2),1,0)</f>
        <v>0</v>
      </c>
      <c r="AK98" s="298" cm="1">
        <f t="array" ref="AK98">IF(AND(AK$2&lt;&gt;0,TblTech[[#This Row],[Hour]:[Hour]]&gt;=AK$2),1,0)</f>
        <v>0</v>
      </c>
      <c r="AL98" s="298" cm="1">
        <f t="array" ref="AL98">IF(AND(AL$2&lt;&gt;0,TblTech[[#This Row],[Hour]:[Hour]]&gt;=AL$2),1,0)</f>
        <v>0</v>
      </c>
      <c r="AM98" s="298" cm="1">
        <f t="array" ref="AM98">IF(AND(AM$2&lt;&gt;0,TblTech[[#This Row],[Hour]:[Hour]]&gt;=AM$2),1,0)</f>
        <v>0</v>
      </c>
      <c r="AN98" s="298" cm="1">
        <f t="array" ref="AN98">IF(AND(AN$2&lt;&gt;0,TblTech[[#This Row],[Hour]:[Hour]]&gt;=AN$2),1,0)</f>
        <v>0</v>
      </c>
      <c r="AO98" s="298" cm="1">
        <f t="array" ref="AO98">IF(AND(AO$2&lt;&gt;0,TblTech[[#This Row],[Hour]:[Hour]]&gt;=AO$2),1,0)</f>
        <v>0</v>
      </c>
      <c r="AP98" s="298" cm="1">
        <f t="array" ref="AP98">IF(AND(AP$2&lt;&gt;0,TblTech[[#This Row],[Hour]:[Hour]]&gt;=AP$2),1,0)</f>
        <v>0</v>
      </c>
      <c r="AQ98" s="298" cm="1">
        <f t="array" ref="AQ98">IF(AND(AQ$2&lt;&gt;0,TblTech[[#This Row],[Hour]:[Hour]]&gt;=AQ$2),1,0)</f>
        <v>0</v>
      </c>
      <c r="AR98" s="298" cm="1">
        <f t="array" ref="AR98">IF(AND(AR$2&lt;&gt;0,TblTech[[#This Row],[Hour]:[Hour]]&gt;=AR$2),1,0)</f>
        <v>0</v>
      </c>
      <c r="AS98" s="298" cm="1">
        <f t="array" ref="AS98">IF(AND(AS$2&lt;&gt;0,TblTech[[#This Row],[Hour]:[Hour]]&gt;=AS$2),1,0)</f>
        <v>0</v>
      </c>
      <c r="AT98" s="298" cm="1">
        <f t="array" ref="AT98">IF(AND(AT$2&lt;&gt;0,TblTech[[#This Row],[Hour]:[Hour]]&gt;=AT$2),1,0)</f>
        <v>0</v>
      </c>
      <c r="AU98" s="298" cm="1">
        <f t="array" ref="AU98">IF(AND(AU$2&lt;&gt;0,TblTech[[#This Row],[Hour]:[Hour]]&gt;=AU$2),1,0)</f>
        <v>0</v>
      </c>
      <c r="AV98" s="298" cm="1">
        <f t="array" ref="AV98">IF(AND(AV$2&lt;&gt;0,TblTech[[#This Row],[Hour]:[Hour]]&gt;=AV$2),1,0)</f>
        <v>0</v>
      </c>
      <c r="AW98" s="298" cm="1">
        <f t="array" ref="AW98">IF(AND(AW$2&lt;&gt;0,TblTech[[#This Row],[Hour]:[Hour]]&gt;=AW$2),1,0)</f>
        <v>0</v>
      </c>
      <c r="AX98" s="298" cm="1">
        <f t="array" ref="AX98">IF(AND(AX$2&lt;&gt;0,TblTech[[#This Row],[Hour]:[Hour]]&gt;=AX$2),1,0)</f>
        <v>0</v>
      </c>
      <c r="AY98" s="298" cm="1">
        <f t="array" ref="AY98">IF(AND(AY$2&lt;&gt;0,TblTech[[#This Row],[Hour]:[Hour]]&gt;=AY$2),1,0)</f>
        <v>0</v>
      </c>
      <c r="AZ98" s="298" cm="1">
        <f t="array" ref="AZ98">IF(AND(AZ$2&lt;&gt;0,TblTech[[#This Row],[Hour]:[Hour]]&gt;=AZ$2),1,0)</f>
        <v>0</v>
      </c>
      <c r="BA98" s="298" cm="1">
        <f t="array" ref="BA98">IF(AND(BA$2&lt;&gt;0,TblTech[[#This Row],[Hour]:[Hour]]&gt;=BA$2),1,0)</f>
        <v>0</v>
      </c>
      <c r="BB98" s="298" cm="1">
        <f t="array" ref="BB98">IF(AND(BB$2&lt;&gt;0,TblTech[[#This Row],[Hour]:[Hour]]&gt;=BB$2),1,0)</f>
        <v>0</v>
      </c>
      <c r="BC98" s="298" cm="1">
        <f t="array" ref="BC98">IF(AND(BC$2&lt;&gt;0,TblTech[[#This Row],[Hour]:[Hour]]&gt;=BC$2),1,0)</f>
        <v>0</v>
      </c>
      <c r="BD98" s="298" cm="1">
        <f t="array" ref="BD98">IF(AND(BD$2&lt;&gt;0,TblTech[[#This Row],[Hour]:[Hour]]&gt;=BD$2),1,0)</f>
        <v>0</v>
      </c>
      <c r="BE98" s="298" cm="1">
        <f t="array" ref="BE98">IF(AND(BE$2&lt;&gt;0,TblTech[[#This Row],[Hour]:[Hour]]&gt;=BE$2),1,0)</f>
        <v>0</v>
      </c>
      <c r="BF98" s="298" cm="1">
        <f t="array" ref="BF98">IF(AND(BF$2&lt;&gt;0,TblTech[[#This Row],[Hour]:[Hour]]&gt;=BF$2),1,0)</f>
        <v>0</v>
      </c>
      <c r="BG98" s="298" cm="1">
        <f t="array" ref="BG98">IF(AND(BG$2&lt;&gt;0,TblTech[[#This Row],[Hour]:[Hour]]&gt;=BG$2),1,0)</f>
        <v>0</v>
      </c>
      <c r="BH98" s="298" cm="1">
        <f t="array" ref="BH98">IF(AND(BH$2&lt;&gt;0,TblTech[[#This Row],[Hour]:[Hour]]&gt;=BH$2),1,0)</f>
        <v>0</v>
      </c>
      <c r="BI98" s="298" cm="1">
        <f t="array" ref="BI98">IF(AND(BI$2&lt;&gt;0,TblTech[[#This Row],[Hour]:[Hour]]&gt;=BI$2),1,0)</f>
        <v>0</v>
      </c>
      <c r="BJ98" s="298" cm="1">
        <f t="array" ref="BJ98">IF(AND(BJ$2&lt;&gt;0,TblTech[[#This Row],[Hour]:[Hour]]&gt;=BJ$2),1,0)</f>
        <v>0</v>
      </c>
      <c r="BK98" s="298" cm="1">
        <f t="array" ref="BK98">IF(AND(BK$2&lt;&gt;0,TblTech[[#This Row],[Hour]:[Hour]]&gt;=BK$2),1,0)</f>
        <v>0</v>
      </c>
      <c r="BL98" s="298" cm="1">
        <f t="array" ref="BL98">IF(AND(BL$2&lt;&gt;0,TblTech[[#This Row],[Hour]:[Hour]]&gt;=BL$2),1,0)</f>
        <v>0</v>
      </c>
      <c r="BM98" s="298" cm="1">
        <f t="array" ref="BM98">IF(AND(BM$2&lt;&gt;0,TblTech[[#This Row],[Hour]:[Hour]]&gt;=BM$2),1,0)</f>
        <v>0</v>
      </c>
      <c r="BN98" s="298" cm="1">
        <f t="array" ref="BN98">IF(AND(BN$2&lt;&gt;0,TblTech[[#This Row],[Hour]:[Hour]]&gt;=BN$2),1,0)</f>
        <v>0</v>
      </c>
      <c r="BO98" s="298" cm="1">
        <f t="array" ref="BO98">IF(AND(BO$2&lt;&gt;0,TblTech[[#This Row],[Hour]:[Hour]]&gt;=BO$2),1,0)</f>
        <v>0</v>
      </c>
      <c r="BP98" s="298" cm="1">
        <f t="array" ref="BP98">IF(AND(BP$2&lt;&gt;0,TblTech[[#This Row],[Hour]:[Hour]]&gt;=BP$2),1,0)</f>
        <v>0</v>
      </c>
      <c r="BQ98" s="298" cm="1">
        <f t="array" ref="BQ98">IF(AND(BQ$2&lt;&gt;0,TblTech[[#This Row],[Hour]:[Hour]]&gt;=BQ$2),1,0)</f>
        <v>0</v>
      </c>
      <c r="BR98" s="298" cm="1">
        <f t="array" ref="BR98">IF(AND(BR$2&lt;&gt;0,TblTech[[#This Row],[Hour]:[Hour]]&gt;=BR$2),1,0)</f>
        <v>0</v>
      </c>
      <c r="BS98" s="298" cm="1">
        <f t="array" ref="BS98">IF(AND(BS$2&lt;&gt;0,TblTech[[#This Row],[Hour]:[Hour]]&gt;=BS$2),1,0)</f>
        <v>0</v>
      </c>
      <c r="BT98" s="298" cm="1">
        <f t="array" ref="BT98">IF(AND(BT$2&lt;&gt;0,TblTech[[#This Row],[Hour]:[Hour]]&gt;=BT$2),1,0)</f>
        <v>0</v>
      </c>
      <c r="BU98" s="298" cm="1">
        <f t="array" ref="BU98">IF(AND(BU$2&lt;&gt;0,TblTech[[#This Row],[Hour]:[Hour]]&gt;=BU$2),1,0)</f>
        <v>0</v>
      </c>
      <c r="BV98" s="298" cm="1">
        <f t="array" ref="BV98">IF(AND(BV$2&lt;&gt;0,TblTech[[#This Row],[Hour]:[Hour]]&gt;=BV$2),1,0)</f>
        <v>0</v>
      </c>
      <c r="BW98" s="298" cm="1">
        <f t="array" ref="BW98">IF(AND(BW$2&lt;&gt;0,TblTech[[#This Row],[Hour]:[Hour]]&gt;=BW$2),1,0)</f>
        <v>0</v>
      </c>
      <c r="BX98" s="298" cm="1">
        <f t="array" ref="BX98">IF(AND(BX$2&lt;&gt;0,TblTech[[#This Row],[Hour]:[Hour]]&gt;=BX$2),1,0)</f>
        <v>0</v>
      </c>
      <c r="BY98" s="298" cm="1">
        <f t="array" ref="BY98">IF(AND(BY$2&lt;&gt;0,TblTech[[#This Row],[Hour]:[Hour]]&gt;=BY$2),1,0)</f>
        <v>0</v>
      </c>
      <c r="BZ98" s="298" cm="1">
        <f t="array" ref="BZ98">IF(AND(BZ$2&lt;&gt;0,TblTech[[#This Row],[Hour]:[Hour]]&gt;=BZ$2),1,0)</f>
        <v>0</v>
      </c>
      <c r="CA98" s="402">
        <f>IFERROR(INDEX($H$4:$H$79,MATCH(INDEX(TblTech[[#Headers],[1-1]:[11-1]],1,MATCH(TblTech[[#This Row],[Hour]],$M$2:$BZ$2,0)),$G$4:$G$79,0)),)</f>
        <v>0</v>
      </c>
    </row>
    <row r="99" spans="1:79" x14ac:dyDescent="0.2">
      <c r="A99" s="290">
        <f>TblRezone[[#This Row],[Hour]]</f>
        <v>96</v>
      </c>
      <c r="B99" s="291">
        <f ca="1">TblExplore[[#This Row],[Land-DB]]</f>
        <v>250</v>
      </c>
      <c r="C99" s="292">
        <f ca="1">TblProd[[#This Row],[Techpoints]]</f>
        <v>0</v>
      </c>
      <c r="D99" s="292">
        <f ca="1">TblProd[[#This Row],[Required]]</f>
        <v>3750</v>
      </c>
      <c r="E99" s="301"/>
      <c r="F99" s="302"/>
      <c r="G99" s="295"/>
      <c r="H99" s="296"/>
      <c r="I99" s="296"/>
      <c r="J99" s="296"/>
      <c r="K99" s="95">
        <f ca="1">IF(TblTech[[#This Row],[Sum of tech]]&lt;&gt;OFFSET(TblTech[[#This Row],[Sum of tech]],-1,0),1,0)</f>
        <v>0</v>
      </c>
      <c r="L99" s="297">
        <f>COUNTIF(TblTech[[#This Row],[1-1]:[11-1]],1)</f>
        <v>0</v>
      </c>
      <c r="M99" s="298" cm="1">
        <f t="array" ref="M99">IF(AND(M$2&lt;&gt;0,TblTech[[#This Row],[Hour]:[Hour]]&gt;=M$2),1,0)</f>
        <v>0</v>
      </c>
      <c r="N99" s="298" cm="1">
        <f t="array" ref="N99">IF(AND(N$2&lt;&gt;0,TblTech[[#This Row],[Hour]:[Hour]]&gt;=N$2),1,0)</f>
        <v>0</v>
      </c>
      <c r="O99" s="298" cm="1">
        <f t="array" ref="O99">IF(AND(O$2&lt;&gt;0,TblTech[[#This Row],[Hour]:[Hour]]&gt;=O$2),1,0)</f>
        <v>0</v>
      </c>
      <c r="P99" s="298" cm="1">
        <f t="array" ref="P99">IF(AND(P$2&lt;&gt;0,TblTech[[#This Row],[Hour]:[Hour]]&gt;=P$2),1,0)</f>
        <v>0</v>
      </c>
      <c r="Q99" s="298" cm="1">
        <f t="array" ref="Q99">IF(AND(Q$2&lt;&gt;0,TblTech[[#This Row],[Hour]:[Hour]]&gt;=Q$2),1,0)</f>
        <v>0</v>
      </c>
      <c r="R99" s="298" cm="1">
        <f t="array" ref="R99">IF(AND(R$2&lt;&gt;0,TblTech[[#This Row],[Hour]:[Hour]]&gt;=R$2),1,0)</f>
        <v>0</v>
      </c>
      <c r="S99" s="298" cm="1">
        <f t="array" ref="S99">IF(AND(S$2&lt;&gt;0,TblTech[[#This Row],[Hour]:[Hour]]&gt;=S$2),1,0)</f>
        <v>0</v>
      </c>
      <c r="T99" s="298" cm="1">
        <f t="array" ref="T99">IF(AND(T$2&lt;&gt;0,TblTech[[#This Row],[Hour]:[Hour]]&gt;=T$2),1,0)</f>
        <v>0</v>
      </c>
      <c r="U99" s="298" cm="1">
        <f t="array" ref="U99">IF(AND(U$2&lt;&gt;0,TblTech[[#This Row],[Hour]:[Hour]]&gt;=U$2),1,0)</f>
        <v>0</v>
      </c>
      <c r="V99" s="298" cm="1">
        <f t="array" ref="V99">IF(AND(V$2&lt;&gt;0,TblTech[[#This Row],[Hour]:[Hour]]&gt;=V$2),1,0)</f>
        <v>0</v>
      </c>
      <c r="W99" s="298" cm="1">
        <f t="array" ref="W99">IF(AND(W$2&lt;&gt;0,TblTech[[#This Row],[Hour]:[Hour]]&gt;=W$2),1,0)</f>
        <v>0</v>
      </c>
      <c r="X99" s="298" cm="1">
        <f t="array" ref="X99">IF(AND(X$2&lt;&gt;0,TblTech[[#This Row],[Hour]:[Hour]]&gt;=X$2),1,0)</f>
        <v>0</v>
      </c>
      <c r="Y99" s="298" cm="1">
        <f t="array" ref="Y99">IF(AND(Y$2&lt;&gt;0,TblTech[[#This Row],[Hour]:[Hour]]&gt;=Y$2),1,0)</f>
        <v>0</v>
      </c>
      <c r="Z99" s="298" cm="1">
        <f t="array" ref="Z99">IF(AND(Z$2&lt;&gt;0,TblTech[[#This Row],[Hour]:[Hour]]&gt;=Z$2),1,0)</f>
        <v>0</v>
      </c>
      <c r="AA99" s="298" cm="1">
        <f t="array" ref="AA99">IF(AND(AA$2&lt;&gt;0,TblTech[[#This Row],[Hour]:[Hour]]&gt;=AA$2),1,0)</f>
        <v>0</v>
      </c>
      <c r="AB99" s="298" cm="1">
        <f t="array" ref="AB99">IF(AND(AB$2&lt;&gt;0,TblTech[[#This Row],[Hour]:[Hour]]&gt;=AB$2),1,0)</f>
        <v>0</v>
      </c>
      <c r="AC99" s="298" cm="1">
        <f t="array" ref="AC99">IF(AND(AC$2&lt;&gt;0,TblTech[[#This Row],[Hour]:[Hour]]&gt;=AC$2),1,0)</f>
        <v>0</v>
      </c>
      <c r="AD99" s="298" cm="1">
        <f t="array" ref="AD99">IF(AND(AD$2&lt;&gt;0,TblTech[[#This Row],[Hour]:[Hour]]&gt;=AD$2),1,0)</f>
        <v>0</v>
      </c>
      <c r="AE99" s="298" cm="1">
        <f t="array" ref="AE99">IF(AND(AE$2&lt;&gt;0,TblTech[[#This Row],[Hour]:[Hour]]&gt;=AE$2),1,0)</f>
        <v>0</v>
      </c>
      <c r="AF99" s="298" cm="1">
        <f t="array" ref="AF99">IF(AND(AF$2&lt;&gt;0,TblTech[[#This Row],[Hour]:[Hour]]&gt;=AF$2),1,0)</f>
        <v>0</v>
      </c>
      <c r="AG99" s="298" cm="1">
        <f t="array" ref="AG99">IF(AND(AG$2&lt;&gt;0,TblTech[[#This Row],[Hour]:[Hour]]&gt;=AG$2),1,0)</f>
        <v>0</v>
      </c>
      <c r="AH99" s="298" cm="1">
        <f t="array" ref="AH99">IF(AND(AH$2&lt;&gt;0,TblTech[[#This Row],[Hour]:[Hour]]&gt;=AH$2),1,0)</f>
        <v>0</v>
      </c>
      <c r="AI99" s="298" cm="1">
        <f t="array" ref="AI99">IF(AND(AI$2&lt;&gt;0,TblTech[[#This Row],[Hour]:[Hour]]&gt;=AI$2),1,0)</f>
        <v>0</v>
      </c>
      <c r="AJ99" s="298" cm="1">
        <f t="array" ref="AJ99">IF(AND(AJ$2&lt;&gt;0,TblTech[[#This Row],[Hour]:[Hour]]&gt;=AJ$2),1,0)</f>
        <v>0</v>
      </c>
      <c r="AK99" s="298" cm="1">
        <f t="array" ref="AK99">IF(AND(AK$2&lt;&gt;0,TblTech[[#This Row],[Hour]:[Hour]]&gt;=AK$2),1,0)</f>
        <v>0</v>
      </c>
      <c r="AL99" s="298" cm="1">
        <f t="array" ref="AL99">IF(AND(AL$2&lt;&gt;0,TblTech[[#This Row],[Hour]:[Hour]]&gt;=AL$2),1,0)</f>
        <v>0</v>
      </c>
      <c r="AM99" s="298" cm="1">
        <f t="array" ref="AM99">IF(AND(AM$2&lt;&gt;0,TblTech[[#This Row],[Hour]:[Hour]]&gt;=AM$2),1,0)</f>
        <v>0</v>
      </c>
      <c r="AN99" s="298" cm="1">
        <f t="array" ref="AN99">IF(AND(AN$2&lt;&gt;0,TblTech[[#This Row],[Hour]:[Hour]]&gt;=AN$2),1,0)</f>
        <v>0</v>
      </c>
      <c r="AO99" s="298" cm="1">
        <f t="array" ref="AO99">IF(AND(AO$2&lt;&gt;0,TblTech[[#This Row],[Hour]:[Hour]]&gt;=AO$2),1,0)</f>
        <v>0</v>
      </c>
      <c r="AP99" s="298" cm="1">
        <f t="array" ref="AP99">IF(AND(AP$2&lt;&gt;0,TblTech[[#This Row],[Hour]:[Hour]]&gt;=AP$2),1,0)</f>
        <v>0</v>
      </c>
      <c r="AQ99" s="298" cm="1">
        <f t="array" ref="AQ99">IF(AND(AQ$2&lt;&gt;0,TblTech[[#This Row],[Hour]:[Hour]]&gt;=AQ$2),1,0)</f>
        <v>0</v>
      </c>
      <c r="AR99" s="298" cm="1">
        <f t="array" ref="AR99">IF(AND(AR$2&lt;&gt;0,TblTech[[#This Row],[Hour]:[Hour]]&gt;=AR$2),1,0)</f>
        <v>0</v>
      </c>
      <c r="AS99" s="298" cm="1">
        <f t="array" ref="AS99">IF(AND(AS$2&lt;&gt;0,TblTech[[#This Row],[Hour]:[Hour]]&gt;=AS$2),1,0)</f>
        <v>0</v>
      </c>
      <c r="AT99" s="298" cm="1">
        <f t="array" ref="AT99">IF(AND(AT$2&lt;&gt;0,TblTech[[#This Row],[Hour]:[Hour]]&gt;=AT$2),1,0)</f>
        <v>0</v>
      </c>
      <c r="AU99" s="298" cm="1">
        <f t="array" ref="AU99">IF(AND(AU$2&lt;&gt;0,TblTech[[#This Row],[Hour]:[Hour]]&gt;=AU$2),1,0)</f>
        <v>0</v>
      </c>
      <c r="AV99" s="298" cm="1">
        <f t="array" ref="AV99">IF(AND(AV$2&lt;&gt;0,TblTech[[#This Row],[Hour]:[Hour]]&gt;=AV$2),1,0)</f>
        <v>0</v>
      </c>
      <c r="AW99" s="298" cm="1">
        <f t="array" ref="AW99">IF(AND(AW$2&lt;&gt;0,TblTech[[#This Row],[Hour]:[Hour]]&gt;=AW$2),1,0)</f>
        <v>0</v>
      </c>
      <c r="AX99" s="298" cm="1">
        <f t="array" ref="AX99">IF(AND(AX$2&lt;&gt;0,TblTech[[#This Row],[Hour]:[Hour]]&gt;=AX$2),1,0)</f>
        <v>0</v>
      </c>
      <c r="AY99" s="298" cm="1">
        <f t="array" ref="AY99">IF(AND(AY$2&lt;&gt;0,TblTech[[#This Row],[Hour]:[Hour]]&gt;=AY$2),1,0)</f>
        <v>0</v>
      </c>
      <c r="AZ99" s="298" cm="1">
        <f t="array" ref="AZ99">IF(AND(AZ$2&lt;&gt;0,TblTech[[#This Row],[Hour]:[Hour]]&gt;=AZ$2),1,0)</f>
        <v>0</v>
      </c>
      <c r="BA99" s="298" cm="1">
        <f t="array" ref="BA99">IF(AND(BA$2&lt;&gt;0,TblTech[[#This Row],[Hour]:[Hour]]&gt;=BA$2),1,0)</f>
        <v>0</v>
      </c>
      <c r="BB99" s="298" cm="1">
        <f t="array" ref="BB99">IF(AND(BB$2&lt;&gt;0,TblTech[[#This Row],[Hour]:[Hour]]&gt;=BB$2),1,0)</f>
        <v>0</v>
      </c>
      <c r="BC99" s="298" cm="1">
        <f t="array" ref="BC99">IF(AND(BC$2&lt;&gt;0,TblTech[[#This Row],[Hour]:[Hour]]&gt;=BC$2),1,0)</f>
        <v>0</v>
      </c>
      <c r="BD99" s="298" cm="1">
        <f t="array" ref="BD99">IF(AND(BD$2&lt;&gt;0,TblTech[[#This Row],[Hour]:[Hour]]&gt;=BD$2),1,0)</f>
        <v>0</v>
      </c>
      <c r="BE99" s="298" cm="1">
        <f t="array" ref="BE99">IF(AND(BE$2&lt;&gt;0,TblTech[[#This Row],[Hour]:[Hour]]&gt;=BE$2),1,0)</f>
        <v>0</v>
      </c>
      <c r="BF99" s="298" cm="1">
        <f t="array" ref="BF99">IF(AND(BF$2&lt;&gt;0,TblTech[[#This Row],[Hour]:[Hour]]&gt;=BF$2),1,0)</f>
        <v>0</v>
      </c>
      <c r="BG99" s="298" cm="1">
        <f t="array" ref="BG99">IF(AND(BG$2&lt;&gt;0,TblTech[[#This Row],[Hour]:[Hour]]&gt;=BG$2),1,0)</f>
        <v>0</v>
      </c>
      <c r="BH99" s="298" cm="1">
        <f t="array" ref="BH99">IF(AND(BH$2&lt;&gt;0,TblTech[[#This Row],[Hour]:[Hour]]&gt;=BH$2),1,0)</f>
        <v>0</v>
      </c>
      <c r="BI99" s="298" cm="1">
        <f t="array" ref="BI99">IF(AND(BI$2&lt;&gt;0,TblTech[[#This Row],[Hour]:[Hour]]&gt;=BI$2),1,0)</f>
        <v>0</v>
      </c>
      <c r="BJ99" s="298" cm="1">
        <f t="array" ref="BJ99">IF(AND(BJ$2&lt;&gt;0,TblTech[[#This Row],[Hour]:[Hour]]&gt;=BJ$2),1,0)</f>
        <v>0</v>
      </c>
      <c r="BK99" s="298" cm="1">
        <f t="array" ref="BK99">IF(AND(BK$2&lt;&gt;0,TblTech[[#This Row],[Hour]:[Hour]]&gt;=BK$2),1,0)</f>
        <v>0</v>
      </c>
      <c r="BL99" s="298" cm="1">
        <f t="array" ref="BL99">IF(AND(BL$2&lt;&gt;0,TblTech[[#This Row],[Hour]:[Hour]]&gt;=BL$2),1,0)</f>
        <v>0</v>
      </c>
      <c r="BM99" s="298" cm="1">
        <f t="array" ref="BM99">IF(AND(BM$2&lt;&gt;0,TblTech[[#This Row],[Hour]:[Hour]]&gt;=BM$2),1,0)</f>
        <v>0</v>
      </c>
      <c r="BN99" s="298" cm="1">
        <f t="array" ref="BN99">IF(AND(BN$2&lt;&gt;0,TblTech[[#This Row],[Hour]:[Hour]]&gt;=BN$2),1,0)</f>
        <v>0</v>
      </c>
      <c r="BO99" s="298" cm="1">
        <f t="array" ref="BO99">IF(AND(BO$2&lt;&gt;0,TblTech[[#This Row],[Hour]:[Hour]]&gt;=BO$2),1,0)</f>
        <v>0</v>
      </c>
      <c r="BP99" s="298" cm="1">
        <f t="array" ref="BP99">IF(AND(BP$2&lt;&gt;0,TblTech[[#This Row],[Hour]:[Hour]]&gt;=BP$2),1,0)</f>
        <v>0</v>
      </c>
      <c r="BQ99" s="298" cm="1">
        <f t="array" ref="BQ99">IF(AND(BQ$2&lt;&gt;0,TblTech[[#This Row],[Hour]:[Hour]]&gt;=BQ$2),1,0)</f>
        <v>0</v>
      </c>
      <c r="BR99" s="298" cm="1">
        <f t="array" ref="BR99">IF(AND(BR$2&lt;&gt;0,TblTech[[#This Row],[Hour]:[Hour]]&gt;=BR$2),1,0)</f>
        <v>0</v>
      </c>
      <c r="BS99" s="298" cm="1">
        <f t="array" ref="BS99">IF(AND(BS$2&lt;&gt;0,TblTech[[#This Row],[Hour]:[Hour]]&gt;=BS$2),1,0)</f>
        <v>0</v>
      </c>
      <c r="BT99" s="298" cm="1">
        <f t="array" ref="BT99">IF(AND(BT$2&lt;&gt;0,TblTech[[#This Row],[Hour]:[Hour]]&gt;=BT$2),1,0)</f>
        <v>0</v>
      </c>
      <c r="BU99" s="298" cm="1">
        <f t="array" ref="BU99">IF(AND(BU$2&lt;&gt;0,TblTech[[#This Row],[Hour]:[Hour]]&gt;=BU$2),1,0)</f>
        <v>0</v>
      </c>
      <c r="BV99" s="298" cm="1">
        <f t="array" ref="BV99">IF(AND(BV$2&lt;&gt;0,TblTech[[#This Row],[Hour]:[Hour]]&gt;=BV$2),1,0)</f>
        <v>0</v>
      </c>
      <c r="BW99" s="298" cm="1">
        <f t="array" ref="BW99">IF(AND(BW$2&lt;&gt;0,TblTech[[#This Row],[Hour]:[Hour]]&gt;=BW$2),1,0)</f>
        <v>0</v>
      </c>
      <c r="BX99" s="298" cm="1">
        <f t="array" ref="BX99">IF(AND(BX$2&lt;&gt;0,TblTech[[#This Row],[Hour]:[Hour]]&gt;=BX$2),1,0)</f>
        <v>0</v>
      </c>
      <c r="BY99" s="298" cm="1">
        <f t="array" ref="BY99">IF(AND(BY$2&lt;&gt;0,TblTech[[#This Row],[Hour]:[Hour]]&gt;=BY$2),1,0)</f>
        <v>0</v>
      </c>
      <c r="BZ99" s="298" cm="1">
        <f t="array" ref="BZ99">IF(AND(BZ$2&lt;&gt;0,TblTech[[#This Row],[Hour]:[Hour]]&gt;=BZ$2),1,0)</f>
        <v>0</v>
      </c>
      <c r="CA99" s="402">
        <f>IFERROR(INDEX($H$4:$H$79,MATCH(INDEX(TblTech[[#Headers],[1-1]:[11-1]],1,MATCH(TblTech[[#This Row],[Hour]],$M$2:$BZ$2,0)),$G$4:$G$79,0)),)</f>
        <v>0</v>
      </c>
    </row>
    <row r="100" spans="1:79" x14ac:dyDescent="0.2">
      <c r="A100" s="290">
        <f>TblRezone[[#This Row],[Hour]]</f>
        <v>97</v>
      </c>
      <c r="B100" s="291">
        <f ca="1">TblExplore[[#This Row],[Land-DB]]</f>
        <v>250</v>
      </c>
      <c r="C100" s="292">
        <f ca="1">TblProd[[#This Row],[Techpoints]]</f>
        <v>0</v>
      </c>
      <c r="D100" s="292">
        <f ca="1">TblProd[[#This Row],[Required]]</f>
        <v>3750</v>
      </c>
      <c r="E100" s="301"/>
      <c r="F100" s="302"/>
      <c r="G100" s="295"/>
      <c r="H100" s="296"/>
      <c r="I100" s="296"/>
      <c r="J100" s="296"/>
      <c r="K100" s="95">
        <f ca="1">IF(TblTech[[#This Row],[Sum of tech]]&lt;&gt;OFFSET(TblTech[[#This Row],[Sum of tech]],-1,0),1,0)</f>
        <v>0</v>
      </c>
      <c r="L100" s="297">
        <f>COUNTIF(TblTech[[#This Row],[1-1]:[11-1]],1)</f>
        <v>0</v>
      </c>
      <c r="M100" s="298" cm="1">
        <f t="array" ref="M100">IF(AND(M$2&lt;&gt;0,TblTech[[#This Row],[Hour]:[Hour]]&gt;=M$2),1,0)</f>
        <v>0</v>
      </c>
      <c r="N100" s="298" cm="1">
        <f t="array" ref="N100">IF(AND(N$2&lt;&gt;0,TblTech[[#This Row],[Hour]:[Hour]]&gt;=N$2),1,0)</f>
        <v>0</v>
      </c>
      <c r="O100" s="298" cm="1">
        <f t="array" ref="O100">IF(AND(O$2&lt;&gt;0,TblTech[[#This Row],[Hour]:[Hour]]&gt;=O$2),1,0)</f>
        <v>0</v>
      </c>
      <c r="P100" s="298" cm="1">
        <f t="array" ref="P100">IF(AND(P$2&lt;&gt;0,TblTech[[#This Row],[Hour]:[Hour]]&gt;=P$2),1,0)</f>
        <v>0</v>
      </c>
      <c r="Q100" s="298" cm="1">
        <f t="array" ref="Q100">IF(AND(Q$2&lt;&gt;0,TblTech[[#This Row],[Hour]:[Hour]]&gt;=Q$2),1,0)</f>
        <v>0</v>
      </c>
      <c r="R100" s="298" cm="1">
        <f t="array" ref="R100">IF(AND(R$2&lt;&gt;0,TblTech[[#This Row],[Hour]:[Hour]]&gt;=R$2),1,0)</f>
        <v>0</v>
      </c>
      <c r="S100" s="298" cm="1">
        <f t="array" ref="S100">IF(AND(S$2&lt;&gt;0,TblTech[[#This Row],[Hour]:[Hour]]&gt;=S$2),1,0)</f>
        <v>0</v>
      </c>
      <c r="T100" s="298" cm="1">
        <f t="array" ref="T100">IF(AND(T$2&lt;&gt;0,TblTech[[#This Row],[Hour]:[Hour]]&gt;=T$2),1,0)</f>
        <v>0</v>
      </c>
      <c r="U100" s="298" cm="1">
        <f t="array" ref="U100">IF(AND(U$2&lt;&gt;0,TblTech[[#This Row],[Hour]:[Hour]]&gt;=U$2),1,0)</f>
        <v>0</v>
      </c>
      <c r="V100" s="298" cm="1">
        <f t="array" ref="V100">IF(AND(V$2&lt;&gt;0,TblTech[[#This Row],[Hour]:[Hour]]&gt;=V$2),1,0)</f>
        <v>0</v>
      </c>
      <c r="W100" s="298" cm="1">
        <f t="array" ref="W100">IF(AND(W$2&lt;&gt;0,TblTech[[#This Row],[Hour]:[Hour]]&gt;=W$2),1,0)</f>
        <v>0</v>
      </c>
      <c r="X100" s="298" cm="1">
        <f t="array" ref="X100">IF(AND(X$2&lt;&gt;0,TblTech[[#This Row],[Hour]:[Hour]]&gt;=X$2),1,0)</f>
        <v>0</v>
      </c>
      <c r="Y100" s="298" cm="1">
        <f t="array" ref="Y100">IF(AND(Y$2&lt;&gt;0,TblTech[[#This Row],[Hour]:[Hour]]&gt;=Y$2),1,0)</f>
        <v>0</v>
      </c>
      <c r="Z100" s="298" cm="1">
        <f t="array" ref="Z100">IF(AND(Z$2&lt;&gt;0,TblTech[[#This Row],[Hour]:[Hour]]&gt;=Z$2),1,0)</f>
        <v>0</v>
      </c>
      <c r="AA100" s="298" cm="1">
        <f t="array" ref="AA100">IF(AND(AA$2&lt;&gt;0,TblTech[[#This Row],[Hour]:[Hour]]&gt;=AA$2),1,0)</f>
        <v>0</v>
      </c>
      <c r="AB100" s="298" cm="1">
        <f t="array" ref="AB100">IF(AND(AB$2&lt;&gt;0,TblTech[[#This Row],[Hour]:[Hour]]&gt;=AB$2),1,0)</f>
        <v>0</v>
      </c>
      <c r="AC100" s="298" cm="1">
        <f t="array" ref="AC100">IF(AND(AC$2&lt;&gt;0,TblTech[[#This Row],[Hour]:[Hour]]&gt;=AC$2),1,0)</f>
        <v>0</v>
      </c>
      <c r="AD100" s="298" cm="1">
        <f t="array" ref="AD100">IF(AND(AD$2&lt;&gt;0,TblTech[[#This Row],[Hour]:[Hour]]&gt;=AD$2),1,0)</f>
        <v>0</v>
      </c>
      <c r="AE100" s="298" cm="1">
        <f t="array" ref="AE100">IF(AND(AE$2&lt;&gt;0,TblTech[[#This Row],[Hour]:[Hour]]&gt;=AE$2),1,0)</f>
        <v>0</v>
      </c>
      <c r="AF100" s="298" cm="1">
        <f t="array" ref="AF100">IF(AND(AF$2&lt;&gt;0,TblTech[[#This Row],[Hour]:[Hour]]&gt;=AF$2),1,0)</f>
        <v>0</v>
      </c>
      <c r="AG100" s="298" cm="1">
        <f t="array" ref="AG100">IF(AND(AG$2&lt;&gt;0,TblTech[[#This Row],[Hour]:[Hour]]&gt;=AG$2),1,0)</f>
        <v>0</v>
      </c>
      <c r="AH100" s="298" cm="1">
        <f t="array" ref="AH100">IF(AND(AH$2&lt;&gt;0,TblTech[[#This Row],[Hour]:[Hour]]&gt;=AH$2),1,0)</f>
        <v>0</v>
      </c>
      <c r="AI100" s="298" cm="1">
        <f t="array" ref="AI100">IF(AND(AI$2&lt;&gt;0,TblTech[[#This Row],[Hour]:[Hour]]&gt;=AI$2),1,0)</f>
        <v>0</v>
      </c>
      <c r="AJ100" s="298" cm="1">
        <f t="array" ref="AJ100">IF(AND(AJ$2&lt;&gt;0,TblTech[[#This Row],[Hour]:[Hour]]&gt;=AJ$2),1,0)</f>
        <v>0</v>
      </c>
      <c r="AK100" s="298" cm="1">
        <f t="array" ref="AK100">IF(AND(AK$2&lt;&gt;0,TblTech[[#This Row],[Hour]:[Hour]]&gt;=AK$2),1,0)</f>
        <v>0</v>
      </c>
      <c r="AL100" s="298" cm="1">
        <f t="array" ref="AL100">IF(AND(AL$2&lt;&gt;0,TblTech[[#This Row],[Hour]:[Hour]]&gt;=AL$2),1,0)</f>
        <v>0</v>
      </c>
      <c r="AM100" s="298" cm="1">
        <f t="array" ref="AM100">IF(AND(AM$2&lt;&gt;0,TblTech[[#This Row],[Hour]:[Hour]]&gt;=AM$2),1,0)</f>
        <v>0</v>
      </c>
      <c r="AN100" s="298" cm="1">
        <f t="array" ref="AN100">IF(AND(AN$2&lt;&gt;0,TblTech[[#This Row],[Hour]:[Hour]]&gt;=AN$2),1,0)</f>
        <v>0</v>
      </c>
      <c r="AO100" s="298" cm="1">
        <f t="array" ref="AO100">IF(AND(AO$2&lt;&gt;0,TblTech[[#This Row],[Hour]:[Hour]]&gt;=AO$2),1,0)</f>
        <v>0</v>
      </c>
      <c r="AP100" s="298" cm="1">
        <f t="array" ref="AP100">IF(AND(AP$2&lt;&gt;0,TblTech[[#This Row],[Hour]:[Hour]]&gt;=AP$2),1,0)</f>
        <v>0</v>
      </c>
      <c r="AQ100" s="298" cm="1">
        <f t="array" ref="AQ100">IF(AND(AQ$2&lt;&gt;0,TblTech[[#This Row],[Hour]:[Hour]]&gt;=AQ$2),1,0)</f>
        <v>0</v>
      </c>
      <c r="AR100" s="298" cm="1">
        <f t="array" ref="AR100">IF(AND(AR$2&lt;&gt;0,TblTech[[#This Row],[Hour]:[Hour]]&gt;=AR$2),1,0)</f>
        <v>0</v>
      </c>
      <c r="AS100" s="298" cm="1">
        <f t="array" ref="AS100">IF(AND(AS$2&lt;&gt;0,TblTech[[#This Row],[Hour]:[Hour]]&gt;=AS$2),1,0)</f>
        <v>0</v>
      </c>
      <c r="AT100" s="298" cm="1">
        <f t="array" ref="AT100">IF(AND(AT$2&lt;&gt;0,TblTech[[#This Row],[Hour]:[Hour]]&gt;=AT$2),1,0)</f>
        <v>0</v>
      </c>
      <c r="AU100" s="298" cm="1">
        <f t="array" ref="AU100">IF(AND(AU$2&lt;&gt;0,TblTech[[#This Row],[Hour]:[Hour]]&gt;=AU$2),1,0)</f>
        <v>0</v>
      </c>
      <c r="AV100" s="298" cm="1">
        <f t="array" ref="AV100">IF(AND(AV$2&lt;&gt;0,TblTech[[#This Row],[Hour]:[Hour]]&gt;=AV$2),1,0)</f>
        <v>0</v>
      </c>
      <c r="AW100" s="298" cm="1">
        <f t="array" ref="AW100">IF(AND(AW$2&lt;&gt;0,TblTech[[#This Row],[Hour]:[Hour]]&gt;=AW$2),1,0)</f>
        <v>0</v>
      </c>
      <c r="AX100" s="298" cm="1">
        <f t="array" ref="AX100">IF(AND(AX$2&lt;&gt;0,TblTech[[#This Row],[Hour]:[Hour]]&gt;=AX$2),1,0)</f>
        <v>0</v>
      </c>
      <c r="AY100" s="298" cm="1">
        <f t="array" ref="AY100">IF(AND(AY$2&lt;&gt;0,TblTech[[#This Row],[Hour]:[Hour]]&gt;=AY$2),1,0)</f>
        <v>0</v>
      </c>
      <c r="AZ100" s="298" cm="1">
        <f t="array" ref="AZ100">IF(AND(AZ$2&lt;&gt;0,TblTech[[#This Row],[Hour]:[Hour]]&gt;=AZ$2),1,0)</f>
        <v>0</v>
      </c>
      <c r="BA100" s="298" cm="1">
        <f t="array" ref="BA100">IF(AND(BA$2&lt;&gt;0,TblTech[[#This Row],[Hour]:[Hour]]&gt;=BA$2),1,0)</f>
        <v>0</v>
      </c>
      <c r="BB100" s="298" cm="1">
        <f t="array" ref="BB100">IF(AND(BB$2&lt;&gt;0,TblTech[[#This Row],[Hour]:[Hour]]&gt;=BB$2),1,0)</f>
        <v>0</v>
      </c>
      <c r="BC100" s="298" cm="1">
        <f t="array" ref="BC100">IF(AND(BC$2&lt;&gt;0,TblTech[[#This Row],[Hour]:[Hour]]&gt;=BC$2),1,0)</f>
        <v>0</v>
      </c>
      <c r="BD100" s="298" cm="1">
        <f t="array" ref="BD100">IF(AND(BD$2&lt;&gt;0,TblTech[[#This Row],[Hour]:[Hour]]&gt;=BD$2),1,0)</f>
        <v>0</v>
      </c>
      <c r="BE100" s="298" cm="1">
        <f t="array" ref="BE100">IF(AND(BE$2&lt;&gt;0,TblTech[[#This Row],[Hour]:[Hour]]&gt;=BE$2),1,0)</f>
        <v>0</v>
      </c>
      <c r="BF100" s="298" cm="1">
        <f t="array" ref="BF100">IF(AND(BF$2&lt;&gt;0,TblTech[[#This Row],[Hour]:[Hour]]&gt;=BF$2),1,0)</f>
        <v>0</v>
      </c>
      <c r="BG100" s="298" cm="1">
        <f t="array" ref="BG100">IF(AND(BG$2&lt;&gt;0,TblTech[[#This Row],[Hour]:[Hour]]&gt;=BG$2),1,0)</f>
        <v>0</v>
      </c>
      <c r="BH100" s="298" cm="1">
        <f t="array" ref="BH100">IF(AND(BH$2&lt;&gt;0,TblTech[[#This Row],[Hour]:[Hour]]&gt;=BH$2),1,0)</f>
        <v>0</v>
      </c>
      <c r="BI100" s="298" cm="1">
        <f t="array" ref="BI100">IF(AND(BI$2&lt;&gt;0,TblTech[[#This Row],[Hour]:[Hour]]&gt;=BI$2),1,0)</f>
        <v>0</v>
      </c>
      <c r="BJ100" s="298" cm="1">
        <f t="array" ref="BJ100">IF(AND(BJ$2&lt;&gt;0,TblTech[[#This Row],[Hour]:[Hour]]&gt;=BJ$2),1,0)</f>
        <v>0</v>
      </c>
      <c r="BK100" s="298" cm="1">
        <f t="array" ref="BK100">IF(AND(BK$2&lt;&gt;0,TblTech[[#This Row],[Hour]:[Hour]]&gt;=BK$2),1,0)</f>
        <v>0</v>
      </c>
      <c r="BL100" s="298" cm="1">
        <f t="array" ref="BL100">IF(AND(BL$2&lt;&gt;0,TblTech[[#This Row],[Hour]:[Hour]]&gt;=BL$2),1,0)</f>
        <v>0</v>
      </c>
      <c r="BM100" s="298" cm="1">
        <f t="array" ref="BM100">IF(AND(BM$2&lt;&gt;0,TblTech[[#This Row],[Hour]:[Hour]]&gt;=BM$2),1,0)</f>
        <v>0</v>
      </c>
      <c r="BN100" s="298" cm="1">
        <f t="array" ref="BN100">IF(AND(BN$2&lt;&gt;0,TblTech[[#This Row],[Hour]:[Hour]]&gt;=BN$2),1,0)</f>
        <v>0</v>
      </c>
      <c r="BO100" s="298" cm="1">
        <f t="array" ref="BO100">IF(AND(BO$2&lt;&gt;0,TblTech[[#This Row],[Hour]:[Hour]]&gt;=BO$2),1,0)</f>
        <v>0</v>
      </c>
      <c r="BP100" s="298" cm="1">
        <f t="array" ref="BP100">IF(AND(BP$2&lt;&gt;0,TblTech[[#This Row],[Hour]:[Hour]]&gt;=BP$2),1,0)</f>
        <v>0</v>
      </c>
      <c r="BQ100" s="298" cm="1">
        <f t="array" ref="BQ100">IF(AND(BQ$2&lt;&gt;0,TblTech[[#This Row],[Hour]:[Hour]]&gt;=BQ$2),1,0)</f>
        <v>0</v>
      </c>
      <c r="BR100" s="298" cm="1">
        <f t="array" ref="BR100">IF(AND(BR$2&lt;&gt;0,TblTech[[#This Row],[Hour]:[Hour]]&gt;=BR$2),1,0)</f>
        <v>0</v>
      </c>
      <c r="BS100" s="298" cm="1">
        <f t="array" ref="BS100">IF(AND(BS$2&lt;&gt;0,TblTech[[#This Row],[Hour]:[Hour]]&gt;=BS$2),1,0)</f>
        <v>0</v>
      </c>
      <c r="BT100" s="298" cm="1">
        <f t="array" ref="BT100">IF(AND(BT$2&lt;&gt;0,TblTech[[#This Row],[Hour]:[Hour]]&gt;=BT$2),1,0)</f>
        <v>0</v>
      </c>
      <c r="BU100" s="298" cm="1">
        <f t="array" ref="BU100">IF(AND(BU$2&lt;&gt;0,TblTech[[#This Row],[Hour]:[Hour]]&gt;=BU$2),1,0)</f>
        <v>0</v>
      </c>
      <c r="BV100" s="298" cm="1">
        <f t="array" ref="BV100">IF(AND(BV$2&lt;&gt;0,TblTech[[#This Row],[Hour]:[Hour]]&gt;=BV$2),1,0)</f>
        <v>0</v>
      </c>
      <c r="BW100" s="298" cm="1">
        <f t="array" ref="BW100">IF(AND(BW$2&lt;&gt;0,TblTech[[#This Row],[Hour]:[Hour]]&gt;=BW$2),1,0)</f>
        <v>0</v>
      </c>
      <c r="BX100" s="298" cm="1">
        <f t="array" ref="BX100">IF(AND(BX$2&lt;&gt;0,TblTech[[#This Row],[Hour]:[Hour]]&gt;=BX$2),1,0)</f>
        <v>0</v>
      </c>
      <c r="BY100" s="298" cm="1">
        <f t="array" ref="BY100">IF(AND(BY$2&lt;&gt;0,TblTech[[#This Row],[Hour]:[Hour]]&gt;=BY$2),1,0)</f>
        <v>0</v>
      </c>
      <c r="BZ100" s="298" cm="1">
        <f t="array" ref="BZ100">IF(AND(BZ$2&lt;&gt;0,TblTech[[#This Row],[Hour]:[Hour]]&gt;=BZ$2),1,0)</f>
        <v>0</v>
      </c>
      <c r="CA100" s="402">
        <f>IFERROR(INDEX($H$4:$H$79,MATCH(INDEX(TblTech[[#Headers],[1-1]:[11-1]],1,MATCH(TblTech[[#This Row],[Hour]],$M$2:$BZ$2,0)),$G$4:$G$79,0)),)</f>
        <v>0</v>
      </c>
    </row>
    <row r="101" spans="1:79" x14ac:dyDescent="0.2">
      <c r="A101" s="290">
        <f>TblRezone[[#This Row],[Hour]]</f>
        <v>98</v>
      </c>
      <c r="B101" s="291">
        <f ca="1">TblExplore[[#This Row],[Land-DB]]</f>
        <v>250</v>
      </c>
      <c r="C101" s="292">
        <f ca="1">TblProd[[#This Row],[Techpoints]]</f>
        <v>0</v>
      </c>
      <c r="D101" s="292">
        <f ca="1">TblProd[[#This Row],[Required]]</f>
        <v>3750</v>
      </c>
      <c r="E101" s="301"/>
      <c r="F101" s="302"/>
      <c r="G101" s="295"/>
      <c r="H101" s="296"/>
      <c r="I101" s="296"/>
      <c r="J101" s="296"/>
      <c r="K101" s="95">
        <f ca="1">IF(TblTech[[#This Row],[Sum of tech]]&lt;&gt;OFFSET(TblTech[[#This Row],[Sum of tech]],-1,0),1,0)</f>
        <v>0</v>
      </c>
      <c r="L101" s="297">
        <f>COUNTIF(TblTech[[#This Row],[1-1]:[11-1]],1)</f>
        <v>0</v>
      </c>
      <c r="M101" s="298" cm="1">
        <f t="array" ref="M101">IF(AND(M$2&lt;&gt;0,TblTech[[#This Row],[Hour]:[Hour]]&gt;=M$2),1,0)</f>
        <v>0</v>
      </c>
      <c r="N101" s="298" cm="1">
        <f t="array" ref="N101">IF(AND(N$2&lt;&gt;0,TblTech[[#This Row],[Hour]:[Hour]]&gt;=N$2),1,0)</f>
        <v>0</v>
      </c>
      <c r="O101" s="298" cm="1">
        <f t="array" ref="O101">IF(AND(O$2&lt;&gt;0,TblTech[[#This Row],[Hour]:[Hour]]&gt;=O$2),1,0)</f>
        <v>0</v>
      </c>
      <c r="P101" s="298" cm="1">
        <f t="array" ref="P101">IF(AND(P$2&lt;&gt;0,TblTech[[#This Row],[Hour]:[Hour]]&gt;=P$2),1,0)</f>
        <v>0</v>
      </c>
      <c r="Q101" s="298" cm="1">
        <f t="array" ref="Q101">IF(AND(Q$2&lt;&gt;0,TblTech[[#This Row],[Hour]:[Hour]]&gt;=Q$2),1,0)</f>
        <v>0</v>
      </c>
      <c r="R101" s="298" cm="1">
        <f t="array" ref="R101">IF(AND(R$2&lt;&gt;0,TblTech[[#This Row],[Hour]:[Hour]]&gt;=R$2),1,0)</f>
        <v>0</v>
      </c>
      <c r="S101" s="298" cm="1">
        <f t="array" ref="S101">IF(AND(S$2&lt;&gt;0,TblTech[[#This Row],[Hour]:[Hour]]&gt;=S$2),1,0)</f>
        <v>0</v>
      </c>
      <c r="T101" s="298" cm="1">
        <f t="array" ref="T101">IF(AND(T$2&lt;&gt;0,TblTech[[#This Row],[Hour]:[Hour]]&gt;=T$2),1,0)</f>
        <v>0</v>
      </c>
      <c r="U101" s="298" cm="1">
        <f t="array" ref="U101">IF(AND(U$2&lt;&gt;0,TblTech[[#This Row],[Hour]:[Hour]]&gt;=U$2),1,0)</f>
        <v>0</v>
      </c>
      <c r="V101" s="298" cm="1">
        <f t="array" ref="V101">IF(AND(V$2&lt;&gt;0,TblTech[[#This Row],[Hour]:[Hour]]&gt;=V$2),1,0)</f>
        <v>0</v>
      </c>
      <c r="W101" s="298" cm="1">
        <f t="array" ref="W101">IF(AND(W$2&lt;&gt;0,TblTech[[#This Row],[Hour]:[Hour]]&gt;=W$2),1,0)</f>
        <v>0</v>
      </c>
      <c r="X101" s="298" cm="1">
        <f t="array" ref="X101">IF(AND(X$2&lt;&gt;0,TblTech[[#This Row],[Hour]:[Hour]]&gt;=X$2),1,0)</f>
        <v>0</v>
      </c>
      <c r="Y101" s="298" cm="1">
        <f t="array" ref="Y101">IF(AND(Y$2&lt;&gt;0,TblTech[[#This Row],[Hour]:[Hour]]&gt;=Y$2),1,0)</f>
        <v>0</v>
      </c>
      <c r="Z101" s="298" cm="1">
        <f t="array" ref="Z101">IF(AND(Z$2&lt;&gt;0,TblTech[[#This Row],[Hour]:[Hour]]&gt;=Z$2),1,0)</f>
        <v>0</v>
      </c>
      <c r="AA101" s="298" cm="1">
        <f t="array" ref="AA101">IF(AND(AA$2&lt;&gt;0,TblTech[[#This Row],[Hour]:[Hour]]&gt;=AA$2),1,0)</f>
        <v>0</v>
      </c>
      <c r="AB101" s="298" cm="1">
        <f t="array" ref="AB101">IF(AND(AB$2&lt;&gt;0,TblTech[[#This Row],[Hour]:[Hour]]&gt;=AB$2),1,0)</f>
        <v>0</v>
      </c>
      <c r="AC101" s="298" cm="1">
        <f t="array" ref="AC101">IF(AND(AC$2&lt;&gt;0,TblTech[[#This Row],[Hour]:[Hour]]&gt;=AC$2),1,0)</f>
        <v>0</v>
      </c>
      <c r="AD101" s="298" cm="1">
        <f t="array" ref="AD101">IF(AND(AD$2&lt;&gt;0,TblTech[[#This Row],[Hour]:[Hour]]&gt;=AD$2),1,0)</f>
        <v>0</v>
      </c>
      <c r="AE101" s="298" cm="1">
        <f t="array" ref="AE101">IF(AND(AE$2&lt;&gt;0,TblTech[[#This Row],[Hour]:[Hour]]&gt;=AE$2),1,0)</f>
        <v>0</v>
      </c>
      <c r="AF101" s="298" cm="1">
        <f t="array" ref="AF101">IF(AND(AF$2&lt;&gt;0,TblTech[[#This Row],[Hour]:[Hour]]&gt;=AF$2),1,0)</f>
        <v>0</v>
      </c>
      <c r="AG101" s="298" cm="1">
        <f t="array" ref="AG101">IF(AND(AG$2&lt;&gt;0,TblTech[[#This Row],[Hour]:[Hour]]&gt;=AG$2),1,0)</f>
        <v>0</v>
      </c>
      <c r="AH101" s="298" cm="1">
        <f t="array" ref="AH101">IF(AND(AH$2&lt;&gt;0,TblTech[[#This Row],[Hour]:[Hour]]&gt;=AH$2),1,0)</f>
        <v>0</v>
      </c>
      <c r="AI101" s="298" cm="1">
        <f t="array" ref="AI101">IF(AND(AI$2&lt;&gt;0,TblTech[[#This Row],[Hour]:[Hour]]&gt;=AI$2),1,0)</f>
        <v>0</v>
      </c>
      <c r="AJ101" s="298" cm="1">
        <f t="array" ref="AJ101">IF(AND(AJ$2&lt;&gt;0,TblTech[[#This Row],[Hour]:[Hour]]&gt;=AJ$2),1,0)</f>
        <v>0</v>
      </c>
      <c r="AK101" s="298" cm="1">
        <f t="array" ref="AK101">IF(AND(AK$2&lt;&gt;0,TblTech[[#This Row],[Hour]:[Hour]]&gt;=AK$2),1,0)</f>
        <v>0</v>
      </c>
      <c r="AL101" s="298" cm="1">
        <f t="array" ref="AL101">IF(AND(AL$2&lt;&gt;0,TblTech[[#This Row],[Hour]:[Hour]]&gt;=AL$2),1,0)</f>
        <v>0</v>
      </c>
      <c r="AM101" s="298" cm="1">
        <f t="array" ref="AM101">IF(AND(AM$2&lt;&gt;0,TblTech[[#This Row],[Hour]:[Hour]]&gt;=AM$2),1,0)</f>
        <v>0</v>
      </c>
      <c r="AN101" s="298" cm="1">
        <f t="array" ref="AN101">IF(AND(AN$2&lt;&gt;0,TblTech[[#This Row],[Hour]:[Hour]]&gt;=AN$2),1,0)</f>
        <v>0</v>
      </c>
      <c r="AO101" s="298" cm="1">
        <f t="array" ref="AO101">IF(AND(AO$2&lt;&gt;0,TblTech[[#This Row],[Hour]:[Hour]]&gt;=AO$2),1,0)</f>
        <v>0</v>
      </c>
      <c r="AP101" s="298" cm="1">
        <f t="array" ref="AP101">IF(AND(AP$2&lt;&gt;0,TblTech[[#This Row],[Hour]:[Hour]]&gt;=AP$2),1,0)</f>
        <v>0</v>
      </c>
      <c r="AQ101" s="298" cm="1">
        <f t="array" ref="AQ101">IF(AND(AQ$2&lt;&gt;0,TblTech[[#This Row],[Hour]:[Hour]]&gt;=AQ$2),1,0)</f>
        <v>0</v>
      </c>
      <c r="AR101" s="298" cm="1">
        <f t="array" ref="AR101">IF(AND(AR$2&lt;&gt;0,TblTech[[#This Row],[Hour]:[Hour]]&gt;=AR$2),1,0)</f>
        <v>0</v>
      </c>
      <c r="AS101" s="298" cm="1">
        <f t="array" ref="AS101">IF(AND(AS$2&lt;&gt;0,TblTech[[#This Row],[Hour]:[Hour]]&gt;=AS$2),1,0)</f>
        <v>0</v>
      </c>
      <c r="AT101" s="298" cm="1">
        <f t="array" ref="AT101">IF(AND(AT$2&lt;&gt;0,TblTech[[#This Row],[Hour]:[Hour]]&gt;=AT$2),1,0)</f>
        <v>0</v>
      </c>
      <c r="AU101" s="298" cm="1">
        <f t="array" ref="AU101">IF(AND(AU$2&lt;&gt;0,TblTech[[#This Row],[Hour]:[Hour]]&gt;=AU$2),1,0)</f>
        <v>0</v>
      </c>
      <c r="AV101" s="298" cm="1">
        <f t="array" ref="AV101">IF(AND(AV$2&lt;&gt;0,TblTech[[#This Row],[Hour]:[Hour]]&gt;=AV$2),1,0)</f>
        <v>0</v>
      </c>
      <c r="AW101" s="298" cm="1">
        <f t="array" ref="AW101">IF(AND(AW$2&lt;&gt;0,TblTech[[#This Row],[Hour]:[Hour]]&gt;=AW$2),1,0)</f>
        <v>0</v>
      </c>
      <c r="AX101" s="298" cm="1">
        <f t="array" ref="AX101">IF(AND(AX$2&lt;&gt;0,TblTech[[#This Row],[Hour]:[Hour]]&gt;=AX$2),1,0)</f>
        <v>0</v>
      </c>
      <c r="AY101" s="298" cm="1">
        <f t="array" ref="AY101">IF(AND(AY$2&lt;&gt;0,TblTech[[#This Row],[Hour]:[Hour]]&gt;=AY$2),1,0)</f>
        <v>0</v>
      </c>
      <c r="AZ101" s="298" cm="1">
        <f t="array" ref="AZ101">IF(AND(AZ$2&lt;&gt;0,TblTech[[#This Row],[Hour]:[Hour]]&gt;=AZ$2),1,0)</f>
        <v>0</v>
      </c>
      <c r="BA101" s="298" cm="1">
        <f t="array" ref="BA101">IF(AND(BA$2&lt;&gt;0,TblTech[[#This Row],[Hour]:[Hour]]&gt;=BA$2),1,0)</f>
        <v>0</v>
      </c>
      <c r="BB101" s="298" cm="1">
        <f t="array" ref="BB101">IF(AND(BB$2&lt;&gt;0,TblTech[[#This Row],[Hour]:[Hour]]&gt;=BB$2),1,0)</f>
        <v>0</v>
      </c>
      <c r="BC101" s="298" cm="1">
        <f t="array" ref="BC101">IF(AND(BC$2&lt;&gt;0,TblTech[[#This Row],[Hour]:[Hour]]&gt;=BC$2),1,0)</f>
        <v>0</v>
      </c>
      <c r="BD101" s="298" cm="1">
        <f t="array" ref="BD101">IF(AND(BD$2&lt;&gt;0,TblTech[[#This Row],[Hour]:[Hour]]&gt;=BD$2),1,0)</f>
        <v>0</v>
      </c>
      <c r="BE101" s="298" cm="1">
        <f t="array" ref="BE101">IF(AND(BE$2&lt;&gt;0,TblTech[[#This Row],[Hour]:[Hour]]&gt;=BE$2),1,0)</f>
        <v>0</v>
      </c>
      <c r="BF101" s="298" cm="1">
        <f t="array" ref="BF101">IF(AND(BF$2&lt;&gt;0,TblTech[[#This Row],[Hour]:[Hour]]&gt;=BF$2),1,0)</f>
        <v>0</v>
      </c>
      <c r="BG101" s="298" cm="1">
        <f t="array" ref="BG101">IF(AND(BG$2&lt;&gt;0,TblTech[[#This Row],[Hour]:[Hour]]&gt;=BG$2),1,0)</f>
        <v>0</v>
      </c>
      <c r="BH101" s="298" cm="1">
        <f t="array" ref="BH101">IF(AND(BH$2&lt;&gt;0,TblTech[[#This Row],[Hour]:[Hour]]&gt;=BH$2),1,0)</f>
        <v>0</v>
      </c>
      <c r="BI101" s="298" cm="1">
        <f t="array" ref="BI101">IF(AND(BI$2&lt;&gt;0,TblTech[[#This Row],[Hour]:[Hour]]&gt;=BI$2),1,0)</f>
        <v>0</v>
      </c>
      <c r="BJ101" s="298" cm="1">
        <f t="array" ref="BJ101">IF(AND(BJ$2&lt;&gt;0,TblTech[[#This Row],[Hour]:[Hour]]&gt;=BJ$2),1,0)</f>
        <v>0</v>
      </c>
      <c r="BK101" s="298" cm="1">
        <f t="array" ref="BK101">IF(AND(BK$2&lt;&gt;0,TblTech[[#This Row],[Hour]:[Hour]]&gt;=BK$2),1,0)</f>
        <v>0</v>
      </c>
      <c r="BL101" s="298" cm="1">
        <f t="array" ref="BL101">IF(AND(BL$2&lt;&gt;0,TblTech[[#This Row],[Hour]:[Hour]]&gt;=BL$2),1,0)</f>
        <v>0</v>
      </c>
      <c r="BM101" s="298" cm="1">
        <f t="array" ref="BM101">IF(AND(BM$2&lt;&gt;0,TblTech[[#This Row],[Hour]:[Hour]]&gt;=BM$2),1,0)</f>
        <v>0</v>
      </c>
      <c r="BN101" s="298" cm="1">
        <f t="array" ref="BN101">IF(AND(BN$2&lt;&gt;0,TblTech[[#This Row],[Hour]:[Hour]]&gt;=BN$2),1,0)</f>
        <v>0</v>
      </c>
      <c r="BO101" s="298" cm="1">
        <f t="array" ref="BO101">IF(AND(BO$2&lt;&gt;0,TblTech[[#This Row],[Hour]:[Hour]]&gt;=BO$2),1,0)</f>
        <v>0</v>
      </c>
      <c r="BP101" s="298" cm="1">
        <f t="array" ref="BP101">IF(AND(BP$2&lt;&gt;0,TblTech[[#This Row],[Hour]:[Hour]]&gt;=BP$2),1,0)</f>
        <v>0</v>
      </c>
      <c r="BQ101" s="298" cm="1">
        <f t="array" ref="BQ101">IF(AND(BQ$2&lt;&gt;0,TblTech[[#This Row],[Hour]:[Hour]]&gt;=BQ$2),1,0)</f>
        <v>0</v>
      </c>
      <c r="BR101" s="298" cm="1">
        <f t="array" ref="BR101">IF(AND(BR$2&lt;&gt;0,TblTech[[#This Row],[Hour]:[Hour]]&gt;=BR$2),1,0)</f>
        <v>0</v>
      </c>
      <c r="BS101" s="298" cm="1">
        <f t="array" ref="BS101">IF(AND(BS$2&lt;&gt;0,TblTech[[#This Row],[Hour]:[Hour]]&gt;=BS$2),1,0)</f>
        <v>0</v>
      </c>
      <c r="BT101" s="298" cm="1">
        <f t="array" ref="BT101">IF(AND(BT$2&lt;&gt;0,TblTech[[#This Row],[Hour]:[Hour]]&gt;=BT$2),1,0)</f>
        <v>0</v>
      </c>
      <c r="BU101" s="298" cm="1">
        <f t="array" ref="BU101">IF(AND(BU$2&lt;&gt;0,TblTech[[#This Row],[Hour]:[Hour]]&gt;=BU$2),1,0)</f>
        <v>0</v>
      </c>
      <c r="BV101" s="298" cm="1">
        <f t="array" ref="BV101">IF(AND(BV$2&lt;&gt;0,TblTech[[#This Row],[Hour]:[Hour]]&gt;=BV$2),1,0)</f>
        <v>0</v>
      </c>
      <c r="BW101" s="298" cm="1">
        <f t="array" ref="BW101">IF(AND(BW$2&lt;&gt;0,TblTech[[#This Row],[Hour]:[Hour]]&gt;=BW$2),1,0)</f>
        <v>0</v>
      </c>
      <c r="BX101" s="298" cm="1">
        <f t="array" ref="BX101">IF(AND(BX$2&lt;&gt;0,TblTech[[#This Row],[Hour]:[Hour]]&gt;=BX$2),1,0)</f>
        <v>0</v>
      </c>
      <c r="BY101" s="298" cm="1">
        <f t="array" ref="BY101">IF(AND(BY$2&lt;&gt;0,TblTech[[#This Row],[Hour]:[Hour]]&gt;=BY$2),1,0)</f>
        <v>0</v>
      </c>
      <c r="BZ101" s="298" cm="1">
        <f t="array" ref="BZ101">IF(AND(BZ$2&lt;&gt;0,TblTech[[#This Row],[Hour]:[Hour]]&gt;=BZ$2),1,0)</f>
        <v>0</v>
      </c>
      <c r="CA101" s="402">
        <f>IFERROR(INDEX($H$4:$H$79,MATCH(INDEX(TblTech[[#Headers],[1-1]:[11-1]],1,MATCH(TblTech[[#This Row],[Hour]],$M$2:$BZ$2,0)),$G$4:$G$79,0)),)</f>
        <v>0</v>
      </c>
    </row>
    <row r="102" spans="1:79" x14ac:dyDescent="0.2">
      <c r="A102" s="290">
        <f>TblRezone[[#This Row],[Hour]]</f>
        <v>99</v>
      </c>
      <c r="B102" s="291">
        <f ca="1">TblExplore[[#This Row],[Land-DB]]</f>
        <v>250</v>
      </c>
      <c r="C102" s="292">
        <f ca="1">TblProd[[#This Row],[Techpoints]]</f>
        <v>0</v>
      </c>
      <c r="D102" s="292">
        <f ca="1">TblProd[[#This Row],[Required]]</f>
        <v>3750</v>
      </c>
      <c r="E102" s="301"/>
      <c r="F102" s="302"/>
      <c r="G102" s="295"/>
      <c r="H102" s="296"/>
      <c r="I102" s="296"/>
      <c r="J102" s="296"/>
      <c r="K102" s="95">
        <f ca="1">IF(TblTech[[#This Row],[Sum of tech]]&lt;&gt;OFFSET(TblTech[[#This Row],[Sum of tech]],-1,0),1,0)</f>
        <v>0</v>
      </c>
      <c r="L102" s="297">
        <f>COUNTIF(TblTech[[#This Row],[1-1]:[11-1]],1)</f>
        <v>0</v>
      </c>
      <c r="M102" s="298" cm="1">
        <f t="array" ref="M102">IF(AND(M$2&lt;&gt;0,TblTech[[#This Row],[Hour]:[Hour]]&gt;=M$2),1,0)</f>
        <v>0</v>
      </c>
      <c r="N102" s="298" cm="1">
        <f t="array" ref="N102">IF(AND(N$2&lt;&gt;0,TblTech[[#This Row],[Hour]:[Hour]]&gt;=N$2),1,0)</f>
        <v>0</v>
      </c>
      <c r="O102" s="298" cm="1">
        <f t="array" ref="O102">IF(AND(O$2&lt;&gt;0,TblTech[[#This Row],[Hour]:[Hour]]&gt;=O$2),1,0)</f>
        <v>0</v>
      </c>
      <c r="P102" s="298" cm="1">
        <f t="array" ref="P102">IF(AND(P$2&lt;&gt;0,TblTech[[#This Row],[Hour]:[Hour]]&gt;=P$2),1,0)</f>
        <v>0</v>
      </c>
      <c r="Q102" s="298" cm="1">
        <f t="array" ref="Q102">IF(AND(Q$2&lt;&gt;0,TblTech[[#This Row],[Hour]:[Hour]]&gt;=Q$2),1,0)</f>
        <v>0</v>
      </c>
      <c r="R102" s="298" cm="1">
        <f t="array" ref="R102">IF(AND(R$2&lt;&gt;0,TblTech[[#This Row],[Hour]:[Hour]]&gt;=R$2),1,0)</f>
        <v>0</v>
      </c>
      <c r="S102" s="298" cm="1">
        <f t="array" ref="S102">IF(AND(S$2&lt;&gt;0,TblTech[[#This Row],[Hour]:[Hour]]&gt;=S$2),1,0)</f>
        <v>0</v>
      </c>
      <c r="T102" s="298" cm="1">
        <f t="array" ref="T102">IF(AND(T$2&lt;&gt;0,TblTech[[#This Row],[Hour]:[Hour]]&gt;=T$2),1,0)</f>
        <v>0</v>
      </c>
      <c r="U102" s="298" cm="1">
        <f t="array" ref="U102">IF(AND(U$2&lt;&gt;0,TblTech[[#This Row],[Hour]:[Hour]]&gt;=U$2),1,0)</f>
        <v>0</v>
      </c>
      <c r="V102" s="298" cm="1">
        <f t="array" ref="V102">IF(AND(V$2&lt;&gt;0,TblTech[[#This Row],[Hour]:[Hour]]&gt;=V$2),1,0)</f>
        <v>0</v>
      </c>
      <c r="W102" s="298" cm="1">
        <f t="array" ref="W102">IF(AND(W$2&lt;&gt;0,TblTech[[#This Row],[Hour]:[Hour]]&gt;=W$2),1,0)</f>
        <v>0</v>
      </c>
      <c r="X102" s="298" cm="1">
        <f t="array" ref="X102">IF(AND(X$2&lt;&gt;0,TblTech[[#This Row],[Hour]:[Hour]]&gt;=X$2),1,0)</f>
        <v>0</v>
      </c>
      <c r="Y102" s="298" cm="1">
        <f t="array" ref="Y102">IF(AND(Y$2&lt;&gt;0,TblTech[[#This Row],[Hour]:[Hour]]&gt;=Y$2),1,0)</f>
        <v>0</v>
      </c>
      <c r="Z102" s="298" cm="1">
        <f t="array" ref="Z102">IF(AND(Z$2&lt;&gt;0,TblTech[[#This Row],[Hour]:[Hour]]&gt;=Z$2),1,0)</f>
        <v>0</v>
      </c>
      <c r="AA102" s="298" cm="1">
        <f t="array" ref="AA102">IF(AND(AA$2&lt;&gt;0,TblTech[[#This Row],[Hour]:[Hour]]&gt;=AA$2),1,0)</f>
        <v>0</v>
      </c>
      <c r="AB102" s="298" cm="1">
        <f t="array" ref="AB102">IF(AND(AB$2&lt;&gt;0,TblTech[[#This Row],[Hour]:[Hour]]&gt;=AB$2),1,0)</f>
        <v>0</v>
      </c>
      <c r="AC102" s="298" cm="1">
        <f t="array" ref="AC102">IF(AND(AC$2&lt;&gt;0,TblTech[[#This Row],[Hour]:[Hour]]&gt;=AC$2),1,0)</f>
        <v>0</v>
      </c>
      <c r="AD102" s="298" cm="1">
        <f t="array" ref="AD102">IF(AND(AD$2&lt;&gt;0,TblTech[[#This Row],[Hour]:[Hour]]&gt;=AD$2),1,0)</f>
        <v>0</v>
      </c>
      <c r="AE102" s="298" cm="1">
        <f t="array" ref="AE102">IF(AND(AE$2&lt;&gt;0,TblTech[[#This Row],[Hour]:[Hour]]&gt;=AE$2),1,0)</f>
        <v>0</v>
      </c>
      <c r="AF102" s="298" cm="1">
        <f t="array" ref="AF102">IF(AND(AF$2&lt;&gt;0,TblTech[[#This Row],[Hour]:[Hour]]&gt;=AF$2),1,0)</f>
        <v>0</v>
      </c>
      <c r="AG102" s="298" cm="1">
        <f t="array" ref="AG102">IF(AND(AG$2&lt;&gt;0,TblTech[[#This Row],[Hour]:[Hour]]&gt;=AG$2),1,0)</f>
        <v>0</v>
      </c>
      <c r="AH102" s="298" cm="1">
        <f t="array" ref="AH102">IF(AND(AH$2&lt;&gt;0,TblTech[[#This Row],[Hour]:[Hour]]&gt;=AH$2),1,0)</f>
        <v>0</v>
      </c>
      <c r="AI102" s="298" cm="1">
        <f t="array" ref="AI102">IF(AND(AI$2&lt;&gt;0,TblTech[[#This Row],[Hour]:[Hour]]&gt;=AI$2),1,0)</f>
        <v>0</v>
      </c>
      <c r="AJ102" s="298" cm="1">
        <f t="array" ref="AJ102">IF(AND(AJ$2&lt;&gt;0,TblTech[[#This Row],[Hour]:[Hour]]&gt;=AJ$2),1,0)</f>
        <v>0</v>
      </c>
      <c r="AK102" s="298" cm="1">
        <f t="array" ref="AK102">IF(AND(AK$2&lt;&gt;0,TblTech[[#This Row],[Hour]:[Hour]]&gt;=AK$2),1,0)</f>
        <v>0</v>
      </c>
      <c r="AL102" s="298" cm="1">
        <f t="array" ref="AL102">IF(AND(AL$2&lt;&gt;0,TblTech[[#This Row],[Hour]:[Hour]]&gt;=AL$2),1,0)</f>
        <v>0</v>
      </c>
      <c r="AM102" s="298" cm="1">
        <f t="array" ref="AM102">IF(AND(AM$2&lt;&gt;0,TblTech[[#This Row],[Hour]:[Hour]]&gt;=AM$2),1,0)</f>
        <v>0</v>
      </c>
      <c r="AN102" s="298" cm="1">
        <f t="array" ref="AN102">IF(AND(AN$2&lt;&gt;0,TblTech[[#This Row],[Hour]:[Hour]]&gt;=AN$2),1,0)</f>
        <v>0</v>
      </c>
      <c r="AO102" s="298" cm="1">
        <f t="array" ref="AO102">IF(AND(AO$2&lt;&gt;0,TblTech[[#This Row],[Hour]:[Hour]]&gt;=AO$2),1,0)</f>
        <v>0</v>
      </c>
      <c r="AP102" s="298" cm="1">
        <f t="array" ref="AP102">IF(AND(AP$2&lt;&gt;0,TblTech[[#This Row],[Hour]:[Hour]]&gt;=AP$2),1,0)</f>
        <v>0</v>
      </c>
      <c r="AQ102" s="298" cm="1">
        <f t="array" ref="AQ102">IF(AND(AQ$2&lt;&gt;0,TblTech[[#This Row],[Hour]:[Hour]]&gt;=AQ$2),1,0)</f>
        <v>0</v>
      </c>
      <c r="AR102" s="298" cm="1">
        <f t="array" ref="AR102">IF(AND(AR$2&lt;&gt;0,TblTech[[#This Row],[Hour]:[Hour]]&gt;=AR$2),1,0)</f>
        <v>0</v>
      </c>
      <c r="AS102" s="298" cm="1">
        <f t="array" ref="AS102">IF(AND(AS$2&lt;&gt;0,TblTech[[#This Row],[Hour]:[Hour]]&gt;=AS$2),1,0)</f>
        <v>0</v>
      </c>
      <c r="AT102" s="298" cm="1">
        <f t="array" ref="AT102">IF(AND(AT$2&lt;&gt;0,TblTech[[#This Row],[Hour]:[Hour]]&gt;=AT$2),1,0)</f>
        <v>0</v>
      </c>
      <c r="AU102" s="298" cm="1">
        <f t="array" ref="AU102">IF(AND(AU$2&lt;&gt;0,TblTech[[#This Row],[Hour]:[Hour]]&gt;=AU$2),1,0)</f>
        <v>0</v>
      </c>
      <c r="AV102" s="298" cm="1">
        <f t="array" ref="AV102">IF(AND(AV$2&lt;&gt;0,TblTech[[#This Row],[Hour]:[Hour]]&gt;=AV$2),1,0)</f>
        <v>0</v>
      </c>
      <c r="AW102" s="298" cm="1">
        <f t="array" ref="AW102">IF(AND(AW$2&lt;&gt;0,TblTech[[#This Row],[Hour]:[Hour]]&gt;=AW$2),1,0)</f>
        <v>0</v>
      </c>
      <c r="AX102" s="298" cm="1">
        <f t="array" ref="AX102">IF(AND(AX$2&lt;&gt;0,TblTech[[#This Row],[Hour]:[Hour]]&gt;=AX$2),1,0)</f>
        <v>0</v>
      </c>
      <c r="AY102" s="298" cm="1">
        <f t="array" ref="AY102">IF(AND(AY$2&lt;&gt;0,TblTech[[#This Row],[Hour]:[Hour]]&gt;=AY$2),1,0)</f>
        <v>0</v>
      </c>
      <c r="AZ102" s="298" cm="1">
        <f t="array" ref="AZ102">IF(AND(AZ$2&lt;&gt;0,TblTech[[#This Row],[Hour]:[Hour]]&gt;=AZ$2),1,0)</f>
        <v>0</v>
      </c>
      <c r="BA102" s="298" cm="1">
        <f t="array" ref="BA102">IF(AND(BA$2&lt;&gt;0,TblTech[[#This Row],[Hour]:[Hour]]&gt;=BA$2),1,0)</f>
        <v>0</v>
      </c>
      <c r="BB102" s="298" cm="1">
        <f t="array" ref="BB102">IF(AND(BB$2&lt;&gt;0,TblTech[[#This Row],[Hour]:[Hour]]&gt;=BB$2),1,0)</f>
        <v>0</v>
      </c>
      <c r="BC102" s="298" cm="1">
        <f t="array" ref="BC102">IF(AND(BC$2&lt;&gt;0,TblTech[[#This Row],[Hour]:[Hour]]&gt;=BC$2),1,0)</f>
        <v>0</v>
      </c>
      <c r="BD102" s="298" cm="1">
        <f t="array" ref="BD102">IF(AND(BD$2&lt;&gt;0,TblTech[[#This Row],[Hour]:[Hour]]&gt;=BD$2),1,0)</f>
        <v>0</v>
      </c>
      <c r="BE102" s="298" cm="1">
        <f t="array" ref="BE102">IF(AND(BE$2&lt;&gt;0,TblTech[[#This Row],[Hour]:[Hour]]&gt;=BE$2),1,0)</f>
        <v>0</v>
      </c>
      <c r="BF102" s="298" cm="1">
        <f t="array" ref="BF102">IF(AND(BF$2&lt;&gt;0,TblTech[[#This Row],[Hour]:[Hour]]&gt;=BF$2),1,0)</f>
        <v>0</v>
      </c>
      <c r="BG102" s="298" cm="1">
        <f t="array" ref="BG102">IF(AND(BG$2&lt;&gt;0,TblTech[[#This Row],[Hour]:[Hour]]&gt;=BG$2),1,0)</f>
        <v>0</v>
      </c>
      <c r="BH102" s="298" cm="1">
        <f t="array" ref="BH102">IF(AND(BH$2&lt;&gt;0,TblTech[[#This Row],[Hour]:[Hour]]&gt;=BH$2),1,0)</f>
        <v>0</v>
      </c>
      <c r="BI102" s="298" cm="1">
        <f t="array" ref="BI102">IF(AND(BI$2&lt;&gt;0,TblTech[[#This Row],[Hour]:[Hour]]&gt;=BI$2),1,0)</f>
        <v>0</v>
      </c>
      <c r="BJ102" s="298" cm="1">
        <f t="array" ref="BJ102">IF(AND(BJ$2&lt;&gt;0,TblTech[[#This Row],[Hour]:[Hour]]&gt;=BJ$2),1,0)</f>
        <v>0</v>
      </c>
      <c r="BK102" s="298" cm="1">
        <f t="array" ref="BK102">IF(AND(BK$2&lt;&gt;0,TblTech[[#This Row],[Hour]:[Hour]]&gt;=BK$2),1,0)</f>
        <v>0</v>
      </c>
      <c r="BL102" s="298" cm="1">
        <f t="array" ref="BL102">IF(AND(BL$2&lt;&gt;0,TblTech[[#This Row],[Hour]:[Hour]]&gt;=BL$2),1,0)</f>
        <v>0</v>
      </c>
      <c r="BM102" s="298" cm="1">
        <f t="array" ref="BM102">IF(AND(BM$2&lt;&gt;0,TblTech[[#This Row],[Hour]:[Hour]]&gt;=BM$2),1,0)</f>
        <v>0</v>
      </c>
      <c r="BN102" s="298" cm="1">
        <f t="array" ref="BN102">IF(AND(BN$2&lt;&gt;0,TblTech[[#This Row],[Hour]:[Hour]]&gt;=BN$2),1,0)</f>
        <v>0</v>
      </c>
      <c r="BO102" s="298" cm="1">
        <f t="array" ref="BO102">IF(AND(BO$2&lt;&gt;0,TblTech[[#This Row],[Hour]:[Hour]]&gt;=BO$2),1,0)</f>
        <v>0</v>
      </c>
      <c r="BP102" s="298" cm="1">
        <f t="array" ref="BP102">IF(AND(BP$2&lt;&gt;0,TblTech[[#This Row],[Hour]:[Hour]]&gt;=BP$2),1,0)</f>
        <v>0</v>
      </c>
      <c r="BQ102" s="298" cm="1">
        <f t="array" ref="BQ102">IF(AND(BQ$2&lt;&gt;0,TblTech[[#This Row],[Hour]:[Hour]]&gt;=BQ$2),1,0)</f>
        <v>0</v>
      </c>
      <c r="BR102" s="298" cm="1">
        <f t="array" ref="BR102">IF(AND(BR$2&lt;&gt;0,TblTech[[#This Row],[Hour]:[Hour]]&gt;=BR$2),1,0)</f>
        <v>0</v>
      </c>
      <c r="BS102" s="298" cm="1">
        <f t="array" ref="BS102">IF(AND(BS$2&lt;&gt;0,TblTech[[#This Row],[Hour]:[Hour]]&gt;=BS$2),1,0)</f>
        <v>0</v>
      </c>
      <c r="BT102" s="298" cm="1">
        <f t="array" ref="BT102">IF(AND(BT$2&lt;&gt;0,TblTech[[#This Row],[Hour]:[Hour]]&gt;=BT$2),1,0)</f>
        <v>0</v>
      </c>
      <c r="BU102" s="298" cm="1">
        <f t="array" ref="BU102">IF(AND(BU$2&lt;&gt;0,TblTech[[#This Row],[Hour]:[Hour]]&gt;=BU$2),1,0)</f>
        <v>0</v>
      </c>
      <c r="BV102" s="298" cm="1">
        <f t="array" ref="BV102">IF(AND(BV$2&lt;&gt;0,TblTech[[#This Row],[Hour]:[Hour]]&gt;=BV$2),1,0)</f>
        <v>0</v>
      </c>
      <c r="BW102" s="298" cm="1">
        <f t="array" ref="BW102">IF(AND(BW$2&lt;&gt;0,TblTech[[#This Row],[Hour]:[Hour]]&gt;=BW$2),1,0)</f>
        <v>0</v>
      </c>
      <c r="BX102" s="298" cm="1">
        <f t="array" ref="BX102">IF(AND(BX$2&lt;&gt;0,TblTech[[#This Row],[Hour]:[Hour]]&gt;=BX$2),1,0)</f>
        <v>0</v>
      </c>
      <c r="BY102" s="298" cm="1">
        <f t="array" ref="BY102">IF(AND(BY$2&lt;&gt;0,TblTech[[#This Row],[Hour]:[Hour]]&gt;=BY$2),1,0)</f>
        <v>0</v>
      </c>
      <c r="BZ102" s="298" cm="1">
        <f t="array" ref="BZ102">IF(AND(BZ$2&lt;&gt;0,TblTech[[#This Row],[Hour]:[Hour]]&gt;=BZ$2),1,0)</f>
        <v>0</v>
      </c>
      <c r="CA102" s="402">
        <f>IFERROR(INDEX($H$4:$H$79,MATCH(INDEX(TblTech[[#Headers],[1-1]:[11-1]],1,MATCH(TblTech[[#This Row],[Hour]],$M$2:$BZ$2,0)),$G$4:$G$79,0)),)</f>
        <v>0</v>
      </c>
    </row>
    <row r="103" spans="1:79" x14ac:dyDescent="0.2">
      <c r="A103" s="290">
        <f>TblRezone[[#This Row],[Hour]]</f>
        <v>100</v>
      </c>
      <c r="B103" s="291">
        <f ca="1">TblExplore[[#This Row],[Land-DB]]</f>
        <v>250</v>
      </c>
      <c r="C103" s="292">
        <f ca="1">TblProd[[#This Row],[Techpoints]]</f>
        <v>0</v>
      </c>
      <c r="D103" s="292">
        <f ca="1">TblProd[[#This Row],[Required]]</f>
        <v>3750</v>
      </c>
      <c r="E103" s="301"/>
      <c r="F103" s="302"/>
      <c r="G103" s="295"/>
      <c r="H103" s="296"/>
      <c r="I103" s="296"/>
      <c r="J103" s="296"/>
      <c r="K103" s="95">
        <f ca="1">IF(TblTech[[#This Row],[Sum of tech]]&lt;&gt;OFFSET(TblTech[[#This Row],[Sum of tech]],-1,0),1,0)</f>
        <v>0</v>
      </c>
      <c r="L103" s="297">
        <f>COUNTIF(TblTech[[#This Row],[1-1]:[11-1]],1)</f>
        <v>0</v>
      </c>
      <c r="M103" s="298" cm="1">
        <f t="array" ref="M103">IF(AND(M$2&lt;&gt;0,TblTech[[#This Row],[Hour]:[Hour]]&gt;=M$2),1,0)</f>
        <v>0</v>
      </c>
      <c r="N103" s="298" cm="1">
        <f t="array" ref="N103">IF(AND(N$2&lt;&gt;0,TblTech[[#This Row],[Hour]:[Hour]]&gt;=N$2),1,0)</f>
        <v>0</v>
      </c>
      <c r="O103" s="298" cm="1">
        <f t="array" ref="O103">IF(AND(O$2&lt;&gt;0,TblTech[[#This Row],[Hour]:[Hour]]&gt;=O$2),1,0)</f>
        <v>0</v>
      </c>
      <c r="P103" s="298" cm="1">
        <f t="array" ref="P103">IF(AND(P$2&lt;&gt;0,TblTech[[#This Row],[Hour]:[Hour]]&gt;=P$2),1,0)</f>
        <v>0</v>
      </c>
      <c r="Q103" s="298" cm="1">
        <f t="array" ref="Q103">IF(AND(Q$2&lt;&gt;0,TblTech[[#This Row],[Hour]:[Hour]]&gt;=Q$2),1,0)</f>
        <v>0</v>
      </c>
      <c r="R103" s="298" cm="1">
        <f t="array" ref="R103">IF(AND(R$2&lt;&gt;0,TblTech[[#This Row],[Hour]:[Hour]]&gt;=R$2),1,0)</f>
        <v>0</v>
      </c>
      <c r="S103" s="298" cm="1">
        <f t="array" ref="S103">IF(AND(S$2&lt;&gt;0,TblTech[[#This Row],[Hour]:[Hour]]&gt;=S$2),1,0)</f>
        <v>0</v>
      </c>
      <c r="T103" s="298" cm="1">
        <f t="array" ref="T103">IF(AND(T$2&lt;&gt;0,TblTech[[#This Row],[Hour]:[Hour]]&gt;=T$2),1,0)</f>
        <v>0</v>
      </c>
      <c r="U103" s="298" cm="1">
        <f t="array" ref="U103">IF(AND(U$2&lt;&gt;0,TblTech[[#This Row],[Hour]:[Hour]]&gt;=U$2),1,0)</f>
        <v>0</v>
      </c>
      <c r="V103" s="298" cm="1">
        <f t="array" ref="V103">IF(AND(V$2&lt;&gt;0,TblTech[[#This Row],[Hour]:[Hour]]&gt;=V$2),1,0)</f>
        <v>0</v>
      </c>
      <c r="W103" s="298" cm="1">
        <f t="array" ref="W103">IF(AND(W$2&lt;&gt;0,TblTech[[#This Row],[Hour]:[Hour]]&gt;=W$2),1,0)</f>
        <v>0</v>
      </c>
      <c r="X103" s="298" cm="1">
        <f t="array" ref="X103">IF(AND(X$2&lt;&gt;0,TblTech[[#This Row],[Hour]:[Hour]]&gt;=X$2),1,0)</f>
        <v>0</v>
      </c>
      <c r="Y103" s="298" cm="1">
        <f t="array" ref="Y103">IF(AND(Y$2&lt;&gt;0,TblTech[[#This Row],[Hour]:[Hour]]&gt;=Y$2),1,0)</f>
        <v>0</v>
      </c>
      <c r="Z103" s="298" cm="1">
        <f t="array" ref="Z103">IF(AND(Z$2&lt;&gt;0,TblTech[[#This Row],[Hour]:[Hour]]&gt;=Z$2),1,0)</f>
        <v>0</v>
      </c>
      <c r="AA103" s="298" cm="1">
        <f t="array" ref="AA103">IF(AND(AA$2&lt;&gt;0,TblTech[[#This Row],[Hour]:[Hour]]&gt;=AA$2),1,0)</f>
        <v>0</v>
      </c>
      <c r="AB103" s="298" cm="1">
        <f t="array" ref="AB103">IF(AND(AB$2&lt;&gt;0,TblTech[[#This Row],[Hour]:[Hour]]&gt;=AB$2),1,0)</f>
        <v>0</v>
      </c>
      <c r="AC103" s="298" cm="1">
        <f t="array" ref="AC103">IF(AND(AC$2&lt;&gt;0,TblTech[[#This Row],[Hour]:[Hour]]&gt;=AC$2),1,0)</f>
        <v>0</v>
      </c>
      <c r="AD103" s="298" cm="1">
        <f t="array" ref="AD103">IF(AND(AD$2&lt;&gt;0,TblTech[[#This Row],[Hour]:[Hour]]&gt;=AD$2),1,0)</f>
        <v>0</v>
      </c>
      <c r="AE103" s="298" cm="1">
        <f t="array" ref="AE103">IF(AND(AE$2&lt;&gt;0,TblTech[[#This Row],[Hour]:[Hour]]&gt;=AE$2),1,0)</f>
        <v>0</v>
      </c>
      <c r="AF103" s="298" cm="1">
        <f t="array" ref="AF103">IF(AND(AF$2&lt;&gt;0,TblTech[[#This Row],[Hour]:[Hour]]&gt;=AF$2),1,0)</f>
        <v>0</v>
      </c>
      <c r="AG103" s="298" cm="1">
        <f t="array" ref="AG103">IF(AND(AG$2&lt;&gt;0,TblTech[[#This Row],[Hour]:[Hour]]&gt;=AG$2),1,0)</f>
        <v>0</v>
      </c>
      <c r="AH103" s="298" cm="1">
        <f t="array" ref="AH103">IF(AND(AH$2&lt;&gt;0,TblTech[[#This Row],[Hour]:[Hour]]&gt;=AH$2),1,0)</f>
        <v>0</v>
      </c>
      <c r="AI103" s="298" cm="1">
        <f t="array" ref="AI103">IF(AND(AI$2&lt;&gt;0,TblTech[[#This Row],[Hour]:[Hour]]&gt;=AI$2),1,0)</f>
        <v>0</v>
      </c>
      <c r="AJ103" s="298" cm="1">
        <f t="array" ref="AJ103">IF(AND(AJ$2&lt;&gt;0,TblTech[[#This Row],[Hour]:[Hour]]&gt;=AJ$2),1,0)</f>
        <v>0</v>
      </c>
      <c r="AK103" s="298" cm="1">
        <f t="array" ref="AK103">IF(AND(AK$2&lt;&gt;0,TblTech[[#This Row],[Hour]:[Hour]]&gt;=AK$2),1,0)</f>
        <v>0</v>
      </c>
      <c r="AL103" s="298" cm="1">
        <f t="array" ref="AL103">IF(AND(AL$2&lt;&gt;0,TblTech[[#This Row],[Hour]:[Hour]]&gt;=AL$2),1,0)</f>
        <v>0</v>
      </c>
      <c r="AM103" s="298" cm="1">
        <f t="array" ref="AM103">IF(AND(AM$2&lt;&gt;0,TblTech[[#This Row],[Hour]:[Hour]]&gt;=AM$2),1,0)</f>
        <v>0</v>
      </c>
      <c r="AN103" s="298" cm="1">
        <f t="array" ref="AN103">IF(AND(AN$2&lt;&gt;0,TblTech[[#This Row],[Hour]:[Hour]]&gt;=AN$2),1,0)</f>
        <v>0</v>
      </c>
      <c r="AO103" s="298" cm="1">
        <f t="array" ref="AO103">IF(AND(AO$2&lt;&gt;0,TblTech[[#This Row],[Hour]:[Hour]]&gt;=AO$2),1,0)</f>
        <v>0</v>
      </c>
      <c r="AP103" s="298" cm="1">
        <f t="array" ref="AP103">IF(AND(AP$2&lt;&gt;0,TblTech[[#This Row],[Hour]:[Hour]]&gt;=AP$2),1,0)</f>
        <v>0</v>
      </c>
      <c r="AQ103" s="298" cm="1">
        <f t="array" ref="AQ103">IF(AND(AQ$2&lt;&gt;0,TblTech[[#This Row],[Hour]:[Hour]]&gt;=AQ$2),1,0)</f>
        <v>0</v>
      </c>
      <c r="AR103" s="298" cm="1">
        <f t="array" ref="AR103">IF(AND(AR$2&lt;&gt;0,TblTech[[#This Row],[Hour]:[Hour]]&gt;=AR$2),1,0)</f>
        <v>0</v>
      </c>
      <c r="AS103" s="298" cm="1">
        <f t="array" ref="AS103">IF(AND(AS$2&lt;&gt;0,TblTech[[#This Row],[Hour]:[Hour]]&gt;=AS$2),1,0)</f>
        <v>0</v>
      </c>
      <c r="AT103" s="298" cm="1">
        <f t="array" ref="AT103">IF(AND(AT$2&lt;&gt;0,TblTech[[#This Row],[Hour]:[Hour]]&gt;=AT$2),1,0)</f>
        <v>0</v>
      </c>
      <c r="AU103" s="298" cm="1">
        <f t="array" ref="AU103">IF(AND(AU$2&lt;&gt;0,TblTech[[#This Row],[Hour]:[Hour]]&gt;=AU$2),1,0)</f>
        <v>0</v>
      </c>
      <c r="AV103" s="298" cm="1">
        <f t="array" ref="AV103">IF(AND(AV$2&lt;&gt;0,TblTech[[#This Row],[Hour]:[Hour]]&gt;=AV$2),1,0)</f>
        <v>0</v>
      </c>
      <c r="AW103" s="298" cm="1">
        <f t="array" ref="AW103">IF(AND(AW$2&lt;&gt;0,TblTech[[#This Row],[Hour]:[Hour]]&gt;=AW$2),1,0)</f>
        <v>0</v>
      </c>
      <c r="AX103" s="298" cm="1">
        <f t="array" ref="AX103">IF(AND(AX$2&lt;&gt;0,TblTech[[#This Row],[Hour]:[Hour]]&gt;=AX$2),1,0)</f>
        <v>0</v>
      </c>
      <c r="AY103" s="298" cm="1">
        <f t="array" ref="AY103">IF(AND(AY$2&lt;&gt;0,TblTech[[#This Row],[Hour]:[Hour]]&gt;=AY$2),1,0)</f>
        <v>0</v>
      </c>
      <c r="AZ103" s="298" cm="1">
        <f t="array" ref="AZ103">IF(AND(AZ$2&lt;&gt;0,TblTech[[#This Row],[Hour]:[Hour]]&gt;=AZ$2),1,0)</f>
        <v>0</v>
      </c>
      <c r="BA103" s="298" cm="1">
        <f t="array" ref="BA103">IF(AND(BA$2&lt;&gt;0,TblTech[[#This Row],[Hour]:[Hour]]&gt;=BA$2),1,0)</f>
        <v>0</v>
      </c>
      <c r="BB103" s="298" cm="1">
        <f t="array" ref="BB103">IF(AND(BB$2&lt;&gt;0,TblTech[[#This Row],[Hour]:[Hour]]&gt;=BB$2),1,0)</f>
        <v>0</v>
      </c>
      <c r="BC103" s="298" cm="1">
        <f t="array" ref="BC103">IF(AND(BC$2&lt;&gt;0,TblTech[[#This Row],[Hour]:[Hour]]&gt;=BC$2),1,0)</f>
        <v>0</v>
      </c>
      <c r="BD103" s="298" cm="1">
        <f t="array" ref="BD103">IF(AND(BD$2&lt;&gt;0,TblTech[[#This Row],[Hour]:[Hour]]&gt;=BD$2),1,0)</f>
        <v>0</v>
      </c>
      <c r="BE103" s="298" cm="1">
        <f t="array" ref="BE103">IF(AND(BE$2&lt;&gt;0,TblTech[[#This Row],[Hour]:[Hour]]&gt;=BE$2),1,0)</f>
        <v>0</v>
      </c>
      <c r="BF103" s="298" cm="1">
        <f t="array" ref="BF103">IF(AND(BF$2&lt;&gt;0,TblTech[[#This Row],[Hour]:[Hour]]&gt;=BF$2),1,0)</f>
        <v>0</v>
      </c>
      <c r="BG103" s="298" cm="1">
        <f t="array" ref="BG103">IF(AND(BG$2&lt;&gt;0,TblTech[[#This Row],[Hour]:[Hour]]&gt;=BG$2),1,0)</f>
        <v>0</v>
      </c>
      <c r="BH103" s="298" cm="1">
        <f t="array" ref="BH103">IF(AND(BH$2&lt;&gt;0,TblTech[[#This Row],[Hour]:[Hour]]&gt;=BH$2),1,0)</f>
        <v>0</v>
      </c>
      <c r="BI103" s="298" cm="1">
        <f t="array" ref="BI103">IF(AND(BI$2&lt;&gt;0,TblTech[[#This Row],[Hour]:[Hour]]&gt;=BI$2),1,0)</f>
        <v>0</v>
      </c>
      <c r="BJ103" s="298" cm="1">
        <f t="array" ref="BJ103">IF(AND(BJ$2&lt;&gt;0,TblTech[[#This Row],[Hour]:[Hour]]&gt;=BJ$2),1,0)</f>
        <v>0</v>
      </c>
      <c r="BK103" s="298" cm="1">
        <f t="array" ref="BK103">IF(AND(BK$2&lt;&gt;0,TblTech[[#This Row],[Hour]:[Hour]]&gt;=BK$2),1,0)</f>
        <v>0</v>
      </c>
      <c r="BL103" s="298" cm="1">
        <f t="array" ref="BL103">IF(AND(BL$2&lt;&gt;0,TblTech[[#This Row],[Hour]:[Hour]]&gt;=BL$2),1,0)</f>
        <v>0</v>
      </c>
      <c r="BM103" s="298" cm="1">
        <f t="array" ref="BM103">IF(AND(BM$2&lt;&gt;0,TblTech[[#This Row],[Hour]:[Hour]]&gt;=BM$2),1,0)</f>
        <v>0</v>
      </c>
      <c r="BN103" s="298" cm="1">
        <f t="array" ref="BN103">IF(AND(BN$2&lt;&gt;0,TblTech[[#This Row],[Hour]:[Hour]]&gt;=BN$2),1,0)</f>
        <v>0</v>
      </c>
      <c r="BO103" s="298" cm="1">
        <f t="array" ref="BO103">IF(AND(BO$2&lt;&gt;0,TblTech[[#This Row],[Hour]:[Hour]]&gt;=BO$2),1,0)</f>
        <v>0</v>
      </c>
      <c r="BP103" s="298" cm="1">
        <f t="array" ref="BP103">IF(AND(BP$2&lt;&gt;0,TblTech[[#This Row],[Hour]:[Hour]]&gt;=BP$2),1,0)</f>
        <v>0</v>
      </c>
      <c r="BQ103" s="298" cm="1">
        <f t="array" ref="BQ103">IF(AND(BQ$2&lt;&gt;0,TblTech[[#This Row],[Hour]:[Hour]]&gt;=BQ$2),1,0)</f>
        <v>0</v>
      </c>
      <c r="BR103" s="298" cm="1">
        <f t="array" ref="BR103">IF(AND(BR$2&lt;&gt;0,TblTech[[#This Row],[Hour]:[Hour]]&gt;=BR$2),1,0)</f>
        <v>0</v>
      </c>
      <c r="BS103" s="298" cm="1">
        <f t="array" ref="BS103">IF(AND(BS$2&lt;&gt;0,TblTech[[#This Row],[Hour]:[Hour]]&gt;=BS$2),1,0)</f>
        <v>0</v>
      </c>
      <c r="BT103" s="298" cm="1">
        <f t="array" ref="BT103">IF(AND(BT$2&lt;&gt;0,TblTech[[#This Row],[Hour]:[Hour]]&gt;=BT$2),1,0)</f>
        <v>0</v>
      </c>
      <c r="BU103" s="298" cm="1">
        <f t="array" ref="BU103">IF(AND(BU$2&lt;&gt;0,TblTech[[#This Row],[Hour]:[Hour]]&gt;=BU$2),1,0)</f>
        <v>0</v>
      </c>
      <c r="BV103" s="298" cm="1">
        <f t="array" ref="BV103">IF(AND(BV$2&lt;&gt;0,TblTech[[#This Row],[Hour]:[Hour]]&gt;=BV$2),1,0)</f>
        <v>0</v>
      </c>
      <c r="BW103" s="298" cm="1">
        <f t="array" ref="BW103">IF(AND(BW$2&lt;&gt;0,TblTech[[#This Row],[Hour]:[Hour]]&gt;=BW$2),1,0)</f>
        <v>0</v>
      </c>
      <c r="BX103" s="298" cm="1">
        <f t="array" ref="BX103">IF(AND(BX$2&lt;&gt;0,TblTech[[#This Row],[Hour]:[Hour]]&gt;=BX$2),1,0)</f>
        <v>0</v>
      </c>
      <c r="BY103" s="298" cm="1">
        <f t="array" ref="BY103">IF(AND(BY$2&lt;&gt;0,TblTech[[#This Row],[Hour]:[Hour]]&gt;=BY$2),1,0)</f>
        <v>0</v>
      </c>
      <c r="BZ103" s="298" cm="1">
        <f t="array" ref="BZ103">IF(AND(BZ$2&lt;&gt;0,TblTech[[#This Row],[Hour]:[Hour]]&gt;=BZ$2),1,0)</f>
        <v>0</v>
      </c>
      <c r="CA103" s="402">
        <f>IFERROR(INDEX($H$4:$H$79,MATCH(INDEX(TblTech[[#Headers],[1-1]:[11-1]],1,MATCH(TblTech[[#This Row],[Hour]],$M$2:$BZ$2,0)),$G$4:$G$79,0)),)</f>
        <v>0</v>
      </c>
    </row>
    <row r="104" spans="1:79" x14ac:dyDescent="0.2">
      <c r="A104" s="290">
        <f>TblRezone[[#This Row],[Hour]]</f>
        <v>101</v>
      </c>
      <c r="B104" s="291">
        <f ca="1">TblExplore[[#This Row],[Land-DB]]</f>
        <v>250</v>
      </c>
      <c r="C104" s="292">
        <f ca="1">TblProd[[#This Row],[Techpoints]]</f>
        <v>0</v>
      </c>
      <c r="D104" s="292">
        <f ca="1">TblProd[[#This Row],[Required]]</f>
        <v>3750</v>
      </c>
      <c r="E104" s="301"/>
      <c r="F104" s="302"/>
      <c r="G104" s="295"/>
      <c r="H104" s="296"/>
      <c r="I104" s="296"/>
      <c r="J104" s="296"/>
      <c r="K104" s="95">
        <f ca="1">IF(TblTech[[#This Row],[Sum of tech]]&lt;&gt;OFFSET(TblTech[[#This Row],[Sum of tech]],-1,0),1,0)</f>
        <v>0</v>
      </c>
      <c r="L104" s="297">
        <f>COUNTIF(TblTech[[#This Row],[1-1]:[11-1]],1)</f>
        <v>0</v>
      </c>
      <c r="M104" s="298" cm="1">
        <f t="array" ref="M104">IF(AND(M$2&lt;&gt;0,TblTech[[#This Row],[Hour]:[Hour]]&gt;=M$2),1,0)</f>
        <v>0</v>
      </c>
      <c r="N104" s="298" cm="1">
        <f t="array" ref="N104">IF(AND(N$2&lt;&gt;0,TblTech[[#This Row],[Hour]:[Hour]]&gt;=N$2),1,0)</f>
        <v>0</v>
      </c>
      <c r="O104" s="298" cm="1">
        <f t="array" ref="O104">IF(AND(O$2&lt;&gt;0,TblTech[[#This Row],[Hour]:[Hour]]&gt;=O$2),1,0)</f>
        <v>0</v>
      </c>
      <c r="P104" s="298" cm="1">
        <f t="array" ref="P104">IF(AND(P$2&lt;&gt;0,TblTech[[#This Row],[Hour]:[Hour]]&gt;=P$2),1,0)</f>
        <v>0</v>
      </c>
      <c r="Q104" s="298" cm="1">
        <f t="array" ref="Q104">IF(AND(Q$2&lt;&gt;0,TblTech[[#This Row],[Hour]:[Hour]]&gt;=Q$2),1,0)</f>
        <v>0</v>
      </c>
      <c r="R104" s="298" cm="1">
        <f t="array" ref="R104">IF(AND(R$2&lt;&gt;0,TblTech[[#This Row],[Hour]:[Hour]]&gt;=R$2),1,0)</f>
        <v>0</v>
      </c>
      <c r="S104" s="298" cm="1">
        <f t="array" ref="S104">IF(AND(S$2&lt;&gt;0,TblTech[[#This Row],[Hour]:[Hour]]&gt;=S$2),1,0)</f>
        <v>0</v>
      </c>
      <c r="T104" s="298" cm="1">
        <f t="array" ref="T104">IF(AND(T$2&lt;&gt;0,TblTech[[#This Row],[Hour]:[Hour]]&gt;=T$2),1,0)</f>
        <v>0</v>
      </c>
      <c r="U104" s="298" cm="1">
        <f t="array" ref="U104">IF(AND(U$2&lt;&gt;0,TblTech[[#This Row],[Hour]:[Hour]]&gt;=U$2),1,0)</f>
        <v>0</v>
      </c>
      <c r="V104" s="298" cm="1">
        <f t="array" ref="V104">IF(AND(V$2&lt;&gt;0,TblTech[[#This Row],[Hour]:[Hour]]&gt;=V$2),1,0)</f>
        <v>0</v>
      </c>
      <c r="W104" s="298" cm="1">
        <f t="array" ref="W104">IF(AND(W$2&lt;&gt;0,TblTech[[#This Row],[Hour]:[Hour]]&gt;=W$2),1,0)</f>
        <v>0</v>
      </c>
      <c r="X104" s="298" cm="1">
        <f t="array" ref="X104">IF(AND(X$2&lt;&gt;0,TblTech[[#This Row],[Hour]:[Hour]]&gt;=X$2),1,0)</f>
        <v>0</v>
      </c>
      <c r="Y104" s="298" cm="1">
        <f t="array" ref="Y104">IF(AND(Y$2&lt;&gt;0,TblTech[[#This Row],[Hour]:[Hour]]&gt;=Y$2),1,0)</f>
        <v>0</v>
      </c>
      <c r="Z104" s="298" cm="1">
        <f t="array" ref="Z104">IF(AND(Z$2&lt;&gt;0,TblTech[[#This Row],[Hour]:[Hour]]&gt;=Z$2),1,0)</f>
        <v>0</v>
      </c>
      <c r="AA104" s="298" cm="1">
        <f t="array" ref="AA104">IF(AND(AA$2&lt;&gt;0,TblTech[[#This Row],[Hour]:[Hour]]&gt;=AA$2),1,0)</f>
        <v>0</v>
      </c>
      <c r="AB104" s="298" cm="1">
        <f t="array" ref="AB104">IF(AND(AB$2&lt;&gt;0,TblTech[[#This Row],[Hour]:[Hour]]&gt;=AB$2),1,0)</f>
        <v>0</v>
      </c>
      <c r="AC104" s="298" cm="1">
        <f t="array" ref="AC104">IF(AND(AC$2&lt;&gt;0,TblTech[[#This Row],[Hour]:[Hour]]&gt;=AC$2),1,0)</f>
        <v>0</v>
      </c>
      <c r="AD104" s="298" cm="1">
        <f t="array" ref="AD104">IF(AND(AD$2&lt;&gt;0,TblTech[[#This Row],[Hour]:[Hour]]&gt;=AD$2),1,0)</f>
        <v>0</v>
      </c>
      <c r="AE104" s="298" cm="1">
        <f t="array" ref="AE104">IF(AND(AE$2&lt;&gt;0,TblTech[[#This Row],[Hour]:[Hour]]&gt;=AE$2),1,0)</f>
        <v>0</v>
      </c>
      <c r="AF104" s="298" cm="1">
        <f t="array" ref="AF104">IF(AND(AF$2&lt;&gt;0,TblTech[[#This Row],[Hour]:[Hour]]&gt;=AF$2),1,0)</f>
        <v>0</v>
      </c>
      <c r="AG104" s="298" cm="1">
        <f t="array" ref="AG104">IF(AND(AG$2&lt;&gt;0,TblTech[[#This Row],[Hour]:[Hour]]&gt;=AG$2),1,0)</f>
        <v>0</v>
      </c>
      <c r="AH104" s="298" cm="1">
        <f t="array" ref="AH104">IF(AND(AH$2&lt;&gt;0,TblTech[[#This Row],[Hour]:[Hour]]&gt;=AH$2),1,0)</f>
        <v>0</v>
      </c>
      <c r="AI104" s="298" cm="1">
        <f t="array" ref="AI104">IF(AND(AI$2&lt;&gt;0,TblTech[[#This Row],[Hour]:[Hour]]&gt;=AI$2),1,0)</f>
        <v>0</v>
      </c>
      <c r="AJ104" s="298" cm="1">
        <f t="array" ref="AJ104">IF(AND(AJ$2&lt;&gt;0,TblTech[[#This Row],[Hour]:[Hour]]&gt;=AJ$2),1,0)</f>
        <v>0</v>
      </c>
      <c r="AK104" s="298" cm="1">
        <f t="array" ref="AK104">IF(AND(AK$2&lt;&gt;0,TblTech[[#This Row],[Hour]:[Hour]]&gt;=AK$2),1,0)</f>
        <v>0</v>
      </c>
      <c r="AL104" s="298" cm="1">
        <f t="array" ref="AL104">IF(AND(AL$2&lt;&gt;0,TblTech[[#This Row],[Hour]:[Hour]]&gt;=AL$2),1,0)</f>
        <v>0</v>
      </c>
      <c r="AM104" s="298" cm="1">
        <f t="array" ref="AM104">IF(AND(AM$2&lt;&gt;0,TblTech[[#This Row],[Hour]:[Hour]]&gt;=AM$2),1,0)</f>
        <v>0</v>
      </c>
      <c r="AN104" s="298" cm="1">
        <f t="array" ref="AN104">IF(AND(AN$2&lt;&gt;0,TblTech[[#This Row],[Hour]:[Hour]]&gt;=AN$2),1,0)</f>
        <v>0</v>
      </c>
      <c r="AO104" s="298" cm="1">
        <f t="array" ref="AO104">IF(AND(AO$2&lt;&gt;0,TblTech[[#This Row],[Hour]:[Hour]]&gt;=AO$2),1,0)</f>
        <v>0</v>
      </c>
      <c r="AP104" s="298" cm="1">
        <f t="array" ref="AP104">IF(AND(AP$2&lt;&gt;0,TblTech[[#This Row],[Hour]:[Hour]]&gt;=AP$2),1,0)</f>
        <v>0</v>
      </c>
      <c r="AQ104" s="298" cm="1">
        <f t="array" ref="AQ104">IF(AND(AQ$2&lt;&gt;0,TblTech[[#This Row],[Hour]:[Hour]]&gt;=AQ$2),1,0)</f>
        <v>0</v>
      </c>
      <c r="AR104" s="298" cm="1">
        <f t="array" ref="AR104">IF(AND(AR$2&lt;&gt;0,TblTech[[#This Row],[Hour]:[Hour]]&gt;=AR$2),1,0)</f>
        <v>0</v>
      </c>
      <c r="AS104" s="298" cm="1">
        <f t="array" ref="AS104">IF(AND(AS$2&lt;&gt;0,TblTech[[#This Row],[Hour]:[Hour]]&gt;=AS$2),1,0)</f>
        <v>0</v>
      </c>
      <c r="AT104" s="298" cm="1">
        <f t="array" ref="AT104">IF(AND(AT$2&lt;&gt;0,TblTech[[#This Row],[Hour]:[Hour]]&gt;=AT$2),1,0)</f>
        <v>0</v>
      </c>
      <c r="AU104" s="298" cm="1">
        <f t="array" ref="AU104">IF(AND(AU$2&lt;&gt;0,TblTech[[#This Row],[Hour]:[Hour]]&gt;=AU$2),1,0)</f>
        <v>0</v>
      </c>
      <c r="AV104" s="298" cm="1">
        <f t="array" ref="AV104">IF(AND(AV$2&lt;&gt;0,TblTech[[#This Row],[Hour]:[Hour]]&gt;=AV$2),1,0)</f>
        <v>0</v>
      </c>
      <c r="AW104" s="298" cm="1">
        <f t="array" ref="AW104">IF(AND(AW$2&lt;&gt;0,TblTech[[#This Row],[Hour]:[Hour]]&gt;=AW$2),1,0)</f>
        <v>0</v>
      </c>
      <c r="AX104" s="298" cm="1">
        <f t="array" ref="AX104">IF(AND(AX$2&lt;&gt;0,TblTech[[#This Row],[Hour]:[Hour]]&gt;=AX$2),1,0)</f>
        <v>0</v>
      </c>
      <c r="AY104" s="298" cm="1">
        <f t="array" ref="AY104">IF(AND(AY$2&lt;&gt;0,TblTech[[#This Row],[Hour]:[Hour]]&gt;=AY$2),1,0)</f>
        <v>0</v>
      </c>
      <c r="AZ104" s="298" cm="1">
        <f t="array" ref="AZ104">IF(AND(AZ$2&lt;&gt;0,TblTech[[#This Row],[Hour]:[Hour]]&gt;=AZ$2),1,0)</f>
        <v>0</v>
      </c>
      <c r="BA104" s="298" cm="1">
        <f t="array" ref="BA104">IF(AND(BA$2&lt;&gt;0,TblTech[[#This Row],[Hour]:[Hour]]&gt;=BA$2),1,0)</f>
        <v>0</v>
      </c>
      <c r="BB104" s="298" cm="1">
        <f t="array" ref="BB104">IF(AND(BB$2&lt;&gt;0,TblTech[[#This Row],[Hour]:[Hour]]&gt;=BB$2),1,0)</f>
        <v>0</v>
      </c>
      <c r="BC104" s="298" cm="1">
        <f t="array" ref="BC104">IF(AND(BC$2&lt;&gt;0,TblTech[[#This Row],[Hour]:[Hour]]&gt;=BC$2),1,0)</f>
        <v>0</v>
      </c>
      <c r="BD104" s="298" cm="1">
        <f t="array" ref="BD104">IF(AND(BD$2&lt;&gt;0,TblTech[[#This Row],[Hour]:[Hour]]&gt;=BD$2),1,0)</f>
        <v>0</v>
      </c>
      <c r="BE104" s="298" cm="1">
        <f t="array" ref="BE104">IF(AND(BE$2&lt;&gt;0,TblTech[[#This Row],[Hour]:[Hour]]&gt;=BE$2),1,0)</f>
        <v>0</v>
      </c>
      <c r="BF104" s="298" cm="1">
        <f t="array" ref="BF104">IF(AND(BF$2&lt;&gt;0,TblTech[[#This Row],[Hour]:[Hour]]&gt;=BF$2),1,0)</f>
        <v>0</v>
      </c>
      <c r="BG104" s="298" cm="1">
        <f t="array" ref="BG104">IF(AND(BG$2&lt;&gt;0,TblTech[[#This Row],[Hour]:[Hour]]&gt;=BG$2),1,0)</f>
        <v>0</v>
      </c>
      <c r="BH104" s="298" cm="1">
        <f t="array" ref="BH104">IF(AND(BH$2&lt;&gt;0,TblTech[[#This Row],[Hour]:[Hour]]&gt;=BH$2),1,0)</f>
        <v>0</v>
      </c>
      <c r="BI104" s="298" cm="1">
        <f t="array" ref="BI104">IF(AND(BI$2&lt;&gt;0,TblTech[[#This Row],[Hour]:[Hour]]&gt;=BI$2),1,0)</f>
        <v>0</v>
      </c>
      <c r="BJ104" s="298" cm="1">
        <f t="array" ref="BJ104">IF(AND(BJ$2&lt;&gt;0,TblTech[[#This Row],[Hour]:[Hour]]&gt;=BJ$2),1,0)</f>
        <v>0</v>
      </c>
      <c r="BK104" s="298" cm="1">
        <f t="array" ref="BK104">IF(AND(BK$2&lt;&gt;0,TblTech[[#This Row],[Hour]:[Hour]]&gt;=BK$2),1,0)</f>
        <v>0</v>
      </c>
      <c r="BL104" s="298" cm="1">
        <f t="array" ref="BL104">IF(AND(BL$2&lt;&gt;0,TblTech[[#This Row],[Hour]:[Hour]]&gt;=BL$2),1,0)</f>
        <v>0</v>
      </c>
      <c r="BM104" s="298" cm="1">
        <f t="array" ref="BM104">IF(AND(BM$2&lt;&gt;0,TblTech[[#This Row],[Hour]:[Hour]]&gt;=BM$2),1,0)</f>
        <v>0</v>
      </c>
      <c r="BN104" s="298" cm="1">
        <f t="array" ref="BN104">IF(AND(BN$2&lt;&gt;0,TblTech[[#This Row],[Hour]:[Hour]]&gt;=BN$2),1,0)</f>
        <v>0</v>
      </c>
      <c r="BO104" s="298" cm="1">
        <f t="array" ref="BO104">IF(AND(BO$2&lt;&gt;0,TblTech[[#This Row],[Hour]:[Hour]]&gt;=BO$2),1,0)</f>
        <v>0</v>
      </c>
      <c r="BP104" s="298" cm="1">
        <f t="array" ref="BP104">IF(AND(BP$2&lt;&gt;0,TblTech[[#This Row],[Hour]:[Hour]]&gt;=BP$2),1,0)</f>
        <v>0</v>
      </c>
      <c r="BQ104" s="298" cm="1">
        <f t="array" ref="BQ104">IF(AND(BQ$2&lt;&gt;0,TblTech[[#This Row],[Hour]:[Hour]]&gt;=BQ$2),1,0)</f>
        <v>0</v>
      </c>
      <c r="BR104" s="298" cm="1">
        <f t="array" ref="BR104">IF(AND(BR$2&lt;&gt;0,TblTech[[#This Row],[Hour]:[Hour]]&gt;=BR$2),1,0)</f>
        <v>0</v>
      </c>
      <c r="BS104" s="298" cm="1">
        <f t="array" ref="BS104">IF(AND(BS$2&lt;&gt;0,TblTech[[#This Row],[Hour]:[Hour]]&gt;=BS$2),1,0)</f>
        <v>0</v>
      </c>
      <c r="BT104" s="298" cm="1">
        <f t="array" ref="BT104">IF(AND(BT$2&lt;&gt;0,TblTech[[#This Row],[Hour]:[Hour]]&gt;=BT$2),1,0)</f>
        <v>0</v>
      </c>
      <c r="BU104" s="298" cm="1">
        <f t="array" ref="BU104">IF(AND(BU$2&lt;&gt;0,TblTech[[#This Row],[Hour]:[Hour]]&gt;=BU$2),1,0)</f>
        <v>0</v>
      </c>
      <c r="BV104" s="298" cm="1">
        <f t="array" ref="BV104">IF(AND(BV$2&lt;&gt;0,TblTech[[#This Row],[Hour]:[Hour]]&gt;=BV$2),1,0)</f>
        <v>0</v>
      </c>
      <c r="BW104" s="298" cm="1">
        <f t="array" ref="BW104">IF(AND(BW$2&lt;&gt;0,TblTech[[#This Row],[Hour]:[Hour]]&gt;=BW$2),1,0)</f>
        <v>0</v>
      </c>
      <c r="BX104" s="298" cm="1">
        <f t="array" ref="BX104">IF(AND(BX$2&lt;&gt;0,TblTech[[#This Row],[Hour]:[Hour]]&gt;=BX$2),1,0)</f>
        <v>0</v>
      </c>
      <c r="BY104" s="298" cm="1">
        <f t="array" ref="BY104">IF(AND(BY$2&lt;&gt;0,TblTech[[#This Row],[Hour]:[Hour]]&gt;=BY$2),1,0)</f>
        <v>0</v>
      </c>
      <c r="BZ104" s="298" cm="1">
        <f t="array" ref="BZ104">IF(AND(BZ$2&lt;&gt;0,TblTech[[#This Row],[Hour]:[Hour]]&gt;=BZ$2),1,0)</f>
        <v>0</v>
      </c>
      <c r="CA104" s="402">
        <f>IFERROR(INDEX($H$4:$H$79,MATCH(INDEX(TblTech[[#Headers],[1-1]:[11-1]],1,MATCH(TblTech[[#This Row],[Hour]],$M$2:$BZ$2,0)),$G$4:$G$79,0)),)</f>
        <v>0</v>
      </c>
    </row>
    <row r="105" spans="1:79" x14ac:dyDescent="0.2">
      <c r="A105" s="290">
        <f>TblRezone[[#This Row],[Hour]]</f>
        <v>102</v>
      </c>
      <c r="B105" s="291">
        <f ca="1">TblExplore[[#This Row],[Land-DB]]</f>
        <v>250</v>
      </c>
      <c r="C105" s="292">
        <f ca="1">TblProd[[#This Row],[Techpoints]]</f>
        <v>0</v>
      </c>
      <c r="D105" s="292">
        <f ca="1">TblProd[[#This Row],[Required]]</f>
        <v>3750</v>
      </c>
      <c r="E105" s="301"/>
      <c r="F105" s="302"/>
      <c r="G105" s="295"/>
      <c r="H105" s="296"/>
      <c r="I105" s="296"/>
      <c r="J105" s="296"/>
      <c r="K105" s="95">
        <f ca="1">IF(TblTech[[#This Row],[Sum of tech]]&lt;&gt;OFFSET(TblTech[[#This Row],[Sum of tech]],-1,0),1,0)</f>
        <v>0</v>
      </c>
      <c r="L105" s="297">
        <f>COUNTIF(TblTech[[#This Row],[1-1]:[11-1]],1)</f>
        <v>0</v>
      </c>
      <c r="M105" s="298" cm="1">
        <f t="array" ref="M105">IF(AND(M$2&lt;&gt;0,TblTech[[#This Row],[Hour]:[Hour]]&gt;=M$2),1,0)</f>
        <v>0</v>
      </c>
      <c r="N105" s="298" cm="1">
        <f t="array" ref="N105">IF(AND(N$2&lt;&gt;0,TblTech[[#This Row],[Hour]:[Hour]]&gt;=N$2),1,0)</f>
        <v>0</v>
      </c>
      <c r="O105" s="298" cm="1">
        <f t="array" ref="O105">IF(AND(O$2&lt;&gt;0,TblTech[[#This Row],[Hour]:[Hour]]&gt;=O$2),1,0)</f>
        <v>0</v>
      </c>
      <c r="P105" s="298" cm="1">
        <f t="array" ref="P105">IF(AND(P$2&lt;&gt;0,TblTech[[#This Row],[Hour]:[Hour]]&gt;=P$2),1,0)</f>
        <v>0</v>
      </c>
      <c r="Q105" s="298" cm="1">
        <f t="array" ref="Q105">IF(AND(Q$2&lt;&gt;0,TblTech[[#This Row],[Hour]:[Hour]]&gt;=Q$2),1,0)</f>
        <v>0</v>
      </c>
      <c r="R105" s="298" cm="1">
        <f t="array" ref="R105">IF(AND(R$2&lt;&gt;0,TblTech[[#This Row],[Hour]:[Hour]]&gt;=R$2),1,0)</f>
        <v>0</v>
      </c>
      <c r="S105" s="298" cm="1">
        <f t="array" ref="S105">IF(AND(S$2&lt;&gt;0,TblTech[[#This Row],[Hour]:[Hour]]&gt;=S$2),1,0)</f>
        <v>0</v>
      </c>
      <c r="T105" s="298" cm="1">
        <f t="array" ref="T105">IF(AND(T$2&lt;&gt;0,TblTech[[#This Row],[Hour]:[Hour]]&gt;=T$2),1,0)</f>
        <v>0</v>
      </c>
      <c r="U105" s="298" cm="1">
        <f t="array" ref="U105">IF(AND(U$2&lt;&gt;0,TblTech[[#This Row],[Hour]:[Hour]]&gt;=U$2),1,0)</f>
        <v>0</v>
      </c>
      <c r="V105" s="298" cm="1">
        <f t="array" ref="V105">IF(AND(V$2&lt;&gt;0,TblTech[[#This Row],[Hour]:[Hour]]&gt;=V$2),1,0)</f>
        <v>0</v>
      </c>
      <c r="W105" s="298" cm="1">
        <f t="array" ref="W105">IF(AND(W$2&lt;&gt;0,TblTech[[#This Row],[Hour]:[Hour]]&gt;=W$2),1,0)</f>
        <v>0</v>
      </c>
      <c r="X105" s="298" cm="1">
        <f t="array" ref="X105">IF(AND(X$2&lt;&gt;0,TblTech[[#This Row],[Hour]:[Hour]]&gt;=X$2),1,0)</f>
        <v>0</v>
      </c>
      <c r="Y105" s="298" cm="1">
        <f t="array" ref="Y105">IF(AND(Y$2&lt;&gt;0,TblTech[[#This Row],[Hour]:[Hour]]&gt;=Y$2),1,0)</f>
        <v>0</v>
      </c>
      <c r="Z105" s="298" cm="1">
        <f t="array" ref="Z105">IF(AND(Z$2&lt;&gt;0,TblTech[[#This Row],[Hour]:[Hour]]&gt;=Z$2),1,0)</f>
        <v>0</v>
      </c>
      <c r="AA105" s="298" cm="1">
        <f t="array" ref="AA105">IF(AND(AA$2&lt;&gt;0,TblTech[[#This Row],[Hour]:[Hour]]&gt;=AA$2),1,0)</f>
        <v>0</v>
      </c>
      <c r="AB105" s="298" cm="1">
        <f t="array" ref="AB105">IF(AND(AB$2&lt;&gt;0,TblTech[[#This Row],[Hour]:[Hour]]&gt;=AB$2),1,0)</f>
        <v>0</v>
      </c>
      <c r="AC105" s="298" cm="1">
        <f t="array" ref="AC105">IF(AND(AC$2&lt;&gt;0,TblTech[[#This Row],[Hour]:[Hour]]&gt;=AC$2),1,0)</f>
        <v>0</v>
      </c>
      <c r="AD105" s="298" cm="1">
        <f t="array" ref="AD105">IF(AND(AD$2&lt;&gt;0,TblTech[[#This Row],[Hour]:[Hour]]&gt;=AD$2),1,0)</f>
        <v>0</v>
      </c>
      <c r="AE105" s="298" cm="1">
        <f t="array" ref="AE105">IF(AND(AE$2&lt;&gt;0,TblTech[[#This Row],[Hour]:[Hour]]&gt;=AE$2),1,0)</f>
        <v>0</v>
      </c>
      <c r="AF105" s="298" cm="1">
        <f t="array" ref="AF105">IF(AND(AF$2&lt;&gt;0,TblTech[[#This Row],[Hour]:[Hour]]&gt;=AF$2),1,0)</f>
        <v>0</v>
      </c>
      <c r="AG105" s="298" cm="1">
        <f t="array" ref="AG105">IF(AND(AG$2&lt;&gt;0,TblTech[[#This Row],[Hour]:[Hour]]&gt;=AG$2),1,0)</f>
        <v>0</v>
      </c>
      <c r="AH105" s="298" cm="1">
        <f t="array" ref="AH105">IF(AND(AH$2&lt;&gt;0,TblTech[[#This Row],[Hour]:[Hour]]&gt;=AH$2),1,0)</f>
        <v>0</v>
      </c>
      <c r="AI105" s="298" cm="1">
        <f t="array" ref="AI105">IF(AND(AI$2&lt;&gt;0,TblTech[[#This Row],[Hour]:[Hour]]&gt;=AI$2),1,0)</f>
        <v>0</v>
      </c>
      <c r="AJ105" s="298" cm="1">
        <f t="array" ref="AJ105">IF(AND(AJ$2&lt;&gt;0,TblTech[[#This Row],[Hour]:[Hour]]&gt;=AJ$2),1,0)</f>
        <v>0</v>
      </c>
      <c r="AK105" s="298" cm="1">
        <f t="array" ref="AK105">IF(AND(AK$2&lt;&gt;0,TblTech[[#This Row],[Hour]:[Hour]]&gt;=AK$2),1,0)</f>
        <v>0</v>
      </c>
      <c r="AL105" s="298" cm="1">
        <f t="array" ref="AL105">IF(AND(AL$2&lt;&gt;0,TblTech[[#This Row],[Hour]:[Hour]]&gt;=AL$2),1,0)</f>
        <v>0</v>
      </c>
      <c r="AM105" s="298" cm="1">
        <f t="array" ref="AM105">IF(AND(AM$2&lt;&gt;0,TblTech[[#This Row],[Hour]:[Hour]]&gt;=AM$2),1,0)</f>
        <v>0</v>
      </c>
      <c r="AN105" s="298" cm="1">
        <f t="array" ref="AN105">IF(AND(AN$2&lt;&gt;0,TblTech[[#This Row],[Hour]:[Hour]]&gt;=AN$2),1,0)</f>
        <v>0</v>
      </c>
      <c r="AO105" s="298" cm="1">
        <f t="array" ref="AO105">IF(AND(AO$2&lt;&gt;0,TblTech[[#This Row],[Hour]:[Hour]]&gt;=AO$2),1,0)</f>
        <v>0</v>
      </c>
      <c r="AP105" s="298" cm="1">
        <f t="array" ref="AP105">IF(AND(AP$2&lt;&gt;0,TblTech[[#This Row],[Hour]:[Hour]]&gt;=AP$2),1,0)</f>
        <v>0</v>
      </c>
      <c r="AQ105" s="298" cm="1">
        <f t="array" ref="AQ105">IF(AND(AQ$2&lt;&gt;0,TblTech[[#This Row],[Hour]:[Hour]]&gt;=AQ$2),1,0)</f>
        <v>0</v>
      </c>
      <c r="AR105" s="298" cm="1">
        <f t="array" ref="AR105">IF(AND(AR$2&lt;&gt;0,TblTech[[#This Row],[Hour]:[Hour]]&gt;=AR$2),1,0)</f>
        <v>0</v>
      </c>
      <c r="AS105" s="298" cm="1">
        <f t="array" ref="AS105">IF(AND(AS$2&lt;&gt;0,TblTech[[#This Row],[Hour]:[Hour]]&gt;=AS$2),1,0)</f>
        <v>0</v>
      </c>
      <c r="AT105" s="298" cm="1">
        <f t="array" ref="AT105">IF(AND(AT$2&lt;&gt;0,TblTech[[#This Row],[Hour]:[Hour]]&gt;=AT$2),1,0)</f>
        <v>0</v>
      </c>
      <c r="AU105" s="298" cm="1">
        <f t="array" ref="AU105">IF(AND(AU$2&lt;&gt;0,TblTech[[#This Row],[Hour]:[Hour]]&gt;=AU$2),1,0)</f>
        <v>0</v>
      </c>
      <c r="AV105" s="298" cm="1">
        <f t="array" ref="AV105">IF(AND(AV$2&lt;&gt;0,TblTech[[#This Row],[Hour]:[Hour]]&gt;=AV$2),1,0)</f>
        <v>0</v>
      </c>
      <c r="AW105" s="298" cm="1">
        <f t="array" ref="AW105">IF(AND(AW$2&lt;&gt;0,TblTech[[#This Row],[Hour]:[Hour]]&gt;=AW$2),1,0)</f>
        <v>0</v>
      </c>
      <c r="AX105" s="298" cm="1">
        <f t="array" ref="AX105">IF(AND(AX$2&lt;&gt;0,TblTech[[#This Row],[Hour]:[Hour]]&gt;=AX$2),1,0)</f>
        <v>0</v>
      </c>
      <c r="AY105" s="298" cm="1">
        <f t="array" ref="AY105">IF(AND(AY$2&lt;&gt;0,TblTech[[#This Row],[Hour]:[Hour]]&gt;=AY$2),1,0)</f>
        <v>0</v>
      </c>
      <c r="AZ105" s="298" cm="1">
        <f t="array" ref="AZ105">IF(AND(AZ$2&lt;&gt;0,TblTech[[#This Row],[Hour]:[Hour]]&gt;=AZ$2),1,0)</f>
        <v>0</v>
      </c>
      <c r="BA105" s="298" cm="1">
        <f t="array" ref="BA105">IF(AND(BA$2&lt;&gt;0,TblTech[[#This Row],[Hour]:[Hour]]&gt;=BA$2),1,0)</f>
        <v>0</v>
      </c>
      <c r="BB105" s="298" cm="1">
        <f t="array" ref="BB105">IF(AND(BB$2&lt;&gt;0,TblTech[[#This Row],[Hour]:[Hour]]&gt;=BB$2),1,0)</f>
        <v>0</v>
      </c>
      <c r="BC105" s="298" cm="1">
        <f t="array" ref="BC105">IF(AND(BC$2&lt;&gt;0,TblTech[[#This Row],[Hour]:[Hour]]&gt;=BC$2),1,0)</f>
        <v>0</v>
      </c>
      <c r="BD105" s="298" cm="1">
        <f t="array" ref="BD105">IF(AND(BD$2&lt;&gt;0,TblTech[[#This Row],[Hour]:[Hour]]&gt;=BD$2),1,0)</f>
        <v>0</v>
      </c>
      <c r="BE105" s="298" cm="1">
        <f t="array" ref="BE105">IF(AND(BE$2&lt;&gt;0,TblTech[[#This Row],[Hour]:[Hour]]&gt;=BE$2),1,0)</f>
        <v>0</v>
      </c>
      <c r="BF105" s="298" cm="1">
        <f t="array" ref="BF105">IF(AND(BF$2&lt;&gt;0,TblTech[[#This Row],[Hour]:[Hour]]&gt;=BF$2),1,0)</f>
        <v>0</v>
      </c>
      <c r="BG105" s="298" cm="1">
        <f t="array" ref="BG105">IF(AND(BG$2&lt;&gt;0,TblTech[[#This Row],[Hour]:[Hour]]&gt;=BG$2),1,0)</f>
        <v>0</v>
      </c>
      <c r="BH105" s="298" cm="1">
        <f t="array" ref="BH105">IF(AND(BH$2&lt;&gt;0,TblTech[[#This Row],[Hour]:[Hour]]&gt;=BH$2),1,0)</f>
        <v>0</v>
      </c>
      <c r="BI105" s="298" cm="1">
        <f t="array" ref="BI105">IF(AND(BI$2&lt;&gt;0,TblTech[[#This Row],[Hour]:[Hour]]&gt;=BI$2),1,0)</f>
        <v>0</v>
      </c>
      <c r="BJ105" s="298" cm="1">
        <f t="array" ref="BJ105">IF(AND(BJ$2&lt;&gt;0,TblTech[[#This Row],[Hour]:[Hour]]&gt;=BJ$2),1,0)</f>
        <v>0</v>
      </c>
      <c r="BK105" s="298" cm="1">
        <f t="array" ref="BK105">IF(AND(BK$2&lt;&gt;0,TblTech[[#This Row],[Hour]:[Hour]]&gt;=BK$2),1,0)</f>
        <v>0</v>
      </c>
      <c r="BL105" s="298" cm="1">
        <f t="array" ref="BL105">IF(AND(BL$2&lt;&gt;0,TblTech[[#This Row],[Hour]:[Hour]]&gt;=BL$2),1,0)</f>
        <v>0</v>
      </c>
      <c r="BM105" s="298" cm="1">
        <f t="array" ref="BM105">IF(AND(BM$2&lt;&gt;0,TblTech[[#This Row],[Hour]:[Hour]]&gt;=BM$2),1,0)</f>
        <v>0</v>
      </c>
      <c r="BN105" s="298" cm="1">
        <f t="array" ref="BN105">IF(AND(BN$2&lt;&gt;0,TblTech[[#This Row],[Hour]:[Hour]]&gt;=BN$2),1,0)</f>
        <v>0</v>
      </c>
      <c r="BO105" s="298" cm="1">
        <f t="array" ref="BO105">IF(AND(BO$2&lt;&gt;0,TblTech[[#This Row],[Hour]:[Hour]]&gt;=BO$2),1,0)</f>
        <v>0</v>
      </c>
      <c r="BP105" s="298" cm="1">
        <f t="array" ref="BP105">IF(AND(BP$2&lt;&gt;0,TblTech[[#This Row],[Hour]:[Hour]]&gt;=BP$2),1,0)</f>
        <v>0</v>
      </c>
      <c r="BQ105" s="298" cm="1">
        <f t="array" ref="BQ105">IF(AND(BQ$2&lt;&gt;0,TblTech[[#This Row],[Hour]:[Hour]]&gt;=BQ$2),1,0)</f>
        <v>0</v>
      </c>
      <c r="BR105" s="298" cm="1">
        <f t="array" ref="BR105">IF(AND(BR$2&lt;&gt;0,TblTech[[#This Row],[Hour]:[Hour]]&gt;=BR$2),1,0)</f>
        <v>0</v>
      </c>
      <c r="BS105" s="298" cm="1">
        <f t="array" ref="BS105">IF(AND(BS$2&lt;&gt;0,TblTech[[#This Row],[Hour]:[Hour]]&gt;=BS$2),1,0)</f>
        <v>0</v>
      </c>
      <c r="BT105" s="298" cm="1">
        <f t="array" ref="BT105">IF(AND(BT$2&lt;&gt;0,TblTech[[#This Row],[Hour]:[Hour]]&gt;=BT$2),1,0)</f>
        <v>0</v>
      </c>
      <c r="BU105" s="298" cm="1">
        <f t="array" ref="BU105">IF(AND(BU$2&lt;&gt;0,TblTech[[#This Row],[Hour]:[Hour]]&gt;=BU$2),1,0)</f>
        <v>0</v>
      </c>
      <c r="BV105" s="298" cm="1">
        <f t="array" ref="BV105">IF(AND(BV$2&lt;&gt;0,TblTech[[#This Row],[Hour]:[Hour]]&gt;=BV$2),1,0)</f>
        <v>0</v>
      </c>
      <c r="BW105" s="298" cm="1">
        <f t="array" ref="BW105">IF(AND(BW$2&lt;&gt;0,TblTech[[#This Row],[Hour]:[Hour]]&gt;=BW$2),1,0)</f>
        <v>0</v>
      </c>
      <c r="BX105" s="298" cm="1">
        <f t="array" ref="BX105">IF(AND(BX$2&lt;&gt;0,TblTech[[#This Row],[Hour]:[Hour]]&gt;=BX$2),1,0)</f>
        <v>0</v>
      </c>
      <c r="BY105" s="298" cm="1">
        <f t="array" ref="BY105">IF(AND(BY$2&lt;&gt;0,TblTech[[#This Row],[Hour]:[Hour]]&gt;=BY$2),1,0)</f>
        <v>0</v>
      </c>
      <c r="BZ105" s="298" cm="1">
        <f t="array" ref="BZ105">IF(AND(BZ$2&lt;&gt;0,TblTech[[#This Row],[Hour]:[Hour]]&gt;=BZ$2),1,0)</f>
        <v>0</v>
      </c>
      <c r="CA105" s="402">
        <f>IFERROR(INDEX($H$4:$H$79,MATCH(INDEX(TblTech[[#Headers],[1-1]:[11-1]],1,MATCH(TblTech[[#This Row],[Hour]],$M$2:$BZ$2,0)),$G$4:$G$79,0)),)</f>
        <v>0</v>
      </c>
    </row>
    <row r="106" spans="1:79" x14ac:dyDescent="0.2">
      <c r="A106" s="290">
        <f>TblRezone[[#This Row],[Hour]]</f>
        <v>103</v>
      </c>
      <c r="B106" s="291">
        <f ca="1">TblExplore[[#This Row],[Land-DB]]</f>
        <v>250</v>
      </c>
      <c r="C106" s="292">
        <f ca="1">TblProd[[#This Row],[Techpoints]]</f>
        <v>0</v>
      </c>
      <c r="D106" s="292">
        <f ca="1">TblProd[[#This Row],[Required]]</f>
        <v>3750</v>
      </c>
      <c r="E106" s="301"/>
      <c r="F106" s="302"/>
      <c r="G106" s="295"/>
      <c r="H106" s="296"/>
      <c r="I106" s="296"/>
      <c r="J106" s="296"/>
      <c r="K106" s="95">
        <f ca="1">IF(TblTech[[#This Row],[Sum of tech]]&lt;&gt;OFFSET(TblTech[[#This Row],[Sum of tech]],-1,0),1,0)</f>
        <v>0</v>
      </c>
      <c r="L106" s="297">
        <f>COUNTIF(TblTech[[#This Row],[1-1]:[11-1]],1)</f>
        <v>0</v>
      </c>
      <c r="M106" s="298" cm="1">
        <f t="array" ref="M106">IF(AND(M$2&lt;&gt;0,TblTech[[#This Row],[Hour]:[Hour]]&gt;=M$2),1,0)</f>
        <v>0</v>
      </c>
      <c r="N106" s="298" cm="1">
        <f t="array" ref="N106">IF(AND(N$2&lt;&gt;0,TblTech[[#This Row],[Hour]:[Hour]]&gt;=N$2),1,0)</f>
        <v>0</v>
      </c>
      <c r="O106" s="298" cm="1">
        <f t="array" ref="O106">IF(AND(O$2&lt;&gt;0,TblTech[[#This Row],[Hour]:[Hour]]&gt;=O$2),1,0)</f>
        <v>0</v>
      </c>
      <c r="P106" s="298" cm="1">
        <f t="array" ref="P106">IF(AND(P$2&lt;&gt;0,TblTech[[#This Row],[Hour]:[Hour]]&gt;=P$2),1,0)</f>
        <v>0</v>
      </c>
      <c r="Q106" s="298" cm="1">
        <f t="array" ref="Q106">IF(AND(Q$2&lt;&gt;0,TblTech[[#This Row],[Hour]:[Hour]]&gt;=Q$2),1,0)</f>
        <v>0</v>
      </c>
      <c r="R106" s="298" cm="1">
        <f t="array" ref="R106">IF(AND(R$2&lt;&gt;0,TblTech[[#This Row],[Hour]:[Hour]]&gt;=R$2),1,0)</f>
        <v>0</v>
      </c>
      <c r="S106" s="298" cm="1">
        <f t="array" ref="S106">IF(AND(S$2&lt;&gt;0,TblTech[[#This Row],[Hour]:[Hour]]&gt;=S$2),1,0)</f>
        <v>0</v>
      </c>
      <c r="T106" s="298" cm="1">
        <f t="array" ref="T106">IF(AND(T$2&lt;&gt;0,TblTech[[#This Row],[Hour]:[Hour]]&gt;=T$2),1,0)</f>
        <v>0</v>
      </c>
      <c r="U106" s="298" cm="1">
        <f t="array" ref="U106">IF(AND(U$2&lt;&gt;0,TblTech[[#This Row],[Hour]:[Hour]]&gt;=U$2),1,0)</f>
        <v>0</v>
      </c>
      <c r="V106" s="298" cm="1">
        <f t="array" ref="V106">IF(AND(V$2&lt;&gt;0,TblTech[[#This Row],[Hour]:[Hour]]&gt;=V$2),1,0)</f>
        <v>0</v>
      </c>
      <c r="W106" s="298" cm="1">
        <f t="array" ref="W106">IF(AND(W$2&lt;&gt;0,TblTech[[#This Row],[Hour]:[Hour]]&gt;=W$2),1,0)</f>
        <v>0</v>
      </c>
      <c r="X106" s="298" cm="1">
        <f t="array" ref="X106">IF(AND(X$2&lt;&gt;0,TblTech[[#This Row],[Hour]:[Hour]]&gt;=X$2),1,0)</f>
        <v>0</v>
      </c>
      <c r="Y106" s="298" cm="1">
        <f t="array" ref="Y106">IF(AND(Y$2&lt;&gt;0,TblTech[[#This Row],[Hour]:[Hour]]&gt;=Y$2),1,0)</f>
        <v>0</v>
      </c>
      <c r="Z106" s="298" cm="1">
        <f t="array" ref="Z106">IF(AND(Z$2&lt;&gt;0,TblTech[[#This Row],[Hour]:[Hour]]&gt;=Z$2),1,0)</f>
        <v>0</v>
      </c>
      <c r="AA106" s="298" cm="1">
        <f t="array" ref="AA106">IF(AND(AA$2&lt;&gt;0,TblTech[[#This Row],[Hour]:[Hour]]&gt;=AA$2),1,0)</f>
        <v>0</v>
      </c>
      <c r="AB106" s="298" cm="1">
        <f t="array" ref="AB106">IF(AND(AB$2&lt;&gt;0,TblTech[[#This Row],[Hour]:[Hour]]&gt;=AB$2),1,0)</f>
        <v>0</v>
      </c>
      <c r="AC106" s="298" cm="1">
        <f t="array" ref="AC106">IF(AND(AC$2&lt;&gt;0,TblTech[[#This Row],[Hour]:[Hour]]&gt;=AC$2),1,0)</f>
        <v>0</v>
      </c>
      <c r="AD106" s="298" cm="1">
        <f t="array" ref="AD106">IF(AND(AD$2&lt;&gt;0,TblTech[[#This Row],[Hour]:[Hour]]&gt;=AD$2),1,0)</f>
        <v>0</v>
      </c>
      <c r="AE106" s="298" cm="1">
        <f t="array" ref="AE106">IF(AND(AE$2&lt;&gt;0,TblTech[[#This Row],[Hour]:[Hour]]&gt;=AE$2),1,0)</f>
        <v>0</v>
      </c>
      <c r="AF106" s="298" cm="1">
        <f t="array" ref="AF106">IF(AND(AF$2&lt;&gt;0,TblTech[[#This Row],[Hour]:[Hour]]&gt;=AF$2),1,0)</f>
        <v>0</v>
      </c>
      <c r="AG106" s="298" cm="1">
        <f t="array" ref="AG106">IF(AND(AG$2&lt;&gt;0,TblTech[[#This Row],[Hour]:[Hour]]&gt;=AG$2),1,0)</f>
        <v>0</v>
      </c>
      <c r="AH106" s="298" cm="1">
        <f t="array" ref="AH106">IF(AND(AH$2&lt;&gt;0,TblTech[[#This Row],[Hour]:[Hour]]&gt;=AH$2),1,0)</f>
        <v>0</v>
      </c>
      <c r="AI106" s="298" cm="1">
        <f t="array" ref="AI106">IF(AND(AI$2&lt;&gt;0,TblTech[[#This Row],[Hour]:[Hour]]&gt;=AI$2),1,0)</f>
        <v>0</v>
      </c>
      <c r="AJ106" s="298" cm="1">
        <f t="array" ref="AJ106">IF(AND(AJ$2&lt;&gt;0,TblTech[[#This Row],[Hour]:[Hour]]&gt;=AJ$2),1,0)</f>
        <v>0</v>
      </c>
      <c r="AK106" s="298" cm="1">
        <f t="array" ref="AK106">IF(AND(AK$2&lt;&gt;0,TblTech[[#This Row],[Hour]:[Hour]]&gt;=AK$2),1,0)</f>
        <v>0</v>
      </c>
      <c r="AL106" s="298" cm="1">
        <f t="array" ref="AL106">IF(AND(AL$2&lt;&gt;0,TblTech[[#This Row],[Hour]:[Hour]]&gt;=AL$2),1,0)</f>
        <v>0</v>
      </c>
      <c r="AM106" s="298" cm="1">
        <f t="array" ref="AM106">IF(AND(AM$2&lt;&gt;0,TblTech[[#This Row],[Hour]:[Hour]]&gt;=AM$2),1,0)</f>
        <v>0</v>
      </c>
      <c r="AN106" s="298" cm="1">
        <f t="array" ref="AN106">IF(AND(AN$2&lt;&gt;0,TblTech[[#This Row],[Hour]:[Hour]]&gt;=AN$2),1,0)</f>
        <v>0</v>
      </c>
      <c r="AO106" s="298" cm="1">
        <f t="array" ref="AO106">IF(AND(AO$2&lt;&gt;0,TblTech[[#This Row],[Hour]:[Hour]]&gt;=AO$2),1,0)</f>
        <v>0</v>
      </c>
      <c r="AP106" s="298" cm="1">
        <f t="array" ref="AP106">IF(AND(AP$2&lt;&gt;0,TblTech[[#This Row],[Hour]:[Hour]]&gt;=AP$2),1,0)</f>
        <v>0</v>
      </c>
      <c r="AQ106" s="298" cm="1">
        <f t="array" ref="AQ106">IF(AND(AQ$2&lt;&gt;0,TblTech[[#This Row],[Hour]:[Hour]]&gt;=AQ$2),1,0)</f>
        <v>0</v>
      </c>
      <c r="AR106" s="298" cm="1">
        <f t="array" ref="AR106">IF(AND(AR$2&lt;&gt;0,TblTech[[#This Row],[Hour]:[Hour]]&gt;=AR$2),1,0)</f>
        <v>0</v>
      </c>
      <c r="AS106" s="298" cm="1">
        <f t="array" ref="AS106">IF(AND(AS$2&lt;&gt;0,TblTech[[#This Row],[Hour]:[Hour]]&gt;=AS$2),1,0)</f>
        <v>0</v>
      </c>
      <c r="AT106" s="298" cm="1">
        <f t="array" ref="AT106">IF(AND(AT$2&lt;&gt;0,TblTech[[#This Row],[Hour]:[Hour]]&gt;=AT$2),1,0)</f>
        <v>0</v>
      </c>
      <c r="AU106" s="298" cm="1">
        <f t="array" ref="AU106">IF(AND(AU$2&lt;&gt;0,TblTech[[#This Row],[Hour]:[Hour]]&gt;=AU$2),1,0)</f>
        <v>0</v>
      </c>
      <c r="AV106" s="298" cm="1">
        <f t="array" ref="AV106">IF(AND(AV$2&lt;&gt;0,TblTech[[#This Row],[Hour]:[Hour]]&gt;=AV$2),1,0)</f>
        <v>0</v>
      </c>
      <c r="AW106" s="298" cm="1">
        <f t="array" ref="AW106">IF(AND(AW$2&lt;&gt;0,TblTech[[#This Row],[Hour]:[Hour]]&gt;=AW$2),1,0)</f>
        <v>0</v>
      </c>
      <c r="AX106" s="298" cm="1">
        <f t="array" ref="AX106">IF(AND(AX$2&lt;&gt;0,TblTech[[#This Row],[Hour]:[Hour]]&gt;=AX$2),1,0)</f>
        <v>0</v>
      </c>
      <c r="AY106" s="298" cm="1">
        <f t="array" ref="AY106">IF(AND(AY$2&lt;&gt;0,TblTech[[#This Row],[Hour]:[Hour]]&gt;=AY$2),1,0)</f>
        <v>0</v>
      </c>
      <c r="AZ106" s="298" cm="1">
        <f t="array" ref="AZ106">IF(AND(AZ$2&lt;&gt;0,TblTech[[#This Row],[Hour]:[Hour]]&gt;=AZ$2),1,0)</f>
        <v>0</v>
      </c>
      <c r="BA106" s="298" cm="1">
        <f t="array" ref="BA106">IF(AND(BA$2&lt;&gt;0,TblTech[[#This Row],[Hour]:[Hour]]&gt;=BA$2),1,0)</f>
        <v>0</v>
      </c>
      <c r="BB106" s="298" cm="1">
        <f t="array" ref="BB106">IF(AND(BB$2&lt;&gt;0,TblTech[[#This Row],[Hour]:[Hour]]&gt;=BB$2),1,0)</f>
        <v>0</v>
      </c>
      <c r="BC106" s="298" cm="1">
        <f t="array" ref="BC106">IF(AND(BC$2&lt;&gt;0,TblTech[[#This Row],[Hour]:[Hour]]&gt;=BC$2),1,0)</f>
        <v>0</v>
      </c>
      <c r="BD106" s="298" cm="1">
        <f t="array" ref="BD106">IF(AND(BD$2&lt;&gt;0,TblTech[[#This Row],[Hour]:[Hour]]&gt;=BD$2),1,0)</f>
        <v>0</v>
      </c>
      <c r="BE106" s="298" cm="1">
        <f t="array" ref="BE106">IF(AND(BE$2&lt;&gt;0,TblTech[[#This Row],[Hour]:[Hour]]&gt;=BE$2),1,0)</f>
        <v>0</v>
      </c>
      <c r="BF106" s="298" cm="1">
        <f t="array" ref="BF106">IF(AND(BF$2&lt;&gt;0,TblTech[[#This Row],[Hour]:[Hour]]&gt;=BF$2),1,0)</f>
        <v>0</v>
      </c>
      <c r="BG106" s="298" cm="1">
        <f t="array" ref="BG106">IF(AND(BG$2&lt;&gt;0,TblTech[[#This Row],[Hour]:[Hour]]&gt;=BG$2),1,0)</f>
        <v>0</v>
      </c>
      <c r="BH106" s="298" cm="1">
        <f t="array" ref="BH106">IF(AND(BH$2&lt;&gt;0,TblTech[[#This Row],[Hour]:[Hour]]&gt;=BH$2),1,0)</f>
        <v>0</v>
      </c>
      <c r="BI106" s="298" cm="1">
        <f t="array" ref="BI106">IF(AND(BI$2&lt;&gt;0,TblTech[[#This Row],[Hour]:[Hour]]&gt;=BI$2),1,0)</f>
        <v>0</v>
      </c>
      <c r="BJ106" s="298" cm="1">
        <f t="array" ref="BJ106">IF(AND(BJ$2&lt;&gt;0,TblTech[[#This Row],[Hour]:[Hour]]&gt;=BJ$2),1,0)</f>
        <v>0</v>
      </c>
      <c r="BK106" s="298" cm="1">
        <f t="array" ref="BK106">IF(AND(BK$2&lt;&gt;0,TblTech[[#This Row],[Hour]:[Hour]]&gt;=BK$2),1,0)</f>
        <v>0</v>
      </c>
      <c r="BL106" s="298" cm="1">
        <f t="array" ref="BL106">IF(AND(BL$2&lt;&gt;0,TblTech[[#This Row],[Hour]:[Hour]]&gt;=BL$2),1,0)</f>
        <v>0</v>
      </c>
      <c r="BM106" s="298" cm="1">
        <f t="array" ref="BM106">IF(AND(BM$2&lt;&gt;0,TblTech[[#This Row],[Hour]:[Hour]]&gt;=BM$2),1,0)</f>
        <v>0</v>
      </c>
      <c r="BN106" s="298" cm="1">
        <f t="array" ref="BN106">IF(AND(BN$2&lt;&gt;0,TblTech[[#This Row],[Hour]:[Hour]]&gt;=BN$2),1,0)</f>
        <v>0</v>
      </c>
      <c r="BO106" s="298" cm="1">
        <f t="array" ref="BO106">IF(AND(BO$2&lt;&gt;0,TblTech[[#This Row],[Hour]:[Hour]]&gt;=BO$2),1,0)</f>
        <v>0</v>
      </c>
      <c r="BP106" s="298" cm="1">
        <f t="array" ref="BP106">IF(AND(BP$2&lt;&gt;0,TblTech[[#This Row],[Hour]:[Hour]]&gt;=BP$2),1,0)</f>
        <v>0</v>
      </c>
      <c r="BQ106" s="298" cm="1">
        <f t="array" ref="BQ106">IF(AND(BQ$2&lt;&gt;0,TblTech[[#This Row],[Hour]:[Hour]]&gt;=BQ$2),1,0)</f>
        <v>0</v>
      </c>
      <c r="BR106" s="298" cm="1">
        <f t="array" ref="BR106">IF(AND(BR$2&lt;&gt;0,TblTech[[#This Row],[Hour]:[Hour]]&gt;=BR$2),1,0)</f>
        <v>0</v>
      </c>
      <c r="BS106" s="298" cm="1">
        <f t="array" ref="BS106">IF(AND(BS$2&lt;&gt;0,TblTech[[#This Row],[Hour]:[Hour]]&gt;=BS$2),1,0)</f>
        <v>0</v>
      </c>
      <c r="BT106" s="298" cm="1">
        <f t="array" ref="BT106">IF(AND(BT$2&lt;&gt;0,TblTech[[#This Row],[Hour]:[Hour]]&gt;=BT$2),1,0)</f>
        <v>0</v>
      </c>
      <c r="BU106" s="298" cm="1">
        <f t="array" ref="BU106">IF(AND(BU$2&lt;&gt;0,TblTech[[#This Row],[Hour]:[Hour]]&gt;=BU$2),1,0)</f>
        <v>0</v>
      </c>
      <c r="BV106" s="298" cm="1">
        <f t="array" ref="BV106">IF(AND(BV$2&lt;&gt;0,TblTech[[#This Row],[Hour]:[Hour]]&gt;=BV$2),1,0)</f>
        <v>0</v>
      </c>
      <c r="BW106" s="298" cm="1">
        <f t="array" ref="BW106">IF(AND(BW$2&lt;&gt;0,TblTech[[#This Row],[Hour]:[Hour]]&gt;=BW$2),1,0)</f>
        <v>0</v>
      </c>
      <c r="BX106" s="298" cm="1">
        <f t="array" ref="BX106">IF(AND(BX$2&lt;&gt;0,TblTech[[#This Row],[Hour]:[Hour]]&gt;=BX$2),1,0)</f>
        <v>0</v>
      </c>
      <c r="BY106" s="298" cm="1">
        <f t="array" ref="BY106">IF(AND(BY$2&lt;&gt;0,TblTech[[#This Row],[Hour]:[Hour]]&gt;=BY$2),1,0)</f>
        <v>0</v>
      </c>
      <c r="BZ106" s="298" cm="1">
        <f t="array" ref="BZ106">IF(AND(BZ$2&lt;&gt;0,TblTech[[#This Row],[Hour]:[Hour]]&gt;=BZ$2),1,0)</f>
        <v>0</v>
      </c>
      <c r="CA106" s="402">
        <f>IFERROR(INDEX($H$4:$H$79,MATCH(INDEX(TblTech[[#Headers],[1-1]:[11-1]],1,MATCH(TblTech[[#This Row],[Hour]],$M$2:$BZ$2,0)),$G$4:$G$79,0)),)</f>
        <v>0</v>
      </c>
    </row>
    <row r="107" spans="1:79" x14ac:dyDescent="0.2">
      <c r="A107" s="290">
        <f>TblRezone[[#This Row],[Hour]]</f>
        <v>104</v>
      </c>
      <c r="B107" s="291">
        <f ca="1">TblExplore[[#This Row],[Land-DB]]</f>
        <v>250</v>
      </c>
      <c r="C107" s="292">
        <f ca="1">TblProd[[#This Row],[Techpoints]]</f>
        <v>0</v>
      </c>
      <c r="D107" s="292">
        <f ca="1">TblProd[[#This Row],[Required]]</f>
        <v>3750</v>
      </c>
      <c r="E107" s="301"/>
      <c r="F107" s="302"/>
      <c r="G107" s="295"/>
      <c r="H107" s="296"/>
      <c r="I107" s="296"/>
      <c r="J107" s="296"/>
      <c r="K107" s="95">
        <f ca="1">IF(TblTech[[#This Row],[Sum of tech]]&lt;&gt;OFFSET(TblTech[[#This Row],[Sum of tech]],-1,0),1,0)</f>
        <v>0</v>
      </c>
      <c r="L107" s="297">
        <f>COUNTIF(TblTech[[#This Row],[1-1]:[11-1]],1)</f>
        <v>0</v>
      </c>
      <c r="M107" s="298" cm="1">
        <f t="array" ref="M107">IF(AND(M$2&lt;&gt;0,TblTech[[#This Row],[Hour]:[Hour]]&gt;=M$2),1,0)</f>
        <v>0</v>
      </c>
      <c r="N107" s="298" cm="1">
        <f t="array" ref="N107">IF(AND(N$2&lt;&gt;0,TblTech[[#This Row],[Hour]:[Hour]]&gt;=N$2),1,0)</f>
        <v>0</v>
      </c>
      <c r="O107" s="298" cm="1">
        <f t="array" ref="O107">IF(AND(O$2&lt;&gt;0,TblTech[[#This Row],[Hour]:[Hour]]&gt;=O$2),1,0)</f>
        <v>0</v>
      </c>
      <c r="P107" s="298" cm="1">
        <f t="array" ref="P107">IF(AND(P$2&lt;&gt;0,TblTech[[#This Row],[Hour]:[Hour]]&gt;=P$2),1,0)</f>
        <v>0</v>
      </c>
      <c r="Q107" s="298" cm="1">
        <f t="array" ref="Q107">IF(AND(Q$2&lt;&gt;0,TblTech[[#This Row],[Hour]:[Hour]]&gt;=Q$2),1,0)</f>
        <v>0</v>
      </c>
      <c r="R107" s="298" cm="1">
        <f t="array" ref="R107">IF(AND(R$2&lt;&gt;0,TblTech[[#This Row],[Hour]:[Hour]]&gt;=R$2),1,0)</f>
        <v>0</v>
      </c>
      <c r="S107" s="298" cm="1">
        <f t="array" ref="S107">IF(AND(S$2&lt;&gt;0,TblTech[[#This Row],[Hour]:[Hour]]&gt;=S$2),1,0)</f>
        <v>0</v>
      </c>
      <c r="T107" s="298" cm="1">
        <f t="array" ref="T107">IF(AND(T$2&lt;&gt;0,TblTech[[#This Row],[Hour]:[Hour]]&gt;=T$2),1,0)</f>
        <v>0</v>
      </c>
      <c r="U107" s="298" cm="1">
        <f t="array" ref="U107">IF(AND(U$2&lt;&gt;0,TblTech[[#This Row],[Hour]:[Hour]]&gt;=U$2),1,0)</f>
        <v>0</v>
      </c>
      <c r="V107" s="298" cm="1">
        <f t="array" ref="V107">IF(AND(V$2&lt;&gt;0,TblTech[[#This Row],[Hour]:[Hour]]&gt;=V$2),1,0)</f>
        <v>0</v>
      </c>
      <c r="W107" s="298" cm="1">
        <f t="array" ref="W107">IF(AND(W$2&lt;&gt;0,TblTech[[#This Row],[Hour]:[Hour]]&gt;=W$2),1,0)</f>
        <v>0</v>
      </c>
      <c r="X107" s="298" cm="1">
        <f t="array" ref="X107">IF(AND(X$2&lt;&gt;0,TblTech[[#This Row],[Hour]:[Hour]]&gt;=X$2),1,0)</f>
        <v>0</v>
      </c>
      <c r="Y107" s="298" cm="1">
        <f t="array" ref="Y107">IF(AND(Y$2&lt;&gt;0,TblTech[[#This Row],[Hour]:[Hour]]&gt;=Y$2),1,0)</f>
        <v>0</v>
      </c>
      <c r="Z107" s="298" cm="1">
        <f t="array" ref="Z107">IF(AND(Z$2&lt;&gt;0,TblTech[[#This Row],[Hour]:[Hour]]&gt;=Z$2),1,0)</f>
        <v>0</v>
      </c>
      <c r="AA107" s="298" cm="1">
        <f t="array" ref="AA107">IF(AND(AA$2&lt;&gt;0,TblTech[[#This Row],[Hour]:[Hour]]&gt;=AA$2),1,0)</f>
        <v>0</v>
      </c>
      <c r="AB107" s="298" cm="1">
        <f t="array" ref="AB107">IF(AND(AB$2&lt;&gt;0,TblTech[[#This Row],[Hour]:[Hour]]&gt;=AB$2),1,0)</f>
        <v>0</v>
      </c>
      <c r="AC107" s="298" cm="1">
        <f t="array" ref="AC107">IF(AND(AC$2&lt;&gt;0,TblTech[[#This Row],[Hour]:[Hour]]&gt;=AC$2),1,0)</f>
        <v>0</v>
      </c>
      <c r="AD107" s="298" cm="1">
        <f t="array" ref="AD107">IF(AND(AD$2&lt;&gt;0,TblTech[[#This Row],[Hour]:[Hour]]&gt;=AD$2),1,0)</f>
        <v>0</v>
      </c>
      <c r="AE107" s="298" cm="1">
        <f t="array" ref="AE107">IF(AND(AE$2&lt;&gt;0,TblTech[[#This Row],[Hour]:[Hour]]&gt;=AE$2),1,0)</f>
        <v>0</v>
      </c>
      <c r="AF107" s="298" cm="1">
        <f t="array" ref="AF107">IF(AND(AF$2&lt;&gt;0,TblTech[[#This Row],[Hour]:[Hour]]&gt;=AF$2),1,0)</f>
        <v>0</v>
      </c>
      <c r="AG107" s="298" cm="1">
        <f t="array" ref="AG107">IF(AND(AG$2&lt;&gt;0,TblTech[[#This Row],[Hour]:[Hour]]&gt;=AG$2),1,0)</f>
        <v>0</v>
      </c>
      <c r="AH107" s="298" cm="1">
        <f t="array" ref="AH107">IF(AND(AH$2&lt;&gt;0,TblTech[[#This Row],[Hour]:[Hour]]&gt;=AH$2),1,0)</f>
        <v>0</v>
      </c>
      <c r="AI107" s="298" cm="1">
        <f t="array" ref="AI107">IF(AND(AI$2&lt;&gt;0,TblTech[[#This Row],[Hour]:[Hour]]&gt;=AI$2),1,0)</f>
        <v>0</v>
      </c>
      <c r="AJ107" s="298" cm="1">
        <f t="array" ref="AJ107">IF(AND(AJ$2&lt;&gt;0,TblTech[[#This Row],[Hour]:[Hour]]&gt;=AJ$2),1,0)</f>
        <v>0</v>
      </c>
      <c r="AK107" s="298" cm="1">
        <f t="array" ref="AK107">IF(AND(AK$2&lt;&gt;0,TblTech[[#This Row],[Hour]:[Hour]]&gt;=AK$2),1,0)</f>
        <v>0</v>
      </c>
      <c r="AL107" s="298" cm="1">
        <f t="array" ref="AL107">IF(AND(AL$2&lt;&gt;0,TblTech[[#This Row],[Hour]:[Hour]]&gt;=AL$2),1,0)</f>
        <v>0</v>
      </c>
      <c r="AM107" s="298" cm="1">
        <f t="array" ref="AM107">IF(AND(AM$2&lt;&gt;0,TblTech[[#This Row],[Hour]:[Hour]]&gt;=AM$2),1,0)</f>
        <v>0</v>
      </c>
      <c r="AN107" s="298" cm="1">
        <f t="array" ref="AN107">IF(AND(AN$2&lt;&gt;0,TblTech[[#This Row],[Hour]:[Hour]]&gt;=AN$2),1,0)</f>
        <v>0</v>
      </c>
      <c r="AO107" s="298" cm="1">
        <f t="array" ref="AO107">IF(AND(AO$2&lt;&gt;0,TblTech[[#This Row],[Hour]:[Hour]]&gt;=AO$2),1,0)</f>
        <v>0</v>
      </c>
      <c r="AP107" s="298" cm="1">
        <f t="array" ref="AP107">IF(AND(AP$2&lt;&gt;0,TblTech[[#This Row],[Hour]:[Hour]]&gt;=AP$2),1,0)</f>
        <v>0</v>
      </c>
      <c r="AQ107" s="298" cm="1">
        <f t="array" ref="AQ107">IF(AND(AQ$2&lt;&gt;0,TblTech[[#This Row],[Hour]:[Hour]]&gt;=AQ$2),1,0)</f>
        <v>0</v>
      </c>
      <c r="AR107" s="298" cm="1">
        <f t="array" ref="AR107">IF(AND(AR$2&lt;&gt;0,TblTech[[#This Row],[Hour]:[Hour]]&gt;=AR$2),1,0)</f>
        <v>0</v>
      </c>
      <c r="AS107" s="298" cm="1">
        <f t="array" ref="AS107">IF(AND(AS$2&lt;&gt;0,TblTech[[#This Row],[Hour]:[Hour]]&gt;=AS$2),1,0)</f>
        <v>0</v>
      </c>
      <c r="AT107" s="298" cm="1">
        <f t="array" ref="AT107">IF(AND(AT$2&lt;&gt;0,TblTech[[#This Row],[Hour]:[Hour]]&gt;=AT$2),1,0)</f>
        <v>0</v>
      </c>
      <c r="AU107" s="298" cm="1">
        <f t="array" ref="AU107">IF(AND(AU$2&lt;&gt;0,TblTech[[#This Row],[Hour]:[Hour]]&gt;=AU$2),1,0)</f>
        <v>0</v>
      </c>
      <c r="AV107" s="298" cm="1">
        <f t="array" ref="AV107">IF(AND(AV$2&lt;&gt;0,TblTech[[#This Row],[Hour]:[Hour]]&gt;=AV$2),1,0)</f>
        <v>0</v>
      </c>
      <c r="AW107" s="298" cm="1">
        <f t="array" ref="AW107">IF(AND(AW$2&lt;&gt;0,TblTech[[#This Row],[Hour]:[Hour]]&gt;=AW$2),1,0)</f>
        <v>0</v>
      </c>
      <c r="AX107" s="298" cm="1">
        <f t="array" ref="AX107">IF(AND(AX$2&lt;&gt;0,TblTech[[#This Row],[Hour]:[Hour]]&gt;=AX$2),1,0)</f>
        <v>0</v>
      </c>
      <c r="AY107" s="298" cm="1">
        <f t="array" ref="AY107">IF(AND(AY$2&lt;&gt;0,TblTech[[#This Row],[Hour]:[Hour]]&gt;=AY$2),1,0)</f>
        <v>0</v>
      </c>
      <c r="AZ107" s="298" cm="1">
        <f t="array" ref="AZ107">IF(AND(AZ$2&lt;&gt;0,TblTech[[#This Row],[Hour]:[Hour]]&gt;=AZ$2),1,0)</f>
        <v>0</v>
      </c>
      <c r="BA107" s="298" cm="1">
        <f t="array" ref="BA107">IF(AND(BA$2&lt;&gt;0,TblTech[[#This Row],[Hour]:[Hour]]&gt;=BA$2),1,0)</f>
        <v>0</v>
      </c>
      <c r="BB107" s="298" cm="1">
        <f t="array" ref="BB107">IF(AND(BB$2&lt;&gt;0,TblTech[[#This Row],[Hour]:[Hour]]&gt;=BB$2),1,0)</f>
        <v>0</v>
      </c>
      <c r="BC107" s="298" cm="1">
        <f t="array" ref="BC107">IF(AND(BC$2&lt;&gt;0,TblTech[[#This Row],[Hour]:[Hour]]&gt;=BC$2),1,0)</f>
        <v>0</v>
      </c>
      <c r="BD107" s="298" cm="1">
        <f t="array" ref="BD107">IF(AND(BD$2&lt;&gt;0,TblTech[[#This Row],[Hour]:[Hour]]&gt;=BD$2),1,0)</f>
        <v>0</v>
      </c>
      <c r="BE107" s="298" cm="1">
        <f t="array" ref="BE107">IF(AND(BE$2&lt;&gt;0,TblTech[[#This Row],[Hour]:[Hour]]&gt;=BE$2),1,0)</f>
        <v>0</v>
      </c>
      <c r="BF107" s="298" cm="1">
        <f t="array" ref="BF107">IF(AND(BF$2&lt;&gt;0,TblTech[[#This Row],[Hour]:[Hour]]&gt;=BF$2),1,0)</f>
        <v>0</v>
      </c>
      <c r="BG107" s="298" cm="1">
        <f t="array" ref="BG107">IF(AND(BG$2&lt;&gt;0,TblTech[[#This Row],[Hour]:[Hour]]&gt;=BG$2),1,0)</f>
        <v>0</v>
      </c>
      <c r="BH107" s="298" cm="1">
        <f t="array" ref="BH107">IF(AND(BH$2&lt;&gt;0,TblTech[[#This Row],[Hour]:[Hour]]&gt;=BH$2),1,0)</f>
        <v>0</v>
      </c>
      <c r="BI107" s="298" cm="1">
        <f t="array" ref="BI107">IF(AND(BI$2&lt;&gt;0,TblTech[[#This Row],[Hour]:[Hour]]&gt;=BI$2),1,0)</f>
        <v>0</v>
      </c>
      <c r="BJ107" s="298" cm="1">
        <f t="array" ref="BJ107">IF(AND(BJ$2&lt;&gt;0,TblTech[[#This Row],[Hour]:[Hour]]&gt;=BJ$2),1,0)</f>
        <v>0</v>
      </c>
      <c r="BK107" s="298" cm="1">
        <f t="array" ref="BK107">IF(AND(BK$2&lt;&gt;0,TblTech[[#This Row],[Hour]:[Hour]]&gt;=BK$2),1,0)</f>
        <v>0</v>
      </c>
      <c r="BL107" s="298" cm="1">
        <f t="array" ref="BL107">IF(AND(BL$2&lt;&gt;0,TblTech[[#This Row],[Hour]:[Hour]]&gt;=BL$2),1,0)</f>
        <v>0</v>
      </c>
      <c r="BM107" s="298" cm="1">
        <f t="array" ref="BM107">IF(AND(BM$2&lt;&gt;0,TblTech[[#This Row],[Hour]:[Hour]]&gt;=BM$2),1,0)</f>
        <v>0</v>
      </c>
      <c r="BN107" s="298" cm="1">
        <f t="array" ref="BN107">IF(AND(BN$2&lt;&gt;0,TblTech[[#This Row],[Hour]:[Hour]]&gt;=BN$2),1,0)</f>
        <v>0</v>
      </c>
      <c r="BO107" s="298" cm="1">
        <f t="array" ref="BO107">IF(AND(BO$2&lt;&gt;0,TblTech[[#This Row],[Hour]:[Hour]]&gt;=BO$2),1,0)</f>
        <v>0</v>
      </c>
      <c r="BP107" s="298" cm="1">
        <f t="array" ref="BP107">IF(AND(BP$2&lt;&gt;0,TblTech[[#This Row],[Hour]:[Hour]]&gt;=BP$2),1,0)</f>
        <v>0</v>
      </c>
      <c r="BQ107" s="298" cm="1">
        <f t="array" ref="BQ107">IF(AND(BQ$2&lt;&gt;0,TblTech[[#This Row],[Hour]:[Hour]]&gt;=BQ$2),1,0)</f>
        <v>0</v>
      </c>
      <c r="BR107" s="298" cm="1">
        <f t="array" ref="BR107">IF(AND(BR$2&lt;&gt;0,TblTech[[#This Row],[Hour]:[Hour]]&gt;=BR$2),1,0)</f>
        <v>0</v>
      </c>
      <c r="BS107" s="298" cm="1">
        <f t="array" ref="BS107">IF(AND(BS$2&lt;&gt;0,TblTech[[#This Row],[Hour]:[Hour]]&gt;=BS$2),1,0)</f>
        <v>0</v>
      </c>
      <c r="BT107" s="298" cm="1">
        <f t="array" ref="BT107">IF(AND(BT$2&lt;&gt;0,TblTech[[#This Row],[Hour]:[Hour]]&gt;=BT$2),1,0)</f>
        <v>0</v>
      </c>
      <c r="BU107" s="298" cm="1">
        <f t="array" ref="BU107">IF(AND(BU$2&lt;&gt;0,TblTech[[#This Row],[Hour]:[Hour]]&gt;=BU$2),1,0)</f>
        <v>0</v>
      </c>
      <c r="BV107" s="298" cm="1">
        <f t="array" ref="BV107">IF(AND(BV$2&lt;&gt;0,TblTech[[#This Row],[Hour]:[Hour]]&gt;=BV$2),1,0)</f>
        <v>0</v>
      </c>
      <c r="BW107" s="298" cm="1">
        <f t="array" ref="BW107">IF(AND(BW$2&lt;&gt;0,TblTech[[#This Row],[Hour]:[Hour]]&gt;=BW$2),1,0)</f>
        <v>0</v>
      </c>
      <c r="BX107" s="298" cm="1">
        <f t="array" ref="BX107">IF(AND(BX$2&lt;&gt;0,TblTech[[#This Row],[Hour]:[Hour]]&gt;=BX$2),1,0)</f>
        <v>0</v>
      </c>
      <c r="BY107" s="298" cm="1">
        <f t="array" ref="BY107">IF(AND(BY$2&lt;&gt;0,TblTech[[#This Row],[Hour]:[Hour]]&gt;=BY$2),1,0)</f>
        <v>0</v>
      </c>
      <c r="BZ107" s="298" cm="1">
        <f t="array" ref="BZ107">IF(AND(BZ$2&lt;&gt;0,TblTech[[#This Row],[Hour]:[Hour]]&gt;=BZ$2),1,0)</f>
        <v>0</v>
      </c>
      <c r="CA107" s="402">
        <f>IFERROR(INDEX($H$4:$H$79,MATCH(INDEX(TblTech[[#Headers],[1-1]:[11-1]],1,MATCH(TblTech[[#This Row],[Hour]],$M$2:$BZ$2,0)),$G$4:$G$79,0)),)</f>
        <v>0</v>
      </c>
    </row>
    <row r="108" spans="1:79" x14ac:dyDescent="0.2">
      <c r="A108" s="290">
        <f>TblRezone[[#This Row],[Hour]]</f>
        <v>105</v>
      </c>
      <c r="B108" s="291">
        <f ca="1">TblExplore[[#This Row],[Land-DB]]</f>
        <v>250</v>
      </c>
      <c r="C108" s="292">
        <f ca="1">TblProd[[#This Row],[Techpoints]]</f>
        <v>0</v>
      </c>
      <c r="D108" s="292">
        <f ca="1">TblProd[[#This Row],[Required]]</f>
        <v>3750</v>
      </c>
      <c r="E108" s="301"/>
      <c r="F108" s="302"/>
      <c r="G108" s="295"/>
      <c r="H108" s="296"/>
      <c r="I108" s="296"/>
      <c r="J108" s="296"/>
      <c r="K108" s="95">
        <f ca="1">IF(TblTech[[#This Row],[Sum of tech]]&lt;&gt;OFFSET(TblTech[[#This Row],[Sum of tech]],-1,0),1,0)</f>
        <v>0</v>
      </c>
      <c r="L108" s="297">
        <f>COUNTIF(TblTech[[#This Row],[1-1]:[11-1]],1)</f>
        <v>0</v>
      </c>
      <c r="M108" s="298" cm="1">
        <f t="array" ref="M108">IF(AND(M$2&lt;&gt;0,TblTech[[#This Row],[Hour]:[Hour]]&gt;=M$2),1,0)</f>
        <v>0</v>
      </c>
      <c r="N108" s="298" cm="1">
        <f t="array" ref="N108">IF(AND(N$2&lt;&gt;0,TblTech[[#This Row],[Hour]:[Hour]]&gt;=N$2),1,0)</f>
        <v>0</v>
      </c>
      <c r="O108" s="298" cm="1">
        <f t="array" ref="O108">IF(AND(O$2&lt;&gt;0,TblTech[[#This Row],[Hour]:[Hour]]&gt;=O$2),1,0)</f>
        <v>0</v>
      </c>
      <c r="P108" s="298" cm="1">
        <f t="array" ref="P108">IF(AND(P$2&lt;&gt;0,TblTech[[#This Row],[Hour]:[Hour]]&gt;=P$2),1,0)</f>
        <v>0</v>
      </c>
      <c r="Q108" s="298" cm="1">
        <f t="array" ref="Q108">IF(AND(Q$2&lt;&gt;0,TblTech[[#This Row],[Hour]:[Hour]]&gt;=Q$2),1,0)</f>
        <v>0</v>
      </c>
      <c r="R108" s="298" cm="1">
        <f t="array" ref="R108">IF(AND(R$2&lt;&gt;0,TblTech[[#This Row],[Hour]:[Hour]]&gt;=R$2),1,0)</f>
        <v>0</v>
      </c>
      <c r="S108" s="298" cm="1">
        <f t="array" ref="S108">IF(AND(S$2&lt;&gt;0,TblTech[[#This Row],[Hour]:[Hour]]&gt;=S$2),1,0)</f>
        <v>0</v>
      </c>
      <c r="T108" s="298" cm="1">
        <f t="array" ref="T108">IF(AND(T$2&lt;&gt;0,TblTech[[#This Row],[Hour]:[Hour]]&gt;=T$2),1,0)</f>
        <v>0</v>
      </c>
      <c r="U108" s="298" cm="1">
        <f t="array" ref="U108">IF(AND(U$2&lt;&gt;0,TblTech[[#This Row],[Hour]:[Hour]]&gt;=U$2),1,0)</f>
        <v>0</v>
      </c>
      <c r="V108" s="298" cm="1">
        <f t="array" ref="V108">IF(AND(V$2&lt;&gt;0,TblTech[[#This Row],[Hour]:[Hour]]&gt;=V$2),1,0)</f>
        <v>0</v>
      </c>
      <c r="W108" s="298" cm="1">
        <f t="array" ref="W108">IF(AND(W$2&lt;&gt;0,TblTech[[#This Row],[Hour]:[Hour]]&gt;=W$2),1,0)</f>
        <v>0</v>
      </c>
      <c r="X108" s="298" cm="1">
        <f t="array" ref="X108">IF(AND(X$2&lt;&gt;0,TblTech[[#This Row],[Hour]:[Hour]]&gt;=X$2),1,0)</f>
        <v>0</v>
      </c>
      <c r="Y108" s="298" cm="1">
        <f t="array" ref="Y108">IF(AND(Y$2&lt;&gt;0,TblTech[[#This Row],[Hour]:[Hour]]&gt;=Y$2),1,0)</f>
        <v>0</v>
      </c>
      <c r="Z108" s="298" cm="1">
        <f t="array" ref="Z108">IF(AND(Z$2&lt;&gt;0,TblTech[[#This Row],[Hour]:[Hour]]&gt;=Z$2),1,0)</f>
        <v>0</v>
      </c>
      <c r="AA108" s="298" cm="1">
        <f t="array" ref="AA108">IF(AND(AA$2&lt;&gt;0,TblTech[[#This Row],[Hour]:[Hour]]&gt;=AA$2),1,0)</f>
        <v>0</v>
      </c>
      <c r="AB108" s="298" cm="1">
        <f t="array" ref="AB108">IF(AND(AB$2&lt;&gt;0,TblTech[[#This Row],[Hour]:[Hour]]&gt;=AB$2),1,0)</f>
        <v>0</v>
      </c>
      <c r="AC108" s="298" cm="1">
        <f t="array" ref="AC108">IF(AND(AC$2&lt;&gt;0,TblTech[[#This Row],[Hour]:[Hour]]&gt;=AC$2),1,0)</f>
        <v>0</v>
      </c>
      <c r="AD108" s="298" cm="1">
        <f t="array" ref="AD108">IF(AND(AD$2&lt;&gt;0,TblTech[[#This Row],[Hour]:[Hour]]&gt;=AD$2),1,0)</f>
        <v>0</v>
      </c>
      <c r="AE108" s="298" cm="1">
        <f t="array" ref="AE108">IF(AND(AE$2&lt;&gt;0,TblTech[[#This Row],[Hour]:[Hour]]&gt;=AE$2),1,0)</f>
        <v>0</v>
      </c>
      <c r="AF108" s="298" cm="1">
        <f t="array" ref="AF108">IF(AND(AF$2&lt;&gt;0,TblTech[[#This Row],[Hour]:[Hour]]&gt;=AF$2),1,0)</f>
        <v>0</v>
      </c>
      <c r="AG108" s="298" cm="1">
        <f t="array" ref="AG108">IF(AND(AG$2&lt;&gt;0,TblTech[[#This Row],[Hour]:[Hour]]&gt;=AG$2),1,0)</f>
        <v>0</v>
      </c>
      <c r="AH108" s="298" cm="1">
        <f t="array" ref="AH108">IF(AND(AH$2&lt;&gt;0,TblTech[[#This Row],[Hour]:[Hour]]&gt;=AH$2),1,0)</f>
        <v>0</v>
      </c>
      <c r="AI108" s="298" cm="1">
        <f t="array" ref="AI108">IF(AND(AI$2&lt;&gt;0,TblTech[[#This Row],[Hour]:[Hour]]&gt;=AI$2),1,0)</f>
        <v>0</v>
      </c>
      <c r="AJ108" s="298" cm="1">
        <f t="array" ref="AJ108">IF(AND(AJ$2&lt;&gt;0,TblTech[[#This Row],[Hour]:[Hour]]&gt;=AJ$2),1,0)</f>
        <v>0</v>
      </c>
      <c r="AK108" s="298" cm="1">
        <f t="array" ref="AK108">IF(AND(AK$2&lt;&gt;0,TblTech[[#This Row],[Hour]:[Hour]]&gt;=AK$2),1,0)</f>
        <v>0</v>
      </c>
      <c r="AL108" s="298" cm="1">
        <f t="array" ref="AL108">IF(AND(AL$2&lt;&gt;0,TblTech[[#This Row],[Hour]:[Hour]]&gt;=AL$2),1,0)</f>
        <v>0</v>
      </c>
      <c r="AM108" s="298" cm="1">
        <f t="array" ref="AM108">IF(AND(AM$2&lt;&gt;0,TblTech[[#This Row],[Hour]:[Hour]]&gt;=AM$2),1,0)</f>
        <v>0</v>
      </c>
      <c r="AN108" s="298" cm="1">
        <f t="array" ref="AN108">IF(AND(AN$2&lt;&gt;0,TblTech[[#This Row],[Hour]:[Hour]]&gt;=AN$2),1,0)</f>
        <v>0</v>
      </c>
      <c r="AO108" s="298" cm="1">
        <f t="array" ref="AO108">IF(AND(AO$2&lt;&gt;0,TblTech[[#This Row],[Hour]:[Hour]]&gt;=AO$2),1,0)</f>
        <v>0</v>
      </c>
      <c r="AP108" s="298" cm="1">
        <f t="array" ref="AP108">IF(AND(AP$2&lt;&gt;0,TblTech[[#This Row],[Hour]:[Hour]]&gt;=AP$2),1,0)</f>
        <v>0</v>
      </c>
      <c r="AQ108" s="298" cm="1">
        <f t="array" ref="AQ108">IF(AND(AQ$2&lt;&gt;0,TblTech[[#This Row],[Hour]:[Hour]]&gt;=AQ$2),1,0)</f>
        <v>0</v>
      </c>
      <c r="AR108" s="298" cm="1">
        <f t="array" ref="AR108">IF(AND(AR$2&lt;&gt;0,TblTech[[#This Row],[Hour]:[Hour]]&gt;=AR$2),1,0)</f>
        <v>0</v>
      </c>
      <c r="AS108" s="298" cm="1">
        <f t="array" ref="AS108">IF(AND(AS$2&lt;&gt;0,TblTech[[#This Row],[Hour]:[Hour]]&gt;=AS$2),1,0)</f>
        <v>0</v>
      </c>
      <c r="AT108" s="298" cm="1">
        <f t="array" ref="AT108">IF(AND(AT$2&lt;&gt;0,TblTech[[#This Row],[Hour]:[Hour]]&gt;=AT$2),1,0)</f>
        <v>0</v>
      </c>
      <c r="AU108" s="298" cm="1">
        <f t="array" ref="AU108">IF(AND(AU$2&lt;&gt;0,TblTech[[#This Row],[Hour]:[Hour]]&gt;=AU$2),1,0)</f>
        <v>0</v>
      </c>
      <c r="AV108" s="298" cm="1">
        <f t="array" ref="AV108">IF(AND(AV$2&lt;&gt;0,TblTech[[#This Row],[Hour]:[Hour]]&gt;=AV$2),1,0)</f>
        <v>0</v>
      </c>
      <c r="AW108" s="298" cm="1">
        <f t="array" ref="AW108">IF(AND(AW$2&lt;&gt;0,TblTech[[#This Row],[Hour]:[Hour]]&gt;=AW$2),1,0)</f>
        <v>0</v>
      </c>
      <c r="AX108" s="298" cm="1">
        <f t="array" ref="AX108">IF(AND(AX$2&lt;&gt;0,TblTech[[#This Row],[Hour]:[Hour]]&gt;=AX$2),1,0)</f>
        <v>0</v>
      </c>
      <c r="AY108" s="298" cm="1">
        <f t="array" ref="AY108">IF(AND(AY$2&lt;&gt;0,TblTech[[#This Row],[Hour]:[Hour]]&gt;=AY$2),1,0)</f>
        <v>0</v>
      </c>
      <c r="AZ108" s="298" cm="1">
        <f t="array" ref="AZ108">IF(AND(AZ$2&lt;&gt;0,TblTech[[#This Row],[Hour]:[Hour]]&gt;=AZ$2),1,0)</f>
        <v>0</v>
      </c>
      <c r="BA108" s="298" cm="1">
        <f t="array" ref="BA108">IF(AND(BA$2&lt;&gt;0,TblTech[[#This Row],[Hour]:[Hour]]&gt;=BA$2),1,0)</f>
        <v>0</v>
      </c>
      <c r="BB108" s="298" cm="1">
        <f t="array" ref="BB108">IF(AND(BB$2&lt;&gt;0,TblTech[[#This Row],[Hour]:[Hour]]&gt;=BB$2),1,0)</f>
        <v>0</v>
      </c>
      <c r="BC108" s="298" cm="1">
        <f t="array" ref="BC108">IF(AND(BC$2&lt;&gt;0,TblTech[[#This Row],[Hour]:[Hour]]&gt;=BC$2),1,0)</f>
        <v>0</v>
      </c>
      <c r="BD108" s="298" cm="1">
        <f t="array" ref="BD108">IF(AND(BD$2&lt;&gt;0,TblTech[[#This Row],[Hour]:[Hour]]&gt;=BD$2),1,0)</f>
        <v>0</v>
      </c>
      <c r="BE108" s="298" cm="1">
        <f t="array" ref="BE108">IF(AND(BE$2&lt;&gt;0,TblTech[[#This Row],[Hour]:[Hour]]&gt;=BE$2),1,0)</f>
        <v>0</v>
      </c>
      <c r="BF108" s="298" cm="1">
        <f t="array" ref="BF108">IF(AND(BF$2&lt;&gt;0,TblTech[[#This Row],[Hour]:[Hour]]&gt;=BF$2),1,0)</f>
        <v>0</v>
      </c>
      <c r="BG108" s="298" cm="1">
        <f t="array" ref="BG108">IF(AND(BG$2&lt;&gt;0,TblTech[[#This Row],[Hour]:[Hour]]&gt;=BG$2),1,0)</f>
        <v>0</v>
      </c>
      <c r="BH108" s="298" cm="1">
        <f t="array" ref="BH108">IF(AND(BH$2&lt;&gt;0,TblTech[[#This Row],[Hour]:[Hour]]&gt;=BH$2),1,0)</f>
        <v>0</v>
      </c>
      <c r="BI108" s="298" cm="1">
        <f t="array" ref="BI108">IF(AND(BI$2&lt;&gt;0,TblTech[[#This Row],[Hour]:[Hour]]&gt;=BI$2),1,0)</f>
        <v>0</v>
      </c>
      <c r="BJ108" s="298" cm="1">
        <f t="array" ref="BJ108">IF(AND(BJ$2&lt;&gt;0,TblTech[[#This Row],[Hour]:[Hour]]&gt;=BJ$2),1,0)</f>
        <v>0</v>
      </c>
      <c r="BK108" s="298" cm="1">
        <f t="array" ref="BK108">IF(AND(BK$2&lt;&gt;0,TblTech[[#This Row],[Hour]:[Hour]]&gt;=BK$2),1,0)</f>
        <v>0</v>
      </c>
      <c r="BL108" s="298" cm="1">
        <f t="array" ref="BL108">IF(AND(BL$2&lt;&gt;0,TblTech[[#This Row],[Hour]:[Hour]]&gt;=BL$2),1,0)</f>
        <v>0</v>
      </c>
      <c r="BM108" s="298" cm="1">
        <f t="array" ref="BM108">IF(AND(BM$2&lt;&gt;0,TblTech[[#This Row],[Hour]:[Hour]]&gt;=BM$2),1,0)</f>
        <v>0</v>
      </c>
      <c r="BN108" s="298" cm="1">
        <f t="array" ref="BN108">IF(AND(BN$2&lt;&gt;0,TblTech[[#This Row],[Hour]:[Hour]]&gt;=BN$2),1,0)</f>
        <v>0</v>
      </c>
      <c r="BO108" s="298" cm="1">
        <f t="array" ref="BO108">IF(AND(BO$2&lt;&gt;0,TblTech[[#This Row],[Hour]:[Hour]]&gt;=BO$2),1,0)</f>
        <v>0</v>
      </c>
      <c r="BP108" s="298" cm="1">
        <f t="array" ref="BP108">IF(AND(BP$2&lt;&gt;0,TblTech[[#This Row],[Hour]:[Hour]]&gt;=BP$2),1,0)</f>
        <v>0</v>
      </c>
      <c r="BQ108" s="298" cm="1">
        <f t="array" ref="BQ108">IF(AND(BQ$2&lt;&gt;0,TblTech[[#This Row],[Hour]:[Hour]]&gt;=BQ$2),1,0)</f>
        <v>0</v>
      </c>
      <c r="BR108" s="298" cm="1">
        <f t="array" ref="BR108">IF(AND(BR$2&lt;&gt;0,TblTech[[#This Row],[Hour]:[Hour]]&gt;=BR$2),1,0)</f>
        <v>0</v>
      </c>
      <c r="BS108" s="298" cm="1">
        <f t="array" ref="BS108">IF(AND(BS$2&lt;&gt;0,TblTech[[#This Row],[Hour]:[Hour]]&gt;=BS$2),1,0)</f>
        <v>0</v>
      </c>
      <c r="BT108" s="298" cm="1">
        <f t="array" ref="BT108">IF(AND(BT$2&lt;&gt;0,TblTech[[#This Row],[Hour]:[Hour]]&gt;=BT$2),1,0)</f>
        <v>0</v>
      </c>
      <c r="BU108" s="298" cm="1">
        <f t="array" ref="BU108">IF(AND(BU$2&lt;&gt;0,TblTech[[#This Row],[Hour]:[Hour]]&gt;=BU$2),1,0)</f>
        <v>0</v>
      </c>
      <c r="BV108" s="298" cm="1">
        <f t="array" ref="BV108">IF(AND(BV$2&lt;&gt;0,TblTech[[#This Row],[Hour]:[Hour]]&gt;=BV$2),1,0)</f>
        <v>0</v>
      </c>
      <c r="BW108" s="298" cm="1">
        <f t="array" ref="BW108">IF(AND(BW$2&lt;&gt;0,TblTech[[#This Row],[Hour]:[Hour]]&gt;=BW$2),1,0)</f>
        <v>0</v>
      </c>
      <c r="BX108" s="298" cm="1">
        <f t="array" ref="BX108">IF(AND(BX$2&lt;&gt;0,TblTech[[#This Row],[Hour]:[Hour]]&gt;=BX$2),1,0)</f>
        <v>0</v>
      </c>
      <c r="BY108" s="298" cm="1">
        <f t="array" ref="BY108">IF(AND(BY$2&lt;&gt;0,TblTech[[#This Row],[Hour]:[Hour]]&gt;=BY$2),1,0)</f>
        <v>0</v>
      </c>
      <c r="BZ108" s="298" cm="1">
        <f t="array" ref="BZ108">IF(AND(BZ$2&lt;&gt;0,TblTech[[#This Row],[Hour]:[Hour]]&gt;=BZ$2),1,0)</f>
        <v>0</v>
      </c>
      <c r="CA108" s="402">
        <f>IFERROR(INDEX($H$4:$H$79,MATCH(INDEX(TblTech[[#Headers],[1-1]:[11-1]],1,MATCH(TblTech[[#This Row],[Hour]],$M$2:$BZ$2,0)),$G$4:$G$79,0)),)</f>
        <v>0</v>
      </c>
    </row>
    <row r="109" spans="1:79" x14ac:dyDescent="0.2">
      <c r="A109" s="290">
        <f>TblRezone[[#This Row],[Hour]]</f>
        <v>106</v>
      </c>
      <c r="B109" s="291">
        <f ca="1">TblExplore[[#This Row],[Land-DB]]</f>
        <v>250</v>
      </c>
      <c r="C109" s="292">
        <f ca="1">TblProd[[#This Row],[Techpoints]]</f>
        <v>0</v>
      </c>
      <c r="D109" s="292">
        <f ca="1">TblProd[[#This Row],[Required]]</f>
        <v>3750</v>
      </c>
      <c r="E109" s="301"/>
      <c r="F109" s="302"/>
      <c r="G109" s="295"/>
      <c r="H109" s="296"/>
      <c r="I109" s="296"/>
      <c r="J109" s="296"/>
      <c r="K109" s="95">
        <f ca="1">IF(TblTech[[#This Row],[Sum of tech]]&lt;&gt;OFFSET(TblTech[[#This Row],[Sum of tech]],-1,0),1,0)</f>
        <v>0</v>
      </c>
      <c r="L109" s="297">
        <f>COUNTIF(TblTech[[#This Row],[1-1]:[11-1]],1)</f>
        <v>0</v>
      </c>
      <c r="M109" s="298" cm="1">
        <f t="array" ref="M109">IF(AND(M$2&lt;&gt;0,TblTech[[#This Row],[Hour]:[Hour]]&gt;=M$2),1,0)</f>
        <v>0</v>
      </c>
      <c r="N109" s="298" cm="1">
        <f t="array" ref="N109">IF(AND(N$2&lt;&gt;0,TblTech[[#This Row],[Hour]:[Hour]]&gt;=N$2),1,0)</f>
        <v>0</v>
      </c>
      <c r="O109" s="298" cm="1">
        <f t="array" ref="O109">IF(AND(O$2&lt;&gt;0,TblTech[[#This Row],[Hour]:[Hour]]&gt;=O$2),1,0)</f>
        <v>0</v>
      </c>
      <c r="P109" s="298" cm="1">
        <f t="array" ref="P109">IF(AND(P$2&lt;&gt;0,TblTech[[#This Row],[Hour]:[Hour]]&gt;=P$2),1,0)</f>
        <v>0</v>
      </c>
      <c r="Q109" s="298" cm="1">
        <f t="array" ref="Q109">IF(AND(Q$2&lt;&gt;0,TblTech[[#This Row],[Hour]:[Hour]]&gt;=Q$2),1,0)</f>
        <v>0</v>
      </c>
      <c r="R109" s="298" cm="1">
        <f t="array" ref="R109">IF(AND(R$2&lt;&gt;0,TblTech[[#This Row],[Hour]:[Hour]]&gt;=R$2),1,0)</f>
        <v>0</v>
      </c>
      <c r="S109" s="298" cm="1">
        <f t="array" ref="S109">IF(AND(S$2&lt;&gt;0,TblTech[[#This Row],[Hour]:[Hour]]&gt;=S$2),1,0)</f>
        <v>0</v>
      </c>
      <c r="T109" s="298" cm="1">
        <f t="array" ref="T109">IF(AND(T$2&lt;&gt;0,TblTech[[#This Row],[Hour]:[Hour]]&gt;=T$2),1,0)</f>
        <v>0</v>
      </c>
      <c r="U109" s="298" cm="1">
        <f t="array" ref="U109">IF(AND(U$2&lt;&gt;0,TblTech[[#This Row],[Hour]:[Hour]]&gt;=U$2),1,0)</f>
        <v>0</v>
      </c>
      <c r="V109" s="298" cm="1">
        <f t="array" ref="V109">IF(AND(V$2&lt;&gt;0,TblTech[[#This Row],[Hour]:[Hour]]&gt;=V$2),1,0)</f>
        <v>0</v>
      </c>
      <c r="W109" s="298" cm="1">
        <f t="array" ref="W109">IF(AND(W$2&lt;&gt;0,TblTech[[#This Row],[Hour]:[Hour]]&gt;=W$2),1,0)</f>
        <v>0</v>
      </c>
      <c r="X109" s="298" cm="1">
        <f t="array" ref="X109">IF(AND(X$2&lt;&gt;0,TblTech[[#This Row],[Hour]:[Hour]]&gt;=X$2),1,0)</f>
        <v>0</v>
      </c>
      <c r="Y109" s="298" cm="1">
        <f t="array" ref="Y109">IF(AND(Y$2&lt;&gt;0,TblTech[[#This Row],[Hour]:[Hour]]&gt;=Y$2),1,0)</f>
        <v>0</v>
      </c>
      <c r="Z109" s="298" cm="1">
        <f t="array" ref="Z109">IF(AND(Z$2&lt;&gt;0,TblTech[[#This Row],[Hour]:[Hour]]&gt;=Z$2),1,0)</f>
        <v>0</v>
      </c>
      <c r="AA109" s="298" cm="1">
        <f t="array" ref="AA109">IF(AND(AA$2&lt;&gt;0,TblTech[[#This Row],[Hour]:[Hour]]&gt;=AA$2),1,0)</f>
        <v>0</v>
      </c>
      <c r="AB109" s="298" cm="1">
        <f t="array" ref="AB109">IF(AND(AB$2&lt;&gt;0,TblTech[[#This Row],[Hour]:[Hour]]&gt;=AB$2),1,0)</f>
        <v>0</v>
      </c>
      <c r="AC109" s="298" cm="1">
        <f t="array" ref="AC109">IF(AND(AC$2&lt;&gt;0,TblTech[[#This Row],[Hour]:[Hour]]&gt;=AC$2),1,0)</f>
        <v>0</v>
      </c>
      <c r="AD109" s="298" cm="1">
        <f t="array" ref="AD109">IF(AND(AD$2&lt;&gt;0,TblTech[[#This Row],[Hour]:[Hour]]&gt;=AD$2),1,0)</f>
        <v>0</v>
      </c>
      <c r="AE109" s="298" cm="1">
        <f t="array" ref="AE109">IF(AND(AE$2&lt;&gt;0,TblTech[[#This Row],[Hour]:[Hour]]&gt;=AE$2),1,0)</f>
        <v>0</v>
      </c>
      <c r="AF109" s="298" cm="1">
        <f t="array" ref="AF109">IF(AND(AF$2&lt;&gt;0,TblTech[[#This Row],[Hour]:[Hour]]&gt;=AF$2),1,0)</f>
        <v>0</v>
      </c>
      <c r="AG109" s="298" cm="1">
        <f t="array" ref="AG109">IF(AND(AG$2&lt;&gt;0,TblTech[[#This Row],[Hour]:[Hour]]&gt;=AG$2),1,0)</f>
        <v>0</v>
      </c>
      <c r="AH109" s="298" cm="1">
        <f t="array" ref="AH109">IF(AND(AH$2&lt;&gt;0,TblTech[[#This Row],[Hour]:[Hour]]&gt;=AH$2),1,0)</f>
        <v>0</v>
      </c>
      <c r="AI109" s="298" cm="1">
        <f t="array" ref="AI109">IF(AND(AI$2&lt;&gt;0,TblTech[[#This Row],[Hour]:[Hour]]&gt;=AI$2),1,0)</f>
        <v>0</v>
      </c>
      <c r="AJ109" s="298" cm="1">
        <f t="array" ref="AJ109">IF(AND(AJ$2&lt;&gt;0,TblTech[[#This Row],[Hour]:[Hour]]&gt;=AJ$2),1,0)</f>
        <v>0</v>
      </c>
      <c r="AK109" s="298" cm="1">
        <f t="array" ref="AK109">IF(AND(AK$2&lt;&gt;0,TblTech[[#This Row],[Hour]:[Hour]]&gt;=AK$2),1,0)</f>
        <v>0</v>
      </c>
      <c r="AL109" s="298" cm="1">
        <f t="array" ref="AL109">IF(AND(AL$2&lt;&gt;0,TblTech[[#This Row],[Hour]:[Hour]]&gt;=AL$2),1,0)</f>
        <v>0</v>
      </c>
      <c r="AM109" s="298" cm="1">
        <f t="array" ref="AM109">IF(AND(AM$2&lt;&gt;0,TblTech[[#This Row],[Hour]:[Hour]]&gt;=AM$2),1,0)</f>
        <v>0</v>
      </c>
      <c r="AN109" s="298" cm="1">
        <f t="array" ref="AN109">IF(AND(AN$2&lt;&gt;0,TblTech[[#This Row],[Hour]:[Hour]]&gt;=AN$2),1,0)</f>
        <v>0</v>
      </c>
      <c r="AO109" s="298" cm="1">
        <f t="array" ref="AO109">IF(AND(AO$2&lt;&gt;0,TblTech[[#This Row],[Hour]:[Hour]]&gt;=AO$2),1,0)</f>
        <v>0</v>
      </c>
      <c r="AP109" s="298" cm="1">
        <f t="array" ref="AP109">IF(AND(AP$2&lt;&gt;0,TblTech[[#This Row],[Hour]:[Hour]]&gt;=AP$2),1,0)</f>
        <v>0</v>
      </c>
      <c r="AQ109" s="298" cm="1">
        <f t="array" ref="AQ109">IF(AND(AQ$2&lt;&gt;0,TblTech[[#This Row],[Hour]:[Hour]]&gt;=AQ$2),1,0)</f>
        <v>0</v>
      </c>
      <c r="AR109" s="298" cm="1">
        <f t="array" ref="AR109">IF(AND(AR$2&lt;&gt;0,TblTech[[#This Row],[Hour]:[Hour]]&gt;=AR$2),1,0)</f>
        <v>0</v>
      </c>
      <c r="AS109" s="298" cm="1">
        <f t="array" ref="AS109">IF(AND(AS$2&lt;&gt;0,TblTech[[#This Row],[Hour]:[Hour]]&gt;=AS$2),1,0)</f>
        <v>0</v>
      </c>
      <c r="AT109" s="298" cm="1">
        <f t="array" ref="AT109">IF(AND(AT$2&lt;&gt;0,TblTech[[#This Row],[Hour]:[Hour]]&gt;=AT$2),1,0)</f>
        <v>0</v>
      </c>
      <c r="AU109" s="298" cm="1">
        <f t="array" ref="AU109">IF(AND(AU$2&lt;&gt;0,TblTech[[#This Row],[Hour]:[Hour]]&gt;=AU$2),1,0)</f>
        <v>0</v>
      </c>
      <c r="AV109" s="298" cm="1">
        <f t="array" ref="AV109">IF(AND(AV$2&lt;&gt;0,TblTech[[#This Row],[Hour]:[Hour]]&gt;=AV$2),1,0)</f>
        <v>0</v>
      </c>
      <c r="AW109" s="298" cm="1">
        <f t="array" ref="AW109">IF(AND(AW$2&lt;&gt;0,TblTech[[#This Row],[Hour]:[Hour]]&gt;=AW$2),1,0)</f>
        <v>0</v>
      </c>
      <c r="AX109" s="298" cm="1">
        <f t="array" ref="AX109">IF(AND(AX$2&lt;&gt;0,TblTech[[#This Row],[Hour]:[Hour]]&gt;=AX$2),1,0)</f>
        <v>0</v>
      </c>
      <c r="AY109" s="298" cm="1">
        <f t="array" ref="AY109">IF(AND(AY$2&lt;&gt;0,TblTech[[#This Row],[Hour]:[Hour]]&gt;=AY$2),1,0)</f>
        <v>0</v>
      </c>
      <c r="AZ109" s="298" cm="1">
        <f t="array" ref="AZ109">IF(AND(AZ$2&lt;&gt;0,TblTech[[#This Row],[Hour]:[Hour]]&gt;=AZ$2),1,0)</f>
        <v>0</v>
      </c>
      <c r="BA109" s="298" cm="1">
        <f t="array" ref="BA109">IF(AND(BA$2&lt;&gt;0,TblTech[[#This Row],[Hour]:[Hour]]&gt;=BA$2),1,0)</f>
        <v>0</v>
      </c>
      <c r="BB109" s="298" cm="1">
        <f t="array" ref="BB109">IF(AND(BB$2&lt;&gt;0,TblTech[[#This Row],[Hour]:[Hour]]&gt;=BB$2),1,0)</f>
        <v>0</v>
      </c>
      <c r="BC109" s="298" cm="1">
        <f t="array" ref="BC109">IF(AND(BC$2&lt;&gt;0,TblTech[[#This Row],[Hour]:[Hour]]&gt;=BC$2),1,0)</f>
        <v>0</v>
      </c>
      <c r="BD109" s="298" cm="1">
        <f t="array" ref="BD109">IF(AND(BD$2&lt;&gt;0,TblTech[[#This Row],[Hour]:[Hour]]&gt;=BD$2),1,0)</f>
        <v>0</v>
      </c>
      <c r="BE109" s="298" cm="1">
        <f t="array" ref="BE109">IF(AND(BE$2&lt;&gt;0,TblTech[[#This Row],[Hour]:[Hour]]&gt;=BE$2),1,0)</f>
        <v>0</v>
      </c>
      <c r="BF109" s="298" cm="1">
        <f t="array" ref="BF109">IF(AND(BF$2&lt;&gt;0,TblTech[[#This Row],[Hour]:[Hour]]&gt;=BF$2),1,0)</f>
        <v>0</v>
      </c>
      <c r="BG109" s="298" cm="1">
        <f t="array" ref="BG109">IF(AND(BG$2&lt;&gt;0,TblTech[[#This Row],[Hour]:[Hour]]&gt;=BG$2),1,0)</f>
        <v>0</v>
      </c>
      <c r="BH109" s="298" cm="1">
        <f t="array" ref="BH109">IF(AND(BH$2&lt;&gt;0,TblTech[[#This Row],[Hour]:[Hour]]&gt;=BH$2),1,0)</f>
        <v>0</v>
      </c>
      <c r="BI109" s="298" cm="1">
        <f t="array" ref="BI109">IF(AND(BI$2&lt;&gt;0,TblTech[[#This Row],[Hour]:[Hour]]&gt;=BI$2),1,0)</f>
        <v>0</v>
      </c>
      <c r="BJ109" s="298" cm="1">
        <f t="array" ref="BJ109">IF(AND(BJ$2&lt;&gt;0,TblTech[[#This Row],[Hour]:[Hour]]&gt;=BJ$2),1,0)</f>
        <v>0</v>
      </c>
      <c r="BK109" s="298" cm="1">
        <f t="array" ref="BK109">IF(AND(BK$2&lt;&gt;0,TblTech[[#This Row],[Hour]:[Hour]]&gt;=BK$2),1,0)</f>
        <v>0</v>
      </c>
      <c r="BL109" s="298" cm="1">
        <f t="array" ref="BL109">IF(AND(BL$2&lt;&gt;0,TblTech[[#This Row],[Hour]:[Hour]]&gt;=BL$2),1,0)</f>
        <v>0</v>
      </c>
      <c r="BM109" s="298" cm="1">
        <f t="array" ref="BM109">IF(AND(BM$2&lt;&gt;0,TblTech[[#This Row],[Hour]:[Hour]]&gt;=BM$2),1,0)</f>
        <v>0</v>
      </c>
      <c r="BN109" s="298" cm="1">
        <f t="array" ref="BN109">IF(AND(BN$2&lt;&gt;0,TblTech[[#This Row],[Hour]:[Hour]]&gt;=BN$2),1,0)</f>
        <v>0</v>
      </c>
      <c r="BO109" s="298" cm="1">
        <f t="array" ref="BO109">IF(AND(BO$2&lt;&gt;0,TblTech[[#This Row],[Hour]:[Hour]]&gt;=BO$2),1,0)</f>
        <v>0</v>
      </c>
      <c r="BP109" s="298" cm="1">
        <f t="array" ref="BP109">IF(AND(BP$2&lt;&gt;0,TblTech[[#This Row],[Hour]:[Hour]]&gt;=BP$2),1,0)</f>
        <v>0</v>
      </c>
      <c r="BQ109" s="298" cm="1">
        <f t="array" ref="BQ109">IF(AND(BQ$2&lt;&gt;0,TblTech[[#This Row],[Hour]:[Hour]]&gt;=BQ$2),1,0)</f>
        <v>0</v>
      </c>
      <c r="BR109" s="298" cm="1">
        <f t="array" ref="BR109">IF(AND(BR$2&lt;&gt;0,TblTech[[#This Row],[Hour]:[Hour]]&gt;=BR$2),1,0)</f>
        <v>0</v>
      </c>
      <c r="BS109" s="298" cm="1">
        <f t="array" ref="BS109">IF(AND(BS$2&lt;&gt;0,TblTech[[#This Row],[Hour]:[Hour]]&gt;=BS$2),1,0)</f>
        <v>0</v>
      </c>
      <c r="BT109" s="298" cm="1">
        <f t="array" ref="BT109">IF(AND(BT$2&lt;&gt;0,TblTech[[#This Row],[Hour]:[Hour]]&gt;=BT$2),1,0)</f>
        <v>0</v>
      </c>
      <c r="BU109" s="298" cm="1">
        <f t="array" ref="BU109">IF(AND(BU$2&lt;&gt;0,TblTech[[#This Row],[Hour]:[Hour]]&gt;=BU$2),1,0)</f>
        <v>0</v>
      </c>
      <c r="BV109" s="298" cm="1">
        <f t="array" ref="BV109">IF(AND(BV$2&lt;&gt;0,TblTech[[#This Row],[Hour]:[Hour]]&gt;=BV$2),1,0)</f>
        <v>0</v>
      </c>
      <c r="BW109" s="298" cm="1">
        <f t="array" ref="BW109">IF(AND(BW$2&lt;&gt;0,TblTech[[#This Row],[Hour]:[Hour]]&gt;=BW$2),1,0)</f>
        <v>0</v>
      </c>
      <c r="BX109" s="298" cm="1">
        <f t="array" ref="BX109">IF(AND(BX$2&lt;&gt;0,TblTech[[#This Row],[Hour]:[Hour]]&gt;=BX$2),1,0)</f>
        <v>0</v>
      </c>
      <c r="BY109" s="298" cm="1">
        <f t="array" ref="BY109">IF(AND(BY$2&lt;&gt;0,TblTech[[#This Row],[Hour]:[Hour]]&gt;=BY$2),1,0)</f>
        <v>0</v>
      </c>
      <c r="BZ109" s="298" cm="1">
        <f t="array" ref="BZ109">IF(AND(BZ$2&lt;&gt;0,TblTech[[#This Row],[Hour]:[Hour]]&gt;=BZ$2),1,0)</f>
        <v>0</v>
      </c>
      <c r="CA109" s="402">
        <f>IFERROR(INDEX($H$4:$H$79,MATCH(INDEX(TblTech[[#Headers],[1-1]:[11-1]],1,MATCH(TblTech[[#This Row],[Hour]],$M$2:$BZ$2,0)),$G$4:$G$79,0)),)</f>
        <v>0</v>
      </c>
    </row>
    <row r="110" spans="1:79" x14ac:dyDescent="0.2">
      <c r="A110" s="290">
        <f>TblRezone[[#This Row],[Hour]]</f>
        <v>107</v>
      </c>
      <c r="B110" s="291">
        <f ca="1">TblExplore[[#This Row],[Land-DB]]</f>
        <v>250</v>
      </c>
      <c r="C110" s="292">
        <f ca="1">TblProd[[#This Row],[Techpoints]]</f>
        <v>0</v>
      </c>
      <c r="D110" s="292">
        <f ca="1">TblProd[[#This Row],[Required]]</f>
        <v>3750</v>
      </c>
      <c r="E110" s="301"/>
      <c r="F110" s="302"/>
      <c r="G110" s="295"/>
      <c r="H110" s="296"/>
      <c r="I110" s="296"/>
      <c r="J110" s="296"/>
      <c r="K110" s="95">
        <f ca="1">IF(TblTech[[#This Row],[Sum of tech]]&lt;&gt;OFFSET(TblTech[[#This Row],[Sum of tech]],-1,0),1,0)</f>
        <v>0</v>
      </c>
      <c r="L110" s="297">
        <f>COUNTIF(TblTech[[#This Row],[1-1]:[11-1]],1)</f>
        <v>0</v>
      </c>
      <c r="M110" s="298" cm="1">
        <f t="array" ref="M110">IF(AND(M$2&lt;&gt;0,TblTech[[#This Row],[Hour]:[Hour]]&gt;=M$2),1,0)</f>
        <v>0</v>
      </c>
      <c r="N110" s="298" cm="1">
        <f t="array" ref="N110">IF(AND(N$2&lt;&gt;0,TblTech[[#This Row],[Hour]:[Hour]]&gt;=N$2),1,0)</f>
        <v>0</v>
      </c>
      <c r="O110" s="298" cm="1">
        <f t="array" ref="O110">IF(AND(O$2&lt;&gt;0,TblTech[[#This Row],[Hour]:[Hour]]&gt;=O$2),1,0)</f>
        <v>0</v>
      </c>
      <c r="P110" s="298" cm="1">
        <f t="array" ref="P110">IF(AND(P$2&lt;&gt;0,TblTech[[#This Row],[Hour]:[Hour]]&gt;=P$2),1,0)</f>
        <v>0</v>
      </c>
      <c r="Q110" s="298" cm="1">
        <f t="array" ref="Q110">IF(AND(Q$2&lt;&gt;0,TblTech[[#This Row],[Hour]:[Hour]]&gt;=Q$2),1,0)</f>
        <v>0</v>
      </c>
      <c r="R110" s="298" cm="1">
        <f t="array" ref="R110">IF(AND(R$2&lt;&gt;0,TblTech[[#This Row],[Hour]:[Hour]]&gt;=R$2),1,0)</f>
        <v>0</v>
      </c>
      <c r="S110" s="298" cm="1">
        <f t="array" ref="S110">IF(AND(S$2&lt;&gt;0,TblTech[[#This Row],[Hour]:[Hour]]&gt;=S$2),1,0)</f>
        <v>0</v>
      </c>
      <c r="T110" s="298" cm="1">
        <f t="array" ref="T110">IF(AND(T$2&lt;&gt;0,TblTech[[#This Row],[Hour]:[Hour]]&gt;=T$2),1,0)</f>
        <v>0</v>
      </c>
      <c r="U110" s="298" cm="1">
        <f t="array" ref="U110">IF(AND(U$2&lt;&gt;0,TblTech[[#This Row],[Hour]:[Hour]]&gt;=U$2),1,0)</f>
        <v>0</v>
      </c>
      <c r="V110" s="298" cm="1">
        <f t="array" ref="V110">IF(AND(V$2&lt;&gt;0,TblTech[[#This Row],[Hour]:[Hour]]&gt;=V$2),1,0)</f>
        <v>0</v>
      </c>
      <c r="W110" s="298" cm="1">
        <f t="array" ref="W110">IF(AND(W$2&lt;&gt;0,TblTech[[#This Row],[Hour]:[Hour]]&gt;=W$2),1,0)</f>
        <v>0</v>
      </c>
      <c r="X110" s="298" cm="1">
        <f t="array" ref="X110">IF(AND(X$2&lt;&gt;0,TblTech[[#This Row],[Hour]:[Hour]]&gt;=X$2),1,0)</f>
        <v>0</v>
      </c>
      <c r="Y110" s="298" cm="1">
        <f t="array" ref="Y110">IF(AND(Y$2&lt;&gt;0,TblTech[[#This Row],[Hour]:[Hour]]&gt;=Y$2),1,0)</f>
        <v>0</v>
      </c>
      <c r="Z110" s="298" cm="1">
        <f t="array" ref="Z110">IF(AND(Z$2&lt;&gt;0,TblTech[[#This Row],[Hour]:[Hour]]&gt;=Z$2),1,0)</f>
        <v>0</v>
      </c>
      <c r="AA110" s="298" cm="1">
        <f t="array" ref="AA110">IF(AND(AA$2&lt;&gt;0,TblTech[[#This Row],[Hour]:[Hour]]&gt;=AA$2),1,0)</f>
        <v>0</v>
      </c>
      <c r="AB110" s="298" cm="1">
        <f t="array" ref="AB110">IF(AND(AB$2&lt;&gt;0,TblTech[[#This Row],[Hour]:[Hour]]&gt;=AB$2),1,0)</f>
        <v>0</v>
      </c>
      <c r="AC110" s="298" cm="1">
        <f t="array" ref="AC110">IF(AND(AC$2&lt;&gt;0,TblTech[[#This Row],[Hour]:[Hour]]&gt;=AC$2),1,0)</f>
        <v>0</v>
      </c>
      <c r="AD110" s="298" cm="1">
        <f t="array" ref="AD110">IF(AND(AD$2&lt;&gt;0,TblTech[[#This Row],[Hour]:[Hour]]&gt;=AD$2),1,0)</f>
        <v>0</v>
      </c>
      <c r="AE110" s="298" cm="1">
        <f t="array" ref="AE110">IF(AND(AE$2&lt;&gt;0,TblTech[[#This Row],[Hour]:[Hour]]&gt;=AE$2),1,0)</f>
        <v>0</v>
      </c>
      <c r="AF110" s="298" cm="1">
        <f t="array" ref="AF110">IF(AND(AF$2&lt;&gt;0,TblTech[[#This Row],[Hour]:[Hour]]&gt;=AF$2),1,0)</f>
        <v>0</v>
      </c>
      <c r="AG110" s="298" cm="1">
        <f t="array" ref="AG110">IF(AND(AG$2&lt;&gt;0,TblTech[[#This Row],[Hour]:[Hour]]&gt;=AG$2),1,0)</f>
        <v>0</v>
      </c>
      <c r="AH110" s="298" cm="1">
        <f t="array" ref="AH110">IF(AND(AH$2&lt;&gt;0,TblTech[[#This Row],[Hour]:[Hour]]&gt;=AH$2),1,0)</f>
        <v>0</v>
      </c>
      <c r="AI110" s="298" cm="1">
        <f t="array" ref="AI110">IF(AND(AI$2&lt;&gt;0,TblTech[[#This Row],[Hour]:[Hour]]&gt;=AI$2),1,0)</f>
        <v>0</v>
      </c>
      <c r="AJ110" s="298" cm="1">
        <f t="array" ref="AJ110">IF(AND(AJ$2&lt;&gt;0,TblTech[[#This Row],[Hour]:[Hour]]&gt;=AJ$2),1,0)</f>
        <v>0</v>
      </c>
      <c r="AK110" s="298" cm="1">
        <f t="array" ref="AK110">IF(AND(AK$2&lt;&gt;0,TblTech[[#This Row],[Hour]:[Hour]]&gt;=AK$2),1,0)</f>
        <v>0</v>
      </c>
      <c r="AL110" s="298" cm="1">
        <f t="array" ref="AL110">IF(AND(AL$2&lt;&gt;0,TblTech[[#This Row],[Hour]:[Hour]]&gt;=AL$2),1,0)</f>
        <v>0</v>
      </c>
      <c r="AM110" s="298" cm="1">
        <f t="array" ref="AM110">IF(AND(AM$2&lt;&gt;0,TblTech[[#This Row],[Hour]:[Hour]]&gt;=AM$2),1,0)</f>
        <v>0</v>
      </c>
      <c r="AN110" s="298" cm="1">
        <f t="array" ref="AN110">IF(AND(AN$2&lt;&gt;0,TblTech[[#This Row],[Hour]:[Hour]]&gt;=AN$2),1,0)</f>
        <v>0</v>
      </c>
      <c r="AO110" s="298" cm="1">
        <f t="array" ref="AO110">IF(AND(AO$2&lt;&gt;0,TblTech[[#This Row],[Hour]:[Hour]]&gt;=AO$2),1,0)</f>
        <v>0</v>
      </c>
      <c r="AP110" s="298" cm="1">
        <f t="array" ref="AP110">IF(AND(AP$2&lt;&gt;0,TblTech[[#This Row],[Hour]:[Hour]]&gt;=AP$2),1,0)</f>
        <v>0</v>
      </c>
      <c r="AQ110" s="298" cm="1">
        <f t="array" ref="AQ110">IF(AND(AQ$2&lt;&gt;0,TblTech[[#This Row],[Hour]:[Hour]]&gt;=AQ$2),1,0)</f>
        <v>0</v>
      </c>
      <c r="AR110" s="298" cm="1">
        <f t="array" ref="AR110">IF(AND(AR$2&lt;&gt;0,TblTech[[#This Row],[Hour]:[Hour]]&gt;=AR$2),1,0)</f>
        <v>0</v>
      </c>
      <c r="AS110" s="298" cm="1">
        <f t="array" ref="AS110">IF(AND(AS$2&lt;&gt;0,TblTech[[#This Row],[Hour]:[Hour]]&gt;=AS$2),1,0)</f>
        <v>0</v>
      </c>
      <c r="AT110" s="298" cm="1">
        <f t="array" ref="AT110">IF(AND(AT$2&lt;&gt;0,TblTech[[#This Row],[Hour]:[Hour]]&gt;=AT$2),1,0)</f>
        <v>0</v>
      </c>
      <c r="AU110" s="298" cm="1">
        <f t="array" ref="AU110">IF(AND(AU$2&lt;&gt;0,TblTech[[#This Row],[Hour]:[Hour]]&gt;=AU$2),1,0)</f>
        <v>0</v>
      </c>
      <c r="AV110" s="298" cm="1">
        <f t="array" ref="AV110">IF(AND(AV$2&lt;&gt;0,TblTech[[#This Row],[Hour]:[Hour]]&gt;=AV$2),1,0)</f>
        <v>0</v>
      </c>
      <c r="AW110" s="298" cm="1">
        <f t="array" ref="AW110">IF(AND(AW$2&lt;&gt;0,TblTech[[#This Row],[Hour]:[Hour]]&gt;=AW$2),1,0)</f>
        <v>0</v>
      </c>
      <c r="AX110" s="298" cm="1">
        <f t="array" ref="AX110">IF(AND(AX$2&lt;&gt;0,TblTech[[#This Row],[Hour]:[Hour]]&gt;=AX$2),1,0)</f>
        <v>0</v>
      </c>
      <c r="AY110" s="298" cm="1">
        <f t="array" ref="AY110">IF(AND(AY$2&lt;&gt;0,TblTech[[#This Row],[Hour]:[Hour]]&gt;=AY$2),1,0)</f>
        <v>0</v>
      </c>
      <c r="AZ110" s="298" cm="1">
        <f t="array" ref="AZ110">IF(AND(AZ$2&lt;&gt;0,TblTech[[#This Row],[Hour]:[Hour]]&gt;=AZ$2),1,0)</f>
        <v>0</v>
      </c>
      <c r="BA110" s="298" cm="1">
        <f t="array" ref="BA110">IF(AND(BA$2&lt;&gt;0,TblTech[[#This Row],[Hour]:[Hour]]&gt;=BA$2),1,0)</f>
        <v>0</v>
      </c>
      <c r="BB110" s="298" cm="1">
        <f t="array" ref="BB110">IF(AND(BB$2&lt;&gt;0,TblTech[[#This Row],[Hour]:[Hour]]&gt;=BB$2),1,0)</f>
        <v>0</v>
      </c>
      <c r="BC110" s="298" cm="1">
        <f t="array" ref="BC110">IF(AND(BC$2&lt;&gt;0,TblTech[[#This Row],[Hour]:[Hour]]&gt;=BC$2),1,0)</f>
        <v>0</v>
      </c>
      <c r="BD110" s="298" cm="1">
        <f t="array" ref="BD110">IF(AND(BD$2&lt;&gt;0,TblTech[[#This Row],[Hour]:[Hour]]&gt;=BD$2),1,0)</f>
        <v>0</v>
      </c>
      <c r="BE110" s="298" cm="1">
        <f t="array" ref="BE110">IF(AND(BE$2&lt;&gt;0,TblTech[[#This Row],[Hour]:[Hour]]&gt;=BE$2),1,0)</f>
        <v>0</v>
      </c>
      <c r="BF110" s="298" cm="1">
        <f t="array" ref="BF110">IF(AND(BF$2&lt;&gt;0,TblTech[[#This Row],[Hour]:[Hour]]&gt;=BF$2),1,0)</f>
        <v>0</v>
      </c>
      <c r="BG110" s="298" cm="1">
        <f t="array" ref="BG110">IF(AND(BG$2&lt;&gt;0,TblTech[[#This Row],[Hour]:[Hour]]&gt;=BG$2),1,0)</f>
        <v>0</v>
      </c>
      <c r="BH110" s="298" cm="1">
        <f t="array" ref="BH110">IF(AND(BH$2&lt;&gt;0,TblTech[[#This Row],[Hour]:[Hour]]&gt;=BH$2),1,0)</f>
        <v>0</v>
      </c>
      <c r="BI110" s="298" cm="1">
        <f t="array" ref="BI110">IF(AND(BI$2&lt;&gt;0,TblTech[[#This Row],[Hour]:[Hour]]&gt;=BI$2),1,0)</f>
        <v>0</v>
      </c>
      <c r="BJ110" s="298" cm="1">
        <f t="array" ref="BJ110">IF(AND(BJ$2&lt;&gt;0,TblTech[[#This Row],[Hour]:[Hour]]&gt;=BJ$2),1,0)</f>
        <v>0</v>
      </c>
      <c r="BK110" s="298" cm="1">
        <f t="array" ref="BK110">IF(AND(BK$2&lt;&gt;0,TblTech[[#This Row],[Hour]:[Hour]]&gt;=BK$2),1,0)</f>
        <v>0</v>
      </c>
      <c r="BL110" s="298" cm="1">
        <f t="array" ref="BL110">IF(AND(BL$2&lt;&gt;0,TblTech[[#This Row],[Hour]:[Hour]]&gt;=BL$2),1,0)</f>
        <v>0</v>
      </c>
      <c r="BM110" s="298" cm="1">
        <f t="array" ref="BM110">IF(AND(BM$2&lt;&gt;0,TblTech[[#This Row],[Hour]:[Hour]]&gt;=BM$2),1,0)</f>
        <v>0</v>
      </c>
      <c r="BN110" s="298" cm="1">
        <f t="array" ref="BN110">IF(AND(BN$2&lt;&gt;0,TblTech[[#This Row],[Hour]:[Hour]]&gt;=BN$2),1,0)</f>
        <v>0</v>
      </c>
      <c r="BO110" s="298" cm="1">
        <f t="array" ref="BO110">IF(AND(BO$2&lt;&gt;0,TblTech[[#This Row],[Hour]:[Hour]]&gt;=BO$2),1,0)</f>
        <v>0</v>
      </c>
      <c r="BP110" s="298" cm="1">
        <f t="array" ref="BP110">IF(AND(BP$2&lt;&gt;0,TblTech[[#This Row],[Hour]:[Hour]]&gt;=BP$2),1,0)</f>
        <v>0</v>
      </c>
      <c r="BQ110" s="298" cm="1">
        <f t="array" ref="BQ110">IF(AND(BQ$2&lt;&gt;0,TblTech[[#This Row],[Hour]:[Hour]]&gt;=BQ$2),1,0)</f>
        <v>0</v>
      </c>
      <c r="BR110" s="298" cm="1">
        <f t="array" ref="BR110">IF(AND(BR$2&lt;&gt;0,TblTech[[#This Row],[Hour]:[Hour]]&gt;=BR$2),1,0)</f>
        <v>0</v>
      </c>
      <c r="BS110" s="298" cm="1">
        <f t="array" ref="BS110">IF(AND(BS$2&lt;&gt;0,TblTech[[#This Row],[Hour]:[Hour]]&gt;=BS$2),1,0)</f>
        <v>0</v>
      </c>
      <c r="BT110" s="298" cm="1">
        <f t="array" ref="BT110">IF(AND(BT$2&lt;&gt;0,TblTech[[#This Row],[Hour]:[Hour]]&gt;=BT$2),1,0)</f>
        <v>0</v>
      </c>
      <c r="BU110" s="298" cm="1">
        <f t="array" ref="BU110">IF(AND(BU$2&lt;&gt;0,TblTech[[#This Row],[Hour]:[Hour]]&gt;=BU$2),1,0)</f>
        <v>0</v>
      </c>
      <c r="BV110" s="298" cm="1">
        <f t="array" ref="BV110">IF(AND(BV$2&lt;&gt;0,TblTech[[#This Row],[Hour]:[Hour]]&gt;=BV$2),1,0)</f>
        <v>0</v>
      </c>
      <c r="BW110" s="298" cm="1">
        <f t="array" ref="BW110">IF(AND(BW$2&lt;&gt;0,TblTech[[#This Row],[Hour]:[Hour]]&gt;=BW$2),1,0)</f>
        <v>0</v>
      </c>
      <c r="BX110" s="298" cm="1">
        <f t="array" ref="BX110">IF(AND(BX$2&lt;&gt;0,TblTech[[#This Row],[Hour]:[Hour]]&gt;=BX$2),1,0)</f>
        <v>0</v>
      </c>
      <c r="BY110" s="298" cm="1">
        <f t="array" ref="BY110">IF(AND(BY$2&lt;&gt;0,TblTech[[#This Row],[Hour]:[Hour]]&gt;=BY$2),1,0)</f>
        <v>0</v>
      </c>
      <c r="BZ110" s="298" cm="1">
        <f t="array" ref="BZ110">IF(AND(BZ$2&lt;&gt;0,TblTech[[#This Row],[Hour]:[Hour]]&gt;=BZ$2),1,0)</f>
        <v>0</v>
      </c>
      <c r="CA110" s="402">
        <f>IFERROR(INDEX($H$4:$H$79,MATCH(INDEX(TblTech[[#Headers],[1-1]:[11-1]],1,MATCH(TblTech[[#This Row],[Hour]],$M$2:$BZ$2,0)),$G$4:$G$79,0)),)</f>
        <v>0</v>
      </c>
    </row>
    <row r="111" spans="1:79" x14ac:dyDescent="0.2">
      <c r="A111" s="290">
        <f>TblRezone[[#This Row],[Hour]]</f>
        <v>108</v>
      </c>
      <c r="B111" s="291">
        <f ca="1">TblExplore[[#This Row],[Land-DB]]</f>
        <v>250</v>
      </c>
      <c r="C111" s="292">
        <f ca="1">TblProd[[#This Row],[Techpoints]]</f>
        <v>0</v>
      </c>
      <c r="D111" s="292">
        <f ca="1">TblProd[[#This Row],[Required]]</f>
        <v>3750</v>
      </c>
      <c r="E111" s="301"/>
      <c r="F111" s="302"/>
      <c r="G111" s="295"/>
      <c r="H111" s="296"/>
      <c r="I111" s="296"/>
      <c r="J111" s="296"/>
      <c r="K111" s="95">
        <f ca="1">IF(TblTech[[#This Row],[Sum of tech]]&lt;&gt;OFFSET(TblTech[[#This Row],[Sum of tech]],-1,0),1,0)</f>
        <v>0</v>
      </c>
      <c r="L111" s="297">
        <f>COUNTIF(TblTech[[#This Row],[1-1]:[11-1]],1)</f>
        <v>0</v>
      </c>
      <c r="M111" s="298" cm="1">
        <f t="array" ref="M111">IF(AND(M$2&lt;&gt;0,TblTech[[#This Row],[Hour]:[Hour]]&gt;=M$2),1,0)</f>
        <v>0</v>
      </c>
      <c r="N111" s="298" cm="1">
        <f t="array" ref="N111">IF(AND(N$2&lt;&gt;0,TblTech[[#This Row],[Hour]:[Hour]]&gt;=N$2),1,0)</f>
        <v>0</v>
      </c>
      <c r="O111" s="298" cm="1">
        <f t="array" ref="O111">IF(AND(O$2&lt;&gt;0,TblTech[[#This Row],[Hour]:[Hour]]&gt;=O$2),1,0)</f>
        <v>0</v>
      </c>
      <c r="P111" s="298" cm="1">
        <f t="array" ref="P111">IF(AND(P$2&lt;&gt;0,TblTech[[#This Row],[Hour]:[Hour]]&gt;=P$2),1,0)</f>
        <v>0</v>
      </c>
      <c r="Q111" s="298" cm="1">
        <f t="array" ref="Q111">IF(AND(Q$2&lt;&gt;0,TblTech[[#This Row],[Hour]:[Hour]]&gt;=Q$2),1,0)</f>
        <v>0</v>
      </c>
      <c r="R111" s="298" cm="1">
        <f t="array" ref="R111">IF(AND(R$2&lt;&gt;0,TblTech[[#This Row],[Hour]:[Hour]]&gt;=R$2),1,0)</f>
        <v>0</v>
      </c>
      <c r="S111" s="298" cm="1">
        <f t="array" ref="S111">IF(AND(S$2&lt;&gt;0,TblTech[[#This Row],[Hour]:[Hour]]&gt;=S$2),1,0)</f>
        <v>0</v>
      </c>
      <c r="T111" s="298" cm="1">
        <f t="array" ref="T111">IF(AND(T$2&lt;&gt;0,TblTech[[#This Row],[Hour]:[Hour]]&gt;=T$2),1,0)</f>
        <v>0</v>
      </c>
      <c r="U111" s="298" cm="1">
        <f t="array" ref="U111">IF(AND(U$2&lt;&gt;0,TblTech[[#This Row],[Hour]:[Hour]]&gt;=U$2),1,0)</f>
        <v>0</v>
      </c>
      <c r="V111" s="298" cm="1">
        <f t="array" ref="V111">IF(AND(V$2&lt;&gt;0,TblTech[[#This Row],[Hour]:[Hour]]&gt;=V$2),1,0)</f>
        <v>0</v>
      </c>
      <c r="W111" s="298" cm="1">
        <f t="array" ref="W111">IF(AND(W$2&lt;&gt;0,TblTech[[#This Row],[Hour]:[Hour]]&gt;=W$2),1,0)</f>
        <v>0</v>
      </c>
      <c r="X111" s="298" cm="1">
        <f t="array" ref="X111">IF(AND(X$2&lt;&gt;0,TblTech[[#This Row],[Hour]:[Hour]]&gt;=X$2),1,0)</f>
        <v>0</v>
      </c>
      <c r="Y111" s="298" cm="1">
        <f t="array" ref="Y111">IF(AND(Y$2&lt;&gt;0,TblTech[[#This Row],[Hour]:[Hour]]&gt;=Y$2),1,0)</f>
        <v>0</v>
      </c>
      <c r="Z111" s="298" cm="1">
        <f t="array" ref="Z111">IF(AND(Z$2&lt;&gt;0,TblTech[[#This Row],[Hour]:[Hour]]&gt;=Z$2),1,0)</f>
        <v>0</v>
      </c>
      <c r="AA111" s="298" cm="1">
        <f t="array" ref="AA111">IF(AND(AA$2&lt;&gt;0,TblTech[[#This Row],[Hour]:[Hour]]&gt;=AA$2),1,0)</f>
        <v>0</v>
      </c>
      <c r="AB111" s="298" cm="1">
        <f t="array" ref="AB111">IF(AND(AB$2&lt;&gt;0,TblTech[[#This Row],[Hour]:[Hour]]&gt;=AB$2),1,0)</f>
        <v>0</v>
      </c>
      <c r="AC111" s="298" cm="1">
        <f t="array" ref="AC111">IF(AND(AC$2&lt;&gt;0,TblTech[[#This Row],[Hour]:[Hour]]&gt;=AC$2),1,0)</f>
        <v>0</v>
      </c>
      <c r="AD111" s="298" cm="1">
        <f t="array" ref="AD111">IF(AND(AD$2&lt;&gt;0,TblTech[[#This Row],[Hour]:[Hour]]&gt;=AD$2),1,0)</f>
        <v>0</v>
      </c>
      <c r="AE111" s="298" cm="1">
        <f t="array" ref="AE111">IF(AND(AE$2&lt;&gt;0,TblTech[[#This Row],[Hour]:[Hour]]&gt;=AE$2),1,0)</f>
        <v>0</v>
      </c>
      <c r="AF111" s="298" cm="1">
        <f t="array" ref="AF111">IF(AND(AF$2&lt;&gt;0,TblTech[[#This Row],[Hour]:[Hour]]&gt;=AF$2),1,0)</f>
        <v>0</v>
      </c>
      <c r="AG111" s="298" cm="1">
        <f t="array" ref="AG111">IF(AND(AG$2&lt;&gt;0,TblTech[[#This Row],[Hour]:[Hour]]&gt;=AG$2),1,0)</f>
        <v>0</v>
      </c>
      <c r="AH111" s="298" cm="1">
        <f t="array" ref="AH111">IF(AND(AH$2&lt;&gt;0,TblTech[[#This Row],[Hour]:[Hour]]&gt;=AH$2),1,0)</f>
        <v>0</v>
      </c>
      <c r="AI111" s="298" cm="1">
        <f t="array" ref="AI111">IF(AND(AI$2&lt;&gt;0,TblTech[[#This Row],[Hour]:[Hour]]&gt;=AI$2),1,0)</f>
        <v>0</v>
      </c>
      <c r="AJ111" s="298" cm="1">
        <f t="array" ref="AJ111">IF(AND(AJ$2&lt;&gt;0,TblTech[[#This Row],[Hour]:[Hour]]&gt;=AJ$2),1,0)</f>
        <v>0</v>
      </c>
      <c r="AK111" s="298" cm="1">
        <f t="array" ref="AK111">IF(AND(AK$2&lt;&gt;0,TblTech[[#This Row],[Hour]:[Hour]]&gt;=AK$2),1,0)</f>
        <v>0</v>
      </c>
      <c r="AL111" s="298" cm="1">
        <f t="array" ref="AL111">IF(AND(AL$2&lt;&gt;0,TblTech[[#This Row],[Hour]:[Hour]]&gt;=AL$2),1,0)</f>
        <v>0</v>
      </c>
      <c r="AM111" s="298" cm="1">
        <f t="array" ref="AM111">IF(AND(AM$2&lt;&gt;0,TblTech[[#This Row],[Hour]:[Hour]]&gt;=AM$2),1,0)</f>
        <v>0</v>
      </c>
      <c r="AN111" s="298" cm="1">
        <f t="array" ref="AN111">IF(AND(AN$2&lt;&gt;0,TblTech[[#This Row],[Hour]:[Hour]]&gt;=AN$2),1,0)</f>
        <v>0</v>
      </c>
      <c r="AO111" s="298" cm="1">
        <f t="array" ref="AO111">IF(AND(AO$2&lt;&gt;0,TblTech[[#This Row],[Hour]:[Hour]]&gt;=AO$2),1,0)</f>
        <v>0</v>
      </c>
      <c r="AP111" s="298" cm="1">
        <f t="array" ref="AP111">IF(AND(AP$2&lt;&gt;0,TblTech[[#This Row],[Hour]:[Hour]]&gt;=AP$2),1,0)</f>
        <v>0</v>
      </c>
      <c r="AQ111" s="298" cm="1">
        <f t="array" ref="AQ111">IF(AND(AQ$2&lt;&gt;0,TblTech[[#This Row],[Hour]:[Hour]]&gt;=AQ$2),1,0)</f>
        <v>0</v>
      </c>
      <c r="AR111" s="298" cm="1">
        <f t="array" ref="AR111">IF(AND(AR$2&lt;&gt;0,TblTech[[#This Row],[Hour]:[Hour]]&gt;=AR$2),1,0)</f>
        <v>0</v>
      </c>
      <c r="AS111" s="298" cm="1">
        <f t="array" ref="AS111">IF(AND(AS$2&lt;&gt;0,TblTech[[#This Row],[Hour]:[Hour]]&gt;=AS$2),1,0)</f>
        <v>0</v>
      </c>
      <c r="AT111" s="298" cm="1">
        <f t="array" ref="AT111">IF(AND(AT$2&lt;&gt;0,TblTech[[#This Row],[Hour]:[Hour]]&gt;=AT$2),1,0)</f>
        <v>0</v>
      </c>
      <c r="AU111" s="298" cm="1">
        <f t="array" ref="AU111">IF(AND(AU$2&lt;&gt;0,TblTech[[#This Row],[Hour]:[Hour]]&gt;=AU$2),1,0)</f>
        <v>0</v>
      </c>
      <c r="AV111" s="298" cm="1">
        <f t="array" ref="AV111">IF(AND(AV$2&lt;&gt;0,TblTech[[#This Row],[Hour]:[Hour]]&gt;=AV$2),1,0)</f>
        <v>0</v>
      </c>
      <c r="AW111" s="298" cm="1">
        <f t="array" ref="AW111">IF(AND(AW$2&lt;&gt;0,TblTech[[#This Row],[Hour]:[Hour]]&gt;=AW$2),1,0)</f>
        <v>0</v>
      </c>
      <c r="AX111" s="298" cm="1">
        <f t="array" ref="AX111">IF(AND(AX$2&lt;&gt;0,TblTech[[#This Row],[Hour]:[Hour]]&gt;=AX$2),1,0)</f>
        <v>0</v>
      </c>
      <c r="AY111" s="298" cm="1">
        <f t="array" ref="AY111">IF(AND(AY$2&lt;&gt;0,TblTech[[#This Row],[Hour]:[Hour]]&gt;=AY$2),1,0)</f>
        <v>0</v>
      </c>
      <c r="AZ111" s="298" cm="1">
        <f t="array" ref="AZ111">IF(AND(AZ$2&lt;&gt;0,TblTech[[#This Row],[Hour]:[Hour]]&gt;=AZ$2),1,0)</f>
        <v>0</v>
      </c>
      <c r="BA111" s="298" cm="1">
        <f t="array" ref="BA111">IF(AND(BA$2&lt;&gt;0,TblTech[[#This Row],[Hour]:[Hour]]&gt;=BA$2),1,0)</f>
        <v>0</v>
      </c>
      <c r="BB111" s="298" cm="1">
        <f t="array" ref="BB111">IF(AND(BB$2&lt;&gt;0,TblTech[[#This Row],[Hour]:[Hour]]&gt;=BB$2),1,0)</f>
        <v>0</v>
      </c>
      <c r="BC111" s="298" cm="1">
        <f t="array" ref="BC111">IF(AND(BC$2&lt;&gt;0,TblTech[[#This Row],[Hour]:[Hour]]&gt;=BC$2),1,0)</f>
        <v>0</v>
      </c>
      <c r="BD111" s="298" cm="1">
        <f t="array" ref="BD111">IF(AND(BD$2&lt;&gt;0,TblTech[[#This Row],[Hour]:[Hour]]&gt;=BD$2),1,0)</f>
        <v>0</v>
      </c>
      <c r="BE111" s="298" cm="1">
        <f t="array" ref="BE111">IF(AND(BE$2&lt;&gt;0,TblTech[[#This Row],[Hour]:[Hour]]&gt;=BE$2),1,0)</f>
        <v>0</v>
      </c>
      <c r="BF111" s="298" cm="1">
        <f t="array" ref="BF111">IF(AND(BF$2&lt;&gt;0,TblTech[[#This Row],[Hour]:[Hour]]&gt;=BF$2),1,0)</f>
        <v>0</v>
      </c>
      <c r="BG111" s="298" cm="1">
        <f t="array" ref="BG111">IF(AND(BG$2&lt;&gt;0,TblTech[[#This Row],[Hour]:[Hour]]&gt;=BG$2),1,0)</f>
        <v>0</v>
      </c>
      <c r="BH111" s="298" cm="1">
        <f t="array" ref="BH111">IF(AND(BH$2&lt;&gt;0,TblTech[[#This Row],[Hour]:[Hour]]&gt;=BH$2),1,0)</f>
        <v>0</v>
      </c>
      <c r="BI111" s="298" cm="1">
        <f t="array" ref="BI111">IF(AND(BI$2&lt;&gt;0,TblTech[[#This Row],[Hour]:[Hour]]&gt;=BI$2),1,0)</f>
        <v>0</v>
      </c>
      <c r="BJ111" s="298" cm="1">
        <f t="array" ref="BJ111">IF(AND(BJ$2&lt;&gt;0,TblTech[[#This Row],[Hour]:[Hour]]&gt;=BJ$2),1,0)</f>
        <v>0</v>
      </c>
      <c r="BK111" s="298" cm="1">
        <f t="array" ref="BK111">IF(AND(BK$2&lt;&gt;0,TblTech[[#This Row],[Hour]:[Hour]]&gt;=BK$2),1,0)</f>
        <v>0</v>
      </c>
      <c r="BL111" s="298" cm="1">
        <f t="array" ref="BL111">IF(AND(BL$2&lt;&gt;0,TblTech[[#This Row],[Hour]:[Hour]]&gt;=BL$2),1,0)</f>
        <v>0</v>
      </c>
      <c r="BM111" s="298" cm="1">
        <f t="array" ref="BM111">IF(AND(BM$2&lt;&gt;0,TblTech[[#This Row],[Hour]:[Hour]]&gt;=BM$2),1,0)</f>
        <v>0</v>
      </c>
      <c r="BN111" s="298" cm="1">
        <f t="array" ref="BN111">IF(AND(BN$2&lt;&gt;0,TblTech[[#This Row],[Hour]:[Hour]]&gt;=BN$2),1,0)</f>
        <v>0</v>
      </c>
      <c r="BO111" s="298" cm="1">
        <f t="array" ref="BO111">IF(AND(BO$2&lt;&gt;0,TblTech[[#This Row],[Hour]:[Hour]]&gt;=BO$2),1,0)</f>
        <v>0</v>
      </c>
      <c r="BP111" s="298" cm="1">
        <f t="array" ref="BP111">IF(AND(BP$2&lt;&gt;0,TblTech[[#This Row],[Hour]:[Hour]]&gt;=BP$2),1,0)</f>
        <v>0</v>
      </c>
      <c r="BQ111" s="298" cm="1">
        <f t="array" ref="BQ111">IF(AND(BQ$2&lt;&gt;0,TblTech[[#This Row],[Hour]:[Hour]]&gt;=BQ$2),1,0)</f>
        <v>0</v>
      </c>
      <c r="BR111" s="298" cm="1">
        <f t="array" ref="BR111">IF(AND(BR$2&lt;&gt;0,TblTech[[#This Row],[Hour]:[Hour]]&gt;=BR$2),1,0)</f>
        <v>0</v>
      </c>
      <c r="BS111" s="298" cm="1">
        <f t="array" ref="BS111">IF(AND(BS$2&lt;&gt;0,TblTech[[#This Row],[Hour]:[Hour]]&gt;=BS$2),1,0)</f>
        <v>0</v>
      </c>
      <c r="BT111" s="298" cm="1">
        <f t="array" ref="BT111">IF(AND(BT$2&lt;&gt;0,TblTech[[#This Row],[Hour]:[Hour]]&gt;=BT$2),1,0)</f>
        <v>0</v>
      </c>
      <c r="BU111" s="298" cm="1">
        <f t="array" ref="BU111">IF(AND(BU$2&lt;&gt;0,TblTech[[#This Row],[Hour]:[Hour]]&gt;=BU$2),1,0)</f>
        <v>0</v>
      </c>
      <c r="BV111" s="298" cm="1">
        <f t="array" ref="BV111">IF(AND(BV$2&lt;&gt;0,TblTech[[#This Row],[Hour]:[Hour]]&gt;=BV$2),1,0)</f>
        <v>0</v>
      </c>
      <c r="BW111" s="298" cm="1">
        <f t="array" ref="BW111">IF(AND(BW$2&lt;&gt;0,TblTech[[#This Row],[Hour]:[Hour]]&gt;=BW$2),1,0)</f>
        <v>0</v>
      </c>
      <c r="BX111" s="298" cm="1">
        <f t="array" ref="BX111">IF(AND(BX$2&lt;&gt;0,TblTech[[#This Row],[Hour]:[Hour]]&gt;=BX$2),1,0)</f>
        <v>0</v>
      </c>
      <c r="BY111" s="298" cm="1">
        <f t="array" ref="BY111">IF(AND(BY$2&lt;&gt;0,TblTech[[#This Row],[Hour]:[Hour]]&gt;=BY$2),1,0)</f>
        <v>0</v>
      </c>
      <c r="BZ111" s="298" cm="1">
        <f t="array" ref="BZ111">IF(AND(BZ$2&lt;&gt;0,TblTech[[#This Row],[Hour]:[Hour]]&gt;=BZ$2),1,0)</f>
        <v>0</v>
      </c>
      <c r="CA111" s="402">
        <f>IFERROR(INDEX($H$4:$H$79,MATCH(INDEX(TblTech[[#Headers],[1-1]:[11-1]],1,MATCH(TblTech[[#This Row],[Hour]],$M$2:$BZ$2,0)),$G$4:$G$79,0)),)</f>
        <v>0</v>
      </c>
    </row>
    <row r="112" spans="1:79" x14ac:dyDescent="0.2">
      <c r="A112" s="290">
        <f>TblRezone[[#This Row],[Hour]]</f>
        <v>109</v>
      </c>
      <c r="B112" s="291">
        <f ca="1">TblExplore[[#This Row],[Land-DB]]</f>
        <v>250</v>
      </c>
      <c r="C112" s="292">
        <f ca="1">TblProd[[#This Row],[Techpoints]]</f>
        <v>0</v>
      </c>
      <c r="D112" s="292">
        <f ca="1">TblProd[[#This Row],[Required]]</f>
        <v>3750</v>
      </c>
      <c r="E112" s="301"/>
      <c r="F112" s="302"/>
      <c r="G112" s="295"/>
      <c r="H112" s="296"/>
      <c r="I112" s="296"/>
      <c r="J112" s="296"/>
      <c r="K112" s="95">
        <f ca="1">IF(TblTech[[#This Row],[Sum of tech]]&lt;&gt;OFFSET(TblTech[[#This Row],[Sum of tech]],-1,0),1,0)</f>
        <v>0</v>
      </c>
      <c r="L112" s="297">
        <f>COUNTIF(TblTech[[#This Row],[1-1]:[11-1]],1)</f>
        <v>0</v>
      </c>
      <c r="M112" s="298" cm="1">
        <f t="array" ref="M112">IF(AND(M$2&lt;&gt;0,TblTech[[#This Row],[Hour]:[Hour]]&gt;=M$2),1,0)</f>
        <v>0</v>
      </c>
      <c r="N112" s="298" cm="1">
        <f t="array" ref="N112">IF(AND(N$2&lt;&gt;0,TblTech[[#This Row],[Hour]:[Hour]]&gt;=N$2),1,0)</f>
        <v>0</v>
      </c>
      <c r="O112" s="298" cm="1">
        <f t="array" ref="O112">IF(AND(O$2&lt;&gt;0,TblTech[[#This Row],[Hour]:[Hour]]&gt;=O$2),1,0)</f>
        <v>0</v>
      </c>
      <c r="P112" s="298" cm="1">
        <f t="array" ref="P112">IF(AND(P$2&lt;&gt;0,TblTech[[#This Row],[Hour]:[Hour]]&gt;=P$2),1,0)</f>
        <v>0</v>
      </c>
      <c r="Q112" s="298" cm="1">
        <f t="array" ref="Q112">IF(AND(Q$2&lt;&gt;0,TblTech[[#This Row],[Hour]:[Hour]]&gt;=Q$2),1,0)</f>
        <v>0</v>
      </c>
      <c r="R112" s="298" cm="1">
        <f t="array" ref="R112">IF(AND(R$2&lt;&gt;0,TblTech[[#This Row],[Hour]:[Hour]]&gt;=R$2),1,0)</f>
        <v>0</v>
      </c>
      <c r="S112" s="298" cm="1">
        <f t="array" ref="S112">IF(AND(S$2&lt;&gt;0,TblTech[[#This Row],[Hour]:[Hour]]&gt;=S$2),1,0)</f>
        <v>0</v>
      </c>
      <c r="T112" s="298" cm="1">
        <f t="array" ref="T112">IF(AND(T$2&lt;&gt;0,TblTech[[#This Row],[Hour]:[Hour]]&gt;=T$2),1,0)</f>
        <v>0</v>
      </c>
      <c r="U112" s="298" cm="1">
        <f t="array" ref="U112">IF(AND(U$2&lt;&gt;0,TblTech[[#This Row],[Hour]:[Hour]]&gt;=U$2),1,0)</f>
        <v>0</v>
      </c>
      <c r="V112" s="298" cm="1">
        <f t="array" ref="V112">IF(AND(V$2&lt;&gt;0,TblTech[[#This Row],[Hour]:[Hour]]&gt;=V$2),1,0)</f>
        <v>0</v>
      </c>
      <c r="W112" s="298" cm="1">
        <f t="array" ref="W112">IF(AND(W$2&lt;&gt;0,TblTech[[#This Row],[Hour]:[Hour]]&gt;=W$2),1,0)</f>
        <v>0</v>
      </c>
      <c r="X112" s="298" cm="1">
        <f t="array" ref="X112">IF(AND(X$2&lt;&gt;0,TblTech[[#This Row],[Hour]:[Hour]]&gt;=X$2),1,0)</f>
        <v>0</v>
      </c>
      <c r="Y112" s="298" cm="1">
        <f t="array" ref="Y112">IF(AND(Y$2&lt;&gt;0,TblTech[[#This Row],[Hour]:[Hour]]&gt;=Y$2),1,0)</f>
        <v>0</v>
      </c>
      <c r="Z112" s="298" cm="1">
        <f t="array" ref="Z112">IF(AND(Z$2&lt;&gt;0,TblTech[[#This Row],[Hour]:[Hour]]&gt;=Z$2),1,0)</f>
        <v>0</v>
      </c>
      <c r="AA112" s="298" cm="1">
        <f t="array" ref="AA112">IF(AND(AA$2&lt;&gt;0,TblTech[[#This Row],[Hour]:[Hour]]&gt;=AA$2),1,0)</f>
        <v>0</v>
      </c>
      <c r="AB112" s="298" cm="1">
        <f t="array" ref="AB112">IF(AND(AB$2&lt;&gt;0,TblTech[[#This Row],[Hour]:[Hour]]&gt;=AB$2),1,0)</f>
        <v>0</v>
      </c>
      <c r="AC112" s="298" cm="1">
        <f t="array" ref="AC112">IF(AND(AC$2&lt;&gt;0,TblTech[[#This Row],[Hour]:[Hour]]&gt;=AC$2),1,0)</f>
        <v>0</v>
      </c>
      <c r="AD112" s="298" cm="1">
        <f t="array" ref="AD112">IF(AND(AD$2&lt;&gt;0,TblTech[[#This Row],[Hour]:[Hour]]&gt;=AD$2),1,0)</f>
        <v>0</v>
      </c>
      <c r="AE112" s="298" cm="1">
        <f t="array" ref="AE112">IF(AND(AE$2&lt;&gt;0,TblTech[[#This Row],[Hour]:[Hour]]&gt;=AE$2),1,0)</f>
        <v>0</v>
      </c>
      <c r="AF112" s="298" cm="1">
        <f t="array" ref="AF112">IF(AND(AF$2&lt;&gt;0,TblTech[[#This Row],[Hour]:[Hour]]&gt;=AF$2),1,0)</f>
        <v>0</v>
      </c>
      <c r="AG112" s="298" cm="1">
        <f t="array" ref="AG112">IF(AND(AG$2&lt;&gt;0,TblTech[[#This Row],[Hour]:[Hour]]&gt;=AG$2),1,0)</f>
        <v>0</v>
      </c>
      <c r="AH112" s="298" cm="1">
        <f t="array" ref="AH112">IF(AND(AH$2&lt;&gt;0,TblTech[[#This Row],[Hour]:[Hour]]&gt;=AH$2),1,0)</f>
        <v>0</v>
      </c>
      <c r="AI112" s="298" cm="1">
        <f t="array" ref="AI112">IF(AND(AI$2&lt;&gt;0,TblTech[[#This Row],[Hour]:[Hour]]&gt;=AI$2),1,0)</f>
        <v>0</v>
      </c>
      <c r="AJ112" s="298" cm="1">
        <f t="array" ref="AJ112">IF(AND(AJ$2&lt;&gt;0,TblTech[[#This Row],[Hour]:[Hour]]&gt;=AJ$2),1,0)</f>
        <v>0</v>
      </c>
      <c r="AK112" s="298" cm="1">
        <f t="array" ref="AK112">IF(AND(AK$2&lt;&gt;0,TblTech[[#This Row],[Hour]:[Hour]]&gt;=AK$2),1,0)</f>
        <v>0</v>
      </c>
      <c r="AL112" s="298" cm="1">
        <f t="array" ref="AL112">IF(AND(AL$2&lt;&gt;0,TblTech[[#This Row],[Hour]:[Hour]]&gt;=AL$2),1,0)</f>
        <v>0</v>
      </c>
      <c r="AM112" s="298" cm="1">
        <f t="array" ref="AM112">IF(AND(AM$2&lt;&gt;0,TblTech[[#This Row],[Hour]:[Hour]]&gt;=AM$2),1,0)</f>
        <v>0</v>
      </c>
      <c r="AN112" s="298" cm="1">
        <f t="array" ref="AN112">IF(AND(AN$2&lt;&gt;0,TblTech[[#This Row],[Hour]:[Hour]]&gt;=AN$2),1,0)</f>
        <v>0</v>
      </c>
      <c r="AO112" s="298" cm="1">
        <f t="array" ref="AO112">IF(AND(AO$2&lt;&gt;0,TblTech[[#This Row],[Hour]:[Hour]]&gt;=AO$2),1,0)</f>
        <v>0</v>
      </c>
      <c r="AP112" s="298" cm="1">
        <f t="array" ref="AP112">IF(AND(AP$2&lt;&gt;0,TblTech[[#This Row],[Hour]:[Hour]]&gt;=AP$2),1,0)</f>
        <v>0</v>
      </c>
      <c r="AQ112" s="298" cm="1">
        <f t="array" ref="AQ112">IF(AND(AQ$2&lt;&gt;0,TblTech[[#This Row],[Hour]:[Hour]]&gt;=AQ$2),1,0)</f>
        <v>0</v>
      </c>
      <c r="AR112" s="298" cm="1">
        <f t="array" ref="AR112">IF(AND(AR$2&lt;&gt;0,TblTech[[#This Row],[Hour]:[Hour]]&gt;=AR$2),1,0)</f>
        <v>0</v>
      </c>
      <c r="AS112" s="298" cm="1">
        <f t="array" ref="AS112">IF(AND(AS$2&lt;&gt;0,TblTech[[#This Row],[Hour]:[Hour]]&gt;=AS$2),1,0)</f>
        <v>0</v>
      </c>
      <c r="AT112" s="298" cm="1">
        <f t="array" ref="AT112">IF(AND(AT$2&lt;&gt;0,TblTech[[#This Row],[Hour]:[Hour]]&gt;=AT$2),1,0)</f>
        <v>0</v>
      </c>
      <c r="AU112" s="298" cm="1">
        <f t="array" ref="AU112">IF(AND(AU$2&lt;&gt;0,TblTech[[#This Row],[Hour]:[Hour]]&gt;=AU$2),1,0)</f>
        <v>0</v>
      </c>
      <c r="AV112" s="298" cm="1">
        <f t="array" ref="AV112">IF(AND(AV$2&lt;&gt;0,TblTech[[#This Row],[Hour]:[Hour]]&gt;=AV$2),1,0)</f>
        <v>0</v>
      </c>
      <c r="AW112" s="298" cm="1">
        <f t="array" ref="AW112">IF(AND(AW$2&lt;&gt;0,TblTech[[#This Row],[Hour]:[Hour]]&gt;=AW$2),1,0)</f>
        <v>0</v>
      </c>
      <c r="AX112" s="298" cm="1">
        <f t="array" ref="AX112">IF(AND(AX$2&lt;&gt;0,TblTech[[#This Row],[Hour]:[Hour]]&gt;=AX$2),1,0)</f>
        <v>0</v>
      </c>
      <c r="AY112" s="298" cm="1">
        <f t="array" ref="AY112">IF(AND(AY$2&lt;&gt;0,TblTech[[#This Row],[Hour]:[Hour]]&gt;=AY$2),1,0)</f>
        <v>0</v>
      </c>
      <c r="AZ112" s="298" cm="1">
        <f t="array" ref="AZ112">IF(AND(AZ$2&lt;&gt;0,TblTech[[#This Row],[Hour]:[Hour]]&gt;=AZ$2),1,0)</f>
        <v>0</v>
      </c>
      <c r="BA112" s="298" cm="1">
        <f t="array" ref="BA112">IF(AND(BA$2&lt;&gt;0,TblTech[[#This Row],[Hour]:[Hour]]&gt;=BA$2),1,0)</f>
        <v>0</v>
      </c>
      <c r="BB112" s="298" cm="1">
        <f t="array" ref="BB112">IF(AND(BB$2&lt;&gt;0,TblTech[[#This Row],[Hour]:[Hour]]&gt;=BB$2),1,0)</f>
        <v>0</v>
      </c>
      <c r="BC112" s="298" cm="1">
        <f t="array" ref="BC112">IF(AND(BC$2&lt;&gt;0,TblTech[[#This Row],[Hour]:[Hour]]&gt;=BC$2),1,0)</f>
        <v>0</v>
      </c>
      <c r="BD112" s="298" cm="1">
        <f t="array" ref="BD112">IF(AND(BD$2&lt;&gt;0,TblTech[[#This Row],[Hour]:[Hour]]&gt;=BD$2),1,0)</f>
        <v>0</v>
      </c>
      <c r="BE112" s="298" cm="1">
        <f t="array" ref="BE112">IF(AND(BE$2&lt;&gt;0,TblTech[[#This Row],[Hour]:[Hour]]&gt;=BE$2),1,0)</f>
        <v>0</v>
      </c>
      <c r="BF112" s="298" cm="1">
        <f t="array" ref="BF112">IF(AND(BF$2&lt;&gt;0,TblTech[[#This Row],[Hour]:[Hour]]&gt;=BF$2),1,0)</f>
        <v>0</v>
      </c>
      <c r="BG112" s="298" cm="1">
        <f t="array" ref="BG112">IF(AND(BG$2&lt;&gt;0,TblTech[[#This Row],[Hour]:[Hour]]&gt;=BG$2),1,0)</f>
        <v>0</v>
      </c>
      <c r="BH112" s="298" cm="1">
        <f t="array" ref="BH112">IF(AND(BH$2&lt;&gt;0,TblTech[[#This Row],[Hour]:[Hour]]&gt;=BH$2),1,0)</f>
        <v>0</v>
      </c>
      <c r="BI112" s="298" cm="1">
        <f t="array" ref="BI112">IF(AND(BI$2&lt;&gt;0,TblTech[[#This Row],[Hour]:[Hour]]&gt;=BI$2),1,0)</f>
        <v>0</v>
      </c>
      <c r="BJ112" s="298" cm="1">
        <f t="array" ref="BJ112">IF(AND(BJ$2&lt;&gt;0,TblTech[[#This Row],[Hour]:[Hour]]&gt;=BJ$2),1,0)</f>
        <v>0</v>
      </c>
      <c r="BK112" s="298" cm="1">
        <f t="array" ref="BK112">IF(AND(BK$2&lt;&gt;0,TblTech[[#This Row],[Hour]:[Hour]]&gt;=BK$2),1,0)</f>
        <v>0</v>
      </c>
      <c r="BL112" s="298" cm="1">
        <f t="array" ref="BL112">IF(AND(BL$2&lt;&gt;0,TblTech[[#This Row],[Hour]:[Hour]]&gt;=BL$2),1,0)</f>
        <v>0</v>
      </c>
      <c r="BM112" s="298" cm="1">
        <f t="array" ref="BM112">IF(AND(BM$2&lt;&gt;0,TblTech[[#This Row],[Hour]:[Hour]]&gt;=BM$2),1,0)</f>
        <v>0</v>
      </c>
      <c r="BN112" s="298" cm="1">
        <f t="array" ref="BN112">IF(AND(BN$2&lt;&gt;0,TblTech[[#This Row],[Hour]:[Hour]]&gt;=BN$2),1,0)</f>
        <v>0</v>
      </c>
      <c r="BO112" s="298" cm="1">
        <f t="array" ref="BO112">IF(AND(BO$2&lt;&gt;0,TblTech[[#This Row],[Hour]:[Hour]]&gt;=BO$2),1,0)</f>
        <v>0</v>
      </c>
      <c r="BP112" s="298" cm="1">
        <f t="array" ref="BP112">IF(AND(BP$2&lt;&gt;0,TblTech[[#This Row],[Hour]:[Hour]]&gt;=BP$2),1,0)</f>
        <v>0</v>
      </c>
      <c r="BQ112" s="298" cm="1">
        <f t="array" ref="BQ112">IF(AND(BQ$2&lt;&gt;0,TblTech[[#This Row],[Hour]:[Hour]]&gt;=BQ$2),1,0)</f>
        <v>0</v>
      </c>
      <c r="BR112" s="298" cm="1">
        <f t="array" ref="BR112">IF(AND(BR$2&lt;&gt;0,TblTech[[#This Row],[Hour]:[Hour]]&gt;=BR$2),1,0)</f>
        <v>0</v>
      </c>
      <c r="BS112" s="298" cm="1">
        <f t="array" ref="BS112">IF(AND(BS$2&lt;&gt;0,TblTech[[#This Row],[Hour]:[Hour]]&gt;=BS$2),1,0)</f>
        <v>0</v>
      </c>
      <c r="BT112" s="298" cm="1">
        <f t="array" ref="BT112">IF(AND(BT$2&lt;&gt;0,TblTech[[#This Row],[Hour]:[Hour]]&gt;=BT$2),1,0)</f>
        <v>0</v>
      </c>
      <c r="BU112" s="298" cm="1">
        <f t="array" ref="BU112">IF(AND(BU$2&lt;&gt;0,TblTech[[#This Row],[Hour]:[Hour]]&gt;=BU$2),1,0)</f>
        <v>0</v>
      </c>
      <c r="BV112" s="298" cm="1">
        <f t="array" ref="BV112">IF(AND(BV$2&lt;&gt;0,TblTech[[#This Row],[Hour]:[Hour]]&gt;=BV$2),1,0)</f>
        <v>0</v>
      </c>
      <c r="BW112" s="298" cm="1">
        <f t="array" ref="BW112">IF(AND(BW$2&lt;&gt;0,TblTech[[#This Row],[Hour]:[Hour]]&gt;=BW$2),1,0)</f>
        <v>0</v>
      </c>
      <c r="BX112" s="298" cm="1">
        <f t="array" ref="BX112">IF(AND(BX$2&lt;&gt;0,TblTech[[#This Row],[Hour]:[Hour]]&gt;=BX$2),1,0)</f>
        <v>0</v>
      </c>
      <c r="BY112" s="298" cm="1">
        <f t="array" ref="BY112">IF(AND(BY$2&lt;&gt;0,TblTech[[#This Row],[Hour]:[Hour]]&gt;=BY$2),1,0)</f>
        <v>0</v>
      </c>
      <c r="BZ112" s="298" cm="1">
        <f t="array" ref="BZ112">IF(AND(BZ$2&lt;&gt;0,TblTech[[#This Row],[Hour]:[Hour]]&gt;=BZ$2),1,0)</f>
        <v>0</v>
      </c>
      <c r="CA112" s="402">
        <f>IFERROR(INDEX($H$4:$H$79,MATCH(INDEX(TblTech[[#Headers],[1-1]:[11-1]],1,MATCH(TblTech[[#This Row],[Hour]],$M$2:$BZ$2,0)),$G$4:$G$79,0)),)</f>
        <v>0</v>
      </c>
    </row>
    <row r="113" spans="1:79" x14ac:dyDescent="0.2">
      <c r="A113" s="290">
        <f>TblRezone[[#This Row],[Hour]]</f>
        <v>110</v>
      </c>
      <c r="B113" s="291">
        <f ca="1">TblExplore[[#This Row],[Land-DB]]</f>
        <v>250</v>
      </c>
      <c r="C113" s="292">
        <f ca="1">TblProd[[#This Row],[Techpoints]]</f>
        <v>0</v>
      </c>
      <c r="D113" s="292">
        <f ca="1">TblProd[[#This Row],[Required]]</f>
        <v>3750</v>
      </c>
      <c r="E113" s="301"/>
      <c r="F113" s="302"/>
      <c r="G113" s="295"/>
      <c r="H113" s="296"/>
      <c r="I113" s="296"/>
      <c r="J113" s="296"/>
      <c r="K113" s="95">
        <f ca="1">IF(TblTech[[#This Row],[Sum of tech]]&lt;&gt;OFFSET(TblTech[[#This Row],[Sum of tech]],-1,0),1,0)</f>
        <v>0</v>
      </c>
      <c r="L113" s="297">
        <f>COUNTIF(TblTech[[#This Row],[1-1]:[11-1]],1)</f>
        <v>0</v>
      </c>
      <c r="M113" s="298" cm="1">
        <f t="array" ref="M113">IF(AND(M$2&lt;&gt;0,TblTech[[#This Row],[Hour]:[Hour]]&gt;=M$2),1,0)</f>
        <v>0</v>
      </c>
      <c r="N113" s="298" cm="1">
        <f t="array" ref="N113">IF(AND(N$2&lt;&gt;0,TblTech[[#This Row],[Hour]:[Hour]]&gt;=N$2),1,0)</f>
        <v>0</v>
      </c>
      <c r="O113" s="298" cm="1">
        <f t="array" ref="O113">IF(AND(O$2&lt;&gt;0,TblTech[[#This Row],[Hour]:[Hour]]&gt;=O$2),1,0)</f>
        <v>0</v>
      </c>
      <c r="P113" s="298" cm="1">
        <f t="array" ref="P113">IF(AND(P$2&lt;&gt;0,TblTech[[#This Row],[Hour]:[Hour]]&gt;=P$2),1,0)</f>
        <v>0</v>
      </c>
      <c r="Q113" s="298" cm="1">
        <f t="array" ref="Q113">IF(AND(Q$2&lt;&gt;0,TblTech[[#This Row],[Hour]:[Hour]]&gt;=Q$2),1,0)</f>
        <v>0</v>
      </c>
      <c r="R113" s="298" cm="1">
        <f t="array" ref="R113">IF(AND(R$2&lt;&gt;0,TblTech[[#This Row],[Hour]:[Hour]]&gt;=R$2),1,0)</f>
        <v>0</v>
      </c>
      <c r="S113" s="298" cm="1">
        <f t="array" ref="S113">IF(AND(S$2&lt;&gt;0,TblTech[[#This Row],[Hour]:[Hour]]&gt;=S$2),1,0)</f>
        <v>0</v>
      </c>
      <c r="T113" s="298" cm="1">
        <f t="array" ref="T113">IF(AND(T$2&lt;&gt;0,TblTech[[#This Row],[Hour]:[Hour]]&gt;=T$2),1,0)</f>
        <v>0</v>
      </c>
      <c r="U113" s="298" cm="1">
        <f t="array" ref="U113">IF(AND(U$2&lt;&gt;0,TblTech[[#This Row],[Hour]:[Hour]]&gt;=U$2),1,0)</f>
        <v>0</v>
      </c>
      <c r="V113" s="298" cm="1">
        <f t="array" ref="V113">IF(AND(V$2&lt;&gt;0,TblTech[[#This Row],[Hour]:[Hour]]&gt;=V$2),1,0)</f>
        <v>0</v>
      </c>
      <c r="W113" s="298" cm="1">
        <f t="array" ref="W113">IF(AND(W$2&lt;&gt;0,TblTech[[#This Row],[Hour]:[Hour]]&gt;=W$2),1,0)</f>
        <v>0</v>
      </c>
      <c r="X113" s="298" cm="1">
        <f t="array" ref="X113">IF(AND(X$2&lt;&gt;0,TblTech[[#This Row],[Hour]:[Hour]]&gt;=X$2),1,0)</f>
        <v>0</v>
      </c>
      <c r="Y113" s="298" cm="1">
        <f t="array" ref="Y113">IF(AND(Y$2&lt;&gt;0,TblTech[[#This Row],[Hour]:[Hour]]&gt;=Y$2),1,0)</f>
        <v>0</v>
      </c>
      <c r="Z113" s="298" cm="1">
        <f t="array" ref="Z113">IF(AND(Z$2&lt;&gt;0,TblTech[[#This Row],[Hour]:[Hour]]&gt;=Z$2),1,0)</f>
        <v>0</v>
      </c>
      <c r="AA113" s="298" cm="1">
        <f t="array" ref="AA113">IF(AND(AA$2&lt;&gt;0,TblTech[[#This Row],[Hour]:[Hour]]&gt;=AA$2),1,0)</f>
        <v>0</v>
      </c>
      <c r="AB113" s="298" cm="1">
        <f t="array" ref="AB113">IF(AND(AB$2&lt;&gt;0,TblTech[[#This Row],[Hour]:[Hour]]&gt;=AB$2),1,0)</f>
        <v>0</v>
      </c>
      <c r="AC113" s="298" cm="1">
        <f t="array" ref="AC113">IF(AND(AC$2&lt;&gt;0,TblTech[[#This Row],[Hour]:[Hour]]&gt;=AC$2),1,0)</f>
        <v>0</v>
      </c>
      <c r="AD113" s="298" cm="1">
        <f t="array" ref="AD113">IF(AND(AD$2&lt;&gt;0,TblTech[[#This Row],[Hour]:[Hour]]&gt;=AD$2),1,0)</f>
        <v>0</v>
      </c>
      <c r="AE113" s="298" cm="1">
        <f t="array" ref="AE113">IF(AND(AE$2&lt;&gt;0,TblTech[[#This Row],[Hour]:[Hour]]&gt;=AE$2),1,0)</f>
        <v>0</v>
      </c>
      <c r="AF113" s="298" cm="1">
        <f t="array" ref="AF113">IF(AND(AF$2&lt;&gt;0,TblTech[[#This Row],[Hour]:[Hour]]&gt;=AF$2),1,0)</f>
        <v>0</v>
      </c>
      <c r="AG113" s="298" cm="1">
        <f t="array" ref="AG113">IF(AND(AG$2&lt;&gt;0,TblTech[[#This Row],[Hour]:[Hour]]&gt;=AG$2),1,0)</f>
        <v>0</v>
      </c>
      <c r="AH113" s="298" cm="1">
        <f t="array" ref="AH113">IF(AND(AH$2&lt;&gt;0,TblTech[[#This Row],[Hour]:[Hour]]&gt;=AH$2),1,0)</f>
        <v>0</v>
      </c>
      <c r="AI113" s="298" cm="1">
        <f t="array" ref="AI113">IF(AND(AI$2&lt;&gt;0,TblTech[[#This Row],[Hour]:[Hour]]&gt;=AI$2),1,0)</f>
        <v>0</v>
      </c>
      <c r="AJ113" s="298" cm="1">
        <f t="array" ref="AJ113">IF(AND(AJ$2&lt;&gt;0,TblTech[[#This Row],[Hour]:[Hour]]&gt;=AJ$2),1,0)</f>
        <v>0</v>
      </c>
      <c r="AK113" s="298" cm="1">
        <f t="array" ref="AK113">IF(AND(AK$2&lt;&gt;0,TblTech[[#This Row],[Hour]:[Hour]]&gt;=AK$2),1,0)</f>
        <v>0</v>
      </c>
      <c r="AL113" s="298" cm="1">
        <f t="array" ref="AL113">IF(AND(AL$2&lt;&gt;0,TblTech[[#This Row],[Hour]:[Hour]]&gt;=AL$2),1,0)</f>
        <v>0</v>
      </c>
      <c r="AM113" s="298" cm="1">
        <f t="array" ref="AM113">IF(AND(AM$2&lt;&gt;0,TblTech[[#This Row],[Hour]:[Hour]]&gt;=AM$2),1,0)</f>
        <v>0</v>
      </c>
      <c r="AN113" s="298" cm="1">
        <f t="array" ref="AN113">IF(AND(AN$2&lt;&gt;0,TblTech[[#This Row],[Hour]:[Hour]]&gt;=AN$2),1,0)</f>
        <v>0</v>
      </c>
      <c r="AO113" s="298" cm="1">
        <f t="array" ref="AO113">IF(AND(AO$2&lt;&gt;0,TblTech[[#This Row],[Hour]:[Hour]]&gt;=AO$2),1,0)</f>
        <v>0</v>
      </c>
      <c r="AP113" s="298" cm="1">
        <f t="array" ref="AP113">IF(AND(AP$2&lt;&gt;0,TblTech[[#This Row],[Hour]:[Hour]]&gt;=AP$2),1,0)</f>
        <v>0</v>
      </c>
      <c r="AQ113" s="298" cm="1">
        <f t="array" ref="AQ113">IF(AND(AQ$2&lt;&gt;0,TblTech[[#This Row],[Hour]:[Hour]]&gt;=AQ$2),1,0)</f>
        <v>0</v>
      </c>
      <c r="AR113" s="298" cm="1">
        <f t="array" ref="AR113">IF(AND(AR$2&lt;&gt;0,TblTech[[#This Row],[Hour]:[Hour]]&gt;=AR$2),1,0)</f>
        <v>0</v>
      </c>
      <c r="AS113" s="298" cm="1">
        <f t="array" ref="AS113">IF(AND(AS$2&lt;&gt;0,TblTech[[#This Row],[Hour]:[Hour]]&gt;=AS$2),1,0)</f>
        <v>0</v>
      </c>
      <c r="AT113" s="298" cm="1">
        <f t="array" ref="AT113">IF(AND(AT$2&lt;&gt;0,TblTech[[#This Row],[Hour]:[Hour]]&gt;=AT$2),1,0)</f>
        <v>0</v>
      </c>
      <c r="AU113" s="298" cm="1">
        <f t="array" ref="AU113">IF(AND(AU$2&lt;&gt;0,TblTech[[#This Row],[Hour]:[Hour]]&gt;=AU$2),1,0)</f>
        <v>0</v>
      </c>
      <c r="AV113" s="298" cm="1">
        <f t="array" ref="AV113">IF(AND(AV$2&lt;&gt;0,TblTech[[#This Row],[Hour]:[Hour]]&gt;=AV$2),1,0)</f>
        <v>0</v>
      </c>
      <c r="AW113" s="298" cm="1">
        <f t="array" ref="AW113">IF(AND(AW$2&lt;&gt;0,TblTech[[#This Row],[Hour]:[Hour]]&gt;=AW$2),1,0)</f>
        <v>0</v>
      </c>
      <c r="AX113" s="298" cm="1">
        <f t="array" ref="AX113">IF(AND(AX$2&lt;&gt;0,TblTech[[#This Row],[Hour]:[Hour]]&gt;=AX$2),1,0)</f>
        <v>0</v>
      </c>
      <c r="AY113" s="298" cm="1">
        <f t="array" ref="AY113">IF(AND(AY$2&lt;&gt;0,TblTech[[#This Row],[Hour]:[Hour]]&gt;=AY$2),1,0)</f>
        <v>0</v>
      </c>
      <c r="AZ113" s="298" cm="1">
        <f t="array" ref="AZ113">IF(AND(AZ$2&lt;&gt;0,TblTech[[#This Row],[Hour]:[Hour]]&gt;=AZ$2),1,0)</f>
        <v>0</v>
      </c>
      <c r="BA113" s="298" cm="1">
        <f t="array" ref="BA113">IF(AND(BA$2&lt;&gt;0,TblTech[[#This Row],[Hour]:[Hour]]&gt;=BA$2),1,0)</f>
        <v>0</v>
      </c>
      <c r="BB113" s="298" cm="1">
        <f t="array" ref="BB113">IF(AND(BB$2&lt;&gt;0,TblTech[[#This Row],[Hour]:[Hour]]&gt;=BB$2),1,0)</f>
        <v>0</v>
      </c>
      <c r="BC113" s="298" cm="1">
        <f t="array" ref="BC113">IF(AND(BC$2&lt;&gt;0,TblTech[[#This Row],[Hour]:[Hour]]&gt;=BC$2),1,0)</f>
        <v>0</v>
      </c>
      <c r="BD113" s="298" cm="1">
        <f t="array" ref="BD113">IF(AND(BD$2&lt;&gt;0,TblTech[[#This Row],[Hour]:[Hour]]&gt;=BD$2),1,0)</f>
        <v>0</v>
      </c>
      <c r="BE113" s="298" cm="1">
        <f t="array" ref="BE113">IF(AND(BE$2&lt;&gt;0,TblTech[[#This Row],[Hour]:[Hour]]&gt;=BE$2),1,0)</f>
        <v>0</v>
      </c>
      <c r="BF113" s="298" cm="1">
        <f t="array" ref="BF113">IF(AND(BF$2&lt;&gt;0,TblTech[[#This Row],[Hour]:[Hour]]&gt;=BF$2),1,0)</f>
        <v>0</v>
      </c>
      <c r="BG113" s="298" cm="1">
        <f t="array" ref="BG113">IF(AND(BG$2&lt;&gt;0,TblTech[[#This Row],[Hour]:[Hour]]&gt;=BG$2),1,0)</f>
        <v>0</v>
      </c>
      <c r="BH113" s="298" cm="1">
        <f t="array" ref="BH113">IF(AND(BH$2&lt;&gt;0,TblTech[[#This Row],[Hour]:[Hour]]&gt;=BH$2),1,0)</f>
        <v>0</v>
      </c>
      <c r="BI113" s="298" cm="1">
        <f t="array" ref="BI113">IF(AND(BI$2&lt;&gt;0,TblTech[[#This Row],[Hour]:[Hour]]&gt;=BI$2),1,0)</f>
        <v>0</v>
      </c>
      <c r="BJ113" s="298" cm="1">
        <f t="array" ref="BJ113">IF(AND(BJ$2&lt;&gt;0,TblTech[[#This Row],[Hour]:[Hour]]&gt;=BJ$2),1,0)</f>
        <v>0</v>
      </c>
      <c r="BK113" s="298" cm="1">
        <f t="array" ref="BK113">IF(AND(BK$2&lt;&gt;0,TblTech[[#This Row],[Hour]:[Hour]]&gt;=BK$2),1,0)</f>
        <v>0</v>
      </c>
      <c r="BL113" s="298" cm="1">
        <f t="array" ref="BL113">IF(AND(BL$2&lt;&gt;0,TblTech[[#This Row],[Hour]:[Hour]]&gt;=BL$2),1,0)</f>
        <v>0</v>
      </c>
      <c r="BM113" s="298" cm="1">
        <f t="array" ref="BM113">IF(AND(BM$2&lt;&gt;0,TblTech[[#This Row],[Hour]:[Hour]]&gt;=BM$2),1,0)</f>
        <v>0</v>
      </c>
      <c r="BN113" s="298" cm="1">
        <f t="array" ref="BN113">IF(AND(BN$2&lt;&gt;0,TblTech[[#This Row],[Hour]:[Hour]]&gt;=BN$2),1,0)</f>
        <v>0</v>
      </c>
      <c r="BO113" s="298" cm="1">
        <f t="array" ref="BO113">IF(AND(BO$2&lt;&gt;0,TblTech[[#This Row],[Hour]:[Hour]]&gt;=BO$2),1,0)</f>
        <v>0</v>
      </c>
      <c r="BP113" s="298" cm="1">
        <f t="array" ref="BP113">IF(AND(BP$2&lt;&gt;0,TblTech[[#This Row],[Hour]:[Hour]]&gt;=BP$2),1,0)</f>
        <v>0</v>
      </c>
      <c r="BQ113" s="298" cm="1">
        <f t="array" ref="BQ113">IF(AND(BQ$2&lt;&gt;0,TblTech[[#This Row],[Hour]:[Hour]]&gt;=BQ$2),1,0)</f>
        <v>0</v>
      </c>
      <c r="BR113" s="298" cm="1">
        <f t="array" ref="BR113">IF(AND(BR$2&lt;&gt;0,TblTech[[#This Row],[Hour]:[Hour]]&gt;=BR$2),1,0)</f>
        <v>0</v>
      </c>
      <c r="BS113" s="298" cm="1">
        <f t="array" ref="BS113">IF(AND(BS$2&lt;&gt;0,TblTech[[#This Row],[Hour]:[Hour]]&gt;=BS$2),1,0)</f>
        <v>0</v>
      </c>
      <c r="BT113" s="298" cm="1">
        <f t="array" ref="BT113">IF(AND(BT$2&lt;&gt;0,TblTech[[#This Row],[Hour]:[Hour]]&gt;=BT$2),1,0)</f>
        <v>0</v>
      </c>
      <c r="BU113" s="298" cm="1">
        <f t="array" ref="BU113">IF(AND(BU$2&lt;&gt;0,TblTech[[#This Row],[Hour]:[Hour]]&gt;=BU$2),1,0)</f>
        <v>0</v>
      </c>
      <c r="BV113" s="298" cm="1">
        <f t="array" ref="BV113">IF(AND(BV$2&lt;&gt;0,TblTech[[#This Row],[Hour]:[Hour]]&gt;=BV$2),1,0)</f>
        <v>0</v>
      </c>
      <c r="BW113" s="298" cm="1">
        <f t="array" ref="BW113">IF(AND(BW$2&lt;&gt;0,TblTech[[#This Row],[Hour]:[Hour]]&gt;=BW$2),1,0)</f>
        <v>0</v>
      </c>
      <c r="BX113" s="298" cm="1">
        <f t="array" ref="BX113">IF(AND(BX$2&lt;&gt;0,TblTech[[#This Row],[Hour]:[Hour]]&gt;=BX$2),1,0)</f>
        <v>0</v>
      </c>
      <c r="BY113" s="298" cm="1">
        <f t="array" ref="BY113">IF(AND(BY$2&lt;&gt;0,TblTech[[#This Row],[Hour]:[Hour]]&gt;=BY$2),1,0)</f>
        <v>0</v>
      </c>
      <c r="BZ113" s="298" cm="1">
        <f t="array" ref="BZ113">IF(AND(BZ$2&lt;&gt;0,TblTech[[#This Row],[Hour]:[Hour]]&gt;=BZ$2),1,0)</f>
        <v>0</v>
      </c>
      <c r="CA113" s="402">
        <f>IFERROR(INDEX($H$4:$H$79,MATCH(INDEX(TblTech[[#Headers],[1-1]:[11-1]],1,MATCH(TblTech[[#This Row],[Hour]],$M$2:$BZ$2,0)),$G$4:$G$79,0)),)</f>
        <v>0</v>
      </c>
    </row>
    <row r="114" spans="1:79" x14ac:dyDescent="0.2">
      <c r="A114" s="290">
        <f>TblRezone[[#This Row],[Hour]]</f>
        <v>111</v>
      </c>
      <c r="B114" s="291">
        <f ca="1">TblExplore[[#This Row],[Land-DB]]</f>
        <v>250</v>
      </c>
      <c r="C114" s="292">
        <f ca="1">TblProd[[#This Row],[Techpoints]]</f>
        <v>0</v>
      </c>
      <c r="D114" s="292">
        <f ca="1">TblProd[[#This Row],[Required]]</f>
        <v>3750</v>
      </c>
      <c r="E114" s="301"/>
      <c r="F114" s="302"/>
      <c r="G114" s="295"/>
      <c r="H114" s="296"/>
      <c r="I114" s="296"/>
      <c r="J114" s="296"/>
      <c r="K114" s="95">
        <f ca="1">IF(TblTech[[#This Row],[Sum of tech]]&lt;&gt;OFFSET(TblTech[[#This Row],[Sum of tech]],-1,0),1,0)</f>
        <v>0</v>
      </c>
      <c r="L114" s="297">
        <f>COUNTIF(TblTech[[#This Row],[1-1]:[11-1]],1)</f>
        <v>0</v>
      </c>
      <c r="M114" s="298" cm="1">
        <f t="array" ref="M114">IF(AND(M$2&lt;&gt;0,TblTech[[#This Row],[Hour]:[Hour]]&gt;=M$2),1,0)</f>
        <v>0</v>
      </c>
      <c r="N114" s="298" cm="1">
        <f t="array" ref="N114">IF(AND(N$2&lt;&gt;0,TblTech[[#This Row],[Hour]:[Hour]]&gt;=N$2),1,0)</f>
        <v>0</v>
      </c>
      <c r="O114" s="298" cm="1">
        <f t="array" ref="O114">IF(AND(O$2&lt;&gt;0,TblTech[[#This Row],[Hour]:[Hour]]&gt;=O$2),1,0)</f>
        <v>0</v>
      </c>
      <c r="P114" s="298" cm="1">
        <f t="array" ref="P114">IF(AND(P$2&lt;&gt;0,TblTech[[#This Row],[Hour]:[Hour]]&gt;=P$2),1,0)</f>
        <v>0</v>
      </c>
      <c r="Q114" s="298" cm="1">
        <f t="array" ref="Q114">IF(AND(Q$2&lt;&gt;0,TblTech[[#This Row],[Hour]:[Hour]]&gt;=Q$2),1,0)</f>
        <v>0</v>
      </c>
      <c r="R114" s="298" cm="1">
        <f t="array" ref="R114">IF(AND(R$2&lt;&gt;0,TblTech[[#This Row],[Hour]:[Hour]]&gt;=R$2),1,0)</f>
        <v>0</v>
      </c>
      <c r="S114" s="298" cm="1">
        <f t="array" ref="S114">IF(AND(S$2&lt;&gt;0,TblTech[[#This Row],[Hour]:[Hour]]&gt;=S$2),1,0)</f>
        <v>0</v>
      </c>
      <c r="T114" s="298" cm="1">
        <f t="array" ref="T114">IF(AND(T$2&lt;&gt;0,TblTech[[#This Row],[Hour]:[Hour]]&gt;=T$2),1,0)</f>
        <v>0</v>
      </c>
      <c r="U114" s="298" cm="1">
        <f t="array" ref="U114">IF(AND(U$2&lt;&gt;0,TblTech[[#This Row],[Hour]:[Hour]]&gt;=U$2),1,0)</f>
        <v>0</v>
      </c>
      <c r="V114" s="298" cm="1">
        <f t="array" ref="V114">IF(AND(V$2&lt;&gt;0,TblTech[[#This Row],[Hour]:[Hour]]&gt;=V$2),1,0)</f>
        <v>0</v>
      </c>
      <c r="W114" s="298" cm="1">
        <f t="array" ref="W114">IF(AND(W$2&lt;&gt;0,TblTech[[#This Row],[Hour]:[Hour]]&gt;=W$2),1,0)</f>
        <v>0</v>
      </c>
      <c r="X114" s="298" cm="1">
        <f t="array" ref="X114">IF(AND(X$2&lt;&gt;0,TblTech[[#This Row],[Hour]:[Hour]]&gt;=X$2),1,0)</f>
        <v>0</v>
      </c>
      <c r="Y114" s="298" cm="1">
        <f t="array" ref="Y114">IF(AND(Y$2&lt;&gt;0,TblTech[[#This Row],[Hour]:[Hour]]&gt;=Y$2),1,0)</f>
        <v>0</v>
      </c>
      <c r="Z114" s="298" cm="1">
        <f t="array" ref="Z114">IF(AND(Z$2&lt;&gt;0,TblTech[[#This Row],[Hour]:[Hour]]&gt;=Z$2),1,0)</f>
        <v>0</v>
      </c>
      <c r="AA114" s="298" cm="1">
        <f t="array" ref="AA114">IF(AND(AA$2&lt;&gt;0,TblTech[[#This Row],[Hour]:[Hour]]&gt;=AA$2),1,0)</f>
        <v>0</v>
      </c>
      <c r="AB114" s="298" cm="1">
        <f t="array" ref="AB114">IF(AND(AB$2&lt;&gt;0,TblTech[[#This Row],[Hour]:[Hour]]&gt;=AB$2),1,0)</f>
        <v>0</v>
      </c>
      <c r="AC114" s="298" cm="1">
        <f t="array" ref="AC114">IF(AND(AC$2&lt;&gt;0,TblTech[[#This Row],[Hour]:[Hour]]&gt;=AC$2),1,0)</f>
        <v>0</v>
      </c>
      <c r="AD114" s="298" cm="1">
        <f t="array" ref="AD114">IF(AND(AD$2&lt;&gt;0,TblTech[[#This Row],[Hour]:[Hour]]&gt;=AD$2),1,0)</f>
        <v>0</v>
      </c>
      <c r="AE114" s="298" cm="1">
        <f t="array" ref="AE114">IF(AND(AE$2&lt;&gt;0,TblTech[[#This Row],[Hour]:[Hour]]&gt;=AE$2),1,0)</f>
        <v>0</v>
      </c>
      <c r="AF114" s="298" cm="1">
        <f t="array" ref="AF114">IF(AND(AF$2&lt;&gt;0,TblTech[[#This Row],[Hour]:[Hour]]&gt;=AF$2),1,0)</f>
        <v>0</v>
      </c>
      <c r="AG114" s="298" cm="1">
        <f t="array" ref="AG114">IF(AND(AG$2&lt;&gt;0,TblTech[[#This Row],[Hour]:[Hour]]&gt;=AG$2),1,0)</f>
        <v>0</v>
      </c>
      <c r="AH114" s="298" cm="1">
        <f t="array" ref="AH114">IF(AND(AH$2&lt;&gt;0,TblTech[[#This Row],[Hour]:[Hour]]&gt;=AH$2),1,0)</f>
        <v>0</v>
      </c>
      <c r="AI114" s="298" cm="1">
        <f t="array" ref="AI114">IF(AND(AI$2&lt;&gt;0,TblTech[[#This Row],[Hour]:[Hour]]&gt;=AI$2),1,0)</f>
        <v>0</v>
      </c>
      <c r="AJ114" s="298" cm="1">
        <f t="array" ref="AJ114">IF(AND(AJ$2&lt;&gt;0,TblTech[[#This Row],[Hour]:[Hour]]&gt;=AJ$2),1,0)</f>
        <v>0</v>
      </c>
      <c r="AK114" s="298" cm="1">
        <f t="array" ref="AK114">IF(AND(AK$2&lt;&gt;0,TblTech[[#This Row],[Hour]:[Hour]]&gt;=AK$2),1,0)</f>
        <v>0</v>
      </c>
      <c r="AL114" s="298" cm="1">
        <f t="array" ref="AL114">IF(AND(AL$2&lt;&gt;0,TblTech[[#This Row],[Hour]:[Hour]]&gt;=AL$2),1,0)</f>
        <v>0</v>
      </c>
      <c r="AM114" s="298" cm="1">
        <f t="array" ref="AM114">IF(AND(AM$2&lt;&gt;0,TblTech[[#This Row],[Hour]:[Hour]]&gt;=AM$2),1,0)</f>
        <v>0</v>
      </c>
      <c r="AN114" s="298" cm="1">
        <f t="array" ref="AN114">IF(AND(AN$2&lt;&gt;0,TblTech[[#This Row],[Hour]:[Hour]]&gt;=AN$2),1,0)</f>
        <v>0</v>
      </c>
      <c r="AO114" s="298" cm="1">
        <f t="array" ref="AO114">IF(AND(AO$2&lt;&gt;0,TblTech[[#This Row],[Hour]:[Hour]]&gt;=AO$2),1,0)</f>
        <v>0</v>
      </c>
      <c r="AP114" s="298" cm="1">
        <f t="array" ref="AP114">IF(AND(AP$2&lt;&gt;0,TblTech[[#This Row],[Hour]:[Hour]]&gt;=AP$2),1,0)</f>
        <v>0</v>
      </c>
      <c r="AQ114" s="298" cm="1">
        <f t="array" ref="AQ114">IF(AND(AQ$2&lt;&gt;0,TblTech[[#This Row],[Hour]:[Hour]]&gt;=AQ$2),1,0)</f>
        <v>0</v>
      </c>
      <c r="AR114" s="298" cm="1">
        <f t="array" ref="AR114">IF(AND(AR$2&lt;&gt;0,TblTech[[#This Row],[Hour]:[Hour]]&gt;=AR$2),1,0)</f>
        <v>0</v>
      </c>
      <c r="AS114" s="298" cm="1">
        <f t="array" ref="AS114">IF(AND(AS$2&lt;&gt;0,TblTech[[#This Row],[Hour]:[Hour]]&gt;=AS$2),1,0)</f>
        <v>0</v>
      </c>
      <c r="AT114" s="298" cm="1">
        <f t="array" ref="AT114">IF(AND(AT$2&lt;&gt;0,TblTech[[#This Row],[Hour]:[Hour]]&gt;=AT$2),1,0)</f>
        <v>0</v>
      </c>
      <c r="AU114" s="298" cm="1">
        <f t="array" ref="AU114">IF(AND(AU$2&lt;&gt;0,TblTech[[#This Row],[Hour]:[Hour]]&gt;=AU$2),1,0)</f>
        <v>0</v>
      </c>
      <c r="AV114" s="298" cm="1">
        <f t="array" ref="AV114">IF(AND(AV$2&lt;&gt;0,TblTech[[#This Row],[Hour]:[Hour]]&gt;=AV$2),1,0)</f>
        <v>0</v>
      </c>
      <c r="AW114" s="298" cm="1">
        <f t="array" ref="AW114">IF(AND(AW$2&lt;&gt;0,TblTech[[#This Row],[Hour]:[Hour]]&gt;=AW$2),1,0)</f>
        <v>0</v>
      </c>
      <c r="AX114" s="298" cm="1">
        <f t="array" ref="AX114">IF(AND(AX$2&lt;&gt;0,TblTech[[#This Row],[Hour]:[Hour]]&gt;=AX$2),1,0)</f>
        <v>0</v>
      </c>
      <c r="AY114" s="298" cm="1">
        <f t="array" ref="AY114">IF(AND(AY$2&lt;&gt;0,TblTech[[#This Row],[Hour]:[Hour]]&gt;=AY$2),1,0)</f>
        <v>0</v>
      </c>
      <c r="AZ114" s="298" cm="1">
        <f t="array" ref="AZ114">IF(AND(AZ$2&lt;&gt;0,TblTech[[#This Row],[Hour]:[Hour]]&gt;=AZ$2),1,0)</f>
        <v>0</v>
      </c>
      <c r="BA114" s="298" cm="1">
        <f t="array" ref="BA114">IF(AND(BA$2&lt;&gt;0,TblTech[[#This Row],[Hour]:[Hour]]&gt;=BA$2),1,0)</f>
        <v>0</v>
      </c>
      <c r="BB114" s="298" cm="1">
        <f t="array" ref="BB114">IF(AND(BB$2&lt;&gt;0,TblTech[[#This Row],[Hour]:[Hour]]&gt;=BB$2),1,0)</f>
        <v>0</v>
      </c>
      <c r="BC114" s="298" cm="1">
        <f t="array" ref="BC114">IF(AND(BC$2&lt;&gt;0,TblTech[[#This Row],[Hour]:[Hour]]&gt;=BC$2),1,0)</f>
        <v>0</v>
      </c>
      <c r="BD114" s="298" cm="1">
        <f t="array" ref="BD114">IF(AND(BD$2&lt;&gt;0,TblTech[[#This Row],[Hour]:[Hour]]&gt;=BD$2),1,0)</f>
        <v>0</v>
      </c>
      <c r="BE114" s="298" cm="1">
        <f t="array" ref="BE114">IF(AND(BE$2&lt;&gt;0,TblTech[[#This Row],[Hour]:[Hour]]&gt;=BE$2),1,0)</f>
        <v>0</v>
      </c>
      <c r="BF114" s="298" cm="1">
        <f t="array" ref="BF114">IF(AND(BF$2&lt;&gt;0,TblTech[[#This Row],[Hour]:[Hour]]&gt;=BF$2),1,0)</f>
        <v>0</v>
      </c>
      <c r="BG114" s="298" cm="1">
        <f t="array" ref="BG114">IF(AND(BG$2&lt;&gt;0,TblTech[[#This Row],[Hour]:[Hour]]&gt;=BG$2),1,0)</f>
        <v>0</v>
      </c>
      <c r="BH114" s="298" cm="1">
        <f t="array" ref="BH114">IF(AND(BH$2&lt;&gt;0,TblTech[[#This Row],[Hour]:[Hour]]&gt;=BH$2),1,0)</f>
        <v>0</v>
      </c>
      <c r="BI114" s="298" cm="1">
        <f t="array" ref="BI114">IF(AND(BI$2&lt;&gt;0,TblTech[[#This Row],[Hour]:[Hour]]&gt;=BI$2),1,0)</f>
        <v>0</v>
      </c>
      <c r="BJ114" s="298" cm="1">
        <f t="array" ref="BJ114">IF(AND(BJ$2&lt;&gt;0,TblTech[[#This Row],[Hour]:[Hour]]&gt;=BJ$2),1,0)</f>
        <v>0</v>
      </c>
      <c r="BK114" s="298" cm="1">
        <f t="array" ref="BK114">IF(AND(BK$2&lt;&gt;0,TblTech[[#This Row],[Hour]:[Hour]]&gt;=BK$2),1,0)</f>
        <v>0</v>
      </c>
      <c r="BL114" s="298" cm="1">
        <f t="array" ref="BL114">IF(AND(BL$2&lt;&gt;0,TblTech[[#This Row],[Hour]:[Hour]]&gt;=BL$2),1,0)</f>
        <v>0</v>
      </c>
      <c r="BM114" s="298" cm="1">
        <f t="array" ref="BM114">IF(AND(BM$2&lt;&gt;0,TblTech[[#This Row],[Hour]:[Hour]]&gt;=BM$2),1,0)</f>
        <v>0</v>
      </c>
      <c r="BN114" s="298" cm="1">
        <f t="array" ref="BN114">IF(AND(BN$2&lt;&gt;0,TblTech[[#This Row],[Hour]:[Hour]]&gt;=BN$2),1,0)</f>
        <v>0</v>
      </c>
      <c r="BO114" s="298" cm="1">
        <f t="array" ref="BO114">IF(AND(BO$2&lt;&gt;0,TblTech[[#This Row],[Hour]:[Hour]]&gt;=BO$2),1,0)</f>
        <v>0</v>
      </c>
      <c r="BP114" s="298" cm="1">
        <f t="array" ref="BP114">IF(AND(BP$2&lt;&gt;0,TblTech[[#This Row],[Hour]:[Hour]]&gt;=BP$2),1,0)</f>
        <v>0</v>
      </c>
      <c r="BQ114" s="298" cm="1">
        <f t="array" ref="BQ114">IF(AND(BQ$2&lt;&gt;0,TblTech[[#This Row],[Hour]:[Hour]]&gt;=BQ$2),1,0)</f>
        <v>0</v>
      </c>
      <c r="BR114" s="298" cm="1">
        <f t="array" ref="BR114">IF(AND(BR$2&lt;&gt;0,TblTech[[#This Row],[Hour]:[Hour]]&gt;=BR$2),1,0)</f>
        <v>0</v>
      </c>
      <c r="BS114" s="298" cm="1">
        <f t="array" ref="BS114">IF(AND(BS$2&lt;&gt;0,TblTech[[#This Row],[Hour]:[Hour]]&gt;=BS$2),1,0)</f>
        <v>0</v>
      </c>
      <c r="BT114" s="298" cm="1">
        <f t="array" ref="BT114">IF(AND(BT$2&lt;&gt;0,TblTech[[#This Row],[Hour]:[Hour]]&gt;=BT$2),1,0)</f>
        <v>0</v>
      </c>
      <c r="BU114" s="298" cm="1">
        <f t="array" ref="BU114">IF(AND(BU$2&lt;&gt;0,TblTech[[#This Row],[Hour]:[Hour]]&gt;=BU$2),1,0)</f>
        <v>0</v>
      </c>
      <c r="BV114" s="298" cm="1">
        <f t="array" ref="BV114">IF(AND(BV$2&lt;&gt;0,TblTech[[#This Row],[Hour]:[Hour]]&gt;=BV$2),1,0)</f>
        <v>0</v>
      </c>
      <c r="BW114" s="298" cm="1">
        <f t="array" ref="BW114">IF(AND(BW$2&lt;&gt;0,TblTech[[#This Row],[Hour]:[Hour]]&gt;=BW$2),1,0)</f>
        <v>0</v>
      </c>
      <c r="BX114" s="298" cm="1">
        <f t="array" ref="BX114">IF(AND(BX$2&lt;&gt;0,TblTech[[#This Row],[Hour]:[Hour]]&gt;=BX$2),1,0)</f>
        <v>0</v>
      </c>
      <c r="BY114" s="298" cm="1">
        <f t="array" ref="BY114">IF(AND(BY$2&lt;&gt;0,TblTech[[#This Row],[Hour]:[Hour]]&gt;=BY$2),1,0)</f>
        <v>0</v>
      </c>
      <c r="BZ114" s="298" cm="1">
        <f t="array" ref="BZ114">IF(AND(BZ$2&lt;&gt;0,TblTech[[#This Row],[Hour]:[Hour]]&gt;=BZ$2),1,0)</f>
        <v>0</v>
      </c>
      <c r="CA114" s="402">
        <f>IFERROR(INDEX($H$4:$H$79,MATCH(INDEX(TblTech[[#Headers],[1-1]:[11-1]],1,MATCH(TblTech[[#This Row],[Hour]],$M$2:$BZ$2,0)),$G$4:$G$79,0)),)</f>
        <v>0</v>
      </c>
    </row>
    <row r="115" spans="1:79" x14ac:dyDescent="0.2">
      <c r="A115" s="290">
        <f>TblRezone[[#This Row],[Hour]]</f>
        <v>112</v>
      </c>
      <c r="B115" s="291">
        <f ca="1">TblExplore[[#This Row],[Land-DB]]</f>
        <v>250</v>
      </c>
      <c r="C115" s="292">
        <f ca="1">TblProd[[#This Row],[Techpoints]]</f>
        <v>0</v>
      </c>
      <c r="D115" s="292">
        <f ca="1">TblProd[[#This Row],[Required]]</f>
        <v>3750</v>
      </c>
      <c r="E115" s="301"/>
      <c r="F115" s="302"/>
      <c r="G115" s="295"/>
      <c r="H115" s="296"/>
      <c r="I115" s="296"/>
      <c r="J115" s="296"/>
      <c r="K115" s="95">
        <f ca="1">IF(TblTech[[#This Row],[Sum of tech]]&lt;&gt;OFFSET(TblTech[[#This Row],[Sum of tech]],-1,0),1,0)</f>
        <v>0</v>
      </c>
      <c r="L115" s="297">
        <f>COUNTIF(TblTech[[#This Row],[1-1]:[11-1]],1)</f>
        <v>0</v>
      </c>
      <c r="M115" s="298" cm="1">
        <f t="array" ref="M115">IF(AND(M$2&lt;&gt;0,TblTech[[#This Row],[Hour]:[Hour]]&gt;=M$2),1,0)</f>
        <v>0</v>
      </c>
      <c r="N115" s="298" cm="1">
        <f t="array" ref="N115">IF(AND(N$2&lt;&gt;0,TblTech[[#This Row],[Hour]:[Hour]]&gt;=N$2),1,0)</f>
        <v>0</v>
      </c>
      <c r="O115" s="298" cm="1">
        <f t="array" ref="O115">IF(AND(O$2&lt;&gt;0,TblTech[[#This Row],[Hour]:[Hour]]&gt;=O$2),1,0)</f>
        <v>0</v>
      </c>
      <c r="P115" s="298" cm="1">
        <f t="array" ref="P115">IF(AND(P$2&lt;&gt;0,TblTech[[#This Row],[Hour]:[Hour]]&gt;=P$2),1,0)</f>
        <v>0</v>
      </c>
      <c r="Q115" s="298" cm="1">
        <f t="array" ref="Q115">IF(AND(Q$2&lt;&gt;0,TblTech[[#This Row],[Hour]:[Hour]]&gt;=Q$2),1,0)</f>
        <v>0</v>
      </c>
      <c r="R115" s="298" cm="1">
        <f t="array" ref="R115">IF(AND(R$2&lt;&gt;0,TblTech[[#This Row],[Hour]:[Hour]]&gt;=R$2),1,0)</f>
        <v>0</v>
      </c>
      <c r="S115" s="298" cm="1">
        <f t="array" ref="S115">IF(AND(S$2&lt;&gt;0,TblTech[[#This Row],[Hour]:[Hour]]&gt;=S$2),1,0)</f>
        <v>0</v>
      </c>
      <c r="T115" s="298" cm="1">
        <f t="array" ref="T115">IF(AND(T$2&lt;&gt;0,TblTech[[#This Row],[Hour]:[Hour]]&gt;=T$2),1,0)</f>
        <v>0</v>
      </c>
      <c r="U115" s="298" cm="1">
        <f t="array" ref="U115">IF(AND(U$2&lt;&gt;0,TblTech[[#This Row],[Hour]:[Hour]]&gt;=U$2),1,0)</f>
        <v>0</v>
      </c>
      <c r="V115" s="298" cm="1">
        <f t="array" ref="V115">IF(AND(V$2&lt;&gt;0,TblTech[[#This Row],[Hour]:[Hour]]&gt;=V$2),1,0)</f>
        <v>0</v>
      </c>
      <c r="W115" s="298" cm="1">
        <f t="array" ref="W115">IF(AND(W$2&lt;&gt;0,TblTech[[#This Row],[Hour]:[Hour]]&gt;=W$2),1,0)</f>
        <v>0</v>
      </c>
      <c r="X115" s="298" cm="1">
        <f t="array" ref="X115">IF(AND(X$2&lt;&gt;0,TblTech[[#This Row],[Hour]:[Hour]]&gt;=X$2),1,0)</f>
        <v>0</v>
      </c>
      <c r="Y115" s="298" cm="1">
        <f t="array" ref="Y115">IF(AND(Y$2&lt;&gt;0,TblTech[[#This Row],[Hour]:[Hour]]&gt;=Y$2),1,0)</f>
        <v>0</v>
      </c>
      <c r="Z115" s="298" cm="1">
        <f t="array" ref="Z115">IF(AND(Z$2&lt;&gt;0,TblTech[[#This Row],[Hour]:[Hour]]&gt;=Z$2),1,0)</f>
        <v>0</v>
      </c>
      <c r="AA115" s="298" cm="1">
        <f t="array" ref="AA115">IF(AND(AA$2&lt;&gt;0,TblTech[[#This Row],[Hour]:[Hour]]&gt;=AA$2),1,0)</f>
        <v>0</v>
      </c>
      <c r="AB115" s="298" cm="1">
        <f t="array" ref="AB115">IF(AND(AB$2&lt;&gt;0,TblTech[[#This Row],[Hour]:[Hour]]&gt;=AB$2),1,0)</f>
        <v>0</v>
      </c>
      <c r="AC115" s="298" cm="1">
        <f t="array" ref="AC115">IF(AND(AC$2&lt;&gt;0,TblTech[[#This Row],[Hour]:[Hour]]&gt;=AC$2),1,0)</f>
        <v>0</v>
      </c>
      <c r="AD115" s="298" cm="1">
        <f t="array" ref="AD115">IF(AND(AD$2&lt;&gt;0,TblTech[[#This Row],[Hour]:[Hour]]&gt;=AD$2),1,0)</f>
        <v>0</v>
      </c>
      <c r="AE115" s="298" cm="1">
        <f t="array" ref="AE115">IF(AND(AE$2&lt;&gt;0,TblTech[[#This Row],[Hour]:[Hour]]&gt;=AE$2),1,0)</f>
        <v>0</v>
      </c>
      <c r="AF115" s="298" cm="1">
        <f t="array" ref="AF115">IF(AND(AF$2&lt;&gt;0,TblTech[[#This Row],[Hour]:[Hour]]&gt;=AF$2),1,0)</f>
        <v>0</v>
      </c>
      <c r="AG115" s="298" cm="1">
        <f t="array" ref="AG115">IF(AND(AG$2&lt;&gt;0,TblTech[[#This Row],[Hour]:[Hour]]&gt;=AG$2),1,0)</f>
        <v>0</v>
      </c>
      <c r="AH115" s="298" cm="1">
        <f t="array" ref="AH115">IF(AND(AH$2&lt;&gt;0,TblTech[[#This Row],[Hour]:[Hour]]&gt;=AH$2),1,0)</f>
        <v>0</v>
      </c>
      <c r="AI115" s="298" cm="1">
        <f t="array" ref="AI115">IF(AND(AI$2&lt;&gt;0,TblTech[[#This Row],[Hour]:[Hour]]&gt;=AI$2),1,0)</f>
        <v>0</v>
      </c>
      <c r="AJ115" s="298" cm="1">
        <f t="array" ref="AJ115">IF(AND(AJ$2&lt;&gt;0,TblTech[[#This Row],[Hour]:[Hour]]&gt;=AJ$2),1,0)</f>
        <v>0</v>
      </c>
      <c r="AK115" s="298" cm="1">
        <f t="array" ref="AK115">IF(AND(AK$2&lt;&gt;0,TblTech[[#This Row],[Hour]:[Hour]]&gt;=AK$2),1,0)</f>
        <v>0</v>
      </c>
      <c r="AL115" s="298" cm="1">
        <f t="array" ref="AL115">IF(AND(AL$2&lt;&gt;0,TblTech[[#This Row],[Hour]:[Hour]]&gt;=AL$2),1,0)</f>
        <v>0</v>
      </c>
      <c r="AM115" s="298" cm="1">
        <f t="array" ref="AM115">IF(AND(AM$2&lt;&gt;0,TblTech[[#This Row],[Hour]:[Hour]]&gt;=AM$2),1,0)</f>
        <v>0</v>
      </c>
      <c r="AN115" s="298" cm="1">
        <f t="array" ref="AN115">IF(AND(AN$2&lt;&gt;0,TblTech[[#This Row],[Hour]:[Hour]]&gt;=AN$2),1,0)</f>
        <v>0</v>
      </c>
      <c r="AO115" s="298" cm="1">
        <f t="array" ref="AO115">IF(AND(AO$2&lt;&gt;0,TblTech[[#This Row],[Hour]:[Hour]]&gt;=AO$2),1,0)</f>
        <v>0</v>
      </c>
      <c r="AP115" s="298" cm="1">
        <f t="array" ref="AP115">IF(AND(AP$2&lt;&gt;0,TblTech[[#This Row],[Hour]:[Hour]]&gt;=AP$2),1,0)</f>
        <v>0</v>
      </c>
      <c r="AQ115" s="298" cm="1">
        <f t="array" ref="AQ115">IF(AND(AQ$2&lt;&gt;0,TblTech[[#This Row],[Hour]:[Hour]]&gt;=AQ$2),1,0)</f>
        <v>0</v>
      </c>
      <c r="AR115" s="298" cm="1">
        <f t="array" ref="AR115">IF(AND(AR$2&lt;&gt;0,TblTech[[#This Row],[Hour]:[Hour]]&gt;=AR$2),1,0)</f>
        <v>0</v>
      </c>
      <c r="AS115" s="298" cm="1">
        <f t="array" ref="AS115">IF(AND(AS$2&lt;&gt;0,TblTech[[#This Row],[Hour]:[Hour]]&gt;=AS$2),1,0)</f>
        <v>0</v>
      </c>
      <c r="AT115" s="298" cm="1">
        <f t="array" ref="AT115">IF(AND(AT$2&lt;&gt;0,TblTech[[#This Row],[Hour]:[Hour]]&gt;=AT$2),1,0)</f>
        <v>0</v>
      </c>
      <c r="AU115" s="298" cm="1">
        <f t="array" ref="AU115">IF(AND(AU$2&lt;&gt;0,TblTech[[#This Row],[Hour]:[Hour]]&gt;=AU$2),1,0)</f>
        <v>0</v>
      </c>
      <c r="AV115" s="298" cm="1">
        <f t="array" ref="AV115">IF(AND(AV$2&lt;&gt;0,TblTech[[#This Row],[Hour]:[Hour]]&gt;=AV$2),1,0)</f>
        <v>0</v>
      </c>
      <c r="AW115" s="298" cm="1">
        <f t="array" ref="AW115">IF(AND(AW$2&lt;&gt;0,TblTech[[#This Row],[Hour]:[Hour]]&gt;=AW$2),1,0)</f>
        <v>0</v>
      </c>
      <c r="AX115" s="298" cm="1">
        <f t="array" ref="AX115">IF(AND(AX$2&lt;&gt;0,TblTech[[#This Row],[Hour]:[Hour]]&gt;=AX$2),1,0)</f>
        <v>0</v>
      </c>
      <c r="AY115" s="298" cm="1">
        <f t="array" ref="AY115">IF(AND(AY$2&lt;&gt;0,TblTech[[#This Row],[Hour]:[Hour]]&gt;=AY$2),1,0)</f>
        <v>0</v>
      </c>
      <c r="AZ115" s="298" cm="1">
        <f t="array" ref="AZ115">IF(AND(AZ$2&lt;&gt;0,TblTech[[#This Row],[Hour]:[Hour]]&gt;=AZ$2),1,0)</f>
        <v>0</v>
      </c>
      <c r="BA115" s="298" cm="1">
        <f t="array" ref="BA115">IF(AND(BA$2&lt;&gt;0,TblTech[[#This Row],[Hour]:[Hour]]&gt;=BA$2),1,0)</f>
        <v>0</v>
      </c>
      <c r="BB115" s="298" cm="1">
        <f t="array" ref="BB115">IF(AND(BB$2&lt;&gt;0,TblTech[[#This Row],[Hour]:[Hour]]&gt;=BB$2),1,0)</f>
        <v>0</v>
      </c>
      <c r="BC115" s="298" cm="1">
        <f t="array" ref="BC115">IF(AND(BC$2&lt;&gt;0,TblTech[[#This Row],[Hour]:[Hour]]&gt;=BC$2),1,0)</f>
        <v>0</v>
      </c>
      <c r="BD115" s="298" cm="1">
        <f t="array" ref="BD115">IF(AND(BD$2&lt;&gt;0,TblTech[[#This Row],[Hour]:[Hour]]&gt;=BD$2),1,0)</f>
        <v>0</v>
      </c>
      <c r="BE115" s="298" cm="1">
        <f t="array" ref="BE115">IF(AND(BE$2&lt;&gt;0,TblTech[[#This Row],[Hour]:[Hour]]&gt;=BE$2),1,0)</f>
        <v>0</v>
      </c>
      <c r="BF115" s="298" cm="1">
        <f t="array" ref="BF115">IF(AND(BF$2&lt;&gt;0,TblTech[[#This Row],[Hour]:[Hour]]&gt;=BF$2),1,0)</f>
        <v>0</v>
      </c>
      <c r="BG115" s="298" cm="1">
        <f t="array" ref="BG115">IF(AND(BG$2&lt;&gt;0,TblTech[[#This Row],[Hour]:[Hour]]&gt;=BG$2),1,0)</f>
        <v>0</v>
      </c>
      <c r="BH115" s="298" cm="1">
        <f t="array" ref="BH115">IF(AND(BH$2&lt;&gt;0,TblTech[[#This Row],[Hour]:[Hour]]&gt;=BH$2),1,0)</f>
        <v>0</v>
      </c>
      <c r="BI115" s="298" cm="1">
        <f t="array" ref="BI115">IF(AND(BI$2&lt;&gt;0,TblTech[[#This Row],[Hour]:[Hour]]&gt;=BI$2),1,0)</f>
        <v>0</v>
      </c>
      <c r="BJ115" s="298" cm="1">
        <f t="array" ref="BJ115">IF(AND(BJ$2&lt;&gt;0,TblTech[[#This Row],[Hour]:[Hour]]&gt;=BJ$2),1,0)</f>
        <v>0</v>
      </c>
      <c r="BK115" s="298" cm="1">
        <f t="array" ref="BK115">IF(AND(BK$2&lt;&gt;0,TblTech[[#This Row],[Hour]:[Hour]]&gt;=BK$2),1,0)</f>
        <v>0</v>
      </c>
      <c r="BL115" s="298" cm="1">
        <f t="array" ref="BL115">IF(AND(BL$2&lt;&gt;0,TblTech[[#This Row],[Hour]:[Hour]]&gt;=BL$2),1,0)</f>
        <v>0</v>
      </c>
      <c r="BM115" s="298" cm="1">
        <f t="array" ref="BM115">IF(AND(BM$2&lt;&gt;0,TblTech[[#This Row],[Hour]:[Hour]]&gt;=BM$2),1,0)</f>
        <v>0</v>
      </c>
      <c r="BN115" s="298" cm="1">
        <f t="array" ref="BN115">IF(AND(BN$2&lt;&gt;0,TblTech[[#This Row],[Hour]:[Hour]]&gt;=BN$2),1,0)</f>
        <v>0</v>
      </c>
      <c r="BO115" s="298" cm="1">
        <f t="array" ref="BO115">IF(AND(BO$2&lt;&gt;0,TblTech[[#This Row],[Hour]:[Hour]]&gt;=BO$2),1,0)</f>
        <v>0</v>
      </c>
      <c r="BP115" s="298" cm="1">
        <f t="array" ref="BP115">IF(AND(BP$2&lt;&gt;0,TblTech[[#This Row],[Hour]:[Hour]]&gt;=BP$2),1,0)</f>
        <v>0</v>
      </c>
      <c r="BQ115" s="298" cm="1">
        <f t="array" ref="BQ115">IF(AND(BQ$2&lt;&gt;0,TblTech[[#This Row],[Hour]:[Hour]]&gt;=BQ$2),1,0)</f>
        <v>0</v>
      </c>
      <c r="BR115" s="298" cm="1">
        <f t="array" ref="BR115">IF(AND(BR$2&lt;&gt;0,TblTech[[#This Row],[Hour]:[Hour]]&gt;=BR$2),1,0)</f>
        <v>0</v>
      </c>
      <c r="BS115" s="298" cm="1">
        <f t="array" ref="BS115">IF(AND(BS$2&lt;&gt;0,TblTech[[#This Row],[Hour]:[Hour]]&gt;=BS$2),1,0)</f>
        <v>0</v>
      </c>
      <c r="BT115" s="298" cm="1">
        <f t="array" ref="BT115">IF(AND(BT$2&lt;&gt;0,TblTech[[#This Row],[Hour]:[Hour]]&gt;=BT$2),1,0)</f>
        <v>0</v>
      </c>
      <c r="BU115" s="298" cm="1">
        <f t="array" ref="BU115">IF(AND(BU$2&lt;&gt;0,TblTech[[#This Row],[Hour]:[Hour]]&gt;=BU$2),1,0)</f>
        <v>0</v>
      </c>
      <c r="BV115" s="298" cm="1">
        <f t="array" ref="BV115">IF(AND(BV$2&lt;&gt;0,TblTech[[#This Row],[Hour]:[Hour]]&gt;=BV$2),1,0)</f>
        <v>0</v>
      </c>
      <c r="BW115" s="298" cm="1">
        <f t="array" ref="BW115">IF(AND(BW$2&lt;&gt;0,TblTech[[#This Row],[Hour]:[Hour]]&gt;=BW$2),1,0)</f>
        <v>0</v>
      </c>
      <c r="BX115" s="298" cm="1">
        <f t="array" ref="BX115">IF(AND(BX$2&lt;&gt;0,TblTech[[#This Row],[Hour]:[Hour]]&gt;=BX$2),1,0)</f>
        <v>0</v>
      </c>
      <c r="BY115" s="298" cm="1">
        <f t="array" ref="BY115">IF(AND(BY$2&lt;&gt;0,TblTech[[#This Row],[Hour]:[Hour]]&gt;=BY$2),1,0)</f>
        <v>0</v>
      </c>
      <c r="BZ115" s="298" cm="1">
        <f t="array" ref="BZ115">IF(AND(BZ$2&lt;&gt;0,TblTech[[#This Row],[Hour]:[Hour]]&gt;=BZ$2),1,0)</f>
        <v>0</v>
      </c>
      <c r="CA115" s="402">
        <f>IFERROR(INDEX($H$4:$H$79,MATCH(INDEX(TblTech[[#Headers],[1-1]:[11-1]],1,MATCH(TblTech[[#This Row],[Hour]],$M$2:$BZ$2,0)),$G$4:$G$79,0)),)</f>
        <v>0</v>
      </c>
    </row>
    <row r="116" spans="1:79" x14ac:dyDescent="0.2">
      <c r="A116" s="290">
        <f>TblRezone[[#This Row],[Hour]]</f>
        <v>113</v>
      </c>
      <c r="B116" s="291">
        <f ca="1">TblExplore[[#This Row],[Land-DB]]</f>
        <v>250</v>
      </c>
      <c r="C116" s="292">
        <f ca="1">TblProd[[#This Row],[Techpoints]]</f>
        <v>0</v>
      </c>
      <c r="D116" s="292">
        <f ca="1">TblProd[[#This Row],[Required]]</f>
        <v>3750</v>
      </c>
      <c r="E116" s="301"/>
      <c r="F116" s="302"/>
      <c r="G116" s="295"/>
      <c r="H116" s="296"/>
      <c r="I116" s="296"/>
      <c r="J116" s="296"/>
      <c r="K116" s="95">
        <f ca="1">IF(TblTech[[#This Row],[Sum of tech]]&lt;&gt;OFFSET(TblTech[[#This Row],[Sum of tech]],-1,0),1,0)</f>
        <v>0</v>
      </c>
      <c r="L116" s="297">
        <f>COUNTIF(TblTech[[#This Row],[1-1]:[11-1]],1)</f>
        <v>0</v>
      </c>
      <c r="M116" s="298" cm="1">
        <f t="array" ref="M116">IF(AND(M$2&lt;&gt;0,TblTech[[#This Row],[Hour]:[Hour]]&gt;=M$2),1,0)</f>
        <v>0</v>
      </c>
      <c r="N116" s="298" cm="1">
        <f t="array" ref="N116">IF(AND(N$2&lt;&gt;0,TblTech[[#This Row],[Hour]:[Hour]]&gt;=N$2),1,0)</f>
        <v>0</v>
      </c>
      <c r="O116" s="298" cm="1">
        <f t="array" ref="O116">IF(AND(O$2&lt;&gt;0,TblTech[[#This Row],[Hour]:[Hour]]&gt;=O$2),1,0)</f>
        <v>0</v>
      </c>
      <c r="P116" s="298" cm="1">
        <f t="array" ref="P116">IF(AND(P$2&lt;&gt;0,TblTech[[#This Row],[Hour]:[Hour]]&gt;=P$2),1,0)</f>
        <v>0</v>
      </c>
      <c r="Q116" s="298" cm="1">
        <f t="array" ref="Q116">IF(AND(Q$2&lt;&gt;0,TblTech[[#This Row],[Hour]:[Hour]]&gt;=Q$2),1,0)</f>
        <v>0</v>
      </c>
      <c r="R116" s="298" cm="1">
        <f t="array" ref="R116">IF(AND(R$2&lt;&gt;0,TblTech[[#This Row],[Hour]:[Hour]]&gt;=R$2),1,0)</f>
        <v>0</v>
      </c>
      <c r="S116" s="298" cm="1">
        <f t="array" ref="S116">IF(AND(S$2&lt;&gt;0,TblTech[[#This Row],[Hour]:[Hour]]&gt;=S$2),1,0)</f>
        <v>0</v>
      </c>
      <c r="T116" s="298" cm="1">
        <f t="array" ref="T116">IF(AND(T$2&lt;&gt;0,TblTech[[#This Row],[Hour]:[Hour]]&gt;=T$2),1,0)</f>
        <v>0</v>
      </c>
      <c r="U116" s="298" cm="1">
        <f t="array" ref="U116">IF(AND(U$2&lt;&gt;0,TblTech[[#This Row],[Hour]:[Hour]]&gt;=U$2),1,0)</f>
        <v>0</v>
      </c>
      <c r="V116" s="298" cm="1">
        <f t="array" ref="V116">IF(AND(V$2&lt;&gt;0,TblTech[[#This Row],[Hour]:[Hour]]&gt;=V$2),1,0)</f>
        <v>0</v>
      </c>
      <c r="W116" s="298" cm="1">
        <f t="array" ref="W116">IF(AND(W$2&lt;&gt;0,TblTech[[#This Row],[Hour]:[Hour]]&gt;=W$2),1,0)</f>
        <v>0</v>
      </c>
      <c r="X116" s="298" cm="1">
        <f t="array" ref="X116">IF(AND(X$2&lt;&gt;0,TblTech[[#This Row],[Hour]:[Hour]]&gt;=X$2),1,0)</f>
        <v>0</v>
      </c>
      <c r="Y116" s="298" cm="1">
        <f t="array" ref="Y116">IF(AND(Y$2&lt;&gt;0,TblTech[[#This Row],[Hour]:[Hour]]&gt;=Y$2),1,0)</f>
        <v>0</v>
      </c>
      <c r="Z116" s="298" cm="1">
        <f t="array" ref="Z116">IF(AND(Z$2&lt;&gt;0,TblTech[[#This Row],[Hour]:[Hour]]&gt;=Z$2),1,0)</f>
        <v>0</v>
      </c>
      <c r="AA116" s="298" cm="1">
        <f t="array" ref="AA116">IF(AND(AA$2&lt;&gt;0,TblTech[[#This Row],[Hour]:[Hour]]&gt;=AA$2),1,0)</f>
        <v>0</v>
      </c>
      <c r="AB116" s="298" cm="1">
        <f t="array" ref="AB116">IF(AND(AB$2&lt;&gt;0,TblTech[[#This Row],[Hour]:[Hour]]&gt;=AB$2),1,0)</f>
        <v>0</v>
      </c>
      <c r="AC116" s="298" cm="1">
        <f t="array" ref="AC116">IF(AND(AC$2&lt;&gt;0,TblTech[[#This Row],[Hour]:[Hour]]&gt;=AC$2),1,0)</f>
        <v>0</v>
      </c>
      <c r="AD116" s="298" cm="1">
        <f t="array" ref="AD116">IF(AND(AD$2&lt;&gt;0,TblTech[[#This Row],[Hour]:[Hour]]&gt;=AD$2),1,0)</f>
        <v>0</v>
      </c>
      <c r="AE116" s="298" cm="1">
        <f t="array" ref="AE116">IF(AND(AE$2&lt;&gt;0,TblTech[[#This Row],[Hour]:[Hour]]&gt;=AE$2),1,0)</f>
        <v>0</v>
      </c>
      <c r="AF116" s="298" cm="1">
        <f t="array" ref="AF116">IF(AND(AF$2&lt;&gt;0,TblTech[[#This Row],[Hour]:[Hour]]&gt;=AF$2),1,0)</f>
        <v>0</v>
      </c>
      <c r="AG116" s="298" cm="1">
        <f t="array" ref="AG116">IF(AND(AG$2&lt;&gt;0,TblTech[[#This Row],[Hour]:[Hour]]&gt;=AG$2),1,0)</f>
        <v>0</v>
      </c>
      <c r="AH116" s="298" cm="1">
        <f t="array" ref="AH116">IF(AND(AH$2&lt;&gt;0,TblTech[[#This Row],[Hour]:[Hour]]&gt;=AH$2),1,0)</f>
        <v>0</v>
      </c>
      <c r="AI116" s="298" cm="1">
        <f t="array" ref="AI116">IF(AND(AI$2&lt;&gt;0,TblTech[[#This Row],[Hour]:[Hour]]&gt;=AI$2),1,0)</f>
        <v>0</v>
      </c>
      <c r="AJ116" s="298" cm="1">
        <f t="array" ref="AJ116">IF(AND(AJ$2&lt;&gt;0,TblTech[[#This Row],[Hour]:[Hour]]&gt;=AJ$2),1,0)</f>
        <v>0</v>
      </c>
      <c r="AK116" s="298" cm="1">
        <f t="array" ref="AK116">IF(AND(AK$2&lt;&gt;0,TblTech[[#This Row],[Hour]:[Hour]]&gt;=AK$2),1,0)</f>
        <v>0</v>
      </c>
      <c r="AL116" s="298" cm="1">
        <f t="array" ref="AL116">IF(AND(AL$2&lt;&gt;0,TblTech[[#This Row],[Hour]:[Hour]]&gt;=AL$2),1,0)</f>
        <v>0</v>
      </c>
      <c r="AM116" s="298" cm="1">
        <f t="array" ref="AM116">IF(AND(AM$2&lt;&gt;0,TblTech[[#This Row],[Hour]:[Hour]]&gt;=AM$2),1,0)</f>
        <v>0</v>
      </c>
      <c r="AN116" s="298" cm="1">
        <f t="array" ref="AN116">IF(AND(AN$2&lt;&gt;0,TblTech[[#This Row],[Hour]:[Hour]]&gt;=AN$2),1,0)</f>
        <v>0</v>
      </c>
      <c r="AO116" s="298" cm="1">
        <f t="array" ref="AO116">IF(AND(AO$2&lt;&gt;0,TblTech[[#This Row],[Hour]:[Hour]]&gt;=AO$2),1,0)</f>
        <v>0</v>
      </c>
      <c r="AP116" s="298" cm="1">
        <f t="array" ref="AP116">IF(AND(AP$2&lt;&gt;0,TblTech[[#This Row],[Hour]:[Hour]]&gt;=AP$2),1,0)</f>
        <v>0</v>
      </c>
      <c r="AQ116" s="298" cm="1">
        <f t="array" ref="AQ116">IF(AND(AQ$2&lt;&gt;0,TblTech[[#This Row],[Hour]:[Hour]]&gt;=AQ$2),1,0)</f>
        <v>0</v>
      </c>
      <c r="AR116" s="298" cm="1">
        <f t="array" ref="AR116">IF(AND(AR$2&lt;&gt;0,TblTech[[#This Row],[Hour]:[Hour]]&gt;=AR$2),1,0)</f>
        <v>0</v>
      </c>
      <c r="AS116" s="298" cm="1">
        <f t="array" ref="AS116">IF(AND(AS$2&lt;&gt;0,TblTech[[#This Row],[Hour]:[Hour]]&gt;=AS$2),1,0)</f>
        <v>0</v>
      </c>
      <c r="AT116" s="298" cm="1">
        <f t="array" ref="AT116">IF(AND(AT$2&lt;&gt;0,TblTech[[#This Row],[Hour]:[Hour]]&gt;=AT$2),1,0)</f>
        <v>0</v>
      </c>
      <c r="AU116" s="298" cm="1">
        <f t="array" ref="AU116">IF(AND(AU$2&lt;&gt;0,TblTech[[#This Row],[Hour]:[Hour]]&gt;=AU$2),1,0)</f>
        <v>0</v>
      </c>
      <c r="AV116" s="298" cm="1">
        <f t="array" ref="AV116">IF(AND(AV$2&lt;&gt;0,TblTech[[#This Row],[Hour]:[Hour]]&gt;=AV$2),1,0)</f>
        <v>0</v>
      </c>
      <c r="AW116" s="298" cm="1">
        <f t="array" ref="AW116">IF(AND(AW$2&lt;&gt;0,TblTech[[#This Row],[Hour]:[Hour]]&gt;=AW$2),1,0)</f>
        <v>0</v>
      </c>
      <c r="AX116" s="298" cm="1">
        <f t="array" ref="AX116">IF(AND(AX$2&lt;&gt;0,TblTech[[#This Row],[Hour]:[Hour]]&gt;=AX$2),1,0)</f>
        <v>0</v>
      </c>
      <c r="AY116" s="298" cm="1">
        <f t="array" ref="AY116">IF(AND(AY$2&lt;&gt;0,TblTech[[#This Row],[Hour]:[Hour]]&gt;=AY$2),1,0)</f>
        <v>0</v>
      </c>
      <c r="AZ116" s="298" cm="1">
        <f t="array" ref="AZ116">IF(AND(AZ$2&lt;&gt;0,TblTech[[#This Row],[Hour]:[Hour]]&gt;=AZ$2),1,0)</f>
        <v>0</v>
      </c>
      <c r="BA116" s="298" cm="1">
        <f t="array" ref="BA116">IF(AND(BA$2&lt;&gt;0,TblTech[[#This Row],[Hour]:[Hour]]&gt;=BA$2),1,0)</f>
        <v>0</v>
      </c>
      <c r="BB116" s="298" cm="1">
        <f t="array" ref="BB116">IF(AND(BB$2&lt;&gt;0,TblTech[[#This Row],[Hour]:[Hour]]&gt;=BB$2),1,0)</f>
        <v>0</v>
      </c>
      <c r="BC116" s="298" cm="1">
        <f t="array" ref="BC116">IF(AND(BC$2&lt;&gt;0,TblTech[[#This Row],[Hour]:[Hour]]&gt;=BC$2),1,0)</f>
        <v>0</v>
      </c>
      <c r="BD116" s="298" cm="1">
        <f t="array" ref="BD116">IF(AND(BD$2&lt;&gt;0,TblTech[[#This Row],[Hour]:[Hour]]&gt;=BD$2),1,0)</f>
        <v>0</v>
      </c>
      <c r="BE116" s="298" cm="1">
        <f t="array" ref="BE116">IF(AND(BE$2&lt;&gt;0,TblTech[[#This Row],[Hour]:[Hour]]&gt;=BE$2),1,0)</f>
        <v>0</v>
      </c>
      <c r="BF116" s="298" cm="1">
        <f t="array" ref="BF116">IF(AND(BF$2&lt;&gt;0,TblTech[[#This Row],[Hour]:[Hour]]&gt;=BF$2),1,0)</f>
        <v>0</v>
      </c>
      <c r="BG116" s="298" cm="1">
        <f t="array" ref="BG116">IF(AND(BG$2&lt;&gt;0,TblTech[[#This Row],[Hour]:[Hour]]&gt;=BG$2),1,0)</f>
        <v>0</v>
      </c>
      <c r="BH116" s="298" cm="1">
        <f t="array" ref="BH116">IF(AND(BH$2&lt;&gt;0,TblTech[[#This Row],[Hour]:[Hour]]&gt;=BH$2),1,0)</f>
        <v>0</v>
      </c>
      <c r="BI116" s="298" cm="1">
        <f t="array" ref="BI116">IF(AND(BI$2&lt;&gt;0,TblTech[[#This Row],[Hour]:[Hour]]&gt;=BI$2),1,0)</f>
        <v>0</v>
      </c>
      <c r="BJ116" s="298" cm="1">
        <f t="array" ref="BJ116">IF(AND(BJ$2&lt;&gt;0,TblTech[[#This Row],[Hour]:[Hour]]&gt;=BJ$2),1,0)</f>
        <v>0</v>
      </c>
      <c r="BK116" s="298" cm="1">
        <f t="array" ref="BK116">IF(AND(BK$2&lt;&gt;0,TblTech[[#This Row],[Hour]:[Hour]]&gt;=BK$2),1,0)</f>
        <v>0</v>
      </c>
      <c r="BL116" s="298" cm="1">
        <f t="array" ref="BL116">IF(AND(BL$2&lt;&gt;0,TblTech[[#This Row],[Hour]:[Hour]]&gt;=BL$2),1,0)</f>
        <v>0</v>
      </c>
      <c r="BM116" s="298" cm="1">
        <f t="array" ref="BM116">IF(AND(BM$2&lt;&gt;0,TblTech[[#This Row],[Hour]:[Hour]]&gt;=BM$2),1,0)</f>
        <v>0</v>
      </c>
      <c r="BN116" s="298" cm="1">
        <f t="array" ref="BN116">IF(AND(BN$2&lt;&gt;0,TblTech[[#This Row],[Hour]:[Hour]]&gt;=BN$2),1,0)</f>
        <v>0</v>
      </c>
      <c r="BO116" s="298" cm="1">
        <f t="array" ref="BO116">IF(AND(BO$2&lt;&gt;0,TblTech[[#This Row],[Hour]:[Hour]]&gt;=BO$2),1,0)</f>
        <v>0</v>
      </c>
      <c r="BP116" s="298" cm="1">
        <f t="array" ref="BP116">IF(AND(BP$2&lt;&gt;0,TblTech[[#This Row],[Hour]:[Hour]]&gt;=BP$2),1,0)</f>
        <v>0</v>
      </c>
      <c r="BQ116" s="298" cm="1">
        <f t="array" ref="BQ116">IF(AND(BQ$2&lt;&gt;0,TblTech[[#This Row],[Hour]:[Hour]]&gt;=BQ$2),1,0)</f>
        <v>0</v>
      </c>
      <c r="BR116" s="298" cm="1">
        <f t="array" ref="BR116">IF(AND(BR$2&lt;&gt;0,TblTech[[#This Row],[Hour]:[Hour]]&gt;=BR$2),1,0)</f>
        <v>0</v>
      </c>
      <c r="BS116" s="298" cm="1">
        <f t="array" ref="BS116">IF(AND(BS$2&lt;&gt;0,TblTech[[#This Row],[Hour]:[Hour]]&gt;=BS$2),1,0)</f>
        <v>0</v>
      </c>
      <c r="BT116" s="298" cm="1">
        <f t="array" ref="BT116">IF(AND(BT$2&lt;&gt;0,TblTech[[#This Row],[Hour]:[Hour]]&gt;=BT$2),1,0)</f>
        <v>0</v>
      </c>
      <c r="BU116" s="298" cm="1">
        <f t="array" ref="BU116">IF(AND(BU$2&lt;&gt;0,TblTech[[#This Row],[Hour]:[Hour]]&gt;=BU$2),1,0)</f>
        <v>0</v>
      </c>
      <c r="BV116" s="298" cm="1">
        <f t="array" ref="BV116">IF(AND(BV$2&lt;&gt;0,TblTech[[#This Row],[Hour]:[Hour]]&gt;=BV$2),1,0)</f>
        <v>0</v>
      </c>
      <c r="BW116" s="298" cm="1">
        <f t="array" ref="BW116">IF(AND(BW$2&lt;&gt;0,TblTech[[#This Row],[Hour]:[Hour]]&gt;=BW$2),1,0)</f>
        <v>0</v>
      </c>
      <c r="BX116" s="298" cm="1">
        <f t="array" ref="BX116">IF(AND(BX$2&lt;&gt;0,TblTech[[#This Row],[Hour]:[Hour]]&gt;=BX$2),1,0)</f>
        <v>0</v>
      </c>
      <c r="BY116" s="298" cm="1">
        <f t="array" ref="BY116">IF(AND(BY$2&lt;&gt;0,TblTech[[#This Row],[Hour]:[Hour]]&gt;=BY$2),1,0)</f>
        <v>0</v>
      </c>
      <c r="BZ116" s="298" cm="1">
        <f t="array" ref="BZ116">IF(AND(BZ$2&lt;&gt;0,TblTech[[#This Row],[Hour]:[Hour]]&gt;=BZ$2),1,0)</f>
        <v>0</v>
      </c>
      <c r="CA116" s="402">
        <f>IFERROR(INDEX($H$4:$H$79,MATCH(INDEX(TblTech[[#Headers],[1-1]:[11-1]],1,MATCH(TblTech[[#This Row],[Hour]],$M$2:$BZ$2,0)),$G$4:$G$79,0)),)</f>
        <v>0</v>
      </c>
    </row>
    <row r="117" spans="1:79" x14ac:dyDescent="0.2">
      <c r="A117" s="290">
        <f>TblRezone[[#This Row],[Hour]]</f>
        <v>114</v>
      </c>
      <c r="B117" s="291">
        <f ca="1">TblExplore[[#This Row],[Land-DB]]</f>
        <v>250</v>
      </c>
      <c r="C117" s="292">
        <f ca="1">TblProd[[#This Row],[Techpoints]]</f>
        <v>0</v>
      </c>
      <c r="D117" s="292">
        <f ca="1">TblProd[[#This Row],[Required]]</f>
        <v>3750</v>
      </c>
      <c r="E117" s="301"/>
      <c r="F117" s="302"/>
      <c r="G117" s="295"/>
      <c r="H117" s="296"/>
      <c r="I117" s="296"/>
      <c r="J117" s="296"/>
      <c r="K117" s="95">
        <f ca="1">IF(TblTech[[#This Row],[Sum of tech]]&lt;&gt;OFFSET(TblTech[[#This Row],[Sum of tech]],-1,0),1,0)</f>
        <v>0</v>
      </c>
      <c r="L117" s="297">
        <f>COUNTIF(TblTech[[#This Row],[1-1]:[11-1]],1)</f>
        <v>0</v>
      </c>
      <c r="M117" s="298" cm="1">
        <f t="array" ref="M117">IF(AND(M$2&lt;&gt;0,TblTech[[#This Row],[Hour]:[Hour]]&gt;=M$2),1,0)</f>
        <v>0</v>
      </c>
      <c r="N117" s="298" cm="1">
        <f t="array" ref="N117">IF(AND(N$2&lt;&gt;0,TblTech[[#This Row],[Hour]:[Hour]]&gt;=N$2),1,0)</f>
        <v>0</v>
      </c>
      <c r="O117" s="298" cm="1">
        <f t="array" ref="O117">IF(AND(O$2&lt;&gt;0,TblTech[[#This Row],[Hour]:[Hour]]&gt;=O$2),1,0)</f>
        <v>0</v>
      </c>
      <c r="P117" s="298" cm="1">
        <f t="array" ref="P117">IF(AND(P$2&lt;&gt;0,TblTech[[#This Row],[Hour]:[Hour]]&gt;=P$2),1,0)</f>
        <v>0</v>
      </c>
      <c r="Q117" s="298" cm="1">
        <f t="array" ref="Q117">IF(AND(Q$2&lt;&gt;0,TblTech[[#This Row],[Hour]:[Hour]]&gt;=Q$2),1,0)</f>
        <v>0</v>
      </c>
      <c r="R117" s="298" cm="1">
        <f t="array" ref="R117">IF(AND(R$2&lt;&gt;0,TblTech[[#This Row],[Hour]:[Hour]]&gt;=R$2),1,0)</f>
        <v>0</v>
      </c>
      <c r="S117" s="298" cm="1">
        <f t="array" ref="S117">IF(AND(S$2&lt;&gt;0,TblTech[[#This Row],[Hour]:[Hour]]&gt;=S$2),1,0)</f>
        <v>0</v>
      </c>
      <c r="T117" s="298" cm="1">
        <f t="array" ref="T117">IF(AND(T$2&lt;&gt;0,TblTech[[#This Row],[Hour]:[Hour]]&gt;=T$2),1,0)</f>
        <v>0</v>
      </c>
      <c r="U117" s="298" cm="1">
        <f t="array" ref="U117">IF(AND(U$2&lt;&gt;0,TblTech[[#This Row],[Hour]:[Hour]]&gt;=U$2),1,0)</f>
        <v>0</v>
      </c>
      <c r="V117" s="298" cm="1">
        <f t="array" ref="V117">IF(AND(V$2&lt;&gt;0,TblTech[[#This Row],[Hour]:[Hour]]&gt;=V$2),1,0)</f>
        <v>0</v>
      </c>
      <c r="W117" s="298" cm="1">
        <f t="array" ref="W117">IF(AND(W$2&lt;&gt;0,TblTech[[#This Row],[Hour]:[Hour]]&gt;=W$2),1,0)</f>
        <v>0</v>
      </c>
      <c r="X117" s="298" cm="1">
        <f t="array" ref="X117">IF(AND(X$2&lt;&gt;0,TblTech[[#This Row],[Hour]:[Hour]]&gt;=X$2),1,0)</f>
        <v>0</v>
      </c>
      <c r="Y117" s="298" cm="1">
        <f t="array" ref="Y117">IF(AND(Y$2&lt;&gt;0,TblTech[[#This Row],[Hour]:[Hour]]&gt;=Y$2),1,0)</f>
        <v>0</v>
      </c>
      <c r="Z117" s="298" cm="1">
        <f t="array" ref="Z117">IF(AND(Z$2&lt;&gt;0,TblTech[[#This Row],[Hour]:[Hour]]&gt;=Z$2),1,0)</f>
        <v>0</v>
      </c>
      <c r="AA117" s="298" cm="1">
        <f t="array" ref="AA117">IF(AND(AA$2&lt;&gt;0,TblTech[[#This Row],[Hour]:[Hour]]&gt;=AA$2),1,0)</f>
        <v>0</v>
      </c>
      <c r="AB117" s="298" cm="1">
        <f t="array" ref="AB117">IF(AND(AB$2&lt;&gt;0,TblTech[[#This Row],[Hour]:[Hour]]&gt;=AB$2),1,0)</f>
        <v>0</v>
      </c>
      <c r="AC117" s="298" cm="1">
        <f t="array" ref="AC117">IF(AND(AC$2&lt;&gt;0,TblTech[[#This Row],[Hour]:[Hour]]&gt;=AC$2),1,0)</f>
        <v>0</v>
      </c>
      <c r="AD117" s="298" cm="1">
        <f t="array" ref="AD117">IF(AND(AD$2&lt;&gt;0,TblTech[[#This Row],[Hour]:[Hour]]&gt;=AD$2),1,0)</f>
        <v>0</v>
      </c>
      <c r="AE117" s="298" cm="1">
        <f t="array" ref="AE117">IF(AND(AE$2&lt;&gt;0,TblTech[[#This Row],[Hour]:[Hour]]&gt;=AE$2),1,0)</f>
        <v>0</v>
      </c>
      <c r="AF117" s="298" cm="1">
        <f t="array" ref="AF117">IF(AND(AF$2&lt;&gt;0,TblTech[[#This Row],[Hour]:[Hour]]&gt;=AF$2),1,0)</f>
        <v>0</v>
      </c>
      <c r="AG117" s="298" cm="1">
        <f t="array" ref="AG117">IF(AND(AG$2&lt;&gt;0,TblTech[[#This Row],[Hour]:[Hour]]&gt;=AG$2),1,0)</f>
        <v>0</v>
      </c>
      <c r="AH117" s="298" cm="1">
        <f t="array" ref="AH117">IF(AND(AH$2&lt;&gt;0,TblTech[[#This Row],[Hour]:[Hour]]&gt;=AH$2),1,0)</f>
        <v>0</v>
      </c>
      <c r="AI117" s="298" cm="1">
        <f t="array" ref="AI117">IF(AND(AI$2&lt;&gt;0,TblTech[[#This Row],[Hour]:[Hour]]&gt;=AI$2),1,0)</f>
        <v>0</v>
      </c>
      <c r="AJ117" s="298" cm="1">
        <f t="array" ref="AJ117">IF(AND(AJ$2&lt;&gt;0,TblTech[[#This Row],[Hour]:[Hour]]&gt;=AJ$2),1,0)</f>
        <v>0</v>
      </c>
      <c r="AK117" s="298" cm="1">
        <f t="array" ref="AK117">IF(AND(AK$2&lt;&gt;0,TblTech[[#This Row],[Hour]:[Hour]]&gt;=AK$2),1,0)</f>
        <v>0</v>
      </c>
      <c r="AL117" s="298" cm="1">
        <f t="array" ref="AL117">IF(AND(AL$2&lt;&gt;0,TblTech[[#This Row],[Hour]:[Hour]]&gt;=AL$2),1,0)</f>
        <v>0</v>
      </c>
      <c r="AM117" s="298" cm="1">
        <f t="array" ref="AM117">IF(AND(AM$2&lt;&gt;0,TblTech[[#This Row],[Hour]:[Hour]]&gt;=AM$2),1,0)</f>
        <v>0</v>
      </c>
      <c r="AN117" s="298" cm="1">
        <f t="array" ref="AN117">IF(AND(AN$2&lt;&gt;0,TblTech[[#This Row],[Hour]:[Hour]]&gt;=AN$2),1,0)</f>
        <v>0</v>
      </c>
      <c r="AO117" s="298" cm="1">
        <f t="array" ref="AO117">IF(AND(AO$2&lt;&gt;0,TblTech[[#This Row],[Hour]:[Hour]]&gt;=AO$2),1,0)</f>
        <v>0</v>
      </c>
      <c r="AP117" s="298" cm="1">
        <f t="array" ref="AP117">IF(AND(AP$2&lt;&gt;0,TblTech[[#This Row],[Hour]:[Hour]]&gt;=AP$2),1,0)</f>
        <v>0</v>
      </c>
      <c r="AQ117" s="298" cm="1">
        <f t="array" ref="AQ117">IF(AND(AQ$2&lt;&gt;0,TblTech[[#This Row],[Hour]:[Hour]]&gt;=AQ$2),1,0)</f>
        <v>0</v>
      </c>
      <c r="AR117" s="298" cm="1">
        <f t="array" ref="AR117">IF(AND(AR$2&lt;&gt;0,TblTech[[#This Row],[Hour]:[Hour]]&gt;=AR$2),1,0)</f>
        <v>0</v>
      </c>
      <c r="AS117" s="298" cm="1">
        <f t="array" ref="AS117">IF(AND(AS$2&lt;&gt;0,TblTech[[#This Row],[Hour]:[Hour]]&gt;=AS$2),1,0)</f>
        <v>0</v>
      </c>
      <c r="AT117" s="298" cm="1">
        <f t="array" ref="AT117">IF(AND(AT$2&lt;&gt;0,TblTech[[#This Row],[Hour]:[Hour]]&gt;=AT$2),1,0)</f>
        <v>0</v>
      </c>
      <c r="AU117" s="298" cm="1">
        <f t="array" ref="AU117">IF(AND(AU$2&lt;&gt;0,TblTech[[#This Row],[Hour]:[Hour]]&gt;=AU$2),1,0)</f>
        <v>0</v>
      </c>
      <c r="AV117" s="298" cm="1">
        <f t="array" ref="AV117">IF(AND(AV$2&lt;&gt;0,TblTech[[#This Row],[Hour]:[Hour]]&gt;=AV$2),1,0)</f>
        <v>0</v>
      </c>
      <c r="AW117" s="298" cm="1">
        <f t="array" ref="AW117">IF(AND(AW$2&lt;&gt;0,TblTech[[#This Row],[Hour]:[Hour]]&gt;=AW$2),1,0)</f>
        <v>0</v>
      </c>
      <c r="AX117" s="298" cm="1">
        <f t="array" ref="AX117">IF(AND(AX$2&lt;&gt;0,TblTech[[#This Row],[Hour]:[Hour]]&gt;=AX$2),1,0)</f>
        <v>0</v>
      </c>
      <c r="AY117" s="298" cm="1">
        <f t="array" ref="AY117">IF(AND(AY$2&lt;&gt;0,TblTech[[#This Row],[Hour]:[Hour]]&gt;=AY$2),1,0)</f>
        <v>0</v>
      </c>
      <c r="AZ117" s="298" cm="1">
        <f t="array" ref="AZ117">IF(AND(AZ$2&lt;&gt;0,TblTech[[#This Row],[Hour]:[Hour]]&gt;=AZ$2),1,0)</f>
        <v>0</v>
      </c>
      <c r="BA117" s="298" cm="1">
        <f t="array" ref="BA117">IF(AND(BA$2&lt;&gt;0,TblTech[[#This Row],[Hour]:[Hour]]&gt;=BA$2),1,0)</f>
        <v>0</v>
      </c>
      <c r="BB117" s="298" cm="1">
        <f t="array" ref="BB117">IF(AND(BB$2&lt;&gt;0,TblTech[[#This Row],[Hour]:[Hour]]&gt;=BB$2),1,0)</f>
        <v>0</v>
      </c>
      <c r="BC117" s="298" cm="1">
        <f t="array" ref="BC117">IF(AND(BC$2&lt;&gt;0,TblTech[[#This Row],[Hour]:[Hour]]&gt;=BC$2),1,0)</f>
        <v>0</v>
      </c>
      <c r="BD117" s="298" cm="1">
        <f t="array" ref="BD117">IF(AND(BD$2&lt;&gt;0,TblTech[[#This Row],[Hour]:[Hour]]&gt;=BD$2),1,0)</f>
        <v>0</v>
      </c>
      <c r="BE117" s="298" cm="1">
        <f t="array" ref="BE117">IF(AND(BE$2&lt;&gt;0,TblTech[[#This Row],[Hour]:[Hour]]&gt;=BE$2),1,0)</f>
        <v>0</v>
      </c>
      <c r="BF117" s="298" cm="1">
        <f t="array" ref="BF117">IF(AND(BF$2&lt;&gt;0,TblTech[[#This Row],[Hour]:[Hour]]&gt;=BF$2),1,0)</f>
        <v>0</v>
      </c>
      <c r="BG117" s="298" cm="1">
        <f t="array" ref="BG117">IF(AND(BG$2&lt;&gt;0,TblTech[[#This Row],[Hour]:[Hour]]&gt;=BG$2),1,0)</f>
        <v>0</v>
      </c>
      <c r="BH117" s="298" cm="1">
        <f t="array" ref="BH117">IF(AND(BH$2&lt;&gt;0,TblTech[[#This Row],[Hour]:[Hour]]&gt;=BH$2),1,0)</f>
        <v>0</v>
      </c>
      <c r="BI117" s="298" cm="1">
        <f t="array" ref="BI117">IF(AND(BI$2&lt;&gt;0,TblTech[[#This Row],[Hour]:[Hour]]&gt;=BI$2),1,0)</f>
        <v>0</v>
      </c>
      <c r="BJ117" s="298" cm="1">
        <f t="array" ref="BJ117">IF(AND(BJ$2&lt;&gt;0,TblTech[[#This Row],[Hour]:[Hour]]&gt;=BJ$2),1,0)</f>
        <v>0</v>
      </c>
      <c r="BK117" s="298" cm="1">
        <f t="array" ref="BK117">IF(AND(BK$2&lt;&gt;0,TblTech[[#This Row],[Hour]:[Hour]]&gt;=BK$2),1,0)</f>
        <v>0</v>
      </c>
      <c r="BL117" s="298" cm="1">
        <f t="array" ref="BL117">IF(AND(BL$2&lt;&gt;0,TblTech[[#This Row],[Hour]:[Hour]]&gt;=BL$2),1,0)</f>
        <v>0</v>
      </c>
      <c r="BM117" s="298" cm="1">
        <f t="array" ref="BM117">IF(AND(BM$2&lt;&gt;0,TblTech[[#This Row],[Hour]:[Hour]]&gt;=BM$2),1,0)</f>
        <v>0</v>
      </c>
      <c r="BN117" s="298" cm="1">
        <f t="array" ref="BN117">IF(AND(BN$2&lt;&gt;0,TblTech[[#This Row],[Hour]:[Hour]]&gt;=BN$2),1,0)</f>
        <v>0</v>
      </c>
      <c r="BO117" s="298" cm="1">
        <f t="array" ref="BO117">IF(AND(BO$2&lt;&gt;0,TblTech[[#This Row],[Hour]:[Hour]]&gt;=BO$2),1,0)</f>
        <v>0</v>
      </c>
      <c r="BP117" s="298" cm="1">
        <f t="array" ref="BP117">IF(AND(BP$2&lt;&gt;0,TblTech[[#This Row],[Hour]:[Hour]]&gt;=BP$2),1,0)</f>
        <v>0</v>
      </c>
      <c r="BQ117" s="298" cm="1">
        <f t="array" ref="BQ117">IF(AND(BQ$2&lt;&gt;0,TblTech[[#This Row],[Hour]:[Hour]]&gt;=BQ$2),1,0)</f>
        <v>0</v>
      </c>
      <c r="BR117" s="298" cm="1">
        <f t="array" ref="BR117">IF(AND(BR$2&lt;&gt;0,TblTech[[#This Row],[Hour]:[Hour]]&gt;=BR$2),1,0)</f>
        <v>0</v>
      </c>
      <c r="BS117" s="298" cm="1">
        <f t="array" ref="BS117">IF(AND(BS$2&lt;&gt;0,TblTech[[#This Row],[Hour]:[Hour]]&gt;=BS$2),1,0)</f>
        <v>0</v>
      </c>
      <c r="BT117" s="298" cm="1">
        <f t="array" ref="BT117">IF(AND(BT$2&lt;&gt;0,TblTech[[#This Row],[Hour]:[Hour]]&gt;=BT$2),1,0)</f>
        <v>0</v>
      </c>
      <c r="BU117" s="298" cm="1">
        <f t="array" ref="BU117">IF(AND(BU$2&lt;&gt;0,TblTech[[#This Row],[Hour]:[Hour]]&gt;=BU$2),1,0)</f>
        <v>0</v>
      </c>
      <c r="BV117" s="298" cm="1">
        <f t="array" ref="BV117">IF(AND(BV$2&lt;&gt;0,TblTech[[#This Row],[Hour]:[Hour]]&gt;=BV$2),1,0)</f>
        <v>0</v>
      </c>
      <c r="BW117" s="298" cm="1">
        <f t="array" ref="BW117">IF(AND(BW$2&lt;&gt;0,TblTech[[#This Row],[Hour]:[Hour]]&gt;=BW$2),1,0)</f>
        <v>0</v>
      </c>
      <c r="BX117" s="298" cm="1">
        <f t="array" ref="BX117">IF(AND(BX$2&lt;&gt;0,TblTech[[#This Row],[Hour]:[Hour]]&gt;=BX$2),1,0)</f>
        <v>0</v>
      </c>
      <c r="BY117" s="298" cm="1">
        <f t="array" ref="BY117">IF(AND(BY$2&lt;&gt;0,TblTech[[#This Row],[Hour]:[Hour]]&gt;=BY$2),1,0)</f>
        <v>0</v>
      </c>
      <c r="BZ117" s="298" cm="1">
        <f t="array" ref="BZ117">IF(AND(BZ$2&lt;&gt;0,TblTech[[#This Row],[Hour]:[Hour]]&gt;=BZ$2),1,0)</f>
        <v>0</v>
      </c>
      <c r="CA117" s="402">
        <f>IFERROR(INDEX($H$4:$H$79,MATCH(INDEX(TblTech[[#Headers],[1-1]:[11-1]],1,MATCH(TblTech[[#This Row],[Hour]],$M$2:$BZ$2,0)),$G$4:$G$79,0)),)</f>
        <v>0</v>
      </c>
    </row>
    <row r="118" spans="1:79" x14ac:dyDescent="0.2">
      <c r="A118" s="290">
        <f>TblRezone[[#This Row],[Hour]]</f>
        <v>115</v>
      </c>
      <c r="B118" s="291">
        <f ca="1">TblExplore[[#This Row],[Land-DB]]</f>
        <v>250</v>
      </c>
      <c r="C118" s="292">
        <f ca="1">TblProd[[#This Row],[Techpoints]]</f>
        <v>0</v>
      </c>
      <c r="D118" s="292">
        <f ca="1">TblProd[[#This Row],[Required]]</f>
        <v>3750</v>
      </c>
      <c r="E118" s="301"/>
      <c r="F118" s="302"/>
      <c r="G118" s="295"/>
      <c r="H118" s="296"/>
      <c r="I118" s="296"/>
      <c r="J118" s="296"/>
      <c r="K118" s="95">
        <f ca="1">IF(TblTech[[#This Row],[Sum of tech]]&lt;&gt;OFFSET(TblTech[[#This Row],[Sum of tech]],-1,0),1,0)</f>
        <v>0</v>
      </c>
      <c r="L118" s="297">
        <f>COUNTIF(TblTech[[#This Row],[1-1]:[11-1]],1)</f>
        <v>0</v>
      </c>
      <c r="M118" s="298" cm="1">
        <f t="array" ref="M118">IF(AND(M$2&lt;&gt;0,TblTech[[#This Row],[Hour]:[Hour]]&gt;=M$2),1,0)</f>
        <v>0</v>
      </c>
      <c r="N118" s="298" cm="1">
        <f t="array" ref="N118">IF(AND(N$2&lt;&gt;0,TblTech[[#This Row],[Hour]:[Hour]]&gt;=N$2),1,0)</f>
        <v>0</v>
      </c>
      <c r="O118" s="298" cm="1">
        <f t="array" ref="O118">IF(AND(O$2&lt;&gt;0,TblTech[[#This Row],[Hour]:[Hour]]&gt;=O$2),1,0)</f>
        <v>0</v>
      </c>
      <c r="P118" s="298" cm="1">
        <f t="array" ref="P118">IF(AND(P$2&lt;&gt;0,TblTech[[#This Row],[Hour]:[Hour]]&gt;=P$2),1,0)</f>
        <v>0</v>
      </c>
      <c r="Q118" s="298" cm="1">
        <f t="array" ref="Q118">IF(AND(Q$2&lt;&gt;0,TblTech[[#This Row],[Hour]:[Hour]]&gt;=Q$2),1,0)</f>
        <v>0</v>
      </c>
      <c r="R118" s="298" cm="1">
        <f t="array" ref="R118">IF(AND(R$2&lt;&gt;0,TblTech[[#This Row],[Hour]:[Hour]]&gt;=R$2),1,0)</f>
        <v>0</v>
      </c>
      <c r="S118" s="298" cm="1">
        <f t="array" ref="S118">IF(AND(S$2&lt;&gt;0,TblTech[[#This Row],[Hour]:[Hour]]&gt;=S$2),1,0)</f>
        <v>0</v>
      </c>
      <c r="T118" s="298" cm="1">
        <f t="array" ref="T118">IF(AND(T$2&lt;&gt;0,TblTech[[#This Row],[Hour]:[Hour]]&gt;=T$2),1,0)</f>
        <v>0</v>
      </c>
      <c r="U118" s="298" cm="1">
        <f t="array" ref="U118">IF(AND(U$2&lt;&gt;0,TblTech[[#This Row],[Hour]:[Hour]]&gt;=U$2),1,0)</f>
        <v>0</v>
      </c>
      <c r="V118" s="298" cm="1">
        <f t="array" ref="V118">IF(AND(V$2&lt;&gt;0,TblTech[[#This Row],[Hour]:[Hour]]&gt;=V$2),1,0)</f>
        <v>0</v>
      </c>
      <c r="W118" s="298" cm="1">
        <f t="array" ref="W118">IF(AND(W$2&lt;&gt;0,TblTech[[#This Row],[Hour]:[Hour]]&gt;=W$2),1,0)</f>
        <v>0</v>
      </c>
      <c r="X118" s="298" cm="1">
        <f t="array" ref="X118">IF(AND(X$2&lt;&gt;0,TblTech[[#This Row],[Hour]:[Hour]]&gt;=X$2),1,0)</f>
        <v>0</v>
      </c>
      <c r="Y118" s="298" cm="1">
        <f t="array" ref="Y118">IF(AND(Y$2&lt;&gt;0,TblTech[[#This Row],[Hour]:[Hour]]&gt;=Y$2),1,0)</f>
        <v>0</v>
      </c>
      <c r="Z118" s="298" cm="1">
        <f t="array" ref="Z118">IF(AND(Z$2&lt;&gt;0,TblTech[[#This Row],[Hour]:[Hour]]&gt;=Z$2),1,0)</f>
        <v>0</v>
      </c>
      <c r="AA118" s="298" cm="1">
        <f t="array" ref="AA118">IF(AND(AA$2&lt;&gt;0,TblTech[[#This Row],[Hour]:[Hour]]&gt;=AA$2),1,0)</f>
        <v>0</v>
      </c>
      <c r="AB118" s="298" cm="1">
        <f t="array" ref="AB118">IF(AND(AB$2&lt;&gt;0,TblTech[[#This Row],[Hour]:[Hour]]&gt;=AB$2),1,0)</f>
        <v>0</v>
      </c>
      <c r="AC118" s="298" cm="1">
        <f t="array" ref="AC118">IF(AND(AC$2&lt;&gt;0,TblTech[[#This Row],[Hour]:[Hour]]&gt;=AC$2),1,0)</f>
        <v>0</v>
      </c>
      <c r="AD118" s="298" cm="1">
        <f t="array" ref="AD118">IF(AND(AD$2&lt;&gt;0,TblTech[[#This Row],[Hour]:[Hour]]&gt;=AD$2),1,0)</f>
        <v>0</v>
      </c>
      <c r="AE118" s="298" cm="1">
        <f t="array" ref="AE118">IF(AND(AE$2&lt;&gt;0,TblTech[[#This Row],[Hour]:[Hour]]&gt;=AE$2),1,0)</f>
        <v>0</v>
      </c>
      <c r="AF118" s="298" cm="1">
        <f t="array" ref="AF118">IF(AND(AF$2&lt;&gt;0,TblTech[[#This Row],[Hour]:[Hour]]&gt;=AF$2),1,0)</f>
        <v>0</v>
      </c>
      <c r="AG118" s="298" cm="1">
        <f t="array" ref="AG118">IF(AND(AG$2&lt;&gt;0,TblTech[[#This Row],[Hour]:[Hour]]&gt;=AG$2),1,0)</f>
        <v>0</v>
      </c>
      <c r="AH118" s="298" cm="1">
        <f t="array" ref="AH118">IF(AND(AH$2&lt;&gt;0,TblTech[[#This Row],[Hour]:[Hour]]&gt;=AH$2),1,0)</f>
        <v>0</v>
      </c>
      <c r="AI118" s="298" cm="1">
        <f t="array" ref="AI118">IF(AND(AI$2&lt;&gt;0,TblTech[[#This Row],[Hour]:[Hour]]&gt;=AI$2),1,0)</f>
        <v>0</v>
      </c>
      <c r="AJ118" s="298" cm="1">
        <f t="array" ref="AJ118">IF(AND(AJ$2&lt;&gt;0,TblTech[[#This Row],[Hour]:[Hour]]&gt;=AJ$2),1,0)</f>
        <v>0</v>
      </c>
      <c r="AK118" s="298" cm="1">
        <f t="array" ref="AK118">IF(AND(AK$2&lt;&gt;0,TblTech[[#This Row],[Hour]:[Hour]]&gt;=AK$2),1,0)</f>
        <v>0</v>
      </c>
      <c r="AL118" s="298" cm="1">
        <f t="array" ref="AL118">IF(AND(AL$2&lt;&gt;0,TblTech[[#This Row],[Hour]:[Hour]]&gt;=AL$2),1,0)</f>
        <v>0</v>
      </c>
      <c r="AM118" s="298" cm="1">
        <f t="array" ref="AM118">IF(AND(AM$2&lt;&gt;0,TblTech[[#This Row],[Hour]:[Hour]]&gt;=AM$2),1,0)</f>
        <v>0</v>
      </c>
      <c r="AN118" s="298" cm="1">
        <f t="array" ref="AN118">IF(AND(AN$2&lt;&gt;0,TblTech[[#This Row],[Hour]:[Hour]]&gt;=AN$2),1,0)</f>
        <v>0</v>
      </c>
      <c r="AO118" s="298" cm="1">
        <f t="array" ref="AO118">IF(AND(AO$2&lt;&gt;0,TblTech[[#This Row],[Hour]:[Hour]]&gt;=AO$2),1,0)</f>
        <v>0</v>
      </c>
      <c r="AP118" s="298" cm="1">
        <f t="array" ref="AP118">IF(AND(AP$2&lt;&gt;0,TblTech[[#This Row],[Hour]:[Hour]]&gt;=AP$2),1,0)</f>
        <v>0</v>
      </c>
      <c r="AQ118" s="298" cm="1">
        <f t="array" ref="AQ118">IF(AND(AQ$2&lt;&gt;0,TblTech[[#This Row],[Hour]:[Hour]]&gt;=AQ$2),1,0)</f>
        <v>0</v>
      </c>
      <c r="AR118" s="298" cm="1">
        <f t="array" ref="AR118">IF(AND(AR$2&lt;&gt;0,TblTech[[#This Row],[Hour]:[Hour]]&gt;=AR$2),1,0)</f>
        <v>0</v>
      </c>
      <c r="AS118" s="298" cm="1">
        <f t="array" ref="AS118">IF(AND(AS$2&lt;&gt;0,TblTech[[#This Row],[Hour]:[Hour]]&gt;=AS$2),1,0)</f>
        <v>0</v>
      </c>
      <c r="AT118" s="298" cm="1">
        <f t="array" ref="AT118">IF(AND(AT$2&lt;&gt;0,TblTech[[#This Row],[Hour]:[Hour]]&gt;=AT$2),1,0)</f>
        <v>0</v>
      </c>
      <c r="AU118" s="298" cm="1">
        <f t="array" ref="AU118">IF(AND(AU$2&lt;&gt;0,TblTech[[#This Row],[Hour]:[Hour]]&gt;=AU$2),1,0)</f>
        <v>0</v>
      </c>
      <c r="AV118" s="298" cm="1">
        <f t="array" ref="AV118">IF(AND(AV$2&lt;&gt;0,TblTech[[#This Row],[Hour]:[Hour]]&gt;=AV$2),1,0)</f>
        <v>0</v>
      </c>
      <c r="AW118" s="298" cm="1">
        <f t="array" ref="AW118">IF(AND(AW$2&lt;&gt;0,TblTech[[#This Row],[Hour]:[Hour]]&gt;=AW$2),1,0)</f>
        <v>0</v>
      </c>
      <c r="AX118" s="298" cm="1">
        <f t="array" ref="AX118">IF(AND(AX$2&lt;&gt;0,TblTech[[#This Row],[Hour]:[Hour]]&gt;=AX$2),1,0)</f>
        <v>0</v>
      </c>
      <c r="AY118" s="298" cm="1">
        <f t="array" ref="AY118">IF(AND(AY$2&lt;&gt;0,TblTech[[#This Row],[Hour]:[Hour]]&gt;=AY$2),1,0)</f>
        <v>0</v>
      </c>
      <c r="AZ118" s="298" cm="1">
        <f t="array" ref="AZ118">IF(AND(AZ$2&lt;&gt;0,TblTech[[#This Row],[Hour]:[Hour]]&gt;=AZ$2),1,0)</f>
        <v>0</v>
      </c>
      <c r="BA118" s="298" cm="1">
        <f t="array" ref="BA118">IF(AND(BA$2&lt;&gt;0,TblTech[[#This Row],[Hour]:[Hour]]&gt;=BA$2),1,0)</f>
        <v>0</v>
      </c>
      <c r="BB118" s="298" cm="1">
        <f t="array" ref="BB118">IF(AND(BB$2&lt;&gt;0,TblTech[[#This Row],[Hour]:[Hour]]&gt;=BB$2),1,0)</f>
        <v>0</v>
      </c>
      <c r="BC118" s="298" cm="1">
        <f t="array" ref="BC118">IF(AND(BC$2&lt;&gt;0,TblTech[[#This Row],[Hour]:[Hour]]&gt;=BC$2),1,0)</f>
        <v>0</v>
      </c>
      <c r="BD118" s="298" cm="1">
        <f t="array" ref="BD118">IF(AND(BD$2&lt;&gt;0,TblTech[[#This Row],[Hour]:[Hour]]&gt;=BD$2),1,0)</f>
        <v>0</v>
      </c>
      <c r="BE118" s="298" cm="1">
        <f t="array" ref="BE118">IF(AND(BE$2&lt;&gt;0,TblTech[[#This Row],[Hour]:[Hour]]&gt;=BE$2),1,0)</f>
        <v>0</v>
      </c>
      <c r="BF118" s="298" cm="1">
        <f t="array" ref="BF118">IF(AND(BF$2&lt;&gt;0,TblTech[[#This Row],[Hour]:[Hour]]&gt;=BF$2),1,0)</f>
        <v>0</v>
      </c>
      <c r="BG118" s="298" cm="1">
        <f t="array" ref="BG118">IF(AND(BG$2&lt;&gt;0,TblTech[[#This Row],[Hour]:[Hour]]&gt;=BG$2),1,0)</f>
        <v>0</v>
      </c>
      <c r="BH118" s="298" cm="1">
        <f t="array" ref="BH118">IF(AND(BH$2&lt;&gt;0,TblTech[[#This Row],[Hour]:[Hour]]&gt;=BH$2),1,0)</f>
        <v>0</v>
      </c>
      <c r="BI118" s="298" cm="1">
        <f t="array" ref="BI118">IF(AND(BI$2&lt;&gt;0,TblTech[[#This Row],[Hour]:[Hour]]&gt;=BI$2),1,0)</f>
        <v>0</v>
      </c>
      <c r="BJ118" s="298" cm="1">
        <f t="array" ref="BJ118">IF(AND(BJ$2&lt;&gt;0,TblTech[[#This Row],[Hour]:[Hour]]&gt;=BJ$2),1,0)</f>
        <v>0</v>
      </c>
      <c r="BK118" s="298" cm="1">
        <f t="array" ref="BK118">IF(AND(BK$2&lt;&gt;0,TblTech[[#This Row],[Hour]:[Hour]]&gt;=BK$2),1,0)</f>
        <v>0</v>
      </c>
      <c r="BL118" s="298" cm="1">
        <f t="array" ref="BL118">IF(AND(BL$2&lt;&gt;0,TblTech[[#This Row],[Hour]:[Hour]]&gt;=BL$2),1,0)</f>
        <v>0</v>
      </c>
      <c r="BM118" s="298" cm="1">
        <f t="array" ref="BM118">IF(AND(BM$2&lt;&gt;0,TblTech[[#This Row],[Hour]:[Hour]]&gt;=BM$2),1,0)</f>
        <v>0</v>
      </c>
      <c r="BN118" s="298" cm="1">
        <f t="array" ref="BN118">IF(AND(BN$2&lt;&gt;0,TblTech[[#This Row],[Hour]:[Hour]]&gt;=BN$2),1,0)</f>
        <v>0</v>
      </c>
      <c r="BO118" s="298" cm="1">
        <f t="array" ref="BO118">IF(AND(BO$2&lt;&gt;0,TblTech[[#This Row],[Hour]:[Hour]]&gt;=BO$2),1,0)</f>
        <v>0</v>
      </c>
      <c r="BP118" s="298" cm="1">
        <f t="array" ref="BP118">IF(AND(BP$2&lt;&gt;0,TblTech[[#This Row],[Hour]:[Hour]]&gt;=BP$2),1,0)</f>
        <v>0</v>
      </c>
      <c r="BQ118" s="298" cm="1">
        <f t="array" ref="BQ118">IF(AND(BQ$2&lt;&gt;0,TblTech[[#This Row],[Hour]:[Hour]]&gt;=BQ$2),1,0)</f>
        <v>0</v>
      </c>
      <c r="BR118" s="298" cm="1">
        <f t="array" ref="BR118">IF(AND(BR$2&lt;&gt;0,TblTech[[#This Row],[Hour]:[Hour]]&gt;=BR$2),1,0)</f>
        <v>0</v>
      </c>
      <c r="BS118" s="298" cm="1">
        <f t="array" ref="BS118">IF(AND(BS$2&lt;&gt;0,TblTech[[#This Row],[Hour]:[Hour]]&gt;=BS$2),1,0)</f>
        <v>0</v>
      </c>
      <c r="BT118" s="298" cm="1">
        <f t="array" ref="BT118">IF(AND(BT$2&lt;&gt;0,TblTech[[#This Row],[Hour]:[Hour]]&gt;=BT$2),1,0)</f>
        <v>0</v>
      </c>
      <c r="BU118" s="298" cm="1">
        <f t="array" ref="BU118">IF(AND(BU$2&lt;&gt;0,TblTech[[#This Row],[Hour]:[Hour]]&gt;=BU$2),1,0)</f>
        <v>0</v>
      </c>
      <c r="BV118" s="298" cm="1">
        <f t="array" ref="BV118">IF(AND(BV$2&lt;&gt;0,TblTech[[#This Row],[Hour]:[Hour]]&gt;=BV$2),1,0)</f>
        <v>0</v>
      </c>
      <c r="BW118" s="298" cm="1">
        <f t="array" ref="BW118">IF(AND(BW$2&lt;&gt;0,TblTech[[#This Row],[Hour]:[Hour]]&gt;=BW$2),1,0)</f>
        <v>0</v>
      </c>
      <c r="BX118" s="298" cm="1">
        <f t="array" ref="BX118">IF(AND(BX$2&lt;&gt;0,TblTech[[#This Row],[Hour]:[Hour]]&gt;=BX$2),1,0)</f>
        <v>0</v>
      </c>
      <c r="BY118" s="298" cm="1">
        <f t="array" ref="BY118">IF(AND(BY$2&lt;&gt;0,TblTech[[#This Row],[Hour]:[Hour]]&gt;=BY$2),1,0)</f>
        <v>0</v>
      </c>
      <c r="BZ118" s="298" cm="1">
        <f t="array" ref="BZ118">IF(AND(BZ$2&lt;&gt;0,TblTech[[#This Row],[Hour]:[Hour]]&gt;=BZ$2),1,0)</f>
        <v>0</v>
      </c>
      <c r="CA118" s="402">
        <f>IFERROR(INDEX($H$4:$H$79,MATCH(INDEX(TblTech[[#Headers],[1-1]:[11-1]],1,MATCH(TblTech[[#This Row],[Hour]],$M$2:$BZ$2,0)),$G$4:$G$79,0)),)</f>
        <v>0</v>
      </c>
    </row>
    <row r="119" spans="1:79" x14ac:dyDescent="0.2">
      <c r="A119" s="290">
        <f>TblRezone[[#This Row],[Hour]]</f>
        <v>116</v>
      </c>
      <c r="B119" s="291">
        <f ca="1">TblExplore[[#This Row],[Land-DB]]</f>
        <v>250</v>
      </c>
      <c r="C119" s="292">
        <f ca="1">TblProd[[#This Row],[Techpoints]]</f>
        <v>0</v>
      </c>
      <c r="D119" s="292">
        <f ca="1">TblProd[[#This Row],[Required]]</f>
        <v>3750</v>
      </c>
      <c r="E119" s="301"/>
      <c r="F119" s="302"/>
      <c r="G119" s="295"/>
      <c r="H119" s="296"/>
      <c r="I119" s="296"/>
      <c r="J119" s="296"/>
      <c r="K119" s="95">
        <f ca="1">IF(TblTech[[#This Row],[Sum of tech]]&lt;&gt;OFFSET(TblTech[[#This Row],[Sum of tech]],-1,0),1,0)</f>
        <v>0</v>
      </c>
      <c r="L119" s="297">
        <f>COUNTIF(TblTech[[#This Row],[1-1]:[11-1]],1)</f>
        <v>0</v>
      </c>
      <c r="M119" s="298" cm="1">
        <f t="array" ref="M119">IF(AND(M$2&lt;&gt;0,TblTech[[#This Row],[Hour]:[Hour]]&gt;=M$2),1,0)</f>
        <v>0</v>
      </c>
      <c r="N119" s="298" cm="1">
        <f t="array" ref="N119">IF(AND(N$2&lt;&gt;0,TblTech[[#This Row],[Hour]:[Hour]]&gt;=N$2),1,0)</f>
        <v>0</v>
      </c>
      <c r="O119" s="298" cm="1">
        <f t="array" ref="O119">IF(AND(O$2&lt;&gt;0,TblTech[[#This Row],[Hour]:[Hour]]&gt;=O$2),1,0)</f>
        <v>0</v>
      </c>
      <c r="P119" s="298" cm="1">
        <f t="array" ref="P119">IF(AND(P$2&lt;&gt;0,TblTech[[#This Row],[Hour]:[Hour]]&gt;=P$2),1,0)</f>
        <v>0</v>
      </c>
      <c r="Q119" s="298" cm="1">
        <f t="array" ref="Q119">IF(AND(Q$2&lt;&gt;0,TblTech[[#This Row],[Hour]:[Hour]]&gt;=Q$2),1,0)</f>
        <v>0</v>
      </c>
      <c r="R119" s="298" cm="1">
        <f t="array" ref="R119">IF(AND(R$2&lt;&gt;0,TblTech[[#This Row],[Hour]:[Hour]]&gt;=R$2),1,0)</f>
        <v>0</v>
      </c>
      <c r="S119" s="298" cm="1">
        <f t="array" ref="S119">IF(AND(S$2&lt;&gt;0,TblTech[[#This Row],[Hour]:[Hour]]&gt;=S$2),1,0)</f>
        <v>0</v>
      </c>
      <c r="T119" s="298" cm="1">
        <f t="array" ref="T119">IF(AND(T$2&lt;&gt;0,TblTech[[#This Row],[Hour]:[Hour]]&gt;=T$2),1,0)</f>
        <v>0</v>
      </c>
      <c r="U119" s="298" cm="1">
        <f t="array" ref="U119">IF(AND(U$2&lt;&gt;0,TblTech[[#This Row],[Hour]:[Hour]]&gt;=U$2),1,0)</f>
        <v>0</v>
      </c>
      <c r="V119" s="298" cm="1">
        <f t="array" ref="V119">IF(AND(V$2&lt;&gt;0,TblTech[[#This Row],[Hour]:[Hour]]&gt;=V$2),1,0)</f>
        <v>0</v>
      </c>
      <c r="W119" s="298" cm="1">
        <f t="array" ref="W119">IF(AND(W$2&lt;&gt;0,TblTech[[#This Row],[Hour]:[Hour]]&gt;=W$2),1,0)</f>
        <v>0</v>
      </c>
      <c r="X119" s="298" cm="1">
        <f t="array" ref="X119">IF(AND(X$2&lt;&gt;0,TblTech[[#This Row],[Hour]:[Hour]]&gt;=X$2),1,0)</f>
        <v>0</v>
      </c>
      <c r="Y119" s="298" cm="1">
        <f t="array" ref="Y119">IF(AND(Y$2&lt;&gt;0,TblTech[[#This Row],[Hour]:[Hour]]&gt;=Y$2),1,0)</f>
        <v>0</v>
      </c>
      <c r="Z119" s="298" cm="1">
        <f t="array" ref="Z119">IF(AND(Z$2&lt;&gt;0,TblTech[[#This Row],[Hour]:[Hour]]&gt;=Z$2),1,0)</f>
        <v>0</v>
      </c>
      <c r="AA119" s="298" cm="1">
        <f t="array" ref="AA119">IF(AND(AA$2&lt;&gt;0,TblTech[[#This Row],[Hour]:[Hour]]&gt;=AA$2),1,0)</f>
        <v>0</v>
      </c>
      <c r="AB119" s="298" cm="1">
        <f t="array" ref="AB119">IF(AND(AB$2&lt;&gt;0,TblTech[[#This Row],[Hour]:[Hour]]&gt;=AB$2),1,0)</f>
        <v>0</v>
      </c>
      <c r="AC119" s="298" cm="1">
        <f t="array" ref="AC119">IF(AND(AC$2&lt;&gt;0,TblTech[[#This Row],[Hour]:[Hour]]&gt;=AC$2),1,0)</f>
        <v>0</v>
      </c>
      <c r="AD119" s="298" cm="1">
        <f t="array" ref="AD119">IF(AND(AD$2&lt;&gt;0,TblTech[[#This Row],[Hour]:[Hour]]&gt;=AD$2),1,0)</f>
        <v>0</v>
      </c>
      <c r="AE119" s="298" cm="1">
        <f t="array" ref="AE119">IF(AND(AE$2&lt;&gt;0,TblTech[[#This Row],[Hour]:[Hour]]&gt;=AE$2),1,0)</f>
        <v>0</v>
      </c>
      <c r="AF119" s="298" cm="1">
        <f t="array" ref="AF119">IF(AND(AF$2&lt;&gt;0,TblTech[[#This Row],[Hour]:[Hour]]&gt;=AF$2),1,0)</f>
        <v>0</v>
      </c>
      <c r="AG119" s="298" cm="1">
        <f t="array" ref="AG119">IF(AND(AG$2&lt;&gt;0,TblTech[[#This Row],[Hour]:[Hour]]&gt;=AG$2),1,0)</f>
        <v>0</v>
      </c>
      <c r="AH119" s="298" cm="1">
        <f t="array" ref="AH119">IF(AND(AH$2&lt;&gt;0,TblTech[[#This Row],[Hour]:[Hour]]&gt;=AH$2),1,0)</f>
        <v>0</v>
      </c>
      <c r="AI119" s="298" cm="1">
        <f t="array" ref="AI119">IF(AND(AI$2&lt;&gt;0,TblTech[[#This Row],[Hour]:[Hour]]&gt;=AI$2),1,0)</f>
        <v>0</v>
      </c>
      <c r="AJ119" s="298" cm="1">
        <f t="array" ref="AJ119">IF(AND(AJ$2&lt;&gt;0,TblTech[[#This Row],[Hour]:[Hour]]&gt;=AJ$2),1,0)</f>
        <v>0</v>
      </c>
      <c r="AK119" s="298" cm="1">
        <f t="array" ref="AK119">IF(AND(AK$2&lt;&gt;0,TblTech[[#This Row],[Hour]:[Hour]]&gt;=AK$2),1,0)</f>
        <v>0</v>
      </c>
      <c r="AL119" s="298" cm="1">
        <f t="array" ref="AL119">IF(AND(AL$2&lt;&gt;0,TblTech[[#This Row],[Hour]:[Hour]]&gt;=AL$2),1,0)</f>
        <v>0</v>
      </c>
      <c r="AM119" s="298" cm="1">
        <f t="array" ref="AM119">IF(AND(AM$2&lt;&gt;0,TblTech[[#This Row],[Hour]:[Hour]]&gt;=AM$2),1,0)</f>
        <v>0</v>
      </c>
      <c r="AN119" s="298" cm="1">
        <f t="array" ref="AN119">IF(AND(AN$2&lt;&gt;0,TblTech[[#This Row],[Hour]:[Hour]]&gt;=AN$2),1,0)</f>
        <v>0</v>
      </c>
      <c r="AO119" s="298" cm="1">
        <f t="array" ref="AO119">IF(AND(AO$2&lt;&gt;0,TblTech[[#This Row],[Hour]:[Hour]]&gt;=AO$2),1,0)</f>
        <v>0</v>
      </c>
      <c r="AP119" s="298" cm="1">
        <f t="array" ref="AP119">IF(AND(AP$2&lt;&gt;0,TblTech[[#This Row],[Hour]:[Hour]]&gt;=AP$2),1,0)</f>
        <v>0</v>
      </c>
      <c r="AQ119" s="298" cm="1">
        <f t="array" ref="AQ119">IF(AND(AQ$2&lt;&gt;0,TblTech[[#This Row],[Hour]:[Hour]]&gt;=AQ$2),1,0)</f>
        <v>0</v>
      </c>
      <c r="AR119" s="298" cm="1">
        <f t="array" ref="AR119">IF(AND(AR$2&lt;&gt;0,TblTech[[#This Row],[Hour]:[Hour]]&gt;=AR$2),1,0)</f>
        <v>0</v>
      </c>
      <c r="AS119" s="298" cm="1">
        <f t="array" ref="AS119">IF(AND(AS$2&lt;&gt;0,TblTech[[#This Row],[Hour]:[Hour]]&gt;=AS$2),1,0)</f>
        <v>0</v>
      </c>
      <c r="AT119" s="298" cm="1">
        <f t="array" ref="AT119">IF(AND(AT$2&lt;&gt;0,TblTech[[#This Row],[Hour]:[Hour]]&gt;=AT$2),1,0)</f>
        <v>0</v>
      </c>
      <c r="AU119" s="298" cm="1">
        <f t="array" ref="AU119">IF(AND(AU$2&lt;&gt;0,TblTech[[#This Row],[Hour]:[Hour]]&gt;=AU$2),1,0)</f>
        <v>0</v>
      </c>
      <c r="AV119" s="298" cm="1">
        <f t="array" ref="AV119">IF(AND(AV$2&lt;&gt;0,TblTech[[#This Row],[Hour]:[Hour]]&gt;=AV$2),1,0)</f>
        <v>0</v>
      </c>
      <c r="AW119" s="298" cm="1">
        <f t="array" ref="AW119">IF(AND(AW$2&lt;&gt;0,TblTech[[#This Row],[Hour]:[Hour]]&gt;=AW$2),1,0)</f>
        <v>0</v>
      </c>
      <c r="AX119" s="298" cm="1">
        <f t="array" ref="AX119">IF(AND(AX$2&lt;&gt;0,TblTech[[#This Row],[Hour]:[Hour]]&gt;=AX$2),1,0)</f>
        <v>0</v>
      </c>
      <c r="AY119" s="298" cm="1">
        <f t="array" ref="AY119">IF(AND(AY$2&lt;&gt;0,TblTech[[#This Row],[Hour]:[Hour]]&gt;=AY$2),1,0)</f>
        <v>0</v>
      </c>
      <c r="AZ119" s="298" cm="1">
        <f t="array" ref="AZ119">IF(AND(AZ$2&lt;&gt;0,TblTech[[#This Row],[Hour]:[Hour]]&gt;=AZ$2),1,0)</f>
        <v>0</v>
      </c>
      <c r="BA119" s="298" cm="1">
        <f t="array" ref="BA119">IF(AND(BA$2&lt;&gt;0,TblTech[[#This Row],[Hour]:[Hour]]&gt;=BA$2),1,0)</f>
        <v>0</v>
      </c>
      <c r="BB119" s="298" cm="1">
        <f t="array" ref="BB119">IF(AND(BB$2&lt;&gt;0,TblTech[[#This Row],[Hour]:[Hour]]&gt;=BB$2),1,0)</f>
        <v>0</v>
      </c>
      <c r="BC119" s="298" cm="1">
        <f t="array" ref="BC119">IF(AND(BC$2&lt;&gt;0,TblTech[[#This Row],[Hour]:[Hour]]&gt;=BC$2),1,0)</f>
        <v>0</v>
      </c>
      <c r="BD119" s="298" cm="1">
        <f t="array" ref="BD119">IF(AND(BD$2&lt;&gt;0,TblTech[[#This Row],[Hour]:[Hour]]&gt;=BD$2),1,0)</f>
        <v>0</v>
      </c>
      <c r="BE119" s="298" cm="1">
        <f t="array" ref="BE119">IF(AND(BE$2&lt;&gt;0,TblTech[[#This Row],[Hour]:[Hour]]&gt;=BE$2),1,0)</f>
        <v>0</v>
      </c>
      <c r="BF119" s="298" cm="1">
        <f t="array" ref="BF119">IF(AND(BF$2&lt;&gt;0,TblTech[[#This Row],[Hour]:[Hour]]&gt;=BF$2),1,0)</f>
        <v>0</v>
      </c>
      <c r="BG119" s="298" cm="1">
        <f t="array" ref="BG119">IF(AND(BG$2&lt;&gt;0,TblTech[[#This Row],[Hour]:[Hour]]&gt;=BG$2),1,0)</f>
        <v>0</v>
      </c>
      <c r="BH119" s="298" cm="1">
        <f t="array" ref="BH119">IF(AND(BH$2&lt;&gt;0,TblTech[[#This Row],[Hour]:[Hour]]&gt;=BH$2),1,0)</f>
        <v>0</v>
      </c>
      <c r="BI119" s="298" cm="1">
        <f t="array" ref="BI119">IF(AND(BI$2&lt;&gt;0,TblTech[[#This Row],[Hour]:[Hour]]&gt;=BI$2),1,0)</f>
        <v>0</v>
      </c>
      <c r="BJ119" s="298" cm="1">
        <f t="array" ref="BJ119">IF(AND(BJ$2&lt;&gt;0,TblTech[[#This Row],[Hour]:[Hour]]&gt;=BJ$2),1,0)</f>
        <v>0</v>
      </c>
      <c r="BK119" s="298" cm="1">
        <f t="array" ref="BK119">IF(AND(BK$2&lt;&gt;0,TblTech[[#This Row],[Hour]:[Hour]]&gt;=BK$2),1,0)</f>
        <v>0</v>
      </c>
      <c r="BL119" s="298" cm="1">
        <f t="array" ref="BL119">IF(AND(BL$2&lt;&gt;0,TblTech[[#This Row],[Hour]:[Hour]]&gt;=BL$2),1,0)</f>
        <v>0</v>
      </c>
      <c r="BM119" s="298" cm="1">
        <f t="array" ref="BM119">IF(AND(BM$2&lt;&gt;0,TblTech[[#This Row],[Hour]:[Hour]]&gt;=BM$2),1,0)</f>
        <v>0</v>
      </c>
      <c r="BN119" s="298" cm="1">
        <f t="array" ref="BN119">IF(AND(BN$2&lt;&gt;0,TblTech[[#This Row],[Hour]:[Hour]]&gt;=BN$2),1,0)</f>
        <v>0</v>
      </c>
      <c r="BO119" s="298" cm="1">
        <f t="array" ref="BO119">IF(AND(BO$2&lt;&gt;0,TblTech[[#This Row],[Hour]:[Hour]]&gt;=BO$2),1,0)</f>
        <v>0</v>
      </c>
      <c r="BP119" s="298" cm="1">
        <f t="array" ref="BP119">IF(AND(BP$2&lt;&gt;0,TblTech[[#This Row],[Hour]:[Hour]]&gt;=BP$2),1,0)</f>
        <v>0</v>
      </c>
      <c r="BQ119" s="298" cm="1">
        <f t="array" ref="BQ119">IF(AND(BQ$2&lt;&gt;0,TblTech[[#This Row],[Hour]:[Hour]]&gt;=BQ$2),1,0)</f>
        <v>0</v>
      </c>
      <c r="BR119" s="298" cm="1">
        <f t="array" ref="BR119">IF(AND(BR$2&lt;&gt;0,TblTech[[#This Row],[Hour]:[Hour]]&gt;=BR$2),1,0)</f>
        <v>0</v>
      </c>
      <c r="BS119" s="298" cm="1">
        <f t="array" ref="BS119">IF(AND(BS$2&lt;&gt;0,TblTech[[#This Row],[Hour]:[Hour]]&gt;=BS$2),1,0)</f>
        <v>0</v>
      </c>
      <c r="BT119" s="298" cm="1">
        <f t="array" ref="BT119">IF(AND(BT$2&lt;&gt;0,TblTech[[#This Row],[Hour]:[Hour]]&gt;=BT$2),1,0)</f>
        <v>0</v>
      </c>
      <c r="BU119" s="298" cm="1">
        <f t="array" ref="BU119">IF(AND(BU$2&lt;&gt;0,TblTech[[#This Row],[Hour]:[Hour]]&gt;=BU$2),1,0)</f>
        <v>0</v>
      </c>
      <c r="BV119" s="298" cm="1">
        <f t="array" ref="BV119">IF(AND(BV$2&lt;&gt;0,TblTech[[#This Row],[Hour]:[Hour]]&gt;=BV$2),1,0)</f>
        <v>0</v>
      </c>
      <c r="BW119" s="298" cm="1">
        <f t="array" ref="BW119">IF(AND(BW$2&lt;&gt;0,TblTech[[#This Row],[Hour]:[Hour]]&gt;=BW$2),1,0)</f>
        <v>0</v>
      </c>
      <c r="BX119" s="298" cm="1">
        <f t="array" ref="BX119">IF(AND(BX$2&lt;&gt;0,TblTech[[#This Row],[Hour]:[Hour]]&gt;=BX$2),1,0)</f>
        <v>0</v>
      </c>
      <c r="BY119" s="298" cm="1">
        <f t="array" ref="BY119">IF(AND(BY$2&lt;&gt;0,TblTech[[#This Row],[Hour]:[Hour]]&gt;=BY$2),1,0)</f>
        <v>0</v>
      </c>
      <c r="BZ119" s="298" cm="1">
        <f t="array" ref="BZ119">IF(AND(BZ$2&lt;&gt;0,TblTech[[#This Row],[Hour]:[Hour]]&gt;=BZ$2),1,0)</f>
        <v>0</v>
      </c>
      <c r="CA119" s="402">
        <f>IFERROR(INDEX($H$4:$H$79,MATCH(INDEX(TblTech[[#Headers],[1-1]:[11-1]],1,MATCH(TblTech[[#This Row],[Hour]],$M$2:$BZ$2,0)),$G$4:$G$79,0)),)</f>
        <v>0</v>
      </c>
    </row>
    <row r="120" spans="1:79" x14ac:dyDescent="0.2">
      <c r="A120" s="290">
        <f>TblRezone[[#This Row],[Hour]]</f>
        <v>117</v>
      </c>
      <c r="B120" s="291">
        <f ca="1">TblExplore[[#This Row],[Land-DB]]</f>
        <v>250</v>
      </c>
      <c r="C120" s="292">
        <f ca="1">TblProd[[#This Row],[Techpoints]]</f>
        <v>0</v>
      </c>
      <c r="D120" s="292">
        <f ca="1">TblProd[[#This Row],[Required]]</f>
        <v>3750</v>
      </c>
      <c r="E120" s="301"/>
      <c r="F120" s="302"/>
      <c r="G120" s="295"/>
      <c r="H120" s="296"/>
      <c r="I120" s="296"/>
      <c r="J120" s="296"/>
      <c r="K120" s="95">
        <f ca="1">IF(TblTech[[#This Row],[Sum of tech]]&lt;&gt;OFFSET(TblTech[[#This Row],[Sum of tech]],-1,0),1,0)</f>
        <v>0</v>
      </c>
      <c r="L120" s="297">
        <f>COUNTIF(TblTech[[#This Row],[1-1]:[11-1]],1)</f>
        <v>0</v>
      </c>
      <c r="M120" s="298" cm="1">
        <f t="array" ref="M120">IF(AND(M$2&lt;&gt;0,TblTech[[#This Row],[Hour]:[Hour]]&gt;=M$2),1,0)</f>
        <v>0</v>
      </c>
      <c r="N120" s="298" cm="1">
        <f t="array" ref="N120">IF(AND(N$2&lt;&gt;0,TblTech[[#This Row],[Hour]:[Hour]]&gt;=N$2),1,0)</f>
        <v>0</v>
      </c>
      <c r="O120" s="298" cm="1">
        <f t="array" ref="O120">IF(AND(O$2&lt;&gt;0,TblTech[[#This Row],[Hour]:[Hour]]&gt;=O$2),1,0)</f>
        <v>0</v>
      </c>
      <c r="P120" s="298" cm="1">
        <f t="array" ref="P120">IF(AND(P$2&lt;&gt;0,TblTech[[#This Row],[Hour]:[Hour]]&gt;=P$2),1,0)</f>
        <v>0</v>
      </c>
      <c r="Q120" s="298" cm="1">
        <f t="array" ref="Q120">IF(AND(Q$2&lt;&gt;0,TblTech[[#This Row],[Hour]:[Hour]]&gt;=Q$2),1,0)</f>
        <v>0</v>
      </c>
      <c r="R120" s="298" cm="1">
        <f t="array" ref="R120">IF(AND(R$2&lt;&gt;0,TblTech[[#This Row],[Hour]:[Hour]]&gt;=R$2),1,0)</f>
        <v>0</v>
      </c>
      <c r="S120" s="298" cm="1">
        <f t="array" ref="S120">IF(AND(S$2&lt;&gt;0,TblTech[[#This Row],[Hour]:[Hour]]&gt;=S$2),1,0)</f>
        <v>0</v>
      </c>
      <c r="T120" s="298" cm="1">
        <f t="array" ref="T120">IF(AND(T$2&lt;&gt;0,TblTech[[#This Row],[Hour]:[Hour]]&gt;=T$2),1,0)</f>
        <v>0</v>
      </c>
      <c r="U120" s="298" cm="1">
        <f t="array" ref="U120">IF(AND(U$2&lt;&gt;0,TblTech[[#This Row],[Hour]:[Hour]]&gt;=U$2),1,0)</f>
        <v>0</v>
      </c>
      <c r="V120" s="298" cm="1">
        <f t="array" ref="V120">IF(AND(V$2&lt;&gt;0,TblTech[[#This Row],[Hour]:[Hour]]&gt;=V$2),1,0)</f>
        <v>0</v>
      </c>
      <c r="W120" s="298" cm="1">
        <f t="array" ref="W120">IF(AND(W$2&lt;&gt;0,TblTech[[#This Row],[Hour]:[Hour]]&gt;=W$2),1,0)</f>
        <v>0</v>
      </c>
      <c r="X120" s="298" cm="1">
        <f t="array" ref="X120">IF(AND(X$2&lt;&gt;0,TblTech[[#This Row],[Hour]:[Hour]]&gt;=X$2),1,0)</f>
        <v>0</v>
      </c>
      <c r="Y120" s="298" cm="1">
        <f t="array" ref="Y120">IF(AND(Y$2&lt;&gt;0,TblTech[[#This Row],[Hour]:[Hour]]&gt;=Y$2),1,0)</f>
        <v>0</v>
      </c>
      <c r="Z120" s="298" cm="1">
        <f t="array" ref="Z120">IF(AND(Z$2&lt;&gt;0,TblTech[[#This Row],[Hour]:[Hour]]&gt;=Z$2),1,0)</f>
        <v>0</v>
      </c>
      <c r="AA120" s="298" cm="1">
        <f t="array" ref="AA120">IF(AND(AA$2&lt;&gt;0,TblTech[[#This Row],[Hour]:[Hour]]&gt;=AA$2),1,0)</f>
        <v>0</v>
      </c>
      <c r="AB120" s="298" cm="1">
        <f t="array" ref="AB120">IF(AND(AB$2&lt;&gt;0,TblTech[[#This Row],[Hour]:[Hour]]&gt;=AB$2),1,0)</f>
        <v>0</v>
      </c>
      <c r="AC120" s="298" cm="1">
        <f t="array" ref="AC120">IF(AND(AC$2&lt;&gt;0,TblTech[[#This Row],[Hour]:[Hour]]&gt;=AC$2),1,0)</f>
        <v>0</v>
      </c>
      <c r="AD120" s="298" cm="1">
        <f t="array" ref="AD120">IF(AND(AD$2&lt;&gt;0,TblTech[[#This Row],[Hour]:[Hour]]&gt;=AD$2),1,0)</f>
        <v>0</v>
      </c>
      <c r="AE120" s="298" cm="1">
        <f t="array" ref="AE120">IF(AND(AE$2&lt;&gt;0,TblTech[[#This Row],[Hour]:[Hour]]&gt;=AE$2),1,0)</f>
        <v>0</v>
      </c>
      <c r="AF120" s="298" cm="1">
        <f t="array" ref="AF120">IF(AND(AF$2&lt;&gt;0,TblTech[[#This Row],[Hour]:[Hour]]&gt;=AF$2),1,0)</f>
        <v>0</v>
      </c>
      <c r="AG120" s="298" cm="1">
        <f t="array" ref="AG120">IF(AND(AG$2&lt;&gt;0,TblTech[[#This Row],[Hour]:[Hour]]&gt;=AG$2),1,0)</f>
        <v>0</v>
      </c>
      <c r="AH120" s="298" cm="1">
        <f t="array" ref="AH120">IF(AND(AH$2&lt;&gt;0,TblTech[[#This Row],[Hour]:[Hour]]&gt;=AH$2),1,0)</f>
        <v>0</v>
      </c>
      <c r="AI120" s="298" cm="1">
        <f t="array" ref="AI120">IF(AND(AI$2&lt;&gt;0,TblTech[[#This Row],[Hour]:[Hour]]&gt;=AI$2),1,0)</f>
        <v>0</v>
      </c>
      <c r="AJ120" s="298" cm="1">
        <f t="array" ref="AJ120">IF(AND(AJ$2&lt;&gt;0,TblTech[[#This Row],[Hour]:[Hour]]&gt;=AJ$2),1,0)</f>
        <v>0</v>
      </c>
      <c r="AK120" s="298" cm="1">
        <f t="array" ref="AK120">IF(AND(AK$2&lt;&gt;0,TblTech[[#This Row],[Hour]:[Hour]]&gt;=AK$2),1,0)</f>
        <v>0</v>
      </c>
      <c r="AL120" s="298" cm="1">
        <f t="array" ref="AL120">IF(AND(AL$2&lt;&gt;0,TblTech[[#This Row],[Hour]:[Hour]]&gt;=AL$2),1,0)</f>
        <v>0</v>
      </c>
      <c r="AM120" s="298" cm="1">
        <f t="array" ref="AM120">IF(AND(AM$2&lt;&gt;0,TblTech[[#This Row],[Hour]:[Hour]]&gt;=AM$2),1,0)</f>
        <v>0</v>
      </c>
      <c r="AN120" s="298" cm="1">
        <f t="array" ref="AN120">IF(AND(AN$2&lt;&gt;0,TblTech[[#This Row],[Hour]:[Hour]]&gt;=AN$2),1,0)</f>
        <v>0</v>
      </c>
      <c r="AO120" s="298" cm="1">
        <f t="array" ref="AO120">IF(AND(AO$2&lt;&gt;0,TblTech[[#This Row],[Hour]:[Hour]]&gt;=AO$2),1,0)</f>
        <v>0</v>
      </c>
      <c r="AP120" s="298" cm="1">
        <f t="array" ref="AP120">IF(AND(AP$2&lt;&gt;0,TblTech[[#This Row],[Hour]:[Hour]]&gt;=AP$2),1,0)</f>
        <v>0</v>
      </c>
      <c r="AQ120" s="298" cm="1">
        <f t="array" ref="AQ120">IF(AND(AQ$2&lt;&gt;0,TblTech[[#This Row],[Hour]:[Hour]]&gt;=AQ$2),1,0)</f>
        <v>0</v>
      </c>
      <c r="AR120" s="298" cm="1">
        <f t="array" ref="AR120">IF(AND(AR$2&lt;&gt;0,TblTech[[#This Row],[Hour]:[Hour]]&gt;=AR$2),1,0)</f>
        <v>0</v>
      </c>
      <c r="AS120" s="298" cm="1">
        <f t="array" ref="AS120">IF(AND(AS$2&lt;&gt;0,TblTech[[#This Row],[Hour]:[Hour]]&gt;=AS$2),1,0)</f>
        <v>0</v>
      </c>
      <c r="AT120" s="298" cm="1">
        <f t="array" ref="AT120">IF(AND(AT$2&lt;&gt;0,TblTech[[#This Row],[Hour]:[Hour]]&gt;=AT$2),1,0)</f>
        <v>0</v>
      </c>
      <c r="AU120" s="298" cm="1">
        <f t="array" ref="AU120">IF(AND(AU$2&lt;&gt;0,TblTech[[#This Row],[Hour]:[Hour]]&gt;=AU$2),1,0)</f>
        <v>0</v>
      </c>
      <c r="AV120" s="298" cm="1">
        <f t="array" ref="AV120">IF(AND(AV$2&lt;&gt;0,TblTech[[#This Row],[Hour]:[Hour]]&gt;=AV$2),1,0)</f>
        <v>0</v>
      </c>
      <c r="AW120" s="298" cm="1">
        <f t="array" ref="AW120">IF(AND(AW$2&lt;&gt;0,TblTech[[#This Row],[Hour]:[Hour]]&gt;=AW$2),1,0)</f>
        <v>0</v>
      </c>
      <c r="AX120" s="298" cm="1">
        <f t="array" ref="AX120">IF(AND(AX$2&lt;&gt;0,TblTech[[#This Row],[Hour]:[Hour]]&gt;=AX$2),1,0)</f>
        <v>0</v>
      </c>
      <c r="AY120" s="298" cm="1">
        <f t="array" ref="AY120">IF(AND(AY$2&lt;&gt;0,TblTech[[#This Row],[Hour]:[Hour]]&gt;=AY$2),1,0)</f>
        <v>0</v>
      </c>
      <c r="AZ120" s="298" cm="1">
        <f t="array" ref="AZ120">IF(AND(AZ$2&lt;&gt;0,TblTech[[#This Row],[Hour]:[Hour]]&gt;=AZ$2),1,0)</f>
        <v>0</v>
      </c>
      <c r="BA120" s="298" cm="1">
        <f t="array" ref="BA120">IF(AND(BA$2&lt;&gt;0,TblTech[[#This Row],[Hour]:[Hour]]&gt;=BA$2),1,0)</f>
        <v>0</v>
      </c>
      <c r="BB120" s="298" cm="1">
        <f t="array" ref="BB120">IF(AND(BB$2&lt;&gt;0,TblTech[[#This Row],[Hour]:[Hour]]&gt;=BB$2),1,0)</f>
        <v>0</v>
      </c>
      <c r="BC120" s="298" cm="1">
        <f t="array" ref="BC120">IF(AND(BC$2&lt;&gt;0,TblTech[[#This Row],[Hour]:[Hour]]&gt;=BC$2),1,0)</f>
        <v>0</v>
      </c>
      <c r="BD120" s="298" cm="1">
        <f t="array" ref="BD120">IF(AND(BD$2&lt;&gt;0,TblTech[[#This Row],[Hour]:[Hour]]&gt;=BD$2),1,0)</f>
        <v>0</v>
      </c>
      <c r="BE120" s="298" cm="1">
        <f t="array" ref="BE120">IF(AND(BE$2&lt;&gt;0,TblTech[[#This Row],[Hour]:[Hour]]&gt;=BE$2),1,0)</f>
        <v>0</v>
      </c>
      <c r="BF120" s="298" cm="1">
        <f t="array" ref="BF120">IF(AND(BF$2&lt;&gt;0,TblTech[[#This Row],[Hour]:[Hour]]&gt;=BF$2),1,0)</f>
        <v>0</v>
      </c>
      <c r="BG120" s="298" cm="1">
        <f t="array" ref="BG120">IF(AND(BG$2&lt;&gt;0,TblTech[[#This Row],[Hour]:[Hour]]&gt;=BG$2),1,0)</f>
        <v>0</v>
      </c>
      <c r="BH120" s="298" cm="1">
        <f t="array" ref="BH120">IF(AND(BH$2&lt;&gt;0,TblTech[[#This Row],[Hour]:[Hour]]&gt;=BH$2),1,0)</f>
        <v>0</v>
      </c>
      <c r="BI120" s="298" cm="1">
        <f t="array" ref="BI120">IF(AND(BI$2&lt;&gt;0,TblTech[[#This Row],[Hour]:[Hour]]&gt;=BI$2),1,0)</f>
        <v>0</v>
      </c>
      <c r="BJ120" s="298" cm="1">
        <f t="array" ref="BJ120">IF(AND(BJ$2&lt;&gt;0,TblTech[[#This Row],[Hour]:[Hour]]&gt;=BJ$2),1,0)</f>
        <v>0</v>
      </c>
      <c r="BK120" s="298" cm="1">
        <f t="array" ref="BK120">IF(AND(BK$2&lt;&gt;0,TblTech[[#This Row],[Hour]:[Hour]]&gt;=BK$2),1,0)</f>
        <v>0</v>
      </c>
      <c r="BL120" s="298" cm="1">
        <f t="array" ref="BL120">IF(AND(BL$2&lt;&gt;0,TblTech[[#This Row],[Hour]:[Hour]]&gt;=BL$2),1,0)</f>
        <v>0</v>
      </c>
      <c r="BM120" s="298" cm="1">
        <f t="array" ref="BM120">IF(AND(BM$2&lt;&gt;0,TblTech[[#This Row],[Hour]:[Hour]]&gt;=BM$2),1,0)</f>
        <v>0</v>
      </c>
      <c r="BN120" s="298" cm="1">
        <f t="array" ref="BN120">IF(AND(BN$2&lt;&gt;0,TblTech[[#This Row],[Hour]:[Hour]]&gt;=BN$2),1,0)</f>
        <v>0</v>
      </c>
      <c r="BO120" s="298" cm="1">
        <f t="array" ref="BO120">IF(AND(BO$2&lt;&gt;0,TblTech[[#This Row],[Hour]:[Hour]]&gt;=BO$2),1,0)</f>
        <v>0</v>
      </c>
      <c r="BP120" s="298" cm="1">
        <f t="array" ref="BP120">IF(AND(BP$2&lt;&gt;0,TblTech[[#This Row],[Hour]:[Hour]]&gt;=BP$2),1,0)</f>
        <v>0</v>
      </c>
      <c r="BQ120" s="298" cm="1">
        <f t="array" ref="BQ120">IF(AND(BQ$2&lt;&gt;0,TblTech[[#This Row],[Hour]:[Hour]]&gt;=BQ$2),1,0)</f>
        <v>0</v>
      </c>
      <c r="BR120" s="298" cm="1">
        <f t="array" ref="BR120">IF(AND(BR$2&lt;&gt;0,TblTech[[#This Row],[Hour]:[Hour]]&gt;=BR$2),1,0)</f>
        <v>0</v>
      </c>
      <c r="BS120" s="298" cm="1">
        <f t="array" ref="BS120">IF(AND(BS$2&lt;&gt;0,TblTech[[#This Row],[Hour]:[Hour]]&gt;=BS$2),1,0)</f>
        <v>0</v>
      </c>
      <c r="BT120" s="298" cm="1">
        <f t="array" ref="BT120">IF(AND(BT$2&lt;&gt;0,TblTech[[#This Row],[Hour]:[Hour]]&gt;=BT$2),1,0)</f>
        <v>0</v>
      </c>
      <c r="BU120" s="298" cm="1">
        <f t="array" ref="BU120">IF(AND(BU$2&lt;&gt;0,TblTech[[#This Row],[Hour]:[Hour]]&gt;=BU$2),1,0)</f>
        <v>0</v>
      </c>
      <c r="BV120" s="298" cm="1">
        <f t="array" ref="BV120">IF(AND(BV$2&lt;&gt;0,TblTech[[#This Row],[Hour]:[Hour]]&gt;=BV$2),1,0)</f>
        <v>0</v>
      </c>
      <c r="BW120" s="298" cm="1">
        <f t="array" ref="BW120">IF(AND(BW$2&lt;&gt;0,TblTech[[#This Row],[Hour]:[Hour]]&gt;=BW$2),1,0)</f>
        <v>0</v>
      </c>
      <c r="BX120" s="298" cm="1">
        <f t="array" ref="BX120">IF(AND(BX$2&lt;&gt;0,TblTech[[#This Row],[Hour]:[Hour]]&gt;=BX$2),1,0)</f>
        <v>0</v>
      </c>
      <c r="BY120" s="298" cm="1">
        <f t="array" ref="BY120">IF(AND(BY$2&lt;&gt;0,TblTech[[#This Row],[Hour]:[Hour]]&gt;=BY$2),1,0)</f>
        <v>0</v>
      </c>
      <c r="BZ120" s="298" cm="1">
        <f t="array" ref="BZ120">IF(AND(BZ$2&lt;&gt;0,TblTech[[#This Row],[Hour]:[Hour]]&gt;=BZ$2),1,0)</f>
        <v>0</v>
      </c>
      <c r="CA120" s="402">
        <f>IFERROR(INDEX($H$4:$H$79,MATCH(INDEX(TblTech[[#Headers],[1-1]:[11-1]],1,MATCH(TblTech[[#This Row],[Hour]],$M$2:$BZ$2,0)),$G$4:$G$79,0)),)</f>
        <v>0</v>
      </c>
    </row>
    <row r="121" spans="1:79" x14ac:dyDescent="0.2">
      <c r="A121" s="290">
        <f>TblRezone[[#This Row],[Hour]]</f>
        <v>118</v>
      </c>
      <c r="B121" s="291">
        <f ca="1">TblExplore[[#This Row],[Land-DB]]</f>
        <v>250</v>
      </c>
      <c r="C121" s="292">
        <f ca="1">TblProd[[#This Row],[Techpoints]]</f>
        <v>0</v>
      </c>
      <c r="D121" s="292">
        <f ca="1">TblProd[[#This Row],[Required]]</f>
        <v>3750</v>
      </c>
      <c r="E121" s="301"/>
      <c r="F121" s="302"/>
      <c r="G121" s="295"/>
      <c r="H121" s="296"/>
      <c r="I121" s="296"/>
      <c r="J121" s="296"/>
      <c r="K121" s="95">
        <f ca="1">IF(TblTech[[#This Row],[Sum of tech]]&lt;&gt;OFFSET(TblTech[[#This Row],[Sum of tech]],-1,0),1,0)</f>
        <v>0</v>
      </c>
      <c r="L121" s="297">
        <f>COUNTIF(TblTech[[#This Row],[1-1]:[11-1]],1)</f>
        <v>0</v>
      </c>
      <c r="M121" s="298" cm="1">
        <f t="array" ref="M121">IF(AND(M$2&lt;&gt;0,TblTech[[#This Row],[Hour]:[Hour]]&gt;=M$2),1,0)</f>
        <v>0</v>
      </c>
      <c r="N121" s="298" cm="1">
        <f t="array" ref="N121">IF(AND(N$2&lt;&gt;0,TblTech[[#This Row],[Hour]:[Hour]]&gt;=N$2),1,0)</f>
        <v>0</v>
      </c>
      <c r="O121" s="298" cm="1">
        <f t="array" ref="O121">IF(AND(O$2&lt;&gt;0,TblTech[[#This Row],[Hour]:[Hour]]&gt;=O$2),1,0)</f>
        <v>0</v>
      </c>
      <c r="P121" s="298" cm="1">
        <f t="array" ref="P121">IF(AND(P$2&lt;&gt;0,TblTech[[#This Row],[Hour]:[Hour]]&gt;=P$2),1,0)</f>
        <v>0</v>
      </c>
      <c r="Q121" s="298" cm="1">
        <f t="array" ref="Q121">IF(AND(Q$2&lt;&gt;0,TblTech[[#This Row],[Hour]:[Hour]]&gt;=Q$2),1,0)</f>
        <v>0</v>
      </c>
      <c r="R121" s="298" cm="1">
        <f t="array" ref="R121">IF(AND(R$2&lt;&gt;0,TblTech[[#This Row],[Hour]:[Hour]]&gt;=R$2),1,0)</f>
        <v>0</v>
      </c>
      <c r="S121" s="298" cm="1">
        <f t="array" ref="S121">IF(AND(S$2&lt;&gt;0,TblTech[[#This Row],[Hour]:[Hour]]&gt;=S$2),1,0)</f>
        <v>0</v>
      </c>
      <c r="T121" s="298" cm="1">
        <f t="array" ref="T121">IF(AND(T$2&lt;&gt;0,TblTech[[#This Row],[Hour]:[Hour]]&gt;=T$2),1,0)</f>
        <v>0</v>
      </c>
      <c r="U121" s="298" cm="1">
        <f t="array" ref="U121">IF(AND(U$2&lt;&gt;0,TblTech[[#This Row],[Hour]:[Hour]]&gt;=U$2),1,0)</f>
        <v>0</v>
      </c>
      <c r="V121" s="298" cm="1">
        <f t="array" ref="V121">IF(AND(V$2&lt;&gt;0,TblTech[[#This Row],[Hour]:[Hour]]&gt;=V$2),1,0)</f>
        <v>0</v>
      </c>
      <c r="W121" s="298" cm="1">
        <f t="array" ref="W121">IF(AND(W$2&lt;&gt;0,TblTech[[#This Row],[Hour]:[Hour]]&gt;=W$2),1,0)</f>
        <v>0</v>
      </c>
      <c r="X121" s="298" cm="1">
        <f t="array" ref="X121">IF(AND(X$2&lt;&gt;0,TblTech[[#This Row],[Hour]:[Hour]]&gt;=X$2),1,0)</f>
        <v>0</v>
      </c>
      <c r="Y121" s="298" cm="1">
        <f t="array" ref="Y121">IF(AND(Y$2&lt;&gt;0,TblTech[[#This Row],[Hour]:[Hour]]&gt;=Y$2),1,0)</f>
        <v>0</v>
      </c>
      <c r="Z121" s="298" cm="1">
        <f t="array" ref="Z121">IF(AND(Z$2&lt;&gt;0,TblTech[[#This Row],[Hour]:[Hour]]&gt;=Z$2),1,0)</f>
        <v>0</v>
      </c>
      <c r="AA121" s="298" cm="1">
        <f t="array" ref="AA121">IF(AND(AA$2&lt;&gt;0,TblTech[[#This Row],[Hour]:[Hour]]&gt;=AA$2),1,0)</f>
        <v>0</v>
      </c>
      <c r="AB121" s="298" cm="1">
        <f t="array" ref="AB121">IF(AND(AB$2&lt;&gt;0,TblTech[[#This Row],[Hour]:[Hour]]&gt;=AB$2),1,0)</f>
        <v>0</v>
      </c>
      <c r="AC121" s="298" cm="1">
        <f t="array" ref="AC121">IF(AND(AC$2&lt;&gt;0,TblTech[[#This Row],[Hour]:[Hour]]&gt;=AC$2),1,0)</f>
        <v>0</v>
      </c>
      <c r="AD121" s="298" cm="1">
        <f t="array" ref="AD121">IF(AND(AD$2&lt;&gt;0,TblTech[[#This Row],[Hour]:[Hour]]&gt;=AD$2),1,0)</f>
        <v>0</v>
      </c>
      <c r="AE121" s="298" cm="1">
        <f t="array" ref="AE121">IF(AND(AE$2&lt;&gt;0,TblTech[[#This Row],[Hour]:[Hour]]&gt;=AE$2),1,0)</f>
        <v>0</v>
      </c>
      <c r="AF121" s="298" cm="1">
        <f t="array" ref="AF121">IF(AND(AF$2&lt;&gt;0,TblTech[[#This Row],[Hour]:[Hour]]&gt;=AF$2),1,0)</f>
        <v>0</v>
      </c>
      <c r="AG121" s="298" cm="1">
        <f t="array" ref="AG121">IF(AND(AG$2&lt;&gt;0,TblTech[[#This Row],[Hour]:[Hour]]&gt;=AG$2),1,0)</f>
        <v>0</v>
      </c>
      <c r="AH121" s="298" cm="1">
        <f t="array" ref="AH121">IF(AND(AH$2&lt;&gt;0,TblTech[[#This Row],[Hour]:[Hour]]&gt;=AH$2),1,0)</f>
        <v>0</v>
      </c>
      <c r="AI121" s="298" cm="1">
        <f t="array" ref="AI121">IF(AND(AI$2&lt;&gt;0,TblTech[[#This Row],[Hour]:[Hour]]&gt;=AI$2),1,0)</f>
        <v>0</v>
      </c>
      <c r="AJ121" s="298" cm="1">
        <f t="array" ref="AJ121">IF(AND(AJ$2&lt;&gt;0,TblTech[[#This Row],[Hour]:[Hour]]&gt;=AJ$2),1,0)</f>
        <v>0</v>
      </c>
      <c r="AK121" s="298" cm="1">
        <f t="array" ref="AK121">IF(AND(AK$2&lt;&gt;0,TblTech[[#This Row],[Hour]:[Hour]]&gt;=AK$2),1,0)</f>
        <v>0</v>
      </c>
      <c r="AL121" s="298" cm="1">
        <f t="array" ref="AL121">IF(AND(AL$2&lt;&gt;0,TblTech[[#This Row],[Hour]:[Hour]]&gt;=AL$2),1,0)</f>
        <v>0</v>
      </c>
      <c r="AM121" s="298" cm="1">
        <f t="array" ref="AM121">IF(AND(AM$2&lt;&gt;0,TblTech[[#This Row],[Hour]:[Hour]]&gt;=AM$2),1,0)</f>
        <v>0</v>
      </c>
      <c r="AN121" s="298" cm="1">
        <f t="array" ref="AN121">IF(AND(AN$2&lt;&gt;0,TblTech[[#This Row],[Hour]:[Hour]]&gt;=AN$2),1,0)</f>
        <v>0</v>
      </c>
      <c r="AO121" s="298" cm="1">
        <f t="array" ref="AO121">IF(AND(AO$2&lt;&gt;0,TblTech[[#This Row],[Hour]:[Hour]]&gt;=AO$2),1,0)</f>
        <v>0</v>
      </c>
      <c r="AP121" s="298" cm="1">
        <f t="array" ref="AP121">IF(AND(AP$2&lt;&gt;0,TblTech[[#This Row],[Hour]:[Hour]]&gt;=AP$2),1,0)</f>
        <v>0</v>
      </c>
      <c r="AQ121" s="298" cm="1">
        <f t="array" ref="AQ121">IF(AND(AQ$2&lt;&gt;0,TblTech[[#This Row],[Hour]:[Hour]]&gt;=AQ$2),1,0)</f>
        <v>0</v>
      </c>
      <c r="AR121" s="298" cm="1">
        <f t="array" ref="AR121">IF(AND(AR$2&lt;&gt;0,TblTech[[#This Row],[Hour]:[Hour]]&gt;=AR$2),1,0)</f>
        <v>0</v>
      </c>
      <c r="AS121" s="298" cm="1">
        <f t="array" ref="AS121">IF(AND(AS$2&lt;&gt;0,TblTech[[#This Row],[Hour]:[Hour]]&gt;=AS$2),1,0)</f>
        <v>0</v>
      </c>
      <c r="AT121" s="298" cm="1">
        <f t="array" ref="AT121">IF(AND(AT$2&lt;&gt;0,TblTech[[#This Row],[Hour]:[Hour]]&gt;=AT$2),1,0)</f>
        <v>0</v>
      </c>
      <c r="AU121" s="298" cm="1">
        <f t="array" ref="AU121">IF(AND(AU$2&lt;&gt;0,TblTech[[#This Row],[Hour]:[Hour]]&gt;=AU$2),1,0)</f>
        <v>0</v>
      </c>
      <c r="AV121" s="298" cm="1">
        <f t="array" ref="AV121">IF(AND(AV$2&lt;&gt;0,TblTech[[#This Row],[Hour]:[Hour]]&gt;=AV$2),1,0)</f>
        <v>0</v>
      </c>
      <c r="AW121" s="298" cm="1">
        <f t="array" ref="AW121">IF(AND(AW$2&lt;&gt;0,TblTech[[#This Row],[Hour]:[Hour]]&gt;=AW$2),1,0)</f>
        <v>0</v>
      </c>
      <c r="AX121" s="298" cm="1">
        <f t="array" ref="AX121">IF(AND(AX$2&lt;&gt;0,TblTech[[#This Row],[Hour]:[Hour]]&gt;=AX$2),1,0)</f>
        <v>0</v>
      </c>
      <c r="AY121" s="298" cm="1">
        <f t="array" ref="AY121">IF(AND(AY$2&lt;&gt;0,TblTech[[#This Row],[Hour]:[Hour]]&gt;=AY$2),1,0)</f>
        <v>0</v>
      </c>
      <c r="AZ121" s="298" cm="1">
        <f t="array" ref="AZ121">IF(AND(AZ$2&lt;&gt;0,TblTech[[#This Row],[Hour]:[Hour]]&gt;=AZ$2),1,0)</f>
        <v>0</v>
      </c>
      <c r="BA121" s="298" cm="1">
        <f t="array" ref="BA121">IF(AND(BA$2&lt;&gt;0,TblTech[[#This Row],[Hour]:[Hour]]&gt;=BA$2),1,0)</f>
        <v>0</v>
      </c>
      <c r="BB121" s="298" cm="1">
        <f t="array" ref="BB121">IF(AND(BB$2&lt;&gt;0,TblTech[[#This Row],[Hour]:[Hour]]&gt;=BB$2),1,0)</f>
        <v>0</v>
      </c>
      <c r="BC121" s="298" cm="1">
        <f t="array" ref="BC121">IF(AND(BC$2&lt;&gt;0,TblTech[[#This Row],[Hour]:[Hour]]&gt;=BC$2),1,0)</f>
        <v>0</v>
      </c>
      <c r="BD121" s="298" cm="1">
        <f t="array" ref="BD121">IF(AND(BD$2&lt;&gt;0,TblTech[[#This Row],[Hour]:[Hour]]&gt;=BD$2),1,0)</f>
        <v>0</v>
      </c>
      <c r="BE121" s="298" cm="1">
        <f t="array" ref="BE121">IF(AND(BE$2&lt;&gt;0,TblTech[[#This Row],[Hour]:[Hour]]&gt;=BE$2),1,0)</f>
        <v>0</v>
      </c>
      <c r="BF121" s="298" cm="1">
        <f t="array" ref="BF121">IF(AND(BF$2&lt;&gt;0,TblTech[[#This Row],[Hour]:[Hour]]&gt;=BF$2),1,0)</f>
        <v>0</v>
      </c>
      <c r="BG121" s="298" cm="1">
        <f t="array" ref="BG121">IF(AND(BG$2&lt;&gt;0,TblTech[[#This Row],[Hour]:[Hour]]&gt;=BG$2),1,0)</f>
        <v>0</v>
      </c>
      <c r="BH121" s="298" cm="1">
        <f t="array" ref="BH121">IF(AND(BH$2&lt;&gt;0,TblTech[[#This Row],[Hour]:[Hour]]&gt;=BH$2),1,0)</f>
        <v>0</v>
      </c>
      <c r="BI121" s="298" cm="1">
        <f t="array" ref="BI121">IF(AND(BI$2&lt;&gt;0,TblTech[[#This Row],[Hour]:[Hour]]&gt;=BI$2),1,0)</f>
        <v>0</v>
      </c>
      <c r="BJ121" s="298" cm="1">
        <f t="array" ref="BJ121">IF(AND(BJ$2&lt;&gt;0,TblTech[[#This Row],[Hour]:[Hour]]&gt;=BJ$2),1,0)</f>
        <v>0</v>
      </c>
      <c r="BK121" s="298" cm="1">
        <f t="array" ref="BK121">IF(AND(BK$2&lt;&gt;0,TblTech[[#This Row],[Hour]:[Hour]]&gt;=BK$2),1,0)</f>
        <v>0</v>
      </c>
      <c r="BL121" s="298" cm="1">
        <f t="array" ref="BL121">IF(AND(BL$2&lt;&gt;0,TblTech[[#This Row],[Hour]:[Hour]]&gt;=BL$2),1,0)</f>
        <v>0</v>
      </c>
      <c r="BM121" s="298" cm="1">
        <f t="array" ref="BM121">IF(AND(BM$2&lt;&gt;0,TblTech[[#This Row],[Hour]:[Hour]]&gt;=BM$2),1,0)</f>
        <v>0</v>
      </c>
      <c r="BN121" s="298" cm="1">
        <f t="array" ref="BN121">IF(AND(BN$2&lt;&gt;0,TblTech[[#This Row],[Hour]:[Hour]]&gt;=BN$2),1,0)</f>
        <v>0</v>
      </c>
      <c r="BO121" s="298" cm="1">
        <f t="array" ref="BO121">IF(AND(BO$2&lt;&gt;0,TblTech[[#This Row],[Hour]:[Hour]]&gt;=BO$2),1,0)</f>
        <v>0</v>
      </c>
      <c r="BP121" s="298" cm="1">
        <f t="array" ref="BP121">IF(AND(BP$2&lt;&gt;0,TblTech[[#This Row],[Hour]:[Hour]]&gt;=BP$2),1,0)</f>
        <v>0</v>
      </c>
      <c r="BQ121" s="298" cm="1">
        <f t="array" ref="BQ121">IF(AND(BQ$2&lt;&gt;0,TblTech[[#This Row],[Hour]:[Hour]]&gt;=BQ$2),1,0)</f>
        <v>0</v>
      </c>
      <c r="BR121" s="298" cm="1">
        <f t="array" ref="BR121">IF(AND(BR$2&lt;&gt;0,TblTech[[#This Row],[Hour]:[Hour]]&gt;=BR$2),1,0)</f>
        <v>0</v>
      </c>
      <c r="BS121" s="298" cm="1">
        <f t="array" ref="BS121">IF(AND(BS$2&lt;&gt;0,TblTech[[#This Row],[Hour]:[Hour]]&gt;=BS$2),1,0)</f>
        <v>0</v>
      </c>
      <c r="BT121" s="298" cm="1">
        <f t="array" ref="BT121">IF(AND(BT$2&lt;&gt;0,TblTech[[#This Row],[Hour]:[Hour]]&gt;=BT$2),1,0)</f>
        <v>0</v>
      </c>
      <c r="BU121" s="298" cm="1">
        <f t="array" ref="BU121">IF(AND(BU$2&lt;&gt;0,TblTech[[#This Row],[Hour]:[Hour]]&gt;=BU$2),1,0)</f>
        <v>0</v>
      </c>
      <c r="BV121" s="298" cm="1">
        <f t="array" ref="BV121">IF(AND(BV$2&lt;&gt;0,TblTech[[#This Row],[Hour]:[Hour]]&gt;=BV$2),1,0)</f>
        <v>0</v>
      </c>
      <c r="BW121" s="298" cm="1">
        <f t="array" ref="BW121">IF(AND(BW$2&lt;&gt;0,TblTech[[#This Row],[Hour]:[Hour]]&gt;=BW$2),1,0)</f>
        <v>0</v>
      </c>
      <c r="BX121" s="298" cm="1">
        <f t="array" ref="BX121">IF(AND(BX$2&lt;&gt;0,TblTech[[#This Row],[Hour]:[Hour]]&gt;=BX$2),1,0)</f>
        <v>0</v>
      </c>
      <c r="BY121" s="298" cm="1">
        <f t="array" ref="BY121">IF(AND(BY$2&lt;&gt;0,TblTech[[#This Row],[Hour]:[Hour]]&gt;=BY$2),1,0)</f>
        <v>0</v>
      </c>
      <c r="BZ121" s="298" cm="1">
        <f t="array" ref="BZ121">IF(AND(BZ$2&lt;&gt;0,TblTech[[#This Row],[Hour]:[Hour]]&gt;=BZ$2),1,0)</f>
        <v>0</v>
      </c>
      <c r="CA121" s="402">
        <f>IFERROR(INDEX($H$4:$H$79,MATCH(INDEX(TblTech[[#Headers],[1-1]:[11-1]],1,MATCH(TblTech[[#This Row],[Hour]],$M$2:$BZ$2,0)),$G$4:$G$79,0)),)</f>
        <v>0</v>
      </c>
    </row>
    <row r="122" spans="1:79" x14ac:dyDescent="0.2">
      <c r="A122" s="290">
        <f>TblRezone[[#This Row],[Hour]]</f>
        <v>119</v>
      </c>
      <c r="B122" s="291">
        <f ca="1">TblExplore[[#This Row],[Land-DB]]</f>
        <v>250</v>
      </c>
      <c r="C122" s="292">
        <f ca="1">TblProd[[#This Row],[Techpoints]]</f>
        <v>0</v>
      </c>
      <c r="D122" s="292">
        <f ca="1">TblProd[[#This Row],[Required]]</f>
        <v>3750</v>
      </c>
      <c r="E122" s="301"/>
      <c r="F122" s="302"/>
      <c r="G122" s="295"/>
      <c r="H122" s="296"/>
      <c r="I122" s="296"/>
      <c r="J122" s="296"/>
      <c r="K122" s="95">
        <f ca="1">IF(TblTech[[#This Row],[Sum of tech]]&lt;&gt;OFFSET(TblTech[[#This Row],[Sum of tech]],-1,0),1,0)</f>
        <v>0</v>
      </c>
      <c r="L122" s="297">
        <f>COUNTIF(TblTech[[#This Row],[1-1]:[11-1]],1)</f>
        <v>0</v>
      </c>
      <c r="M122" s="298" cm="1">
        <f t="array" ref="M122">IF(AND(M$2&lt;&gt;0,TblTech[[#This Row],[Hour]:[Hour]]&gt;=M$2),1,0)</f>
        <v>0</v>
      </c>
      <c r="N122" s="298" cm="1">
        <f t="array" ref="N122">IF(AND(N$2&lt;&gt;0,TblTech[[#This Row],[Hour]:[Hour]]&gt;=N$2),1,0)</f>
        <v>0</v>
      </c>
      <c r="O122" s="298" cm="1">
        <f t="array" ref="O122">IF(AND(O$2&lt;&gt;0,TblTech[[#This Row],[Hour]:[Hour]]&gt;=O$2),1,0)</f>
        <v>0</v>
      </c>
      <c r="P122" s="298" cm="1">
        <f t="array" ref="P122">IF(AND(P$2&lt;&gt;0,TblTech[[#This Row],[Hour]:[Hour]]&gt;=P$2),1,0)</f>
        <v>0</v>
      </c>
      <c r="Q122" s="298" cm="1">
        <f t="array" ref="Q122">IF(AND(Q$2&lt;&gt;0,TblTech[[#This Row],[Hour]:[Hour]]&gt;=Q$2),1,0)</f>
        <v>0</v>
      </c>
      <c r="R122" s="298" cm="1">
        <f t="array" ref="R122">IF(AND(R$2&lt;&gt;0,TblTech[[#This Row],[Hour]:[Hour]]&gt;=R$2),1,0)</f>
        <v>0</v>
      </c>
      <c r="S122" s="298" cm="1">
        <f t="array" ref="S122">IF(AND(S$2&lt;&gt;0,TblTech[[#This Row],[Hour]:[Hour]]&gt;=S$2),1,0)</f>
        <v>0</v>
      </c>
      <c r="T122" s="298" cm="1">
        <f t="array" ref="T122">IF(AND(T$2&lt;&gt;0,TblTech[[#This Row],[Hour]:[Hour]]&gt;=T$2),1,0)</f>
        <v>0</v>
      </c>
      <c r="U122" s="298" cm="1">
        <f t="array" ref="U122">IF(AND(U$2&lt;&gt;0,TblTech[[#This Row],[Hour]:[Hour]]&gt;=U$2),1,0)</f>
        <v>0</v>
      </c>
      <c r="V122" s="298" cm="1">
        <f t="array" ref="V122">IF(AND(V$2&lt;&gt;0,TblTech[[#This Row],[Hour]:[Hour]]&gt;=V$2),1,0)</f>
        <v>0</v>
      </c>
      <c r="W122" s="298" cm="1">
        <f t="array" ref="W122">IF(AND(W$2&lt;&gt;0,TblTech[[#This Row],[Hour]:[Hour]]&gt;=W$2),1,0)</f>
        <v>0</v>
      </c>
      <c r="X122" s="298" cm="1">
        <f t="array" ref="X122">IF(AND(X$2&lt;&gt;0,TblTech[[#This Row],[Hour]:[Hour]]&gt;=X$2),1,0)</f>
        <v>0</v>
      </c>
      <c r="Y122" s="298" cm="1">
        <f t="array" ref="Y122">IF(AND(Y$2&lt;&gt;0,TblTech[[#This Row],[Hour]:[Hour]]&gt;=Y$2),1,0)</f>
        <v>0</v>
      </c>
      <c r="Z122" s="298" cm="1">
        <f t="array" ref="Z122">IF(AND(Z$2&lt;&gt;0,TblTech[[#This Row],[Hour]:[Hour]]&gt;=Z$2),1,0)</f>
        <v>0</v>
      </c>
      <c r="AA122" s="298" cm="1">
        <f t="array" ref="AA122">IF(AND(AA$2&lt;&gt;0,TblTech[[#This Row],[Hour]:[Hour]]&gt;=AA$2),1,0)</f>
        <v>0</v>
      </c>
      <c r="AB122" s="298" cm="1">
        <f t="array" ref="AB122">IF(AND(AB$2&lt;&gt;0,TblTech[[#This Row],[Hour]:[Hour]]&gt;=AB$2),1,0)</f>
        <v>0</v>
      </c>
      <c r="AC122" s="298" cm="1">
        <f t="array" ref="AC122">IF(AND(AC$2&lt;&gt;0,TblTech[[#This Row],[Hour]:[Hour]]&gt;=AC$2),1,0)</f>
        <v>0</v>
      </c>
      <c r="AD122" s="298" cm="1">
        <f t="array" ref="AD122">IF(AND(AD$2&lt;&gt;0,TblTech[[#This Row],[Hour]:[Hour]]&gt;=AD$2),1,0)</f>
        <v>0</v>
      </c>
      <c r="AE122" s="298" cm="1">
        <f t="array" ref="AE122">IF(AND(AE$2&lt;&gt;0,TblTech[[#This Row],[Hour]:[Hour]]&gt;=AE$2),1,0)</f>
        <v>0</v>
      </c>
      <c r="AF122" s="298" cm="1">
        <f t="array" ref="AF122">IF(AND(AF$2&lt;&gt;0,TblTech[[#This Row],[Hour]:[Hour]]&gt;=AF$2),1,0)</f>
        <v>0</v>
      </c>
      <c r="AG122" s="298" cm="1">
        <f t="array" ref="AG122">IF(AND(AG$2&lt;&gt;0,TblTech[[#This Row],[Hour]:[Hour]]&gt;=AG$2),1,0)</f>
        <v>0</v>
      </c>
      <c r="AH122" s="298" cm="1">
        <f t="array" ref="AH122">IF(AND(AH$2&lt;&gt;0,TblTech[[#This Row],[Hour]:[Hour]]&gt;=AH$2),1,0)</f>
        <v>0</v>
      </c>
      <c r="AI122" s="298" cm="1">
        <f t="array" ref="AI122">IF(AND(AI$2&lt;&gt;0,TblTech[[#This Row],[Hour]:[Hour]]&gt;=AI$2),1,0)</f>
        <v>0</v>
      </c>
      <c r="AJ122" s="298" cm="1">
        <f t="array" ref="AJ122">IF(AND(AJ$2&lt;&gt;0,TblTech[[#This Row],[Hour]:[Hour]]&gt;=AJ$2),1,0)</f>
        <v>0</v>
      </c>
      <c r="AK122" s="298" cm="1">
        <f t="array" ref="AK122">IF(AND(AK$2&lt;&gt;0,TblTech[[#This Row],[Hour]:[Hour]]&gt;=AK$2),1,0)</f>
        <v>0</v>
      </c>
      <c r="AL122" s="298" cm="1">
        <f t="array" ref="AL122">IF(AND(AL$2&lt;&gt;0,TblTech[[#This Row],[Hour]:[Hour]]&gt;=AL$2),1,0)</f>
        <v>0</v>
      </c>
      <c r="AM122" s="298" cm="1">
        <f t="array" ref="AM122">IF(AND(AM$2&lt;&gt;0,TblTech[[#This Row],[Hour]:[Hour]]&gt;=AM$2),1,0)</f>
        <v>0</v>
      </c>
      <c r="AN122" s="298" cm="1">
        <f t="array" ref="AN122">IF(AND(AN$2&lt;&gt;0,TblTech[[#This Row],[Hour]:[Hour]]&gt;=AN$2),1,0)</f>
        <v>0</v>
      </c>
      <c r="AO122" s="298" cm="1">
        <f t="array" ref="AO122">IF(AND(AO$2&lt;&gt;0,TblTech[[#This Row],[Hour]:[Hour]]&gt;=AO$2),1,0)</f>
        <v>0</v>
      </c>
      <c r="AP122" s="298" cm="1">
        <f t="array" ref="AP122">IF(AND(AP$2&lt;&gt;0,TblTech[[#This Row],[Hour]:[Hour]]&gt;=AP$2),1,0)</f>
        <v>0</v>
      </c>
      <c r="AQ122" s="298" cm="1">
        <f t="array" ref="AQ122">IF(AND(AQ$2&lt;&gt;0,TblTech[[#This Row],[Hour]:[Hour]]&gt;=AQ$2),1,0)</f>
        <v>0</v>
      </c>
      <c r="AR122" s="298" cm="1">
        <f t="array" ref="AR122">IF(AND(AR$2&lt;&gt;0,TblTech[[#This Row],[Hour]:[Hour]]&gt;=AR$2),1,0)</f>
        <v>0</v>
      </c>
      <c r="AS122" s="298" cm="1">
        <f t="array" ref="AS122">IF(AND(AS$2&lt;&gt;0,TblTech[[#This Row],[Hour]:[Hour]]&gt;=AS$2),1,0)</f>
        <v>0</v>
      </c>
      <c r="AT122" s="298" cm="1">
        <f t="array" ref="AT122">IF(AND(AT$2&lt;&gt;0,TblTech[[#This Row],[Hour]:[Hour]]&gt;=AT$2),1,0)</f>
        <v>0</v>
      </c>
      <c r="AU122" s="298" cm="1">
        <f t="array" ref="AU122">IF(AND(AU$2&lt;&gt;0,TblTech[[#This Row],[Hour]:[Hour]]&gt;=AU$2),1,0)</f>
        <v>0</v>
      </c>
      <c r="AV122" s="298" cm="1">
        <f t="array" ref="AV122">IF(AND(AV$2&lt;&gt;0,TblTech[[#This Row],[Hour]:[Hour]]&gt;=AV$2),1,0)</f>
        <v>0</v>
      </c>
      <c r="AW122" s="298" cm="1">
        <f t="array" ref="AW122">IF(AND(AW$2&lt;&gt;0,TblTech[[#This Row],[Hour]:[Hour]]&gt;=AW$2),1,0)</f>
        <v>0</v>
      </c>
      <c r="AX122" s="298" cm="1">
        <f t="array" ref="AX122">IF(AND(AX$2&lt;&gt;0,TblTech[[#This Row],[Hour]:[Hour]]&gt;=AX$2),1,0)</f>
        <v>0</v>
      </c>
      <c r="AY122" s="298" cm="1">
        <f t="array" ref="AY122">IF(AND(AY$2&lt;&gt;0,TblTech[[#This Row],[Hour]:[Hour]]&gt;=AY$2),1,0)</f>
        <v>0</v>
      </c>
      <c r="AZ122" s="298" cm="1">
        <f t="array" ref="AZ122">IF(AND(AZ$2&lt;&gt;0,TblTech[[#This Row],[Hour]:[Hour]]&gt;=AZ$2),1,0)</f>
        <v>0</v>
      </c>
      <c r="BA122" s="298" cm="1">
        <f t="array" ref="BA122">IF(AND(BA$2&lt;&gt;0,TblTech[[#This Row],[Hour]:[Hour]]&gt;=BA$2),1,0)</f>
        <v>0</v>
      </c>
      <c r="BB122" s="298" cm="1">
        <f t="array" ref="BB122">IF(AND(BB$2&lt;&gt;0,TblTech[[#This Row],[Hour]:[Hour]]&gt;=BB$2),1,0)</f>
        <v>0</v>
      </c>
      <c r="BC122" s="298" cm="1">
        <f t="array" ref="BC122">IF(AND(BC$2&lt;&gt;0,TblTech[[#This Row],[Hour]:[Hour]]&gt;=BC$2),1,0)</f>
        <v>0</v>
      </c>
      <c r="BD122" s="298" cm="1">
        <f t="array" ref="BD122">IF(AND(BD$2&lt;&gt;0,TblTech[[#This Row],[Hour]:[Hour]]&gt;=BD$2),1,0)</f>
        <v>0</v>
      </c>
      <c r="BE122" s="298" cm="1">
        <f t="array" ref="BE122">IF(AND(BE$2&lt;&gt;0,TblTech[[#This Row],[Hour]:[Hour]]&gt;=BE$2),1,0)</f>
        <v>0</v>
      </c>
      <c r="BF122" s="298" cm="1">
        <f t="array" ref="BF122">IF(AND(BF$2&lt;&gt;0,TblTech[[#This Row],[Hour]:[Hour]]&gt;=BF$2),1,0)</f>
        <v>0</v>
      </c>
      <c r="BG122" s="298" cm="1">
        <f t="array" ref="BG122">IF(AND(BG$2&lt;&gt;0,TblTech[[#This Row],[Hour]:[Hour]]&gt;=BG$2),1,0)</f>
        <v>0</v>
      </c>
      <c r="BH122" s="298" cm="1">
        <f t="array" ref="BH122">IF(AND(BH$2&lt;&gt;0,TblTech[[#This Row],[Hour]:[Hour]]&gt;=BH$2),1,0)</f>
        <v>0</v>
      </c>
      <c r="BI122" s="298" cm="1">
        <f t="array" ref="BI122">IF(AND(BI$2&lt;&gt;0,TblTech[[#This Row],[Hour]:[Hour]]&gt;=BI$2),1,0)</f>
        <v>0</v>
      </c>
      <c r="BJ122" s="298" cm="1">
        <f t="array" ref="BJ122">IF(AND(BJ$2&lt;&gt;0,TblTech[[#This Row],[Hour]:[Hour]]&gt;=BJ$2),1,0)</f>
        <v>0</v>
      </c>
      <c r="BK122" s="298" cm="1">
        <f t="array" ref="BK122">IF(AND(BK$2&lt;&gt;0,TblTech[[#This Row],[Hour]:[Hour]]&gt;=BK$2),1,0)</f>
        <v>0</v>
      </c>
      <c r="BL122" s="298" cm="1">
        <f t="array" ref="BL122">IF(AND(BL$2&lt;&gt;0,TblTech[[#This Row],[Hour]:[Hour]]&gt;=BL$2),1,0)</f>
        <v>0</v>
      </c>
      <c r="BM122" s="298" cm="1">
        <f t="array" ref="BM122">IF(AND(BM$2&lt;&gt;0,TblTech[[#This Row],[Hour]:[Hour]]&gt;=BM$2),1,0)</f>
        <v>0</v>
      </c>
      <c r="BN122" s="298" cm="1">
        <f t="array" ref="BN122">IF(AND(BN$2&lt;&gt;0,TblTech[[#This Row],[Hour]:[Hour]]&gt;=BN$2),1,0)</f>
        <v>0</v>
      </c>
      <c r="BO122" s="298" cm="1">
        <f t="array" ref="BO122">IF(AND(BO$2&lt;&gt;0,TblTech[[#This Row],[Hour]:[Hour]]&gt;=BO$2),1,0)</f>
        <v>0</v>
      </c>
      <c r="BP122" s="298" cm="1">
        <f t="array" ref="BP122">IF(AND(BP$2&lt;&gt;0,TblTech[[#This Row],[Hour]:[Hour]]&gt;=BP$2),1,0)</f>
        <v>0</v>
      </c>
      <c r="BQ122" s="298" cm="1">
        <f t="array" ref="BQ122">IF(AND(BQ$2&lt;&gt;0,TblTech[[#This Row],[Hour]:[Hour]]&gt;=BQ$2),1,0)</f>
        <v>0</v>
      </c>
      <c r="BR122" s="298" cm="1">
        <f t="array" ref="BR122">IF(AND(BR$2&lt;&gt;0,TblTech[[#This Row],[Hour]:[Hour]]&gt;=BR$2),1,0)</f>
        <v>0</v>
      </c>
      <c r="BS122" s="298" cm="1">
        <f t="array" ref="BS122">IF(AND(BS$2&lt;&gt;0,TblTech[[#This Row],[Hour]:[Hour]]&gt;=BS$2),1,0)</f>
        <v>0</v>
      </c>
      <c r="BT122" s="298" cm="1">
        <f t="array" ref="BT122">IF(AND(BT$2&lt;&gt;0,TblTech[[#This Row],[Hour]:[Hour]]&gt;=BT$2),1,0)</f>
        <v>0</v>
      </c>
      <c r="BU122" s="298" cm="1">
        <f t="array" ref="BU122">IF(AND(BU$2&lt;&gt;0,TblTech[[#This Row],[Hour]:[Hour]]&gt;=BU$2),1,0)</f>
        <v>0</v>
      </c>
      <c r="BV122" s="298" cm="1">
        <f t="array" ref="BV122">IF(AND(BV$2&lt;&gt;0,TblTech[[#This Row],[Hour]:[Hour]]&gt;=BV$2),1,0)</f>
        <v>0</v>
      </c>
      <c r="BW122" s="298" cm="1">
        <f t="array" ref="BW122">IF(AND(BW$2&lt;&gt;0,TblTech[[#This Row],[Hour]:[Hour]]&gt;=BW$2),1,0)</f>
        <v>0</v>
      </c>
      <c r="BX122" s="298" cm="1">
        <f t="array" ref="BX122">IF(AND(BX$2&lt;&gt;0,TblTech[[#This Row],[Hour]:[Hour]]&gt;=BX$2),1,0)</f>
        <v>0</v>
      </c>
      <c r="BY122" s="298" cm="1">
        <f t="array" ref="BY122">IF(AND(BY$2&lt;&gt;0,TblTech[[#This Row],[Hour]:[Hour]]&gt;=BY$2),1,0)</f>
        <v>0</v>
      </c>
      <c r="BZ122" s="298" cm="1">
        <f t="array" ref="BZ122">IF(AND(BZ$2&lt;&gt;0,TblTech[[#This Row],[Hour]:[Hour]]&gt;=BZ$2),1,0)</f>
        <v>0</v>
      </c>
      <c r="CA122" s="402">
        <f>IFERROR(INDEX($H$4:$H$79,MATCH(INDEX(TblTech[[#Headers],[1-1]:[11-1]],1,MATCH(TblTech[[#This Row],[Hour]],$M$2:$BZ$2,0)),$G$4:$G$79,0)),)</f>
        <v>0</v>
      </c>
    </row>
    <row r="123" spans="1:79" x14ac:dyDescent="0.2">
      <c r="A123" s="290">
        <f>TblRezone[[#This Row],[Hour]]</f>
        <v>120</v>
      </c>
      <c r="B123" s="291">
        <f ca="1">TblExplore[[#This Row],[Land-DB]]</f>
        <v>250</v>
      </c>
      <c r="C123" s="292">
        <f ca="1">TblProd[[#This Row],[Techpoints]]</f>
        <v>0</v>
      </c>
      <c r="D123" s="292">
        <f ca="1">TblProd[[#This Row],[Required]]</f>
        <v>3750</v>
      </c>
      <c r="E123" s="301"/>
      <c r="F123" s="302"/>
      <c r="G123" s="295"/>
      <c r="H123" s="296"/>
      <c r="I123" s="296"/>
      <c r="J123" s="296"/>
      <c r="K123" s="95">
        <f ca="1">IF(TblTech[[#This Row],[Sum of tech]]&lt;&gt;OFFSET(TblTech[[#This Row],[Sum of tech]],-1,0),1,0)</f>
        <v>0</v>
      </c>
      <c r="L123" s="297">
        <f>COUNTIF(TblTech[[#This Row],[1-1]:[11-1]],1)</f>
        <v>0</v>
      </c>
      <c r="M123" s="298" cm="1">
        <f t="array" ref="M123">IF(AND(M$2&lt;&gt;0,TblTech[[#This Row],[Hour]:[Hour]]&gt;=M$2),1,0)</f>
        <v>0</v>
      </c>
      <c r="N123" s="298" cm="1">
        <f t="array" ref="N123">IF(AND(N$2&lt;&gt;0,TblTech[[#This Row],[Hour]:[Hour]]&gt;=N$2),1,0)</f>
        <v>0</v>
      </c>
      <c r="O123" s="298" cm="1">
        <f t="array" ref="O123">IF(AND(O$2&lt;&gt;0,TblTech[[#This Row],[Hour]:[Hour]]&gt;=O$2),1,0)</f>
        <v>0</v>
      </c>
      <c r="P123" s="298" cm="1">
        <f t="array" ref="P123">IF(AND(P$2&lt;&gt;0,TblTech[[#This Row],[Hour]:[Hour]]&gt;=P$2),1,0)</f>
        <v>0</v>
      </c>
      <c r="Q123" s="298" cm="1">
        <f t="array" ref="Q123">IF(AND(Q$2&lt;&gt;0,TblTech[[#This Row],[Hour]:[Hour]]&gt;=Q$2),1,0)</f>
        <v>0</v>
      </c>
      <c r="R123" s="298" cm="1">
        <f t="array" ref="R123">IF(AND(R$2&lt;&gt;0,TblTech[[#This Row],[Hour]:[Hour]]&gt;=R$2),1,0)</f>
        <v>0</v>
      </c>
      <c r="S123" s="298" cm="1">
        <f t="array" ref="S123">IF(AND(S$2&lt;&gt;0,TblTech[[#This Row],[Hour]:[Hour]]&gt;=S$2),1,0)</f>
        <v>0</v>
      </c>
      <c r="T123" s="298" cm="1">
        <f t="array" ref="T123">IF(AND(T$2&lt;&gt;0,TblTech[[#This Row],[Hour]:[Hour]]&gt;=T$2),1,0)</f>
        <v>0</v>
      </c>
      <c r="U123" s="298" cm="1">
        <f t="array" ref="U123">IF(AND(U$2&lt;&gt;0,TblTech[[#This Row],[Hour]:[Hour]]&gt;=U$2),1,0)</f>
        <v>0</v>
      </c>
      <c r="V123" s="298" cm="1">
        <f t="array" ref="V123">IF(AND(V$2&lt;&gt;0,TblTech[[#This Row],[Hour]:[Hour]]&gt;=V$2),1,0)</f>
        <v>0</v>
      </c>
      <c r="W123" s="298" cm="1">
        <f t="array" ref="W123">IF(AND(W$2&lt;&gt;0,TblTech[[#This Row],[Hour]:[Hour]]&gt;=W$2),1,0)</f>
        <v>0</v>
      </c>
      <c r="X123" s="298" cm="1">
        <f t="array" ref="X123">IF(AND(X$2&lt;&gt;0,TblTech[[#This Row],[Hour]:[Hour]]&gt;=X$2),1,0)</f>
        <v>0</v>
      </c>
      <c r="Y123" s="298" cm="1">
        <f t="array" ref="Y123">IF(AND(Y$2&lt;&gt;0,TblTech[[#This Row],[Hour]:[Hour]]&gt;=Y$2),1,0)</f>
        <v>0</v>
      </c>
      <c r="Z123" s="298" cm="1">
        <f t="array" ref="Z123">IF(AND(Z$2&lt;&gt;0,TblTech[[#This Row],[Hour]:[Hour]]&gt;=Z$2),1,0)</f>
        <v>0</v>
      </c>
      <c r="AA123" s="298" cm="1">
        <f t="array" ref="AA123">IF(AND(AA$2&lt;&gt;0,TblTech[[#This Row],[Hour]:[Hour]]&gt;=AA$2),1,0)</f>
        <v>0</v>
      </c>
      <c r="AB123" s="298" cm="1">
        <f t="array" ref="AB123">IF(AND(AB$2&lt;&gt;0,TblTech[[#This Row],[Hour]:[Hour]]&gt;=AB$2),1,0)</f>
        <v>0</v>
      </c>
      <c r="AC123" s="298" cm="1">
        <f t="array" ref="AC123">IF(AND(AC$2&lt;&gt;0,TblTech[[#This Row],[Hour]:[Hour]]&gt;=AC$2),1,0)</f>
        <v>0</v>
      </c>
      <c r="AD123" s="298" cm="1">
        <f t="array" ref="AD123">IF(AND(AD$2&lt;&gt;0,TblTech[[#This Row],[Hour]:[Hour]]&gt;=AD$2),1,0)</f>
        <v>0</v>
      </c>
      <c r="AE123" s="298" cm="1">
        <f t="array" ref="AE123">IF(AND(AE$2&lt;&gt;0,TblTech[[#This Row],[Hour]:[Hour]]&gt;=AE$2),1,0)</f>
        <v>0</v>
      </c>
      <c r="AF123" s="298" cm="1">
        <f t="array" ref="AF123">IF(AND(AF$2&lt;&gt;0,TblTech[[#This Row],[Hour]:[Hour]]&gt;=AF$2),1,0)</f>
        <v>0</v>
      </c>
      <c r="AG123" s="298" cm="1">
        <f t="array" ref="AG123">IF(AND(AG$2&lt;&gt;0,TblTech[[#This Row],[Hour]:[Hour]]&gt;=AG$2),1,0)</f>
        <v>0</v>
      </c>
      <c r="AH123" s="298" cm="1">
        <f t="array" ref="AH123">IF(AND(AH$2&lt;&gt;0,TblTech[[#This Row],[Hour]:[Hour]]&gt;=AH$2),1,0)</f>
        <v>0</v>
      </c>
      <c r="AI123" s="298" cm="1">
        <f t="array" ref="AI123">IF(AND(AI$2&lt;&gt;0,TblTech[[#This Row],[Hour]:[Hour]]&gt;=AI$2),1,0)</f>
        <v>0</v>
      </c>
      <c r="AJ123" s="298" cm="1">
        <f t="array" ref="AJ123">IF(AND(AJ$2&lt;&gt;0,TblTech[[#This Row],[Hour]:[Hour]]&gt;=AJ$2),1,0)</f>
        <v>0</v>
      </c>
      <c r="AK123" s="298" cm="1">
        <f t="array" ref="AK123">IF(AND(AK$2&lt;&gt;0,TblTech[[#This Row],[Hour]:[Hour]]&gt;=AK$2),1,0)</f>
        <v>0</v>
      </c>
      <c r="AL123" s="298" cm="1">
        <f t="array" ref="AL123">IF(AND(AL$2&lt;&gt;0,TblTech[[#This Row],[Hour]:[Hour]]&gt;=AL$2),1,0)</f>
        <v>0</v>
      </c>
      <c r="AM123" s="298" cm="1">
        <f t="array" ref="AM123">IF(AND(AM$2&lt;&gt;0,TblTech[[#This Row],[Hour]:[Hour]]&gt;=AM$2),1,0)</f>
        <v>0</v>
      </c>
      <c r="AN123" s="298" cm="1">
        <f t="array" ref="AN123">IF(AND(AN$2&lt;&gt;0,TblTech[[#This Row],[Hour]:[Hour]]&gt;=AN$2),1,0)</f>
        <v>0</v>
      </c>
      <c r="AO123" s="298" cm="1">
        <f t="array" ref="AO123">IF(AND(AO$2&lt;&gt;0,TblTech[[#This Row],[Hour]:[Hour]]&gt;=AO$2),1,0)</f>
        <v>0</v>
      </c>
      <c r="AP123" s="298" cm="1">
        <f t="array" ref="AP123">IF(AND(AP$2&lt;&gt;0,TblTech[[#This Row],[Hour]:[Hour]]&gt;=AP$2),1,0)</f>
        <v>0</v>
      </c>
      <c r="AQ123" s="298" cm="1">
        <f t="array" ref="AQ123">IF(AND(AQ$2&lt;&gt;0,TblTech[[#This Row],[Hour]:[Hour]]&gt;=AQ$2),1,0)</f>
        <v>0</v>
      </c>
      <c r="AR123" s="298" cm="1">
        <f t="array" ref="AR123">IF(AND(AR$2&lt;&gt;0,TblTech[[#This Row],[Hour]:[Hour]]&gt;=AR$2),1,0)</f>
        <v>0</v>
      </c>
      <c r="AS123" s="298" cm="1">
        <f t="array" ref="AS123">IF(AND(AS$2&lt;&gt;0,TblTech[[#This Row],[Hour]:[Hour]]&gt;=AS$2),1,0)</f>
        <v>0</v>
      </c>
      <c r="AT123" s="298" cm="1">
        <f t="array" ref="AT123">IF(AND(AT$2&lt;&gt;0,TblTech[[#This Row],[Hour]:[Hour]]&gt;=AT$2),1,0)</f>
        <v>0</v>
      </c>
      <c r="AU123" s="298" cm="1">
        <f t="array" ref="AU123">IF(AND(AU$2&lt;&gt;0,TblTech[[#This Row],[Hour]:[Hour]]&gt;=AU$2),1,0)</f>
        <v>0</v>
      </c>
      <c r="AV123" s="298" cm="1">
        <f t="array" ref="AV123">IF(AND(AV$2&lt;&gt;0,TblTech[[#This Row],[Hour]:[Hour]]&gt;=AV$2),1,0)</f>
        <v>0</v>
      </c>
      <c r="AW123" s="298" cm="1">
        <f t="array" ref="AW123">IF(AND(AW$2&lt;&gt;0,TblTech[[#This Row],[Hour]:[Hour]]&gt;=AW$2),1,0)</f>
        <v>0</v>
      </c>
      <c r="AX123" s="298" cm="1">
        <f t="array" ref="AX123">IF(AND(AX$2&lt;&gt;0,TblTech[[#This Row],[Hour]:[Hour]]&gt;=AX$2),1,0)</f>
        <v>0</v>
      </c>
      <c r="AY123" s="298" cm="1">
        <f t="array" ref="AY123">IF(AND(AY$2&lt;&gt;0,TblTech[[#This Row],[Hour]:[Hour]]&gt;=AY$2),1,0)</f>
        <v>0</v>
      </c>
      <c r="AZ123" s="298" cm="1">
        <f t="array" ref="AZ123">IF(AND(AZ$2&lt;&gt;0,TblTech[[#This Row],[Hour]:[Hour]]&gt;=AZ$2),1,0)</f>
        <v>0</v>
      </c>
      <c r="BA123" s="298" cm="1">
        <f t="array" ref="BA123">IF(AND(BA$2&lt;&gt;0,TblTech[[#This Row],[Hour]:[Hour]]&gt;=BA$2),1,0)</f>
        <v>0</v>
      </c>
      <c r="BB123" s="298" cm="1">
        <f t="array" ref="BB123">IF(AND(BB$2&lt;&gt;0,TblTech[[#This Row],[Hour]:[Hour]]&gt;=BB$2),1,0)</f>
        <v>0</v>
      </c>
      <c r="BC123" s="298" cm="1">
        <f t="array" ref="BC123">IF(AND(BC$2&lt;&gt;0,TblTech[[#This Row],[Hour]:[Hour]]&gt;=BC$2),1,0)</f>
        <v>0</v>
      </c>
      <c r="BD123" s="298" cm="1">
        <f t="array" ref="BD123">IF(AND(BD$2&lt;&gt;0,TblTech[[#This Row],[Hour]:[Hour]]&gt;=BD$2),1,0)</f>
        <v>0</v>
      </c>
      <c r="BE123" s="298" cm="1">
        <f t="array" ref="BE123">IF(AND(BE$2&lt;&gt;0,TblTech[[#This Row],[Hour]:[Hour]]&gt;=BE$2),1,0)</f>
        <v>0</v>
      </c>
      <c r="BF123" s="298" cm="1">
        <f t="array" ref="BF123">IF(AND(BF$2&lt;&gt;0,TblTech[[#This Row],[Hour]:[Hour]]&gt;=BF$2),1,0)</f>
        <v>0</v>
      </c>
      <c r="BG123" s="298" cm="1">
        <f t="array" ref="BG123">IF(AND(BG$2&lt;&gt;0,TblTech[[#This Row],[Hour]:[Hour]]&gt;=BG$2),1,0)</f>
        <v>0</v>
      </c>
      <c r="BH123" s="298" cm="1">
        <f t="array" ref="BH123">IF(AND(BH$2&lt;&gt;0,TblTech[[#This Row],[Hour]:[Hour]]&gt;=BH$2),1,0)</f>
        <v>0</v>
      </c>
      <c r="BI123" s="298" cm="1">
        <f t="array" ref="BI123">IF(AND(BI$2&lt;&gt;0,TblTech[[#This Row],[Hour]:[Hour]]&gt;=BI$2),1,0)</f>
        <v>0</v>
      </c>
      <c r="BJ123" s="298" cm="1">
        <f t="array" ref="BJ123">IF(AND(BJ$2&lt;&gt;0,TblTech[[#This Row],[Hour]:[Hour]]&gt;=BJ$2),1,0)</f>
        <v>0</v>
      </c>
      <c r="BK123" s="298" cm="1">
        <f t="array" ref="BK123">IF(AND(BK$2&lt;&gt;0,TblTech[[#This Row],[Hour]:[Hour]]&gt;=BK$2),1,0)</f>
        <v>0</v>
      </c>
      <c r="BL123" s="298" cm="1">
        <f t="array" ref="BL123">IF(AND(BL$2&lt;&gt;0,TblTech[[#This Row],[Hour]:[Hour]]&gt;=BL$2),1,0)</f>
        <v>0</v>
      </c>
      <c r="BM123" s="298" cm="1">
        <f t="array" ref="BM123">IF(AND(BM$2&lt;&gt;0,TblTech[[#This Row],[Hour]:[Hour]]&gt;=BM$2),1,0)</f>
        <v>0</v>
      </c>
      <c r="BN123" s="298" cm="1">
        <f t="array" ref="BN123">IF(AND(BN$2&lt;&gt;0,TblTech[[#This Row],[Hour]:[Hour]]&gt;=BN$2),1,0)</f>
        <v>0</v>
      </c>
      <c r="BO123" s="298" cm="1">
        <f t="array" ref="BO123">IF(AND(BO$2&lt;&gt;0,TblTech[[#This Row],[Hour]:[Hour]]&gt;=BO$2),1,0)</f>
        <v>0</v>
      </c>
      <c r="BP123" s="298" cm="1">
        <f t="array" ref="BP123">IF(AND(BP$2&lt;&gt;0,TblTech[[#This Row],[Hour]:[Hour]]&gt;=BP$2),1,0)</f>
        <v>0</v>
      </c>
      <c r="BQ123" s="298" cm="1">
        <f t="array" ref="BQ123">IF(AND(BQ$2&lt;&gt;0,TblTech[[#This Row],[Hour]:[Hour]]&gt;=BQ$2),1,0)</f>
        <v>0</v>
      </c>
      <c r="BR123" s="298" cm="1">
        <f t="array" ref="BR123">IF(AND(BR$2&lt;&gt;0,TblTech[[#This Row],[Hour]:[Hour]]&gt;=BR$2),1,0)</f>
        <v>0</v>
      </c>
      <c r="BS123" s="298" cm="1">
        <f t="array" ref="BS123">IF(AND(BS$2&lt;&gt;0,TblTech[[#This Row],[Hour]:[Hour]]&gt;=BS$2),1,0)</f>
        <v>0</v>
      </c>
      <c r="BT123" s="298" cm="1">
        <f t="array" ref="BT123">IF(AND(BT$2&lt;&gt;0,TblTech[[#This Row],[Hour]:[Hour]]&gt;=BT$2),1,0)</f>
        <v>0</v>
      </c>
      <c r="BU123" s="298" cm="1">
        <f t="array" ref="BU123">IF(AND(BU$2&lt;&gt;0,TblTech[[#This Row],[Hour]:[Hour]]&gt;=BU$2),1,0)</f>
        <v>0</v>
      </c>
      <c r="BV123" s="298" cm="1">
        <f t="array" ref="BV123">IF(AND(BV$2&lt;&gt;0,TblTech[[#This Row],[Hour]:[Hour]]&gt;=BV$2),1,0)</f>
        <v>0</v>
      </c>
      <c r="BW123" s="298" cm="1">
        <f t="array" ref="BW123">IF(AND(BW$2&lt;&gt;0,TblTech[[#This Row],[Hour]:[Hour]]&gt;=BW$2),1,0)</f>
        <v>0</v>
      </c>
      <c r="BX123" s="298" cm="1">
        <f t="array" ref="BX123">IF(AND(BX$2&lt;&gt;0,TblTech[[#This Row],[Hour]:[Hour]]&gt;=BX$2),1,0)</f>
        <v>0</v>
      </c>
      <c r="BY123" s="298" cm="1">
        <f t="array" ref="BY123">IF(AND(BY$2&lt;&gt;0,TblTech[[#This Row],[Hour]:[Hour]]&gt;=BY$2),1,0)</f>
        <v>0</v>
      </c>
      <c r="BZ123" s="298" cm="1">
        <f t="array" ref="BZ123">IF(AND(BZ$2&lt;&gt;0,TblTech[[#This Row],[Hour]:[Hour]]&gt;=BZ$2),1,0)</f>
        <v>0</v>
      </c>
      <c r="CA123" s="402">
        <f>IFERROR(INDEX($H$4:$H$79,MATCH(INDEX(TblTech[[#Headers],[1-1]:[11-1]],1,MATCH(TblTech[[#This Row],[Hour]],$M$2:$BZ$2,0)),$G$4:$G$79,0)),)</f>
        <v>0</v>
      </c>
    </row>
    <row r="124" spans="1:79" x14ac:dyDescent="0.2">
      <c r="A124" s="290">
        <f>TblRezone[[#This Row],[Hour]]</f>
        <v>121</v>
      </c>
      <c r="B124" s="291">
        <f ca="1">TblExplore[[#This Row],[Land-DB]]</f>
        <v>250</v>
      </c>
      <c r="C124" s="292">
        <f ca="1">TblProd[[#This Row],[Techpoints]]</f>
        <v>0</v>
      </c>
      <c r="D124" s="292">
        <f ca="1">TblProd[[#This Row],[Required]]</f>
        <v>3750</v>
      </c>
      <c r="E124" s="301"/>
      <c r="F124" s="302"/>
      <c r="G124" s="295"/>
      <c r="H124" s="296"/>
      <c r="I124" s="296"/>
      <c r="J124" s="296"/>
      <c r="K124" s="95">
        <f ca="1">IF(TblTech[[#This Row],[Sum of tech]]&lt;&gt;OFFSET(TblTech[[#This Row],[Sum of tech]],-1,0),1,0)</f>
        <v>0</v>
      </c>
      <c r="L124" s="297">
        <f>COUNTIF(TblTech[[#This Row],[1-1]:[11-1]],1)</f>
        <v>0</v>
      </c>
      <c r="M124" s="298" cm="1">
        <f t="array" ref="M124">IF(AND(M$2&lt;&gt;0,TblTech[[#This Row],[Hour]:[Hour]]&gt;=M$2),1,0)</f>
        <v>0</v>
      </c>
      <c r="N124" s="298" cm="1">
        <f t="array" ref="N124">IF(AND(N$2&lt;&gt;0,TblTech[[#This Row],[Hour]:[Hour]]&gt;=N$2),1,0)</f>
        <v>0</v>
      </c>
      <c r="O124" s="298" cm="1">
        <f t="array" ref="O124">IF(AND(O$2&lt;&gt;0,TblTech[[#This Row],[Hour]:[Hour]]&gt;=O$2),1,0)</f>
        <v>0</v>
      </c>
      <c r="P124" s="298" cm="1">
        <f t="array" ref="P124">IF(AND(P$2&lt;&gt;0,TblTech[[#This Row],[Hour]:[Hour]]&gt;=P$2),1,0)</f>
        <v>0</v>
      </c>
      <c r="Q124" s="298" cm="1">
        <f t="array" ref="Q124">IF(AND(Q$2&lt;&gt;0,TblTech[[#This Row],[Hour]:[Hour]]&gt;=Q$2),1,0)</f>
        <v>0</v>
      </c>
      <c r="R124" s="298" cm="1">
        <f t="array" ref="R124">IF(AND(R$2&lt;&gt;0,TblTech[[#This Row],[Hour]:[Hour]]&gt;=R$2),1,0)</f>
        <v>0</v>
      </c>
      <c r="S124" s="298" cm="1">
        <f t="array" ref="S124">IF(AND(S$2&lt;&gt;0,TblTech[[#This Row],[Hour]:[Hour]]&gt;=S$2),1,0)</f>
        <v>0</v>
      </c>
      <c r="T124" s="298" cm="1">
        <f t="array" ref="T124">IF(AND(T$2&lt;&gt;0,TblTech[[#This Row],[Hour]:[Hour]]&gt;=T$2),1,0)</f>
        <v>0</v>
      </c>
      <c r="U124" s="298" cm="1">
        <f t="array" ref="U124">IF(AND(U$2&lt;&gt;0,TblTech[[#This Row],[Hour]:[Hour]]&gt;=U$2),1,0)</f>
        <v>0</v>
      </c>
      <c r="V124" s="298" cm="1">
        <f t="array" ref="V124">IF(AND(V$2&lt;&gt;0,TblTech[[#This Row],[Hour]:[Hour]]&gt;=V$2),1,0)</f>
        <v>0</v>
      </c>
      <c r="W124" s="298" cm="1">
        <f t="array" ref="W124">IF(AND(W$2&lt;&gt;0,TblTech[[#This Row],[Hour]:[Hour]]&gt;=W$2),1,0)</f>
        <v>0</v>
      </c>
      <c r="X124" s="298" cm="1">
        <f t="array" ref="X124">IF(AND(X$2&lt;&gt;0,TblTech[[#This Row],[Hour]:[Hour]]&gt;=X$2),1,0)</f>
        <v>0</v>
      </c>
      <c r="Y124" s="298" cm="1">
        <f t="array" ref="Y124">IF(AND(Y$2&lt;&gt;0,TblTech[[#This Row],[Hour]:[Hour]]&gt;=Y$2),1,0)</f>
        <v>0</v>
      </c>
      <c r="Z124" s="298" cm="1">
        <f t="array" ref="Z124">IF(AND(Z$2&lt;&gt;0,TblTech[[#This Row],[Hour]:[Hour]]&gt;=Z$2),1,0)</f>
        <v>0</v>
      </c>
      <c r="AA124" s="298" cm="1">
        <f t="array" ref="AA124">IF(AND(AA$2&lt;&gt;0,TblTech[[#This Row],[Hour]:[Hour]]&gt;=AA$2),1,0)</f>
        <v>0</v>
      </c>
      <c r="AB124" s="298" cm="1">
        <f t="array" ref="AB124">IF(AND(AB$2&lt;&gt;0,TblTech[[#This Row],[Hour]:[Hour]]&gt;=AB$2),1,0)</f>
        <v>0</v>
      </c>
      <c r="AC124" s="298" cm="1">
        <f t="array" ref="AC124">IF(AND(AC$2&lt;&gt;0,TblTech[[#This Row],[Hour]:[Hour]]&gt;=AC$2),1,0)</f>
        <v>0</v>
      </c>
      <c r="AD124" s="298" cm="1">
        <f t="array" ref="AD124">IF(AND(AD$2&lt;&gt;0,TblTech[[#This Row],[Hour]:[Hour]]&gt;=AD$2),1,0)</f>
        <v>0</v>
      </c>
      <c r="AE124" s="298" cm="1">
        <f t="array" ref="AE124">IF(AND(AE$2&lt;&gt;0,TblTech[[#This Row],[Hour]:[Hour]]&gt;=AE$2),1,0)</f>
        <v>0</v>
      </c>
      <c r="AF124" s="298" cm="1">
        <f t="array" ref="AF124">IF(AND(AF$2&lt;&gt;0,TblTech[[#This Row],[Hour]:[Hour]]&gt;=AF$2),1,0)</f>
        <v>0</v>
      </c>
      <c r="AG124" s="298" cm="1">
        <f t="array" ref="AG124">IF(AND(AG$2&lt;&gt;0,TblTech[[#This Row],[Hour]:[Hour]]&gt;=AG$2),1,0)</f>
        <v>0</v>
      </c>
      <c r="AH124" s="298" cm="1">
        <f t="array" ref="AH124">IF(AND(AH$2&lt;&gt;0,TblTech[[#This Row],[Hour]:[Hour]]&gt;=AH$2),1,0)</f>
        <v>0</v>
      </c>
      <c r="AI124" s="298" cm="1">
        <f t="array" ref="AI124">IF(AND(AI$2&lt;&gt;0,TblTech[[#This Row],[Hour]:[Hour]]&gt;=AI$2),1,0)</f>
        <v>0</v>
      </c>
      <c r="AJ124" s="298" cm="1">
        <f t="array" ref="AJ124">IF(AND(AJ$2&lt;&gt;0,TblTech[[#This Row],[Hour]:[Hour]]&gt;=AJ$2),1,0)</f>
        <v>0</v>
      </c>
      <c r="AK124" s="298" cm="1">
        <f t="array" ref="AK124">IF(AND(AK$2&lt;&gt;0,TblTech[[#This Row],[Hour]:[Hour]]&gt;=AK$2),1,0)</f>
        <v>0</v>
      </c>
      <c r="AL124" s="298" cm="1">
        <f t="array" ref="AL124">IF(AND(AL$2&lt;&gt;0,TblTech[[#This Row],[Hour]:[Hour]]&gt;=AL$2),1,0)</f>
        <v>0</v>
      </c>
      <c r="AM124" s="298" cm="1">
        <f t="array" ref="AM124">IF(AND(AM$2&lt;&gt;0,TblTech[[#This Row],[Hour]:[Hour]]&gt;=AM$2),1,0)</f>
        <v>0</v>
      </c>
      <c r="AN124" s="298" cm="1">
        <f t="array" ref="AN124">IF(AND(AN$2&lt;&gt;0,TblTech[[#This Row],[Hour]:[Hour]]&gt;=AN$2),1,0)</f>
        <v>0</v>
      </c>
      <c r="AO124" s="298" cm="1">
        <f t="array" ref="AO124">IF(AND(AO$2&lt;&gt;0,TblTech[[#This Row],[Hour]:[Hour]]&gt;=AO$2),1,0)</f>
        <v>0</v>
      </c>
      <c r="AP124" s="298" cm="1">
        <f t="array" ref="AP124">IF(AND(AP$2&lt;&gt;0,TblTech[[#This Row],[Hour]:[Hour]]&gt;=AP$2),1,0)</f>
        <v>0</v>
      </c>
      <c r="AQ124" s="298" cm="1">
        <f t="array" ref="AQ124">IF(AND(AQ$2&lt;&gt;0,TblTech[[#This Row],[Hour]:[Hour]]&gt;=AQ$2),1,0)</f>
        <v>0</v>
      </c>
      <c r="AR124" s="298" cm="1">
        <f t="array" ref="AR124">IF(AND(AR$2&lt;&gt;0,TblTech[[#This Row],[Hour]:[Hour]]&gt;=AR$2),1,0)</f>
        <v>0</v>
      </c>
      <c r="AS124" s="298" cm="1">
        <f t="array" ref="AS124">IF(AND(AS$2&lt;&gt;0,TblTech[[#This Row],[Hour]:[Hour]]&gt;=AS$2),1,0)</f>
        <v>0</v>
      </c>
      <c r="AT124" s="298" cm="1">
        <f t="array" ref="AT124">IF(AND(AT$2&lt;&gt;0,TblTech[[#This Row],[Hour]:[Hour]]&gt;=AT$2),1,0)</f>
        <v>0</v>
      </c>
      <c r="AU124" s="298" cm="1">
        <f t="array" ref="AU124">IF(AND(AU$2&lt;&gt;0,TblTech[[#This Row],[Hour]:[Hour]]&gt;=AU$2),1,0)</f>
        <v>0</v>
      </c>
      <c r="AV124" s="298" cm="1">
        <f t="array" ref="AV124">IF(AND(AV$2&lt;&gt;0,TblTech[[#This Row],[Hour]:[Hour]]&gt;=AV$2),1,0)</f>
        <v>0</v>
      </c>
      <c r="AW124" s="298" cm="1">
        <f t="array" ref="AW124">IF(AND(AW$2&lt;&gt;0,TblTech[[#This Row],[Hour]:[Hour]]&gt;=AW$2),1,0)</f>
        <v>0</v>
      </c>
      <c r="AX124" s="298" cm="1">
        <f t="array" ref="AX124">IF(AND(AX$2&lt;&gt;0,TblTech[[#This Row],[Hour]:[Hour]]&gt;=AX$2),1,0)</f>
        <v>0</v>
      </c>
      <c r="AY124" s="298" cm="1">
        <f t="array" ref="AY124">IF(AND(AY$2&lt;&gt;0,TblTech[[#This Row],[Hour]:[Hour]]&gt;=AY$2),1,0)</f>
        <v>0</v>
      </c>
      <c r="AZ124" s="298" cm="1">
        <f t="array" ref="AZ124">IF(AND(AZ$2&lt;&gt;0,TblTech[[#This Row],[Hour]:[Hour]]&gt;=AZ$2),1,0)</f>
        <v>0</v>
      </c>
      <c r="BA124" s="298" cm="1">
        <f t="array" ref="BA124">IF(AND(BA$2&lt;&gt;0,TblTech[[#This Row],[Hour]:[Hour]]&gt;=BA$2),1,0)</f>
        <v>0</v>
      </c>
      <c r="BB124" s="298" cm="1">
        <f t="array" ref="BB124">IF(AND(BB$2&lt;&gt;0,TblTech[[#This Row],[Hour]:[Hour]]&gt;=BB$2),1,0)</f>
        <v>0</v>
      </c>
      <c r="BC124" s="298" cm="1">
        <f t="array" ref="BC124">IF(AND(BC$2&lt;&gt;0,TblTech[[#This Row],[Hour]:[Hour]]&gt;=BC$2),1,0)</f>
        <v>0</v>
      </c>
      <c r="BD124" s="298" cm="1">
        <f t="array" ref="BD124">IF(AND(BD$2&lt;&gt;0,TblTech[[#This Row],[Hour]:[Hour]]&gt;=BD$2),1,0)</f>
        <v>0</v>
      </c>
      <c r="BE124" s="298" cm="1">
        <f t="array" ref="BE124">IF(AND(BE$2&lt;&gt;0,TblTech[[#This Row],[Hour]:[Hour]]&gt;=BE$2),1,0)</f>
        <v>0</v>
      </c>
      <c r="BF124" s="298" cm="1">
        <f t="array" ref="BF124">IF(AND(BF$2&lt;&gt;0,TblTech[[#This Row],[Hour]:[Hour]]&gt;=BF$2),1,0)</f>
        <v>0</v>
      </c>
      <c r="BG124" s="298" cm="1">
        <f t="array" ref="BG124">IF(AND(BG$2&lt;&gt;0,TblTech[[#This Row],[Hour]:[Hour]]&gt;=BG$2),1,0)</f>
        <v>0</v>
      </c>
      <c r="BH124" s="298" cm="1">
        <f t="array" ref="BH124">IF(AND(BH$2&lt;&gt;0,TblTech[[#This Row],[Hour]:[Hour]]&gt;=BH$2),1,0)</f>
        <v>0</v>
      </c>
      <c r="BI124" s="298" cm="1">
        <f t="array" ref="BI124">IF(AND(BI$2&lt;&gt;0,TblTech[[#This Row],[Hour]:[Hour]]&gt;=BI$2),1,0)</f>
        <v>0</v>
      </c>
      <c r="BJ124" s="298" cm="1">
        <f t="array" ref="BJ124">IF(AND(BJ$2&lt;&gt;0,TblTech[[#This Row],[Hour]:[Hour]]&gt;=BJ$2),1,0)</f>
        <v>0</v>
      </c>
      <c r="BK124" s="298" cm="1">
        <f t="array" ref="BK124">IF(AND(BK$2&lt;&gt;0,TblTech[[#This Row],[Hour]:[Hour]]&gt;=BK$2),1,0)</f>
        <v>0</v>
      </c>
      <c r="BL124" s="298" cm="1">
        <f t="array" ref="BL124">IF(AND(BL$2&lt;&gt;0,TblTech[[#This Row],[Hour]:[Hour]]&gt;=BL$2),1,0)</f>
        <v>0</v>
      </c>
      <c r="BM124" s="298" cm="1">
        <f t="array" ref="BM124">IF(AND(BM$2&lt;&gt;0,TblTech[[#This Row],[Hour]:[Hour]]&gt;=BM$2),1,0)</f>
        <v>0</v>
      </c>
      <c r="BN124" s="298" cm="1">
        <f t="array" ref="BN124">IF(AND(BN$2&lt;&gt;0,TblTech[[#This Row],[Hour]:[Hour]]&gt;=BN$2),1,0)</f>
        <v>0</v>
      </c>
      <c r="BO124" s="298" cm="1">
        <f t="array" ref="BO124">IF(AND(BO$2&lt;&gt;0,TblTech[[#This Row],[Hour]:[Hour]]&gt;=BO$2),1,0)</f>
        <v>0</v>
      </c>
      <c r="BP124" s="298" cm="1">
        <f t="array" ref="BP124">IF(AND(BP$2&lt;&gt;0,TblTech[[#This Row],[Hour]:[Hour]]&gt;=BP$2),1,0)</f>
        <v>0</v>
      </c>
      <c r="BQ124" s="298" cm="1">
        <f t="array" ref="BQ124">IF(AND(BQ$2&lt;&gt;0,TblTech[[#This Row],[Hour]:[Hour]]&gt;=BQ$2),1,0)</f>
        <v>0</v>
      </c>
      <c r="BR124" s="298" cm="1">
        <f t="array" ref="BR124">IF(AND(BR$2&lt;&gt;0,TblTech[[#This Row],[Hour]:[Hour]]&gt;=BR$2),1,0)</f>
        <v>0</v>
      </c>
      <c r="BS124" s="298" cm="1">
        <f t="array" ref="BS124">IF(AND(BS$2&lt;&gt;0,TblTech[[#This Row],[Hour]:[Hour]]&gt;=BS$2),1,0)</f>
        <v>0</v>
      </c>
      <c r="BT124" s="298" cm="1">
        <f t="array" ref="BT124">IF(AND(BT$2&lt;&gt;0,TblTech[[#This Row],[Hour]:[Hour]]&gt;=BT$2),1,0)</f>
        <v>0</v>
      </c>
      <c r="BU124" s="298" cm="1">
        <f t="array" ref="BU124">IF(AND(BU$2&lt;&gt;0,TblTech[[#This Row],[Hour]:[Hour]]&gt;=BU$2),1,0)</f>
        <v>0</v>
      </c>
      <c r="BV124" s="298" cm="1">
        <f t="array" ref="BV124">IF(AND(BV$2&lt;&gt;0,TblTech[[#This Row],[Hour]:[Hour]]&gt;=BV$2),1,0)</f>
        <v>0</v>
      </c>
      <c r="BW124" s="298" cm="1">
        <f t="array" ref="BW124">IF(AND(BW$2&lt;&gt;0,TblTech[[#This Row],[Hour]:[Hour]]&gt;=BW$2),1,0)</f>
        <v>0</v>
      </c>
      <c r="BX124" s="298" cm="1">
        <f t="array" ref="BX124">IF(AND(BX$2&lt;&gt;0,TblTech[[#This Row],[Hour]:[Hour]]&gt;=BX$2),1,0)</f>
        <v>0</v>
      </c>
      <c r="BY124" s="298" cm="1">
        <f t="array" ref="BY124">IF(AND(BY$2&lt;&gt;0,TblTech[[#This Row],[Hour]:[Hour]]&gt;=BY$2),1,0)</f>
        <v>0</v>
      </c>
      <c r="BZ124" s="298" cm="1">
        <f t="array" ref="BZ124">IF(AND(BZ$2&lt;&gt;0,TblTech[[#This Row],[Hour]:[Hour]]&gt;=BZ$2),1,0)</f>
        <v>0</v>
      </c>
      <c r="CA124" s="402">
        <f>IFERROR(INDEX($H$4:$H$79,MATCH(INDEX(TblTech[[#Headers],[1-1]:[11-1]],1,MATCH(TblTech[[#This Row],[Hour]],$M$2:$BZ$2,0)),$G$4:$G$79,0)),)</f>
        <v>0</v>
      </c>
    </row>
    <row r="125" spans="1:79" x14ac:dyDescent="0.2">
      <c r="A125" s="290">
        <f>TblRezone[[#This Row],[Hour]]</f>
        <v>122</v>
      </c>
      <c r="B125" s="291">
        <f ca="1">TblExplore[[#This Row],[Land-DB]]</f>
        <v>250</v>
      </c>
      <c r="C125" s="292">
        <f ca="1">TblProd[[#This Row],[Techpoints]]</f>
        <v>0</v>
      </c>
      <c r="D125" s="292">
        <f ca="1">TblProd[[#This Row],[Required]]</f>
        <v>3750</v>
      </c>
      <c r="E125" s="301"/>
      <c r="F125" s="302"/>
      <c r="G125" s="295"/>
      <c r="H125" s="296"/>
      <c r="I125" s="296"/>
      <c r="J125" s="296"/>
      <c r="K125" s="95">
        <f ca="1">IF(TblTech[[#This Row],[Sum of tech]]&lt;&gt;OFFSET(TblTech[[#This Row],[Sum of tech]],-1,0),1,0)</f>
        <v>0</v>
      </c>
      <c r="L125" s="297">
        <f>COUNTIF(TblTech[[#This Row],[1-1]:[11-1]],1)</f>
        <v>0</v>
      </c>
      <c r="M125" s="298" cm="1">
        <f t="array" ref="M125">IF(AND(M$2&lt;&gt;0,TblTech[[#This Row],[Hour]:[Hour]]&gt;=M$2),1,0)</f>
        <v>0</v>
      </c>
      <c r="N125" s="298" cm="1">
        <f t="array" ref="N125">IF(AND(N$2&lt;&gt;0,TblTech[[#This Row],[Hour]:[Hour]]&gt;=N$2),1,0)</f>
        <v>0</v>
      </c>
      <c r="O125" s="298" cm="1">
        <f t="array" ref="O125">IF(AND(O$2&lt;&gt;0,TblTech[[#This Row],[Hour]:[Hour]]&gt;=O$2),1,0)</f>
        <v>0</v>
      </c>
      <c r="P125" s="298" cm="1">
        <f t="array" ref="P125">IF(AND(P$2&lt;&gt;0,TblTech[[#This Row],[Hour]:[Hour]]&gt;=P$2),1,0)</f>
        <v>0</v>
      </c>
      <c r="Q125" s="298" cm="1">
        <f t="array" ref="Q125">IF(AND(Q$2&lt;&gt;0,TblTech[[#This Row],[Hour]:[Hour]]&gt;=Q$2),1,0)</f>
        <v>0</v>
      </c>
      <c r="R125" s="298" cm="1">
        <f t="array" ref="R125">IF(AND(R$2&lt;&gt;0,TblTech[[#This Row],[Hour]:[Hour]]&gt;=R$2),1,0)</f>
        <v>0</v>
      </c>
      <c r="S125" s="298" cm="1">
        <f t="array" ref="S125">IF(AND(S$2&lt;&gt;0,TblTech[[#This Row],[Hour]:[Hour]]&gt;=S$2),1,0)</f>
        <v>0</v>
      </c>
      <c r="T125" s="298" cm="1">
        <f t="array" ref="T125">IF(AND(T$2&lt;&gt;0,TblTech[[#This Row],[Hour]:[Hour]]&gt;=T$2),1,0)</f>
        <v>0</v>
      </c>
      <c r="U125" s="298" cm="1">
        <f t="array" ref="U125">IF(AND(U$2&lt;&gt;0,TblTech[[#This Row],[Hour]:[Hour]]&gt;=U$2),1,0)</f>
        <v>0</v>
      </c>
      <c r="V125" s="298" cm="1">
        <f t="array" ref="V125">IF(AND(V$2&lt;&gt;0,TblTech[[#This Row],[Hour]:[Hour]]&gt;=V$2),1,0)</f>
        <v>0</v>
      </c>
      <c r="W125" s="298" cm="1">
        <f t="array" ref="W125">IF(AND(W$2&lt;&gt;0,TblTech[[#This Row],[Hour]:[Hour]]&gt;=W$2),1,0)</f>
        <v>0</v>
      </c>
      <c r="X125" s="298" cm="1">
        <f t="array" ref="X125">IF(AND(X$2&lt;&gt;0,TblTech[[#This Row],[Hour]:[Hour]]&gt;=X$2),1,0)</f>
        <v>0</v>
      </c>
      <c r="Y125" s="298" cm="1">
        <f t="array" ref="Y125">IF(AND(Y$2&lt;&gt;0,TblTech[[#This Row],[Hour]:[Hour]]&gt;=Y$2),1,0)</f>
        <v>0</v>
      </c>
      <c r="Z125" s="298" cm="1">
        <f t="array" ref="Z125">IF(AND(Z$2&lt;&gt;0,TblTech[[#This Row],[Hour]:[Hour]]&gt;=Z$2),1,0)</f>
        <v>0</v>
      </c>
      <c r="AA125" s="298" cm="1">
        <f t="array" ref="AA125">IF(AND(AA$2&lt;&gt;0,TblTech[[#This Row],[Hour]:[Hour]]&gt;=AA$2),1,0)</f>
        <v>0</v>
      </c>
      <c r="AB125" s="298" cm="1">
        <f t="array" ref="AB125">IF(AND(AB$2&lt;&gt;0,TblTech[[#This Row],[Hour]:[Hour]]&gt;=AB$2),1,0)</f>
        <v>0</v>
      </c>
      <c r="AC125" s="298" cm="1">
        <f t="array" ref="AC125">IF(AND(AC$2&lt;&gt;0,TblTech[[#This Row],[Hour]:[Hour]]&gt;=AC$2),1,0)</f>
        <v>0</v>
      </c>
      <c r="AD125" s="298" cm="1">
        <f t="array" ref="AD125">IF(AND(AD$2&lt;&gt;0,TblTech[[#This Row],[Hour]:[Hour]]&gt;=AD$2),1,0)</f>
        <v>0</v>
      </c>
      <c r="AE125" s="298" cm="1">
        <f t="array" ref="AE125">IF(AND(AE$2&lt;&gt;0,TblTech[[#This Row],[Hour]:[Hour]]&gt;=AE$2),1,0)</f>
        <v>0</v>
      </c>
      <c r="AF125" s="298" cm="1">
        <f t="array" ref="AF125">IF(AND(AF$2&lt;&gt;0,TblTech[[#This Row],[Hour]:[Hour]]&gt;=AF$2),1,0)</f>
        <v>0</v>
      </c>
      <c r="AG125" s="298" cm="1">
        <f t="array" ref="AG125">IF(AND(AG$2&lt;&gt;0,TblTech[[#This Row],[Hour]:[Hour]]&gt;=AG$2),1,0)</f>
        <v>0</v>
      </c>
      <c r="AH125" s="298" cm="1">
        <f t="array" ref="AH125">IF(AND(AH$2&lt;&gt;0,TblTech[[#This Row],[Hour]:[Hour]]&gt;=AH$2),1,0)</f>
        <v>0</v>
      </c>
      <c r="AI125" s="298" cm="1">
        <f t="array" ref="AI125">IF(AND(AI$2&lt;&gt;0,TblTech[[#This Row],[Hour]:[Hour]]&gt;=AI$2),1,0)</f>
        <v>0</v>
      </c>
      <c r="AJ125" s="298" cm="1">
        <f t="array" ref="AJ125">IF(AND(AJ$2&lt;&gt;0,TblTech[[#This Row],[Hour]:[Hour]]&gt;=AJ$2),1,0)</f>
        <v>0</v>
      </c>
      <c r="AK125" s="298" cm="1">
        <f t="array" ref="AK125">IF(AND(AK$2&lt;&gt;0,TblTech[[#This Row],[Hour]:[Hour]]&gt;=AK$2),1,0)</f>
        <v>0</v>
      </c>
      <c r="AL125" s="298" cm="1">
        <f t="array" ref="AL125">IF(AND(AL$2&lt;&gt;0,TblTech[[#This Row],[Hour]:[Hour]]&gt;=AL$2),1,0)</f>
        <v>0</v>
      </c>
      <c r="AM125" s="298" cm="1">
        <f t="array" ref="AM125">IF(AND(AM$2&lt;&gt;0,TblTech[[#This Row],[Hour]:[Hour]]&gt;=AM$2),1,0)</f>
        <v>0</v>
      </c>
      <c r="AN125" s="298" cm="1">
        <f t="array" ref="AN125">IF(AND(AN$2&lt;&gt;0,TblTech[[#This Row],[Hour]:[Hour]]&gt;=AN$2),1,0)</f>
        <v>0</v>
      </c>
      <c r="AO125" s="298" cm="1">
        <f t="array" ref="AO125">IF(AND(AO$2&lt;&gt;0,TblTech[[#This Row],[Hour]:[Hour]]&gt;=AO$2),1,0)</f>
        <v>0</v>
      </c>
      <c r="AP125" s="298" cm="1">
        <f t="array" ref="AP125">IF(AND(AP$2&lt;&gt;0,TblTech[[#This Row],[Hour]:[Hour]]&gt;=AP$2),1,0)</f>
        <v>0</v>
      </c>
      <c r="AQ125" s="298" cm="1">
        <f t="array" ref="AQ125">IF(AND(AQ$2&lt;&gt;0,TblTech[[#This Row],[Hour]:[Hour]]&gt;=AQ$2),1,0)</f>
        <v>0</v>
      </c>
      <c r="AR125" s="298" cm="1">
        <f t="array" ref="AR125">IF(AND(AR$2&lt;&gt;0,TblTech[[#This Row],[Hour]:[Hour]]&gt;=AR$2),1,0)</f>
        <v>0</v>
      </c>
      <c r="AS125" s="298" cm="1">
        <f t="array" ref="AS125">IF(AND(AS$2&lt;&gt;0,TblTech[[#This Row],[Hour]:[Hour]]&gt;=AS$2),1,0)</f>
        <v>0</v>
      </c>
      <c r="AT125" s="298" cm="1">
        <f t="array" ref="AT125">IF(AND(AT$2&lt;&gt;0,TblTech[[#This Row],[Hour]:[Hour]]&gt;=AT$2),1,0)</f>
        <v>0</v>
      </c>
      <c r="AU125" s="298" cm="1">
        <f t="array" ref="AU125">IF(AND(AU$2&lt;&gt;0,TblTech[[#This Row],[Hour]:[Hour]]&gt;=AU$2),1,0)</f>
        <v>0</v>
      </c>
      <c r="AV125" s="298" cm="1">
        <f t="array" ref="AV125">IF(AND(AV$2&lt;&gt;0,TblTech[[#This Row],[Hour]:[Hour]]&gt;=AV$2),1,0)</f>
        <v>0</v>
      </c>
      <c r="AW125" s="298" cm="1">
        <f t="array" ref="AW125">IF(AND(AW$2&lt;&gt;0,TblTech[[#This Row],[Hour]:[Hour]]&gt;=AW$2),1,0)</f>
        <v>0</v>
      </c>
      <c r="AX125" s="298" cm="1">
        <f t="array" ref="AX125">IF(AND(AX$2&lt;&gt;0,TblTech[[#This Row],[Hour]:[Hour]]&gt;=AX$2),1,0)</f>
        <v>0</v>
      </c>
      <c r="AY125" s="298" cm="1">
        <f t="array" ref="AY125">IF(AND(AY$2&lt;&gt;0,TblTech[[#This Row],[Hour]:[Hour]]&gt;=AY$2),1,0)</f>
        <v>0</v>
      </c>
      <c r="AZ125" s="298" cm="1">
        <f t="array" ref="AZ125">IF(AND(AZ$2&lt;&gt;0,TblTech[[#This Row],[Hour]:[Hour]]&gt;=AZ$2),1,0)</f>
        <v>0</v>
      </c>
      <c r="BA125" s="298" cm="1">
        <f t="array" ref="BA125">IF(AND(BA$2&lt;&gt;0,TblTech[[#This Row],[Hour]:[Hour]]&gt;=BA$2),1,0)</f>
        <v>0</v>
      </c>
      <c r="BB125" s="298" cm="1">
        <f t="array" ref="BB125">IF(AND(BB$2&lt;&gt;0,TblTech[[#This Row],[Hour]:[Hour]]&gt;=BB$2),1,0)</f>
        <v>0</v>
      </c>
      <c r="BC125" s="298" cm="1">
        <f t="array" ref="BC125">IF(AND(BC$2&lt;&gt;0,TblTech[[#This Row],[Hour]:[Hour]]&gt;=BC$2),1,0)</f>
        <v>0</v>
      </c>
      <c r="BD125" s="298" cm="1">
        <f t="array" ref="BD125">IF(AND(BD$2&lt;&gt;0,TblTech[[#This Row],[Hour]:[Hour]]&gt;=BD$2),1,0)</f>
        <v>0</v>
      </c>
      <c r="BE125" s="298" cm="1">
        <f t="array" ref="BE125">IF(AND(BE$2&lt;&gt;0,TblTech[[#This Row],[Hour]:[Hour]]&gt;=BE$2),1,0)</f>
        <v>0</v>
      </c>
      <c r="BF125" s="298" cm="1">
        <f t="array" ref="BF125">IF(AND(BF$2&lt;&gt;0,TblTech[[#This Row],[Hour]:[Hour]]&gt;=BF$2),1,0)</f>
        <v>0</v>
      </c>
      <c r="BG125" s="298" cm="1">
        <f t="array" ref="BG125">IF(AND(BG$2&lt;&gt;0,TblTech[[#This Row],[Hour]:[Hour]]&gt;=BG$2),1,0)</f>
        <v>0</v>
      </c>
      <c r="BH125" s="298" cm="1">
        <f t="array" ref="BH125">IF(AND(BH$2&lt;&gt;0,TblTech[[#This Row],[Hour]:[Hour]]&gt;=BH$2),1,0)</f>
        <v>0</v>
      </c>
      <c r="BI125" s="298" cm="1">
        <f t="array" ref="BI125">IF(AND(BI$2&lt;&gt;0,TblTech[[#This Row],[Hour]:[Hour]]&gt;=BI$2),1,0)</f>
        <v>0</v>
      </c>
      <c r="BJ125" s="298" cm="1">
        <f t="array" ref="BJ125">IF(AND(BJ$2&lt;&gt;0,TblTech[[#This Row],[Hour]:[Hour]]&gt;=BJ$2),1,0)</f>
        <v>0</v>
      </c>
      <c r="BK125" s="298" cm="1">
        <f t="array" ref="BK125">IF(AND(BK$2&lt;&gt;0,TblTech[[#This Row],[Hour]:[Hour]]&gt;=BK$2),1,0)</f>
        <v>0</v>
      </c>
      <c r="BL125" s="298" cm="1">
        <f t="array" ref="BL125">IF(AND(BL$2&lt;&gt;0,TblTech[[#This Row],[Hour]:[Hour]]&gt;=BL$2),1,0)</f>
        <v>0</v>
      </c>
      <c r="BM125" s="298" cm="1">
        <f t="array" ref="BM125">IF(AND(BM$2&lt;&gt;0,TblTech[[#This Row],[Hour]:[Hour]]&gt;=BM$2),1,0)</f>
        <v>0</v>
      </c>
      <c r="BN125" s="298" cm="1">
        <f t="array" ref="BN125">IF(AND(BN$2&lt;&gt;0,TblTech[[#This Row],[Hour]:[Hour]]&gt;=BN$2),1,0)</f>
        <v>0</v>
      </c>
      <c r="BO125" s="298" cm="1">
        <f t="array" ref="BO125">IF(AND(BO$2&lt;&gt;0,TblTech[[#This Row],[Hour]:[Hour]]&gt;=BO$2),1,0)</f>
        <v>0</v>
      </c>
      <c r="BP125" s="298" cm="1">
        <f t="array" ref="BP125">IF(AND(BP$2&lt;&gt;0,TblTech[[#This Row],[Hour]:[Hour]]&gt;=BP$2),1,0)</f>
        <v>0</v>
      </c>
      <c r="BQ125" s="298" cm="1">
        <f t="array" ref="BQ125">IF(AND(BQ$2&lt;&gt;0,TblTech[[#This Row],[Hour]:[Hour]]&gt;=BQ$2),1,0)</f>
        <v>0</v>
      </c>
      <c r="BR125" s="298" cm="1">
        <f t="array" ref="BR125">IF(AND(BR$2&lt;&gt;0,TblTech[[#This Row],[Hour]:[Hour]]&gt;=BR$2),1,0)</f>
        <v>0</v>
      </c>
      <c r="BS125" s="298" cm="1">
        <f t="array" ref="BS125">IF(AND(BS$2&lt;&gt;0,TblTech[[#This Row],[Hour]:[Hour]]&gt;=BS$2),1,0)</f>
        <v>0</v>
      </c>
      <c r="BT125" s="298" cm="1">
        <f t="array" ref="BT125">IF(AND(BT$2&lt;&gt;0,TblTech[[#This Row],[Hour]:[Hour]]&gt;=BT$2),1,0)</f>
        <v>0</v>
      </c>
      <c r="BU125" s="298" cm="1">
        <f t="array" ref="BU125">IF(AND(BU$2&lt;&gt;0,TblTech[[#This Row],[Hour]:[Hour]]&gt;=BU$2),1,0)</f>
        <v>0</v>
      </c>
      <c r="BV125" s="298" cm="1">
        <f t="array" ref="BV125">IF(AND(BV$2&lt;&gt;0,TblTech[[#This Row],[Hour]:[Hour]]&gt;=BV$2),1,0)</f>
        <v>0</v>
      </c>
      <c r="BW125" s="298" cm="1">
        <f t="array" ref="BW125">IF(AND(BW$2&lt;&gt;0,TblTech[[#This Row],[Hour]:[Hour]]&gt;=BW$2),1,0)</f>
        <v>0</v>
      </c>
      <c r="BX125" s="298" cm="1">
        <f t="array" ref="BX125">IF(AND(BX$2&lt;&gt;0,TblTech[[#This Row],[Hour]:[Hour]]&gt;=BX$2),1,0)</f>
        <v>0</v>
      </c>
      <c r="BY125" s="298" cm="1">
        <f t="array" ref="BY125">IF(AND(BY$2&lt;&gt;0,TblTech[[#This Row],[Hour]:[Hour]]&gt;=BY$2),1,0)</f>
        <v>0</v>
      </c>
      <c r="BZ125" s="298" cm="1">
        <f t="array" ref="BZ125">IF(AND(BZ$2&lt;&gt;0,TblTech[[#This Row],[Hour]:[Hour]]&gt;=BZ$2),1,0)</f>
        <v>0</v>
      </c>
      <c r="CA125" s="402">
        <f>IFERROR(INDEX($H$4:$H$79,MATCH(INDEX(TblTech[[#Headers],[1-1]:[11-1]],1,MATCH(TblTech[[#This Row],[Hour]],$M$2:$BZ$2,0)),$G$4:$G$79,0)),)</f>
        <v>0</v>
      </c>
    </row>
    <row r="126" spans="1:79" x14ac:dyDescent="0.2">
      <c r="A126" s="290">
        <f>TblRezone[[#This Row],[Hour]]</f>
        <v>123</v>
      </c>
      <c r="B126" s="291">
        <f ca="1">TblExplore[[#This Row],[Land-DB]]</f>
        <v>250</v>
      </c>
      <c r="C126" s="292">
        <f ca="1">TblProd[[#This Row],[Techpoints]]</f>
        <v>0</v>
      </c>
      <c r="D126" s="292">
        <f ca="1">TblProd[[#This Row],[Required]]</f>
        <v>3750</v>
      </c>
      <c r="E126" s="301"/>
      <c r="F126" s="302"/>
      <c r="G126" s="295"/>
      <c r="H126" s="296"/>
      <c r="I126" s="296"/>
      <c r="J126" s="296"/>
      <c r="K126" s="95">
        <f ca="1">IF(TblTech[[#This Row],[Sum of tech]]&lt;&gt;OFFSET(TblTech[[#This Row],[Sum of tech]],-1,0),1,0)</f>
        <v>0</v>
      </c>
      <c r="L126" s="297">
        <f>COUNTIF(TblTech[[#This Row],[1-1]:[11-1]],1)</f>
        <v>0</v>
      </c>
      <c r="M126" s="298" cm="1">
        <f t="array" ref="M126">IF(AND(M$2&lt;&gt;0,TblTech[[#This Row],[Hour]:[Hour]]&gt;=M$2),1,0)</f>
        <v>0</v>
      </c>
      <c r="N126" s="298" cm="1">
        <f t="array" ref="N126">IF(AND(N$2&lt;&gt;0,TblTech[[#This Row],[Hour]:[Hour]]&gt;=N$2),1,0)</f>
        <v>0</v>
      </c>
      <c r="O126" s="298" cm="1">
        <f t="array" ref="O126">IF(AND(O$2&lt;&gt;0,TblTech[[#This Row],[Hour]:[Hour]]&gt;=O$2),1,0)</f>
        <v>0</v>
      </c>
      <c r="P126" s="298" cm="1">
        <f t="array" ref="P126">IF(AND(P$2&lt;&gt;0,TblTech[[#This Row],[Hour]:[Hour]]&gt;=P$2),1,0)</f>
        <v>0</v>
      </c>
      <c r="Q126" s="298" cm="1">
        <f t="array" ref="Q126">IF(AND(Q$2&lt;&gt;0,TblTech[[#This Row],[Hour]:[Hour]]&gt;=Q$2),1,0)</f>
        <v>0</v>
      </c>
      <c r="R126" s="298" cm="1">
        <f t="array" ref="R126">IF(AND(R$2&lt;&gt;0,TblTech[[#This Row],[Hour]:[Hour]]&gt;=R$2),1,0)</f>
        <v>0</v>
      </c>
      <c r="S126" s="298" cm="1">
        <f t="array" ref="S126">IF(AND(S$2&lt;&gt;0,TblTech[[#This Row],[Hour]:[Hour]]&gt;=S$2),1,0)</f>
        <v>0</v>
      </c>
      <c r="T126" s="298" cm="1">
        <f t="array" ref="T126">IF(AND(T$2&lt;&gt;0,TblTech[[#This Row],[Hour]:[Hour]]&gt;=T$2),1,0)</f>
        <v>0</v>
      </c>
      <c r="U126" s="298" cm="1">
        <f t="array" ref="U126">IF(AND(U$2&lt;&gt;0,TblTech[[#This Row],[Hour]:[Hour]]&gt;=U$2),1,0)</f>
        <v>0</v>
      </c>
      <c r="V126" s="298" cm="1">
        <f t="array" ref="V126">IF(AND(V$2&lt;&gt;0,TblTech[[#This Row],[Hour]:[Hour]]&gt;=V$2),1,0)</f>
        <v>0</v>
      </c>
      <c r="W126" s="298" cm="1">
        <f t="array" ref="W126">IF(AND(W$2&lt;&gt;0,TblTech[[#This Row],[Hour]:[Hour]]&gt;=W$2),1,0)</f>
        <v>0</v>
      </c>
      <c r="X126" s="298" cm="1">
        <f t="array" ref="X126">IF(AND(X$2&lt;&gt;0,TblTech[[#This Row],[Hour]:[Hour]]&gt;=X$2),1,0)</f>
        <v>0</v>
      </c>
      <c r="Y126" s="298" cm="1">
        <f t="array" ref="Y126">IF(AND(Y$2&lt;&gt;0,TblTech[[#This Row],[Hour]:[Hour]]&gt;=Y$2),1,0)</f>
        <v>0</v>
      </c>
      <c r="Z126" s="298" cm="1">
        <f t="array" ref="Z126">IF(AND(Z$2&lt;&gt;0,TblTech[[#This Row],[Hour]:[Hour]]&gt;=Z$2),1,0)</f>
        <v>0</v>
      </c>
      <c r="AA126" s="298" cm="1">
        <f t="array" ref="AA126">IF(AND(AA$2&lt;&gt;0,TblTech[[#This Row],[Hour]:[Hour]]&gt;=AA$2),1,0)</f>
        <v>0</v>
      </c>
      <c r="AB126" s="298" cm="1">
        <f t="array" ref="AB126">IF(AND(AB$2&lt;&gt;0,TblTech[[#This Row],[Hour]:[Hour]]&gt;=AB$2),1,0)</f>
        <v>0</v>
      </c>
      <c r="AC126" s="298" cm="1">
        <f t="array" ref="AC126">IF(AND(AC$2&lt;&gt;0,TblTech[[#This Row],[Hour]:[Hour]]&gt;=AC$2),1,0)</f>
        <v>0</v>
      </c>
      <c r="AD126" s="298" cm="1">
        <f t="array" ref="AD126">IF(AND(AD$2&lt;&gt;0,TblTech[[#This Row],[Hour]:[Hour]]&gt;=AD$2),1,0)</f>
        <v>0</v>
      </c>
      <c r="AE126" s="298" cm="1">
        <f t="array" ref="AE126">IF(AND(AE$2&lt;&gt;0,TblTech[[#This Row],[Hour]:[Hour]]&gt;=AE$2),1,0)</f>
        <v>0</v>
      </c>
      <c r="AF126" s="298" cm="1">
        <f t="array" ref="AF126">IF(AND(AF$2&lt;&gt;0,TblTech[[#This Row],[Hour]:[Hour]]&gt;=AF$2),1,0)</f>
        <v>0</v>
      </c>
      <c r="AG126" s="298" cm="1">
        <f t="array" ref="AG126">IF(AND(AG$2&lt;&gt;0,TblTech[[#This Row],[Hour]:[Hour]]&gt;=AG$2),1,0)</f>
        <v>0</v>
      </c>
      <c r="AH126" s="298" cm="1">
        <f t="array" ref="AH126">IF(AND(AH$2&lt;&gt;0,TblTech[[#This Row],[Hour]:[Hour]]&gt;=AH$2),1,0)</f>
        <v>0</v>
      </c>
      <c r="AI126" s="298" cm="1">
        <f t="array" ref="AI126">IF(AND(AI$2&lt;&gt;0,TblTech[[#This Row],[Hour]:[Hour]]&gt;=AI$2),1,0)</f>
        <v>0</v>
      </c>
      <c r="AJ126" s="298" cm="1">
        <f t="array" ref="AJ126">IF(AND(AJ$2&lt;&gt;0,TblTech[[#This Row],[Hour]:[Hour]]&gt;=AJ$2),1,0)</f>
        <v>0</v>
      </c>
      <c r="AK126" s="298" cm="1">
        <f t="array" ref="AK126">IF(AND(AK$2&lt;&gt;0,TblTech[[#This Row],[Hour]:[Hour]]&gt;=AK$2),1,0)</f>
        <v>0</v>
      </c>
      <c r="AL126" s="298" cm="1">
        <f t="array" ref="AL126">IF(AND(AL$2&lt;&gt;0,TblTech[[#This Row],[Hour]:[Hour]]&gt;=AL$2),1,0)</f>
        <v>0</v>
      </c>
      <c r="AM126" s="298" cm="1">
        <f t="array" ref="AM126">IF(AND(AM$2&lt;&gt;0,TblTech[[#This Row],[Hour]:[Hour]]&gt;=AM$2),1,0)</f>
        <v>0</v>
      </c>
      <c r="AN126" s="298" cm="1">
        <f t="array" ref="AN126">IF(AND(AN$2&lt;&gt;0,TblTech[[#This Row],[Hour]:[Hour]]&gt;=AN$2),1,0)</f>
        <v>0</v>
      </c>
      <c r="AO126" s="298" cm="1">
        <f t="array" ref="AO126">IF(AND(AO$2&lt;&gt;0,TblTech[[#This Row],[Hour]:[Hour]]&gt;=AO$2),1,0)</f>
        <v>0</v>
      </c>
      <c r="AP126" s="298" cm="1">
        <f t="array" ref="AP126">IF(AND(AP$2&lt;&gt;0,TblTech[[#This Row],[Hour]:[Hour]]&gt;=AP$2),1,0)</f>
        <v>0</v>
      </c>
      <c r="AQ126" s="298" cm="1">
        <f t="array" ref="AQ126">IF(AND(AQ$2&lt;&gt;0,TblTech[[#This Row],[Hour]:[Hour]]&gt;=AQ$2),1,0)</f>
        <v>0</v>
      </c>
      <c r="AR126" s="298" cm="1">
        <f t="array" ref="AR126">IF(AND(AR$2&lt;&gt;0,TblTech[[#This Row],[Hour]:[Hour]]&gt;=AR$2),1,0)</f>
        <v>0</v>
      </c>
      <c r="AS126" s="298" cm="1">
        <f t="array" ref="AS126">IF(AND(AS$2&lt;&gt;0,TblTech[[#This Row],[Hour]:[Hour]]&gt;=AS$2),1,0)</f>
        <v>0</v>
      </c>
      <c r="AT126" s="298" cm="1">
        <f t="array" ref="AT126">IF(AND(AT$2&lt;&gt;0,TblTech[[#This Row],[Hour]:[Hour]]&gt;=AT$2),1,0)</f>
        <v>0</v>
      </c>
      <c r="AU126" s="298" cm="1">
        <f t="array" ref="AU126">IF(AND(AU$2&lt;&gt;0,TblTech[[#This Row],[Hour]:[Hour]]&gt;=AU$2),1,0)</f>
        <v>0</v>
      </c>
      <c r="AV126" s="298" cm="1">
        <f t="array" ref="AV126">IF(AND(AV$2&lt;&gt;0,TblTech[[#This Row],[Hour]:[Hour]]&gt;=AV$2),1,0)</f>
        <v>0</v>
      </c>
      <c r="AW126" s="298" cm="1">
        <f t="array" ref="AW126">IF(AND(AW$2&lt;&gt;0,TblTech[[#This Row],[Hour]:[Hour]]&gt;=AW$2),1,0)</f>
        <v>0</v>
      </c>
      <c r="AX126" s="298" cm="1">
        <f t="array" ref="AX126">IF(AND(AX$2&lt;&gt;0,TblTech[[#This Row],[Hour]:[Hour]]&gt;=AX$2),1,0)</f>
        <v>0</v>
      </c>
      <c r="AY126" s="298" cm="1">
        <f t="array" ref="AY126">IF(AND(AY$2&lt;&gt;0,TblTech[[#This Row],[Hour]:[Hour]]&gt;=AY$2),1,0)</f>
        <v>0</v>
      </c>
      <c r="AZ126" s="298" cm="1">
        <f t="array" ref="AZ126">IF(AND(AZ$2&lt;&gt;0,TblTech[[#This Row],[Hour]:[Hour]]&gt;=AZ$2),1,0)</f>
        <v>0</v>
      </c>
      <c r="BA126" s="298" cm="1">
        <f t="array" ref="BA126">IF(AND(BA$2&lt;&gt;0,TblTech[[#This Row],[Hour]:[Hour]]&gt;=BA$2),1,0)</f>
        <v>0</v>
      </c>
      <c r="BB126" s="298" cm="1">
        <f t="array" ref="BB126">IF(AND(BB$2&lt;&gt;0,TblTech[[#This Row],[Hour]:[Hour]]&gt;=BB$2),1,0)</f>
        <v>0</v>
      </c>
      <c r="BC126" s="298" cm="1">
        <f t="array" ref="BC126">IF(AND(BC$2&lt;&gt;0,TblTech[[#This Row],[Hour]:[Hour]]&gt;=BC$2),1,0)</f>
        <v>0</v>
      </c>
      <c r="BD126" s="298" cm="1">
        <f t="array" ref="BD126">IF(AND(BD$2&lt;&gt;0,TblTech[[#This Row],[Hour]:[Hour]]&gt;=BD$2),1,0)</f>
        <v>0</v>
      </c>
      <c r="BE126" s="298" cm="1">
        <f t="array" ref="BE126">IF(AND(BE$2&lt;&gt;0,TblTech[[#This Row],[Hour]:[Hour]]&gt;=BE$2),1,0)</f>
        <v>0</v>
      </c>
      <c r="BF126" s="298" cm="1">
        <f t="array" ref="BF126">IF(AND(BF$2&lt;&gt;0,TblTech[[#This Row],[Hour]:[Hour]]&gt;=BF$2),1,0)</f>
        <v>0</v>
      </c>
      <c r="BG126" s="298" cm="1">
        <f t="array" ref="BG126">IF(AND(BG$2&lt;&gt;0,TblTech[[#This Row],[Hour]:[Hour]]&gt;=BG$2),1,0)</f>
        <v>0</v>
      </c>
      <c r="BH126" s="298" cm="1">
        <f t="array" ref="BH126">IF(AND(BH$2&lt;&gt;0,TblTech[[#This Row],[Hour]:[Hour]]&gt;=BH$2),1,0)</f>
        <v>0</v>
      </c>
      <c r="BI126" s="298" cm="1">
        <f t="array" ref="BI126">IF(AND(BI$2&lt;&gt;0,TblTech[[#This Row],[Hour]:[Hour]]&gt;=BI$2),1,0)</f>
        <v>0</v>
      </c>
      <c r="BJ126" s="298" cm="1">
        <f t="array" ref="BJ126">IF(AND(BJ$2&lt;&gt;0,TblTech[[#This Row],[Hour]:[Hour]]&gt;=BJ$2),1,0)</f>
        <v>0</v>
      </c>
      <c r="BK126" s="298" cm="1">
        <f t="array" ref="BK126">IF(AND(BK$2&lt;&gt;0,TblTech[[#This Row],[Hour]:[Hour]]&gt;=BK$2),1,0)</f>
        <v>0</v>
      </c>
      <c r="BL126" s="298" cm="1">
        <f t="array" ref="BL126">IF(AND(BL$2&lt;&gt;0,TblTech[[#This Row],[Hour]:[Hour]]&gt;=BL$2),1,0)</f>
        <v>0</v>
      </c>
      <c r="BM126" s="298" cm="1">
        <f t="array" ref="BM126">IF(AND(BM$2&lt;&gt;0,TblTech[[#This Row],[Hour]:[Hour]]&gt;=BM$2),1,0)</f>
        <v>0</v>
      </c>
      <c r="BN126" s="298" cm="1">
        <f t="array" ref="BN126">IF(AND(BN$2&lt;&gt;0,TblTech[[#This Row],[Hour]:[Hour]]&gt;=BN$2),1,0)</f>
        <v>0</v>
      </c>
      <c r="BO126" s="298" cm="1">
        <f t="array" ref="BO126">IF(AND(BO$2&lt;&gt;0,TblTech[[#This Row],[Hour]:[Hour]]&gt;=BO$2),1,0)</f>
        <v>0</v>
      </c>
      <c r="BP126" s="298" cm="1">
        <f t="array" ref="BP126">IF(AND(BP$2&lt;&gt;0,TblTech[[#This Row],[Hour]:[Hour]]&gt;=BP$2),1,0)</f>
        <v>0</v>
      </c>
      <c r="BQ126" s="298" cm="1">
        <f t="array" ref="BQ126">IF(AND(BQ$2&lt;&gt;0,TblTech[[#This Row],[Hour]:[Hour]]&gt;=BQ$2),1,0)</f>
        <v>0</v>
      </c>
      <c r="BR126" s="298" cm="1">
        <f t="array" ref="BR126">IF(AND(BR$2&lt;&gt;0,TblTech[[#This Row],[Hour]:[Hour]]&gt;=BR$2),1,0)</f>
        <v>0</v>
      </c>
      <c r="BS126" s="298" cm="1">
        <f t="array" ref="BS126">IF(AND(BS$2&lt;&gt;0,TblTech[[#This Row],[Hour]:[Hour]]&gt;=BS$2),1,0)</f>
        <v>0</v>
      </c>
      <c r="BT126" s="298" cm="1">
        <f t="array" ref="BT126">IF(AND(BT$2&lt;&gt;0,TblTech[[#This Row],[Hour]:[Hour]]&gt;=BT$2),1,0)</f>
        <v>0</v>
      </c>
      <c r="BU126" s="298" cm="1">
        <f t="array" ref="BU126">IF(AND(BU$2&lt;&gt;0,TblTech[[#This Row],[Hour]:[Hour]]&gt;=BU$2),1,0)</f>
        <v>0</v>
      </c>
      <c r="BV126" s="298" cm="1">
        <f t="array" ref="BV126">IF(AND(BV$2&lt;&gt;0,TblTech[[#This Row],[Hour]:[Hour]]&gt;=BV$2),1,0)</f>
        <v>0</v>
      </c>
      <c r="BW126" s="298" cm="1">
        <f t="array" ref="BW126">IF(AND(BW$2&lt;&gt;0,TblTech[[#This Row],[Hour]:[Hour]]&gt;=BW$2),1,0)</f>
        <v>0</v>
      </c>
      <c r="BX126" s="298" cm="1">
        <f t="array" ref="BX126">IF(AND(BX$2&lt;&gt;0,TblTech[[#This Row],[Hour]:[Hour]]&gt;=BX$2),1,0)</f>
        <v>0</v>
      </c>
      <c r="BY126" s="298" cm="1">
        <f t="array" ref="BY126">IF(AND(BY$2&lt;&gt;0,TblTech[[#This Row],[Hour]:[Hour]]&gt;=BY$2),1,0)</f>
        <v>0</v>
      </c>
      <c r="BZ126" s="298" cm="1">
        <f t="array" ref="BZ126">IF(AND(BZ$2&lt;&gt;0,TblTech[[#This Row],[Hour]:[Hour]]&gt;=BZ$2),1,0)</f>
        <v>0</v>
      </c>
      <c r="CA126" s="402">
        <f>IFERROR(INDEX($H$4:$H$79,MATCH(INDEX(TblTech[[#Headers],[1-1]:[11-1]],1,MATCH(TblTech[[#This Row],[Hour]],$M$2:$BZ$2,0)),$G$4:$G$79,0)),)</f>
        <v>0</v>
      </c>
    </row>
    <row r="127" spans="1:79" x14ac:dyDescent="0.2">
      <c r="A127" s="290">
        <f>TblRezone[[#This Row],[Hour]]</f>
        <v>124</v>
      </c>
      <c r="B127" s="291">
        <f ca="1">TblExplore[[#This Row],[Land-DB]]</f>
        <v>250</v>
      </c>
      <c r="C127" s="292">
        <f ca="1">TblProd[[#This Row],[Techpoints]]</f>
        <v>0</v>
      </c>
      <c r="D127" s="292">
        <f ca="1">TblProd[[#This Row],[Required]]</f>
        <v>3750</v>
      </c>
      <c r="E127" s="301"/>
      <c r="F127" s="302"/>
      <c r="G127" s="295"/>
      <c r="H127" s="296"/>
      <c r="I127" s="296"/>
      <c r="J127" s="296"/>
      <c r="K127" s="95">
        <f ca="1">IF(TblTech[[#This Row],[Sum of tech]]&lt;&gt;OFFSET(TblTech[[#This Row],[Sum of tech]],-1,0),1,0)</f>
        <v>0</v>
      </c>
      <c r="L127" s="297">
        <f>COUNTIF(TblTech[[#This Row],[1-1]:[11-1]],1)</f>
        <v>0</v>
      </c>
      <c r="M127" s="298" cm="1">
        <f t="array" ref="M127">IF(AND(M$2&lt;&gt;0,TblTech[[#This Row],[Hour]:[Hour]]&gt;=M$2),1,0)</f>
        <v>0</v>
      </c>
      <c r="N127" s="298" cm="1">
        <f t="array" ref="N127">IF(AND(N$2&lt;&gt;0,TblTech[[#This Row],[Hour]:[Hour]]&gt;=N$2),1,0)</f>
        <v>0</v>
      </c>
      <c r="O127" s="298" cm="1">
        <f t="array" ref="O127">IF(AND(O$2&lt;&gt;0,TblTech[[#This Row],[Hour]:[Hour]]&gt;=O$2),1,0)</f>
        <v>0</v>
      </c>
      <c r="P127" s="298" cm="1">
        <f t="array" ref="P127">IF(AND(P$2&lt;&gt;0,TblTech[[#This Row],[Hour]:[Hour]]&gt;=P$2),1,0)</f>
        <v>0</v>
      </c>
      <c r="Q127" s="298" cm="1">
        <f t="array" ref="Q127">IF(AND(Q$2&lt;&gt;0,TblTech[[#This Row],[Hour]:[Hour]]&gt;=Q$2),1,0)</f>
        <v>0</v>
      </c>
      <c r="R127" s="298" cm="1">
        <f t="array" ref="R127">IF(AND(R$2&lt;&gt;0,TblTech[[#This Row],[Hour]:[Hour]]&gt;=R$2),1,0)</f>
        <v>0</v>
      </c>
      <c r="S127" s="298" cm="1">
        <f t="array" ref="S127">IF(AND(S$2&lt;&gt;0,TblTech[[#This Row],[Hour]:[Hour]]&gt;=S$2),1,0)</f>
        <v>0</v>
      </c>
      <c r="T127" s="298" cm="1">
        <f t="array" ref="T127">IF(AND(T$2&lt;&gt;0,TblTech[[#This Row],[Hour]:[Hour]]&gt;=T$2),1,0)</f>
        <v>0</v>
      </c>
      <c r="U127" s="298" cm="1">
        <f t="array" ref="U127">IF(AND(U$2&lt;&gt;0,TblTech[[#This Row],[Hour]:[Hour]]&gt;=U$2),1,0)</f>
        <v>0</v>
      </c>
      <c r="V127" s="298" cm="1">
        <f t="array" ref="V127">IF(AND(V$2&lt;&gt;0,TblTech[[#This Row],[Hour]:[Hour]]&gt;=V$2),1,0)</f>
        <v>0</v>
      </c>
      <c r="W127" s="298" cm="1">
        <f t="array" ref="W127">IF(AND(W$2&lt;&gt;0,TblTech[[#This Row],[Hour]:[Hour]]&gt;=W$2),1,0)</f>
        <v>0</v>
      </c>
      <c r="X127" s="298" cm="1">
        <f t="array" ref="X127">IF(AND(X$2&lt;&gt;0,TblTech[[#This Row],[Hour]:[Hour]]&gt;=X$2),1,0)</f>
        <v>0</v>
      </c>
      <c r="Y127" s="298" cm="1">
        <f t="array" ref="Y127">IF(AND(Y$2&lt;&gt;0,TblTech[[#This Row],[Hour]:[Hour]]&gt;=Y$2),1,0)</f>
        <v>0</v>
      </c>
      <c r="Z127" s="298" cm="1">
        <f t="array" ref="Z127">IF(AND(Z$2&lt;&gt;0,TblTech[[#This Row],[Hour]:[Hour]]&gt;=Z$2),1,0)</f>
        <v>0</v>
      </c>
      <c r="AA127" s="298" cm="1">
        <f t="array" ref="AA127">IF(AND(AA$2&lt;&gt;0,TblTech[[#This Row],[Hour]:[Hour]]&gt;=AA$2),1,0)</f>
        <v>0</v>
      </c>
      <c r="AB127" s="298" cm="1">
        <f t="array" ref="AB127">IF(AND(AB$2&lt;&gt;0,TblTech[[#This Row],[Hour]:[Hour]]&gt;=AB$2),1,0)</f>
        <v>0</v>
      </c>
      <c r="AC127" s="298" cm="1">
        <f t="array" ref="AC127">IF(AND(AC$2&lt;&gt;0,TblTech[[#This Row],[Hour]:[Hour]]&gt;=AC$2),1,0)</f>
        <v>0</v>
      </c>
      <c r="AD127" s="298" cm="1">
        <f t="array" ref="AD127">IF(AND(AD$2&lt;&gt;0,TblTech[[#This Row],[Hour]:[Hour]]&gt;=AD$2),1,0)</f>
        <v>0</v>
      </c>
      <c r="AE127" s="298" cm="1">
        <f t="array" ref="AE127">IF(AND(AE$2&lt;&gt;0,TblTech[[#This Row],[Hour]:[Hour]]&gt;=AE$2),1,0)</f>
        <v>0</v>
      </c>
      <c r="AF127" s="298" cm="1">
        <f t="array" ref="AF127">IF(AND(AF$2&lt;&gt;0,TblTech[[#This Row],[Hour]:[Hour]]&gt;=AF$2),1,0)</f>
        <v>0</v>
      </c>
      <c r="AG127" s="298" cm="1">
        <f t="array" ref="AG127">IF(AND(AG$2&lt;&gt;0,TblTech[[#This Row],[Hour]:[Hour]]&gt;=AG$2),1,0)</f>
        <v>0</v>
      </c>
      <c r="AH127" s="298" cm="1">
        <f t="array" ref="AH127">IF(AND(AH$2&lt;&gt;0,TblTech[[#This Row],[Hour]:[Hour]]&gt;=AH$2),1,0)</f>
        <v>0</v>
      </c>
      <c r="AI127" s="298" cm="1">
        <f t="array" ref="AI127">IF(AND(AI$2&lt;&gt;0,TblTech[[#This Row],[Hour]:[Hour]]&gt;=AI$2),1,0)</f>
        <v>0</v>
      </c>
      <c r="AJ127" s="298" cm="1">
        <f t="array" ref="AJ127">IF(AND(AJ$2&lt;&gt;0,TblTech[[#This Row],[Hour]:[Hour]]&gt;=AJ$2),1,0)</f>
        <v>0</v>
      </c>
      <c r="AK127" s="298" cm="1">
        <f t="array" ref="AK127">IF(AND(AK$2&lt;&gt;0,TblTech[[#This Row],[Hour]:[Hour]]&gt;=AK$2),1,0)</f>
        <v>0</v>
      </c>
      <c r="AL127" s="298" cm="1">
        <f t="array" ref="AL127">IF(AND(AL$2&lt;&gt;0,TblTech[[#This Row],[Hour]:[Hour]]&gt;=AL$2),1,0)</f>
        <v>0</v>
      </c>
      <c r="AM127" s="298" cm="1">
        <f t="array" ref="AM127">IF(AND(AM$2&lt;&gt;0,TblTech[[#This Row],[Hour]:[Hour]]&gt;=AM$2),1,0)</f>
        <v>0</v>
      </c>
      <c r="AN127" s="298" cm="1">
        <f t="array" ref="AN127">IF(AND(AN$2&lt;&gt;0,TblTech[[#This Row],[Hour]:[Hour]]&gt;=AN$2),1,0)</f>
        <v>0</v>
      </c>
      <c r="AO127" s="298" cm="1">
        <f t="array" ref="AO127">IF(AND(AO$2&lt;&gt;0,TblTech[[#This Row],[Hour]:[Hour]]&gt;=AO$2),1,0)</f>
        <v>0</v>
      </c>
      <c r="AP127" s="298" cm="1">
        <f t="array" ref="AP127">IF(AND(AP$2&lt;&gt;0,TblTech[[#This Row],[Hour]:[Hour]]&gt;=AP$2),1,0)</f>
        <v>0</v>
      </c>
      <c r="AQ127" s="298" cm="1">
        <f t="array" ref="AQ127">IF(AND(AQ$2&lt;&gt;0,TblTech[[#This Row],[Hour]:[Hour]]&gt;=AQ$2),1,0)</f>
        <v>0</v>
      </c>
      <c r="AR127" s="298" cm="1">
        <f t="array" ref="AR127">IF(AND(AR$2&lt;&gt;0,TblTech[[#This Row],[Hour]:[Hour]]&gt;=AR$2),1,0)</f>
        <v>0</v>
      </c>
      <c r="AS127" s="298" cm="1">
        <f t="array" ref="AS127">IF(AND(AS$2&lt;&gt;0,TblTech[[#This Row],[Hour]:[Hour]]&gt;=AS$2),1,0)</f>
        <v>0</v>
      </c>
      <c r="AT127" s="298" cm="1">
        <f t="array" ref="AT127">IF(AND(AT$2&lt;&gt;0,TblTech[[#This Row],[Hour]:[Hour]]&gt;=AT$2),1,0)</f>
        <v>0</v>
      </c>
      <c r="AU127" s="298" cm="1">
        <f t="array" ref="AU127">IF(AND(AU$2&lt;&gt;0,TblTech[[#This Row],[Hour]:[Hour]]&gt;=AU$2),1,0)</f>
        <v>0</v>
      </c>
      <c r="AV127" s="298" cm="1">
        <f t="array" ref="AV127">IF(AND(AV$2&lt;&gt;0,TblTech[[#This Row],[Hour]:[Hour]]&gt;=AV$2),1,0)</f>
        <v>0</v>
      </c>
      <c r="AW127" s="298" cm="1">
        <f t="array" ref="AW127">IF(AND(AW$2&lt;&gt;0,TblTech[[#This Row],[Hour]:[Hour]]&gt;=AW$2),1,0)</f>
        <v>0</v>
      </c>
      <c r="AX127" s="298" cm="1">
        <f t="array" ref="AX127">IF(AND(AX$2&lt;&gt;0,TblTech[[#This Row],[Hour]:[Hour]]&gt;=AX$2),1,0)</f>
        <v>0</v>
      </c>
      <c r="AY127" s="298" cm="1">
        <f t="array" ref="AY127">IF(AND(AY$2&lt;&gt;0,TblTech[[#This Row],[Hour]:[Hour]]&gt;=AY$2),1,0)</f>
        <v>0</v>
      </c>
      <c r="AZ127" s="298" cm="1">
        <f t="array" ref="AZ127">IF(AND(AZ$2&lt;&gt;0,TblTech[[#This Row],[Hour]:[Hour]]&gt;=AZ$2),1,0)</f>
        <v>0</v>
      </c>
      <c r="BA127" s="298" cm="1">
        <f t="array" ref="BA127">IF(AND(BA$2&lt;&gt;0,TblTech[[#This Row],[Hour]:[Hour]]&gt;=BA$2),1,0)</f>
        <v>0</v>
      </c>
      <c r="BB127" s="298" cm="1">
        <f t="array" ref="BB127">IF(AND(BB$2&lt;&gt;0,TblTech[[#This Row],[Hour]:[Hour]]&gt;=BB$2),1,0)</f>
        <v>0</v>
      </c>
      <c r="BC127" s="298" cm="1">
        <f t="array" ref="BC127">IF(AND(BC$2&lt;&gt;0,TblTech[[#This Row],[Hour]:[Hour]]&gt;=BC$2),1,0)</f>
        <v>0</v>
      </c>
      <c r="BD127" s="298" cm="1">
        <f t="array" ref="BD127">IF(AND(BD$2&lt;&gt;0,TblTech[[#This Row],[Hour]:[Hour]]&gt;=BD$2),1,0)</f>
        <v>0</v>
      </c>
      <c r="BE127" s="298" cm="1">
        <f t="array" ref="BE127">IF(AND(BE$2&lt;&gt;0,TblTech[[#This Row],[Hour]:[Hour]]&gt;=BE$2),1,0)</f>
        <v>0</v>
      </c>
      <c r="BF127" s="298" cm="1">
        <f t="array" ref="BF127">IF(AND(BF$2&lt;&gt;0,TblTech[[#This Row],[Hour]:[Hour]]&gt;=BF$2),1,0)</f>
        <v>0</v>
      </c>
      <c r="BG127" s="298" cm="1">
        <f t="array" ref="BG127">IF(AND(BG$2&lt;&gt;0,TblTech[[#This Row],[Hour]:[Hour]]&gt;=BG$2),1,0)</f>
        <v>0</v>
      </c>
      <c r="BH127" s="298" cm="1">
        <f t="array" ref="BH127">IF(AND(BH$2&lt;&gt;0,TblTech[[#This Row],[Hour]:[Hour]]&gt;=BH$2),1,0)</f>
        <v>0</v>
      </c>
      <c r="BI127" s="298" cm="1">
        <f t="array" ref="BI127">IF(AND(BI$2&lt;&gt;0,TblTech[[#This Row],[Hour]:[Hour]]&gt;=BI$2),1,0)</f>
        <v>0</v>
      </c>
      <c r="BJ127" s="298" cm="1">
        <f t="array" ref="BJ127">IF(AND(BJ$2&lt;&gt;0,TblTech[[#This Row],[Hour]:[Hour]]&gt;=BJ$2),1,0)</f>
        <v>0</v>
      </c>
      <c r="BK127" s="298" cm="1">
        <f t="array" ref="BK127">IF(AND(BK$2&lt;&gt;0,TblTech[[#This Row],[Hour]:[Hour]]&gt;=BK$2),1,0)</f>
        <v>0</v>
      </c>
      <c r="BL127" s="298" cm="1">
        <f t="array" ref="BL127">IF(AND(BL$2&lt;&gt;0,TblTech[[#This Row],[Hour]:[Hour]]&gt;=BL$2),1,0)</f>
        <v>0</v>
      </c>
      <c r="BM127" s="298" cm="1">
        <f t="array" ref="BM127">IF(AND(BM$2&lt;&gt;0,TblTech[[#This Row],[Hour]:[Hour]]&gt;=BM$2),1,0)</f>
        <v>0</v>
      </c>
      <c r="BN127" s="298" cm="1">
        <f t="array" ref="BN127">IF(AND(BN$2&lt;&gt;0,TblTech[[#This Row],[Hour]:[Hour]]&gt;=BN$2),1,0)</f>
        <v>0</v>
      </c>
      <c r="BO127" s="298" cm="1">
        <f t="array" ref="BO127">IF(AND(BO$2&lt;&gt;0,TblTech[[#This Row],[Hour]:[Hour]]&gt;=BO$2),1,0)</f>
        <v>0</v>
      </c>
      <c r="BP127" s="298" cm="1">
        <f t="array" ref="BP127">IF(AND(BP$2&lt;&gt;0,TblTech[[#This Row],[Hour]:[Hour]]&gt;=BP$2),1,0)</f>
        <v>0</v>
      </c>
      <c r="BQ127" s="298" cm="1">
        <f t="array" ref="BQ127">IF(AND(BQ$2&lt;&gt;0,TblTech[[#This Row],[Hour]:[Hour]]&gt;=BQ$2),1,0)</f>
        <v>0</v>
      </c>
      <c r="BR127" s="298" cm="1">
        <f t="array" ref="BR127">IF(AND(BR$2&lt;&gt;0,TblTech[[#This Row],[Hour]:[Hour]]&gt;=BR$2),1,0)</f>
        <v>0</v>
      </c>
      <c r="BS127" s="298" cm="1">
        <f t="array" ref="BS127">IF(AND(BS$2&lt;&gt;0,TblTech[[#This Row],[Hour]:[Hour]]&gt;=BS$2),1,0)</f>
        <v>0</v>
      </c>
      <c r="BT127" s="298" cm="1">
        <f t="array" ref="BT127">IF(AND(BT$2&lt;&gt;0,TblTech[[#This Row],[Hour]:[Hour]]&gt;=BT$2),1,0)</f>
        <v>0</v>
      </c>
      <c r="BU127" s="298" cm="1">
        <f t="array" ref="BU127">IF(AND(BU$2&lt;&gt;0,TblTech[[#This Row],[Hour]:[Hour]]&gt;=BU$2),1,0)</f>
        <v>0</v>
      </c>
      <c r="BV127" s="298" cm="1">
        <f t="array" ref="BV127">IF(AND(BV$2&lt;&gt;0,TblTech[[#This Row],[Hour]:[Hour]]&gt;=BV$2),1,0)</f>
        <v>0</v>
      </c>
      <c r="BW127" s="298" cm="1">
        <f t="array" ref="BW127">IF(AND(BW$2&lt;&gt;0,TblTech[[#This Row],[Hour]:[Hour]]&gt;=BW$2),1,0)</f>
        <v>0</v>
      </c>
      <c r="BX127" s="298" cm="1">
        <f t="array" ref="BX127">IF(AND(BX$2&lt;&gt;0,TblTech[[#This Row],[Hour]:[Hour]]&gt;=BX$2),1,0)</f>
        <v>0</v>
      </c>
      <c r="BY127" s="298" cm="1">
        <f t="array" ref="BY127">IF(AND(BY$2&lt;&gt;0,TblTech[[#This Row],[Hour]:[Hour]]&gt;=BY$2),1,0)</f>
        <v>0</v>
      </c>
      <c r="BZ127" s="298" cm="1">
        <f t="array" ref="BZ127">IF(AND(BZ$2&lt;&gt;0,TblTech[[#This Row],[Hour]:[Hour]]&gt;=BZ$2),1,0)</f>
        <v>0</v>
      </c>
      <c r="CA127" s="402">
        <f>IFERROR(INDEX($H$4:$H$79,MATCH(INDEX(TblTech[[#Headers],[1-1]:[11-1]],1,MATCH(TblTech[[#This Row],[Hour]],$M$2:$BZ$2,0)),$G$4:$G$79,0)),)</f>
        <v>0</v>
      </c>
    </row>
    <row r="128" spans="1:79" x14ac:dyDescent="0.2">
      <c r="A128" s="290">
        <f>TblRezone[[#This Row],[Hour]]</f>
        <v>125</v>
      </c>
      <c r="B128" s="291">
        <f ca="1">TblExplore[[#This Row],[Land-DB]]</f>
        <v>250</v>
      </c>
      <c r="C128" s="292">
        <f ca="1">TblProd[[#This Row],[Techpoints]]</f>
        <v>0</v>
      </c>
      <c r="D128" s="292">
        <f ca="1">TblProd[[#This Row],[Required]]</f>
        <v>3750</v>
      </c>
      <c r="E128" s="301"/>
      <c r="F128" s="302"/>
      <c r="G128" s="295"/>
      <c r="H128" s="296"/>
      <c r="I128" s="296"/>
      <c r="J128" s="296"/>
      <c r="K128" s="95">
        <f ca="1">IF(TblTech[[#This Row],[Sum of tech]]&lt;&gt;OFFSET(TblTech[[#This Row],[Sum of tech]],-1,0),1,0)</f>
        <v>0</v>
      </c>
      <c r="L128" s="297">
        <f>COUNTIF(TblTech[[#This Row],[1-1]:[11-1]],1)</f>
        <v>0</v>
      </c>
      <c r="M128" s="298" cm="1">
        <f t="array" ref="M128">IF(AND(M$2&lt;&gt;0,TblTech[[#This Row],[Hour]:[Hour]]&gt;=M$2),1,0)</f>
        <v>0</v>
      </c>
      <c r="N128" s="298" cm="1">
        <f t="array" ref="N128">IF(AND(N$2&lt;&gt;0,TblTech[[#This Row],[Hour]:[Hour]]&gt;=N$2),1,0)</f>
        <v>0</v>
      </c>
      <c r="O128" s="298" cm="1">
        <f t="array" ref="O128">IF(AND(O$2&lt;&gt;0,TblTech[[#This Row],[Hour]:[Hour]]&gt;=O$2),1,0)</f>
        <v>0</v>
      </c>
      <c r="P128" s="298" cm="1">
        <f t="array" ref="P128">IF(AND(P$2&lt;&gt;0,TblTech[[#This Row],[Hour]:[Hour]]&gt;=P$2),1,0)</f>
        <v>0</v>
      </c>
      <c r="Q128" s="298" cm="1">
        <f t="array" ref="Q128">IF(AND(Q$2&lt;&gt;0,TblTech[[#This Row],[Hour]:[Hour]]&gt;=Q$2),1,0)</f>
        <v>0</v>
      </c>
      <c r="R128" s="298" cm="1">
        <f t="array" ref="R128">IF(AND(R$2&lt;&gt;0,TblTech[[#This Row],[Hour]:[Hour]]&gt;=R$2),1,0)</f>
        <v>0</v>
      </c>
      <c r="S128" s="298" cm="1">
        <f t="array" ref="S128">IF(AND(S$2&lt;&gt;0,TblTech[[#This Row],[Hour]:[Hour]]&gt;=S$2),1,0)</f>
        <v>0</v>
      </c>
      <c r="T128" s="298" cm="1">
        <f t="array" ref="T128">IF(AND(T$2&lt;&gt;0,TblTech[[#This Row],[Hour]:[Hour]]&gt;=T$2),1,0)</f>
        <v>0</v>
      </c>
      <c r="U128" s="298" cm="1">
        <f t="array" ref="U128">IF(AND(U$2&lt;&gt;0,TblTech[[#This Row],[Hour]:[Hour]]&gt;=U$2),1,0)</f>
        <v>0</v>
      </c>
      <c r="V128" s="298" cm="1">
        <f t="array" ref="V128">IF(AND(V$2&lt;&gt;0,TblTech[[#This Row],[Hour]:[Hour]]&gt;=V$2),1,0)</f>
        <v>0</v>
      </c>
      <c r="W128" s="298" cm="1">
        <f t="array" ref="W128">IF(AND(W$2&lt;&gt;0,TblTech[[#This Row],[Hour]:[Hour]]&gt;=W$2),1,0)</f>
        <v>0</v>
      </c>
      <c r="X128" s="298" cm="1">
        <f t="array" ref="X128">IF(AND(X$2&lt;&gt;0,TblTech[[#This Row],[Hour]:[Hour]]&gt;=X$2),1,0)</f>
        <v>0</v>
      </c>
      <c r="Y128" s="298" cm="1">
        <f t="array" ref="Y128">IF(AND(Y$2&lt;&gt;0,TblTech[[#This Row],[Hour]:[Hour]]&gt;=Y$2),1,0)</f>
        <v>0</v>
      </c>
      <c r="Z128" s="298" cm="1">
        <f t="array" ref="Z128">IF(AND(Z$2&lt;&gt;0,TblTech[[#This Row],[Hour]:[Hour]]&gt;=Z$2),1,0)</f>
        <v>0</v>
      </c>
      <c r="AA128" s="298" cm="1">
        <f t="array" ref="AA128">IF(AND(AA$2&lt;&gt;0,TblTech[[#This Row],[Hour]:[Hour]]&gt;=AA$2),1,0)</f>
        <v>0</v>
      </c>
      <c r="AB128" s="298" cm="1">
        <f t="array" ref="AB128">IF(AND(AB$2&lt;&gt;0,TblTech[[#This Row],[Hour]:[Hour]]&gt;=AB$2),1,0)</f>
        <v>0</v>
      </c>
      <c r="AC128" s="298" cm="1">
        <f t="array" ref="AC128">IF(AND(AC$2&lt;&gt;0,TblTech[[#This Row],[Hour]:[Hour]]&gt;=AC$2),1,0)</f>
        <v>0</v>
      </c>
      <c r="AD128" s="298" cm="1">
        <f t="array" ref="AD128">IF(AND(AD$2&lt;&gt;0,TblTech[[#This Row],[Hour]:[Hour]]&gt;=AD$2),1,0)</f>
        <v>0</v>
      </c>
      <c r="AE128" s="298" cm="1">
        <f t="array" ref="AE128">IF(AND(AE$2&lt;&gt;0,TblTech[[#This Row],[Hour]:[Hour]]&gt;=AE$2),1,0)</f>
        <v>0</v>
      </c>
      <c r="AF128" s="298" cm="1">
        <f t="array" ref="AF128">IF(AND(AF$2&lt;&gt;0,TblTech[[#This Row],[Hour]:[Hour]]&gt;=AF$2),1,0)</f>
        <v>0</v>
      </c>
      <c r="AG128" s="298" cm="1">
        <f t="array" ref="AG128">IF(AND(AG$2&lt;&gt;0,TblTech[[#This Row],[Hour]:[Hour]]&gt;=AG$2),1,0)</f>
        <v>0</v>
      </c>
      <c r="AH128" s="298" cm="1">
        <f t="array" ref="AH128">IF(AND(AH$2&lt;&gt;0,TblTech[[#This Row],[Hour]:[Hour]]&gt;=AH$2),1,0)</f>
        <v>0</v>
      </c>
      <c r="AI128" s="298" cm="1">
        <f t="array" ref="AI128">IF(AND(AI$2&lt;&gt;0,TblTech[[#This Row],[Hour]:[Hour]]&gt;=AI$2),1,0)</f>
        <v>0</v>
      </c>
      <c r="AJ128" s="298" cm="1">
        <f t="array" ref="AJ128">IF(AND(AJ$2&lt;&gt;0,TblTech[[#This Row],[Hour]:[Hour]]&gt;=AJ$2),1,0)</f>
        <v>0</v>
      </c>
      <c r="AK128" s="298" cm="1">
        <f t="array" ref="AK128">IF(AND(AK$2&lt;&gt;0,TblTech[[#This Row],[Hour]:[Hour]]&gt;=AK$2),1,0)</f>
        <v>0</v>
      </c>
      <c r="AL128" s="298" cm="1">
        <f t="array" ref="AL128">IF(AND(AL$2&lt;&gt;0,TblTech[[#This Row],[Hour]:[Hour]]&gt;=AL$2),1,0)</f>
        <v>0</v>
      </c>
      <c r="AM128" s="298" cm="1">
        <f t="array" ref="AM128">IF(AND(AM$2&lt;&gt;0,TblTech[[#This Row],[Hour]:[Hour]]&gt;=AM$2),1,0)</f>
        <v>0</v>
      </c>
      <c r="AN128" s="298" cm="1">
        <f t="array" ref="AN128">IF(AND(AN$2&lt;&gt;0,TblTech[[#This Row],[Hour]:[Hour]]&gt;=AN$2),1,0)</f>
        <v>0</v>
      </c>
      <c r="AO128" s="298" cm="1">
        <f t="array" ref="AO128">IF(AND(AO$2&lt;&gt;0,TblTech[[#This Row],[Hour]:[Hour]]&gt;=AO$2),1,0)</f>
        <v>0</v>
      </c>
      <c r="AP128" s="298" cm="1">
        <f t="array" ref="AP128">IF(AND(AP$2&lt;&gt;0,TblTech[[#This Row],[Hour]:[Hour]]&gt;=AP$2),1,0)</f>
        <v>0</v>
      </c>
      <c r="AQ128" s="298" cm="1">
        <f t="array" ref="AQ128">IF(AND(AQ$2&lt;&gt;0,TblTech[[#This Row],[Hour]:[Hour]]&gt;=AQ$2),1,0)</f>
        <v>0</v>
      </c>
      <c r="AR128" s="298" cm="1">
        <f t="array" ref="AR128">IF(AND(AR$2&lt;&gt;0,TblTech[[#This Row],[Hour]:[Hour]]&gt;=AR$2),1,0)</f>
        <v>0</v>
      </c>
      <c r="AS128" s="298" cm="1">
        <f t="array" ref="AS128">IF(AND(AS$2&lt;&gt;0,TblTech[[#This Row],[Hour]:[Hour]]&gt;=AS$2),1,0)</f>
        <v>0</v>
      </c>
      <c r="AT128" s="298" cm="1">
        <f t="array" ref="AT128">IF(AND(AT$2&lt;&gt;0,TblTech[[#This Row],[Hour]:[Hour]]&gt;=AT$2),1,0)</f>
        <v>0</v>
      </c>
      <c r="AU128" s="298" cm="1">
        <f t="array" ref="AU128">IF(AND(AU$2&lt;&gt;0,TblTech[[#This Row],[Hour]:[Hour]]&gt;=AU$2),1,0)</f>
        <v>0</v>
      </c>
      <c r="AV128" s="298" cm="1">
        <f t="array" ref="AV128">IF(AND(AV$2&lt;&gt;0,TblTech[[#This Row],[Hour]:[Hour]]&gt;=AV$2),1,0)</f>
        <v>0</v>
      </c>
      <c r="AW128" s="298" cm="1">
        <f t="array" ref="AW128">IF(AND(AW$2&lt;&gt;0,TblTech[[#This Row],[Hour]:[Hour]]&gt;=AW$2),1,0)</f>
        <v>0</v>
      </c>
      <c r="AX128" s="298" cm="1">
        <f t="array" ref="AX128">IF(AND(AX$2&lt;&gt;0,TblTech[[#This Row],[Hour]:[Hour]]&gt;=AX$2),1,0)</f>
        <v>0</v>
      </c>
      <c r="AY128" s="298" cm="1">
        <f t="array" ref="AY128">IF(AND(AY$2&lt;&gt;0,TblTech[[#This Row],[Hour]:[Hour]]&gt;=AY$2),1,0)</f>
        <v>0</v>
      </c>
      <c r="AZ128" s="298" cm="1">
        <f t="array" ref="AZ128">IF(AND(AZ$2&lt;&gt;0,TblTech[[#This Row],[Hour]:[Hour]]&gt;=AZ$2),1,0)</f>
        <v>0</v>
      </c>
      <c r="BA128" s="298" cm="1">
        <f t="array" ref="BA128">IF(AND(BA$2&lt;&gt;0,TblTech[[#This Row],[Hour]:[Hour]]&gt;=BA$2),1,0)</f>
        <v>0</v>
      </c>
      <c r="BB128" s="298" cm="1">
        <f t="array" ref="BB128">IF(AND(BB$2&lt;&gt;0,TblTech[[#This Row],[Hour]:[Hour]]&gt;=BB$2),1,0)</f>
        <v>0</v>
      </c>
      <c r="BC128" s="298" cm="1">
        <f t="array" ref="BC128">IF(AND(BC$2&lt;&gt;0,TblTech[[#This Row],[Hour]:[Hour]]&gt;=BC$2),1,0)</f>
        <v>0</v>
      </c>
      <c r="BD128" s="298" cm="1">
        <f t="array" ref="BD128">IF(AND(BD$2&lt;&gt;0,TblTech[[#This Row],[Hour]:[Hour]]&gt;=BD$2),1,0)</f>
        <v>0</v>
      </c>
      <c r="BE128" s="298" cm="1">
        <f t="array" ref="BE128">IF(AND(BE$2&lt;&gt;0,TblTech[[#This Row],[Hour]:[Hour]]&gt;=BE$2),1,0)</f>
        <v>0</v>
      </c>
      <c r="BF128" s="298" cm="1">
        <f t="array" ref="BF128">IF(AND(BF$2&lt;&gt;0,TblTech[[#This Row],[Hour]:[Hour]]&gt;=BF$2),1,0)</f>
        <v>0</v>
      </c>
      <c r="BG128" s="298" cm="1">
        <f t="array" ref="BG128">IF(AND(BG$2&lt;&gt;0,TblTech[[#This Row],[Hour]:[Hour]]&gt;=BG$2),1,0)</f>
        <v>0</v>
      </c>
      <c r="BH128" s="298" cm="1">
        <f t="array" ref="BH128">IF(AND(BH$2&lt;&gt;0,TblTech[[#This Row],[Hour]:[Hour]]&gt;=BH$2),1,0)</f>
        <v>0</v>
      </c>
      <c r="BI128" s="298" cm="1">
        <f t="array" ref="BI128">IF(AND(BI$2&lt;&gt;0,TblTech[[#This Row],[Hour]:[Hour]]&gt;=BI$2),1,0)</f>
        <v>0</v>
      </c>
      <c r="BJ128" s="298" cm="1">
        <f t="array" ref="BJ128">IF(AND(BJ$2&lt;&gt;0,TblTech[[#This Row],[Hour]:[Hour]]&gt;=BJ$2),1,0)</f>
        <v>0</v>
      </c>
      <c r="BK128" s="298" cm="1">
        <f t="array" ref="BK128">IF(AND(BK$2&lt;&gt;0,TblTech[[#This Row],[Hour]:[Hour]]&gt;=BK$2),1,0)</f>
        <v>0</v>
      </c>
      <c r="BL128" s="298" cm="1">
        <f t="array" ref="BL128">IF(AND(BL$2&lt;&gt;0,TblTech[[#This Row],[Hour]:[Hour]]&gt;=BL$2),1,0)</f>
        <v>0</v>
      </c>
      <c r="BM128" s="298" cm="1">
        <f t="array" ref="BM128">IF(AND(BM$2&lt;&gt;0,TblTech[[#This Row],[Hour]:[Hour]]&gt;=BM$2),1,0)</f>
        <v>0</v>
      </c>
      <c r="BN128" s="298" cm="1">
        <f t="array" ref="BN128">IF(AND(BN$2&lt;&gt;0,TblTech[[#This Row],[Hour]:[Hour]]&gt;=BN$2),1,0)</f>
        <v>0</v>
      </c>
      <c r="BO128" s="298" cm="1">
        <f t="array" ref="BO128">IF(AND(BO$2&lt;&gt;0,TblTech[[#This Row],[Hour]:[Hour]]&gt;=BO$2),1,0)</f>
        <v>0</v>
      </c>
      <c r="BP128" s="298" cm="1">
        <f t="array" ref="BP128">IF(AND(BP$2&lt;&gt;0,TblTech[[#This Row],[Hour]:[Hour]]&gt;=BP$2),1,0)</f>
        <v>0</v>
      </c>
      <c r="BQ128" s="298" cm="1">
        <f t="array" ref="BQ128">IF(AND(BQ$2&lt;&gt;0,TblTech[[#This Row],[Hour]:[Hour]]&gt;=BQ$2),1,0)</f>
        <v>0</v>
      </c>
      <c r="BR128" s="298" cm="1">
        <f t="array" ref="BR128">IF(AND(BR$2&lt;&gt;0,TblTech[[#This Row],[Hour]:[Hour]]&gt;=BR$2),1,0)</f>
        <v>0</v>
      </c>
      <c r="BS128" s="298" cm="1">
        <f t="array" ref="BS128">IF(AND(BS$2&lt;&gt;0,TblTech[[#This Row],[Hour]:[Hour]]&gt;=BS$2),1,0)</f>
        <v>0</v>
      </c>
      <c r="BT128" s="298" cm="1">
        <f t="array" ref="BT128">IF(AND(BT$2&lt;&gt;0,TblTech[[#This Row],[Hour]:[Hour]]&gt;=BT$2),1,0)</f>
        <v>0</v>
      </c>
      <c r="BU128" s="298" cm="1">
        <f t="array" ref="BU128">IF(AND(BU$2&lt;&gt;0,TblTech[[#This Row],[Hour]:[Hour]]&gt;=BU$2),1,0)</f>
        <v>0</v>
      </c>
      <c r="BV128" s="298" cm="1">
        <f t="array" ref="BV128">IF(AND(BV$2&lt;&gt;0,TblTech[[#This Row],[Hour]:[Hour]]&gt;=BV$2),1,0)</f>
        <v>0</v>
      </c>
      <c r="BW128" s="298" cm="1">
        <f t="array" ref="BW128">IF(AND(BW$2&lt;&gt;0,TblTech[[#This Row],[Hour]:[Hour]]&gt;=BW$2),1,0)</f>
        <v>0</v>
      </c>
      <c r="BX128" s="298" cm="1">
        <f t="array" ref="BX128">IF(AND(BX$2&lt;&gt;0,TblTech[[#This Row],[Hour]:[Hour]]&gt;=BX$2),1,0)</f>
        <v>0</v>
      </c>
      <c r="BY128" s="298" cm="1">
        <f t="array" ref="BY128">IF(AND(BY$2&lt;&gt;0,TblTech[[#This Row],[Hour]:[Hour]]&gt;=BY$2),1,0)</f>
        <v>0</v>
      </c>
      <c r="BZ128" s="298" cm="1">
        <f t="array" ref="BZ128">IF(AND(BZ$2&lt;&gt;0,TblTech[[#This Row],[Hour]:[Hour]]&gt;=BZ$2),1,0)</f>
        <v>0</v>
      </c>
      <c r="CA128" s="402">
        <f>IFERROR(INDEX($H$4:$H$79,MATCH(INDEX(TblTech[[#Headers],[1-1]:[11-1]],1,MATCH(TblTech[[#This Row],[Hour]],$M$2:$BZ$2,0)),$G$4:$G$79,0)),)</f>
        <v>0</v>
      </c>
    </row>
    <row r="129" spans="1:79" x14ac:dyDescent="0.2">
      <c r="A129" s="290">
        <f>TblRezone[[#This Row],[Hour]]</f>
        <v>126</v>
      </c>
      <c r="B129" s="291">
        <f ca="1">TblExplore[[#This Row],[Land-DB]]</f>
        <v>250</v>
      </c>
      <c r="C129" s="292">
        <f ca="1">TblProd[[#This Row],[Techpoints]]</f>
        <v>0</v>
      </c>
      <c r="D129" s="292">
        <f ca="1">TblProd[[#This Row],[Required]]</f>
        <v>3750</v>
      </c>
      <c r="E129" s="301"/>
      <c r="F129" s="302"/>
      <c r="G129" s="295"/>
      <c r="H129" s="296"/>
      <c r="I129" s="296"/>
      <c r="J129" s="296"/>
      <c r="K129" s="95">
        <f ca="1">IF(TblTech[[#This Row],[Sum of tech]]&lt;&gt;OFFSET(TblTech[[#This Row],[Sum of tech]],-1,0),1,0)</f>
        <v>0</v>
      </c>
      <c r="L129" s="297">
        <f>COUNTIF(TblTech[[#This Row],[1-1]:[11-1]],1)</f>
        <v>0</v>
      </c>
      <c r="M129" s="298" cm="1">
        <f t="array" ref="M129">IF(AND(M$2&lt;&gt;0,TblTech[[#This Row],[Hour]:[Hour]]&gt;=M$2),1,0)</f>
        <v>0</v>
      </c>
      <c r="N129" s="298" cm="1">
        <f t="array" ref="N129">IF(AND(N$2&lt;&gt;0,TblTech[[#This Row],[Hour]:[Hour]]&gt;=N$2),1,0)</f>
        <v>0</v>
      </c>
      <c r="O129" s="298" cm="1">
        <f t="array" ref="O129">IF(AND(O$2&lt;&gt;0,TblTech[[#This Row],[Hour]:[Hour]]&gt;=O$2),1,0)</f>
        <v>0</v>
      </c>
      <c r="P129" s="298" cm="1">
        <f t="array" ref="P129">IF(AND(P$2&lt;&gt;0,TblTech[[#This Row],[Hour]:[Hour]]&gt;=P$2),1,0)</f>
        <v>0</v>
      </c>
      <c r="Q129" s="298" cm="1">
        <f t="array" ref="Q129">IF(AND(Q$2&lt;&gt;0,TblTech[[#This Row],[Hour]:[Hour]]&gt;=Q$2),1,0)</f>
        <v>0</v>
      </c>
      <c r="R129" s="298" cm="1">
        <f t="array" ref="R129">IF(AND(R$2&lt;&gt;0,TblTech[[#This Row],[Hour]:[Hour]]&gt;=R$2),1,0)</f>
        <v>0</v>
      </c>
      <c r="S129" s="298" cm="1">
        <f t="array" ref="S129">IF(AND(S$2&lt;&gt;0,TblTech[[#This Row],[Hour]:[Hour]]&gt;=S$2),1,0)</f>
        <v>0</v>
      </c>
      <c r="T129" s="298" cm="1">
        <f t="array" ref="T129">IF(AND(T$2&lt;&gt;0,TblTech[[#This Row],[Hour]:[Hour]]&gt;=T$2),1,0)</f>
        <v>0</v>
      </c>
      <c r="U129" s="298" cm="1">
        <f t="array" ref="U129">IF(AND(U$2&lt;&gt;0,TblTech[[#This Row],[Hour]:[Hour]]&gt;=U$2),1,0)</f>
        <v>0</v>
      </c>
      <c r="V129" s="298" cm="1">
        <f t="array" ref="V129">IF(AND(V$2&lt;&gt;0,TblTech[[#This Row],[Hour]:[Hour]]&gt;=V$2),1,0)</f>
        <v>0</v>
      </c>
      <c r="W129" s="298" cm="1">
        <f t="array" ref="W129">IF(AND(W$2&lt;&gt;0,TblTech[[#This Row],[Hour]:[Hour]]&gt;=W$2),1,0)</f>
        <v>0</v>
      </c>
      <c r="X129" s="298" cm="1">
        <f t="array" ref="X129">IF(AND(X$2&lt;&gt;0,TblTech[[#This Row],[Hour]:[Hour]]&gt;=X$2),1,0)</f>
        <v>0</v>
      </c>
      <c r="Y129" s="298" cm="1">
        <f t="array" ref="Y129">IF(AND(Y$2&lt;&gt;0,TblTech[[#This Row],[Hour]:[Hour]]&gt;=Y$2),1,0)</f>
        <v>0</v>
      </c>
      <c r="Z129" s="298" cm="1">
        <f t="array" ref="Z129">IF(AND(Z$2&lt;&gt;0,TblTech[[#This Row],[Hour]:[Hour]]&gt;=Z$2),1,0)</f>
        <v>0</v>
      </c>
      <c r="AA129" s="298" cm="1">
        <f t="array" ref="AA129">IF(AND(AA$2&lt;&gt;0,TblTech[[#This Row],[Hour]:[Hour]]&gt;=AA$2),1,0)</f>
        <v>0</v>
      </c>
      <c r="AB129" s="298" cm="1">
        <f t="array" ref="AB129">IF(AND(AB$2&lt;&gt;0,TblTech[[#This Row],[Hour]:[Hour]]&gt;=AB$2),1,0)</f>
        <v>0</v>
      </c>
      <c r="AC129" s="298" cm="1">
        <f t="array" ref="AC129">IF(AND(AC$2&lt;&gt;0,TblTech[[#This Row],[Hour]:[Hour]]&gt;=AC$2),1,0)</f>
        <v>0</v>
      </c>
      <c r="AD129" s="298" cm="1">
        <f t="array" ref="AD129">IF(AND(AD$2&lt;&gt;0,TblTech[[#This Row],[Hour]:[Hour]]&gt;=AD$2),1,0)</f>
        <v>0</v>
      </c>
      <c r="AE129" s="298" cm="1">
        <f t="array" ref="AE129">IF(AND(AE$2&lt;&gt;0,TblTech[[#This Row],[Hour]:[Hour]]&gt;=AE$2),1,0)</f>
        <v>0</v>
      </c>
      <c r="AF129" s="298" cm="1">
        <f t="array" ref="AF129">IF(AND(AF$2&lt;&gt;0,TblTech[[#This Row],[Hour]:[Hour]]&gt;=AF$2),1,0)</f>
        <v>0</v>
      </c>
      <c r="AG129" s="298" cm="1">
        <f t="array" ref="AG129">IF(AND(AG$2&lt;&gt;0,TblTech[[#This Row],[Hour]:[Hour]]&gt;=AG$2),1,0)</f>
        <v>0</v>
      </c>
      <c r="AH129" s="298" cm="1">
        <f t="array" ref="AH129">IF(AND(AH$2&lt;&gt;0,TblTech[[#This Row],[Hour]:[Hour]]&gt;=AH$2),1,0)</f>
        <v>0</v>
      </c>
      <c r="AI129" s="298" cm="1">
        <f t="array" ref="AI129">IF(AND(AI$2&lt;&gt;0,TblTech[[#This Row],[Hour]:[Hour]]&gt;=AI$2),1,0)</f>
        <v>0</v>
      </c>
      <c r="AJ129" s="298" cm="1">
        <f t="array" ref="AJ129">IF(AND(AJ$2&lt;&gt;0,TblTech[[#This Row],[Hour]:[Hour]]&gt;=AJ$2),1,0)</f>
        <v>0</v>
      </c>
      <c r="AK129" s="298" cm="1">
        <f t="array" ref="AK129">IF(AND(AK$2&lt;&gt;0,TblTech[[#This Row],[Hour]:[Hour]]&gt;=AK$2),1,0)</f>
        <v>0</v>
      </c>
      <c r="AL129" s="298" cm="1">
        <f t="array" ref="AL129">IF(AND(AL$2&lt;&gt;0,TblTech[[#This Row],[Hour]:[Hour]]&gt;=AL$2),1,0)</f>
        <v>0</v>
      </c>
      <c r="AM129" s="298" cm="1">
        <f t="array" ref="AM129">IF(AND(AM$2&lt;&gt;0,TblTech[[#This Row],[Hour]:[Hour]]&gt;=AM$2),1,0)</f>
        <v>0</v>
      </c>
      <c r="AN129" s="298" cm="1">
        <f t="array" ref="AN129">IF(AND(AN$2&lt;&gt;0,TblTech[[#This Row],[Hour]:[Hour]]&gt;=AN$2),1,0)</f>
        <v>0</v>
      </c>
      <c r="AO129" s="298" cm="1">
        <f t="array" ref="AO129">IF(AND(AO$2&lt;&gt;0,TblTech[[#This Row],[Hour]:[Hour]]&gt;=AO$2),1,0)</f>
        <v>0</v>
      </c>
      <c r="AP129" s="298" cm="1">
        <f t="array" ref="AP129">IF(AND(AP$2&lt;&gt;0,TblTech[[#This Row],[Hour]:[Hour]]&gt;=AP$2),1,0)</f>
        <v>0</v>
      </c>
      <c r="AQ129" s="298" cm="1">
        <f t="array" ref="AQ129">IF(AND(AQ$2&lt;&gt;0,TblTech[[#This Row],[Hour]:[Hour]]&gt;=AQ$2),1,0)</f>
        <v>0</v>
      </c>
      <c r="AR129" s="298" cm="1">
        <f t="array" ref="AR129">IF(AND(AR$2&lt;&gt;0,TblTech[[#This Row],[Hour]:[Hour]]&gt;=AR$2),1,0)</f>
        <v>0</v>
      </c>
      <c r="AS129" s="298" cm="1">
        <f t="array" ref="AS129">IF(AND(AS$2&lt;&gt;0,TblTech[[#This Row],[Hour]:[Hour]]&gt;=AS$2),1,0)</f>
        <v>0</v>
      </c>
      <c r="AT129" s="298" cm="1">
        <f t="array" ref="AT129">IF(AND(AT$2&lt;&gt;0,TblTech[[#This Row],[Hour]:[Hour]]&gt;=AT$2),1,0)</f>
        <v>0</v>
      </c>
      <c r="AU129" s="298" cm="1">
        <f t="array" ref="AU129">IF(AND(AU$2&lt;&gt;0,TblTech[[#This Row],[Hour]:[Hour]]&gt;=AU$2),1,0)</f>
        <v>0</v>
      </c>
      <c r="AV129" s="298" cm="1">
        <f t="array" ref="AV129">IF(AND(AV$2&lt;&gt;0,TblTech[[#This Row],[Hour]:[Hour]]&gt;=AV$2),1,0)</f>
        <v>0</v>
      </c>
      <c r="AW129" s="298" cm="1">
        <f t="array" ref="AW129">IF(AND(AW$2&lt;&gt;0,TblTech[[#This Row],[Hour]:[Hour]]&gt;=AW$2),1,0)</f>
        <v>0</v>
      </c>
      <c r="AX129" s="298" cm="1">
        <f t="array" ref="AX129">IF(AND(AX$2&lt;&gt;0,TblTech[[#This Row],[Hour]:[Hour]]&gt;=AX$2),1,0)</f>
        <v>0</v>
      </c>
      <c r="AY129" s="298" cm="1">
        <f t="array" ref="AY129">IF(AND(AY$2&lt;&gt;0,TblTech[[#This Row],[Hour]:[Hour]]&gt;=AY$2),1,0)</f>
        <v>0</v>
      </c>
      <c r="AZ129" s="298" cm="1">
        <f t="array" ref="AZ129">IF(AND(AZ$2&lt;&gt;0,TblTech[[#This Row],[Hour]:[Hour]]&gt;=AZ$2),1,0)</f>
        <v>0</v>
      </c>
      <c r="BA129" s="298" cm="1">
        <f t="array" ref="BA129">IF(AND(BA$2&lt;&gt;0,TblTech[[#This Row],[Hour]:[Hour]]&gt;=BA$2),1,0)</f>
        <v>0</v>
      </c>
      <c r="BB129" s="298" cm="1">
        <f t="array" ref="BB129">IF(AND(BB$2&lt;&gt;0,TblTech[[#This Row],[Hour]:[Hour]]&gt;=BB$2),1,0)</f>
        <v>0</v>
      </c>
      <c r="BC129" s="298" cm="1">
        <f t="array" ref="BC129">IF(AND(BC$2&lt;&gt;0,TblTech[[#This Row],[Hour]:[Hour]]&gt;=BC$2),1,0)</f>
        <v>0</v>
      </c>
      <c r="BD129" s="298" cm="1">
        <f t="array" ref="BD129">IF(AND(BD$2&lt;&gt;0,TblTech[[#This Row],[Hour]:[Hour]]&gt;=BD$2),1,0)</f>
        <v>0</v>
      </c>
      <c r="BE129" s="298" cm="1">
        <f t="array" ref="BE129">IF(AND(BE$2&lt;&gt;0,TblTech[[#This Row],[Hour]:[Hour]]&gt;=BE$2),1,0)</f>
        <v>0</v>
      </c>
      <c r="BF129" s="298" cm="1">
        <f t="array" ref="BF129">IF(AND(BF$2&lt;&gt;0,TblTech[[#This Row],[Hour]:[Hour]]&gt;=BF$2),1,0)</f>
        <v>0</v>
      </c>
      <c r="BG129" s="298" cm="1">
        <f t="array" ref="BG129">IF(AND(BG$2&lt;&gt;0,TblTech[[#This Row],[Hour]:[Hour]]&gt;=BG$2),1,0)</f>
        <v>0</v>
      </c>
      <c r="BH129" s="298" cm="1">
        <f t="array" ref="BH129">IF(AND(BH$2&lt;&gt;0,TblTech[[#This Row],[Hour]:[Hour]]&gt;=BH$2),1,0)</f>
        <v>0</v>
      </c>
      <c r="BI129" s="298" cm="1">
        <f t="array" ref="BI129">IF(AND(BI$2&lt;&gt;0,TblTech[[#This Row],[Hour]:[Hour]]&gt;=BI$2),1,0)</f>
        <v>0</v>
      </c>
      <c r="BJ129" s="298" cm="1">
        <f t="array" ref="BJ129">IF(AND(BJ$2&lt;&gt;0,TblTech[[#This Row],[Hour]:[Hour]]&gt;=BJ$2),1,0)</f>
        <v>0</v>
      </c>
      <c r="BK129" s="298" cm="1">
        <f t="array" ref="BK129">IF(AND(BK$2&lt;&gt;0,TblTech[[#This Row],[Hour]:[Hour]]&gt;=BK$2),1,0)</f>
        <v>0</v>
      </c>
      <c r="BL129" s="298" cm="1">
        <f t="array" ref="BL129">IF(AND(BL$2&lt;&gt;0,TblTech[[#This Row],[Hour]:[Hour]]&gt;=BL$2),1,0)</f>
        <v>0</v>
      </c>
      <c r="BM129" s="298" cm="1">
        <f t="array" ref="BM129">IF(AND(BM$2&lt;&gt;0,TblTech[[#This Row],[Hour]:[Hour]]&gt;=BM$2),1,0)</f>
        <v>0</v>
      </c>
      <c r="BN129" s="298" cm="1">
        <f t="array" ref="BN129">IF(AND(BN$2&lt;&gt;0,TblTech[[#This Row],[Hour]:[Hour]]&gt;=BN$2),1,0)</f>
        <v>0</v>
      </c>
      <c r="BO129" s="298" cm="1">
        <f t="array" ref="BO129">IF(AND(BO$2&lt;&gt;0,TblTech[[#This Row],[Hour]:[Hour]]&gt;=BO$2),1,0)</f>
        <v>0</v>
      </c>
      <c r="BP129" s="298" cm="1">
        <f t="array" ref="BP129">IF(AND(BP$2&lt;&gt;0,TblTech[[#This Row],[Hour]:[Hour]]&gt;=BP$2),1,0)</f>
        <v>0</v>
      </c>
      <c r="BQ129" s="298" cm="1">
        <f t="array" ref="BQ129">IF(AND(BQ$2&lt;&gt;0,TblTech[[#This Row],[Hour]:[Hour]]&gt;=BQ$2),1,0)</f>
        <v>0</v>
      </c>
      <c r="BR129" s="298" cm="1">
        <f t="array" ref="BR129">IF(AND(BR$2&lt;&gt;0,TblTech[[#This Row],[Hour]:[Hour]]&gt;=BR$2),1,0)</f>
        <v>0</v>
      </c>
      <c r="BS129" s="298" cm="1">
        <f t="array" ref="BS129">IF(AND(BS$2&lt;&gt;0,TblTech[[#This Row],[Hour]:[Hour]]&gt;=BS$2),1,0)</f>
        <v>0</v>
      </c>
      <c r="BT129" s="298" cm="1">
        <f t="array" ref="BT129">IF(AND(BT$2&lt;&gt;0,TblTech[[#This Row],[Hour]:[Hour]]&gt;=BT$2),1,0)</f>
        <v>0</v>
      </c>
      <c r="BU129" s="298" cm="1">
        <f t="array" ref="BU129">IF(AND(BU$2&lt;&gt;0,TblTech[[#This Row],[Hour]:[Hour]]&gt;=BU$2),1,0)</f>
        <v>0</v>
      </c>
      <c r="BV129" s="298" cm="1">
        <f t="array" ref="BV129">IF(AND(BV$2&lt;&gt;0,TblTech[[#This Row],[Hour]:[Hour]]&gt;=BV$2),1,0)</f>
        <v>0</v>
      </c>
      <c r="BW129" s="298" cm="1">
        <f t="array" ref="BW129">IF(AND(BW$2&lt;&gt;0,TblTech[[#This Row],[Hour]:[Hour]]&gt;=BW$2),1,0)</f>
        <v>0</v>
      </c>
      <c r="BX129" s="298" cm="1">
        <f t="array" ref="BX129">IF(AND(BX$2&lt;&gt;0,TblTech[[#This Row],[Hour]:[Hour]]&gt;=BX$2),1,0)</f>
        <v>0</v>
      </c>
      <c r="BY129" s="298" cm="1">
        <f t="array" ref="BY129">IF(AND(BY$2&lt;&gt;0,TblTech[[#This Row],[Hour]:[Hour]]&gt;=BY$2),1,0)</f>
        <v>0</v>
      </c>
      <c r="BZ129" s="298" cm="1">
        <f t="array" ref="BZ129">IF(AND(BZ$2&lt;&gt;0,TblTech[[#This Row],[Hour]:[Hour]]&gt;=BZ$2),1,0)</f>
        <v>0</v>
      </c>
      <c r="CA129" s="402">
        <f>IFERROR(INDEX($H$4:$H$79,MATCH(INDEX(TblTech[[#Headers],[1-1]:[11-1]],1,MATCH(TblTech[[#This Row],[Hour]],$M$2:$BZ$2,0)),$G$4:$G$79,0)),)</f>
        <v>0</v>
      </c>
    </row>
    <row r="130" spans="1:79" x14ac:dyDescent="0.2">
      <c r="A130" s="290">
        <f>TblRezone[[#This Row],[Hour]]</f>
        <v>127</v>
      </c>
      <c r="B130" s="291">
        <f ca="1">TblExplore[[#This Row],[Land-DB]]</f>
        <v>250</v>
      </c>
      <c r="C130" s="292">
        <f ca="1">TblProd[[#This Row],[Techpoints]]</f>
        <v>0</v>
      </c>
      <c r="D130" s="292">
        <f ca="1">TblProd[[#This Row],[Required]]</f>
        <v>3750</v>
      </c>
      <c r="E130" s="301"/>
      <c r="F130" s="302"/>
      <c r="G130" s="295"/>
      <c r="H130" s="296"/>
      <c r="I130" s="296"/>
      <c r="J130" s="296"/>
      <c r="K130" s="95">
        <f ca="1">IF(TblTech[[#This Row],[Sum of tech]]&lt;&gt;OFFSET(TblTech[[#This Row],[Sum of tech]],-1,0),1,0)</f>
        <v>0</v>
      </c>
      <c r="L130" s="297">
        <f>COUNTIF(TblTech[[#This Row],[1-1]:[11-1]],1)</f>
        <v>0</v>
      </c>
      <c r="M130" s="298" cm="1">
        <f t="array" ref="M130">IF(AND(M$2&lt;&gt;0,TblTech[[#This Row],[Hour]:[Hour]]&gt;=M$2),1,0)</f>
        <v>0</v>
      </c>
      <c r="N130" s="298" cm="1">
        <f t="array" ref="N130">IF(AND(N$2&lt;&gt;0,TblTech[[#This Row],[Hour]:[Hour]]&gt;=N$2),1,0)</f>
        <v>0</v>
      </c>
      <c r="O130" s="298" cm="1">
        <f t="array" ref="O130">IF(AND(O$2&lt;&gt;0,TblTech[[#This Row],[Hour]:[Hour]]&gt;=O$2),1,0)</f>
        <v>0</v>
      </c>
      <c r="P130" s="298" cm="1">
        <f t="array" ref="P130">IF(AND(P$2&lt;&gt;0,TblTech[[#This Row],[Hour]:[Hour]]&gt;=P$2),1,0)</f>
        <v>0</v>
      </c>
      <c r="Q130" s="298" cm="1">
        <f t="array" ref="Q130">IF(AND(Q$2&lt;&gt;0,TblTech[[#This Row],[Hour]:[Hour]]&gt;=Q$2),1,0)</f>
        <v>0</v>
      </c>
      <c r="R130" s="298" cm="1">
        <f t="array" ref="R130">IF(AND(R$2&lt;&gt;0,TblTech[[#This Row],[Hour]:[Hour]]&gt;=R$2),1,0)</f>
        <v>0</v>
      </c>
      <c r="S130" s="298" cm="1">
        <f t="array" ref="S130">IF(AND(S$2&lt;&gt;0,TblTech[[#This Row],[Hour]:[Hour]]&gt;=S$2),1,0)</f>
        <v>0</v>
      </c>
      <c r="T130" s="298" cm="1">
        <f t="array" ref="T130">IF(AND(T$2&lt;&gt;0,TblTech[[#This Row],[Hour]:[Hour]]&gt;=T$2),1,0)</f>
        <v>0</v>
      </c>
      <c r="U130" s="298" cm="1">
        <f t="array" ref="U130">IF(AND(U$2&lt;&gt;0,TblTech[[#This Row],[Hour]:[Hour]]&gt;=U$2),1,0)</f>
        <v>0</v>
      </c>
      <c r="V130" s="298" cm="1">
        <f t="array" ref="V130">IF(AND(V$2&lt;&gt;0,TblTech[[#This Row],[Hour]:[Hour]]&gt;=V$2),1,0)</f>
        <v>0</v>
      </c>
      <c r="W130" s="298" cm="1">
        <f t="array" ref="W130">IF(AND(W$2&lt;&gt;0,TblTech[[#This Row],[Hour]:[Hour]]&gt;=W$2),1,0)</f>
        <v>0</v>
      </c>
      <c r="X130" s="298" cm="1">
        <f t="array" ref="X130">IF(AND(X$2&lt;&gt;0,TblTech[[#This Row],[Hour]:[Hour]]&gt;=X$2),1,0)</f>
        <v>0</v>
      </c>
      <c r="Y130" s="298" cm="1">
        <f t="array" ref="Y130">IF(AND(Y$2&lt;&gt;0,TblTech[[#This Row],[Hour]:[Hour]]&gt;=Y$2),1,0)</f>
        <v>0</v>
      </c>
      <c r="Z130" s="298" cm="1">
        <f t="array" ref="Z130">IF(AND(Z$2&lt;&gt;0,TblTech[[#This Row],[Hour]:[Hour]]&gt;=Z$2),1,0)</f>
        <v>0</v>
      </c>
      <c r="AA130" s="298" cm="1">
        <f t="array" ref="AA130">IF(AND(AA$2&lt;&gt;0,TblTech[[#This Row],[Hour]:[Hour]]&gt;=AA$2),1,0)</f>
        <v>0</v>
      </c>
      <c r="AB130" s="298" cm="1">
        <f t="array" ref="AB130">IF(AND(AB$2&lt;&gt;0,TblTech[[#This Row],[Hour]:[Hour]]&gt;=AB$2),1,0)</f>
        <v>0</v>
      </c>
      <c r="AC130" s="298" cm="1">
        <f t="array" ref="AC130">IF(AND(AC$2&lt;&gt;0,TblTech[[#This Row],[Hour]:[Hour]]&gt;=AC$2),1,0)</f>
        <v>0</v>
      </c>
      <c r="AD130" s="298" cm="1">
        <f t="array" ref="AD130">IF(AND(AD$2&lt;&gt;0,TblTech[[#This Row],[Hour]:[Hour]]&gt;=AD$2),1,0)</f>
        <v>0</v>
      </c>
      <c r="AE130" s="298" cm="1">
        <f t="array" ref="AE130">IF(AND(AE$2&lt;&gt;0,TblTech[[#This Row],[Hour]:[Hour]]&gt;=AE$2),1,0)</f>
        <v>0</v>
      </c>
      <c r="AF130" s="298" cm="1">
        <f t="array" ref="AF130">IF(AND(AF$2&lt;&gt;0,TblTech[[#This Row],[Hour]:[Hour]]&gt;=AF$2),1,0)</f>
        <v>0</v>
      </c>
      <c r="AG130" s="298" cm="1">
        <f t="array" ref="AG130">IF(AND(AG$2&lt;&gt;0,TblTech[[#This Row],[Hour]:[Hour]]&gt;=AG$2),1,0)</f>
        <v>0</v>
      </c>
      <c r="AH130" s="298" cm="1">
        <f t="array" ref="AH130">IF(AND(AH$2&lt;&gt;0,TblTech[[#This Row],[Hour]:[Hour]]&gt;=AH$2),1,0)</f>
        <v>0</v>
      </c>
      <c r="AI130" s="298" cm="1">
        <f t="array" ref="AI130">IF(AND(AI$2&lt;&gt;0,TblTech[[#This Row],[Hour]:[Hour]]&gt;=AI$2),1,0)</f>
        <v>0</v>
      </c>
      <c r="AJ130" s="298" cm="1">
        <f t="array" ref="AJ130">IF(AND(AJ$2&lt;&gt;0,TblTech[[#This Row],[Hour]:[Hour]]&gt;=AJ$2),1,0)</f>
        <v>0</v>
      </c>
      <c r="AK130" s="298" cm="1">
        <f t="array" ref="AK130">IF(AND(AK$2&lt;&gt;0,TblTech[[#This Row],[Hour]:[Hour]]&gt;=AK$2),1,0)</f>
        <v>0</v>
      </c>
      <c r="AL130" s="298" cm="1">
        <f t="array" ref="AL130">IF(AND(AL$2&lt;&gt;0,TblTech[[#This Row],[Hour]:[Hour]]&gt;=AL$2),1,0)</f>
        <v>0</v>
      </c>
      <c r="AM130" s="298" cm="1">
        <f t="array" ref="AM130">IF(AND(AM$2&lt;&gt;0,TblTech[[#This Row],[Hour]:[Hour]]&gt;=AM$2),1,0)</f>
        <v>0</v>
      </c>
      <c r="AN130" s="298" cm="1">
        <f t="array" ref="AN130">IF(AND(AN$2&lt;&gt;0,TblTech[[#This Row],[Hour]:[Hour]]&gt;=AN$2),1,0)</f>
        <v>0</v>
      </c>
      <c r="AO130" s="298" cm="1">
        <f t="array" ref="AO130">IF(AND(AO$2&lt;&gt;0,TblTech[[#This Row],[Hour]:[Hour]]&gt;=AO$2),1,0)</f>
        <v>0</v>
      </c>
      <c r="AP130" s="298" cm="1">
        <f t="array" ref="AP130">IF(AND(AP$2&lt;&gt;0,TblTech[[#This Row],[Hour]:[Hour]]&gt;=AP$2),1,0)</f>
        <v>0</v>
      </c>
      <c r="AQ130" s="298" cm="1">
        <f t="array" ref="AQ130">IF(AND(AQ$2&lt;&gt;0,TblTech[[#This Row],[Hour]:[Hour]]&gt;=AQ$2),1,0)</f>
        <v>0</v>
      </c>
      <c r="AR130" s="298" cm="1">
        <f t="array" ref="AR130">IF(AND(AR$2&lt;&gt;0,TblTech[[#This Row],[Hour]:[Hour]]&gt;=AR$2),1,0)</f>
        <v>0</v>
      </c>
      <c r="AS130" s="298" cm="1">
        <f t="array" ref="AS130">IF(AND(AS$2&lt;&gt;0,TblTech[[#This Row],[Hour]:[Hour]]&gt;=AS$2),1,0)</f>
        <v>0</v>
      </c>
      <c r="AT130" s="298" cm="1">
        <f t="array" ref="AT130">IF(AND(AT$2&lt;&gt;0,TblTech[[#This Row],[Hour]:[Hour]]&gt;=AT$2),1,0)</f>
        <v>0</v>
      </c>
      <c r="AU130" s="298" cm="1">
        <f t="array" ref="AU130">IF(AND(AU$2&lt;&gt;0,TblTech[[#This Row],[Hour]:[Hour]]&gt;=AU$2),1,0)</f>
        <v>0</v>
      </c>
      <c r="AV130" s="298" cm="1">
        <f t="array" ref="AV130">IF(AND(AV$2&lt;&gt;0,TblTech[[#This Row],[Hour]:[Hour]]&gt;=AV$2),1,0)</f>
        <v>0</v>
      </c>
      <c r="AW130" s="298" cm="1">
        <f t="array" ref="AW130">IF(AND(AW$2&lt;&gt;0,TblTech[[#This Row],[Hour]:[Hour]]&gt;=AW$2),1,0)</f>
        <v>0</v>
      </c>
      <c r="AX130" s="298" cm="1">
        <f t="array" ref="AX130">IF(AND(AX$2&lt;&gt;0,TblTech[[#This Row],[Hour]:[Hour]]&gt;=AX$2),1,0)</f>
        <v>0</v>
      </c>
      <c r="AY130" s="298" cm="1">
        <f t="array" ref="AY130">IF(AND(AY$2&lt;&gt;0,TblTech[[#This Row],[Hour]:[Hour]]&gt;=AY$2),1,0)</f>
        <v>0</v>
      </c>
      <c r="AZ130" s="298" cm="1">
        <f t="array" ref="AZ130">IF(AND(AZ$2&lt;&gt;0,TblTech[[#This Row],[Hour]:[Hour]]&gt;=AZ$2),1,0)</f>
        <v>0</v>
      </c>
      <c r="BA130" s="298" cm="1">
        <f t="array" ref="BA130">IF(AND(BA$2&lt;&gt;0,TblTech[[#This Row],[Hour]:[Hour]]&gt;=BA$2),1,0)</f>
        <v>0</v>
      </c>
      <c r="BB130" s="298" cm="1">
        <f t="array" ref="BB130">IF(AND(BB$2&lt;&gt;0,TblTech[[#This Row],[Hour]:[Hour]]&gt;=BB$2),1,0)</f>
        <v>0</v>
      </c>
      <c r="BC130" s="298" cm="1">
        <f t="array" ref="BC130">IF(AND(BC$2&lt;&gt;0,TblTech[[#This Row],[Hour]:[Hour]]&gt;=BC$2),1,0)</f>
        <v>0</v>
      </c>
      <c r="BD130" s="298" cm="1">
        <f t="array" ref="BD130">IF(AND(BD$2&lt;&gt;0,TblTech[[#This Row],[Hour]:[Hour]]&gt;=BD$2),1,0)</f>
        <v>0</v>
      </c>
      <c r="BE130" s="298" cm="1">
        <f t="array" ref="BE130">IF(AND(BE$2&lt;&gt;0,TblTech[[#This Row],[Hour]:[Hour]]&gt;=BE$2),1,0)</f>
        <v>0</v>
      </c>
      <c r="BF130" s="298" cm="1">
        <f t="array" ref="BF130">IF(AND(BF$2&lt;&gt;0,TblTech[[#This Row],[Hour]:[Hour]]&gt;=BF$2),1,0)</f>
        <v>0</v>
      </c>
      <c r="BG130" s="298" cm="1">
        <f t="array" ref="BG130">IF(AND(BG$2&lt;&gt;0,TblTech[[#This Row],[Hour]:[Hour]]&gt;=BG$2),1,0)</f>
        <v>0</v>
      </c>
      <c r="BH130" s="298" cm="1">
        <f t="array" ref="BH130">IF(AND(BH$2&lt;&gt;0,TblTech[[#This Row],[Hour]:[Hour]]&gt;=BH$2),1,0)</f>
        <v>0</v>
      </c>
      <c r="BI130" s="298" cm="1">
        <f t="array" ref="BI130">IF(AND(BI$2&lt;&gt;0,TblTech[[#This Row],[Hour]:[Hour]]&gt;=BI$2),1,0)</f>
        <v>0</v>
      </c>
      <c r="BJ130" s="298" cm="1">
        <f t="array" ref="BJ130">IF(AND(BJ$2&lt;&gt;0,TblTech[[#This Row],[Hour]:[Hour]]&gt;=BJ$2),1,0)</f>
        <v>0</v>
      </c>
      <c r="BK130" s="298" cm="1">
        <f t="array" ref="BK130">IF(AND(BK$2&lt;&gt;0,TblTech[[#This Row],[Hour]:[Hour]]&gt;=BK$2),1,0)</f>
        <v>0</v>
      </c>
      <c r="BL130" s="298" cm="1">
        <f t="array" ref="BL130">IF(AND(BL$2&lt;&gt;0,TblTech[[#This Row],[Hour]:[Hour]]&gt;=BL$2),1,0)</f>
        <v>0</v>
      </c>
      <c r="BM130" s="298" cm="1">
        <f t="array" ref="BM130">IF(AND(BM$2&lt;&gt;0,TblTech[[#This Row],[Hour]:[Hour]]&gt;=BM$2),1,0)</f>
        <v>0</v>
      </c>
      <c r="BN130" s="298" cm="1">
        <f t="array" ref="BN130">IF(AND(BN$2&lt;&gt;0,TblTech[[#This Row],[Hour]:[Hour]]&gt;=BN$2),1,0)</f>
        <v>0</v>
      </c>
      <c r="BO130" s="298" cm="1">
        <f t="array" ref="BO130">IF(AND(BO$2&lt;&gt;0,TblTech[[#This Row],[Hour]:[Hour]]&gt;=BO$2),1,0)</f>
        <v>0</v>
      </c>
      <c r="BP130" s="298" cm="1">
        <f t="array" ref="BP130">IF(AND(BP$2&lt;&gt;0,TblTech[[#This Row],[Hour]:[Hour]]&gt;=BP$2),1,0)</f>
        <v>0</v>
      </c>
      <c r="BQ130" s="298" cm="1">
        <f t="array" ref="BQ130">IF(AND(BQ$2&lt;&gt;0,TblTech[[#This Row],[Hour]:[Hour]]&gt;=BQ$2),1,0)</f>
        <v>0</v>
      </c>
      <c r="BR130" s="298" cm="1">
        <f t="array" ref="BR130">IF(AND(BR$2&lt;&gt;0,TblTech[[#This Row],[Hour]:[Hour]]&gt;=BR$2),1,0)</f>
        <v>0</v>
      </c>
      <c r="BS130" s="298" cm="1">
        <f t="array" ref="BS130">IF(AND(BS$2&lt;&gt;0,TblTech[[#This Row],[Hour]:[Hour]]&gt;=BS$2),1,0)</f>
        <v>0</v>
      </c>
      <c r="BT130" s="298" cm="1">
        <f t="array" ref="BT130">IF(AND(BT$2&lt;&gt;0,TblTech[[#This Row],[Hour]:[Hour]]&gt;=BT$2),1,0)</f>
        <v>0</v>
      </c>
      <c r="BU130" s="298" cm="1">
        <f t="array" ref="BU130">IF(AND(BU$2&lt;&gt;0,TblTech[[#This Row],[Hour]:[Hour]]&gt;=BU$2),1,0)</f>
        <v>0</v>
      </c>
      <c r="BV130" s="298" cm="1">
        <f t="array" ref="BV130">IF(AND(BV$2&lt;&gt;0,TblTech[[#This Row],[Hour]:[Hour]]&gt;=BV$2),1,0)</f>
        <v>0</v>
      </c>
      <c r="BW130" s="298" cm="1">
        <f t="array" ref="BW130">IF(AND(BW$2&lt;&gt;0,TblTech[[#This Row],[Hour]:[Hour]]&gt;=BW$2),1,0)</f>
        <v>0</v>
      </c>
      <c r="BX130" s="298" cm="1">
        <f t="array" ref="BX130">IF(AND(BX$2&lt;&gt;0,TblTech[[#This Row],[Hour]:[Hour]]&gt;=BX$2),1,0)</f>
        <v>0</v>
      </c>
      <c r="BY130" s="298" cm="1">
        <f t="array" ref="BY130">IF(AND(BY$2&lt;&gt;0,TblTech[[#This Row],[Hour]:[Hour]]&gt;=BY$2),1,0)</f>
        <v>0</v>
      </c>
      <c r="BZ130" s="298" cm="1">
        <f t="array" ref="BZ130">IF(AND(BZ$2&lt;&gt;0,TblTech[[#This Row],[Hour]:[Hour]]&gt;=BZ$2),1,0)</f>
        <v>0</v>
      </c>
      <c r="CA130" s="402">
        <f>IFERROR(INDEX($H$4:$H$79,MATCH(INDEX(TblTech[[#Headers],[1-1]:[11-1]],1,MATCH(TblTech[[#This Row],[Hour]],$M$2:$BZ$2,0)),$G$4:$G$79,0)),)</f>
        <v>0</v>
      </c>
    </row>
    <row r="131" spans="1:79" x14ac:dyDescent="0.2">
      <c r="A131" s="290">
        <f>TblRezone[[#This Row],[Hour]]</f>
        <v>128</v>
      </c>
      <c r="B131" s="291">
        <f ca="1">TblExplore[[#This Row],[Land-DB]]</f>
        <v>250</v>
      </c>
      <c r="C131" s="292">
        <f ca="1">TblProd[[#This Row],[Techpoints]]</f>
        <v>0</v>
      </c>
      <c r="D131" s="292">
        <f ca="1">TblProd[[#This Row],[Required]]</f>
        <v>3750</v>
      </c>
      <c r="E131" s="301"/>
      <c r="F131" s="302"/>
      <c r="G131" s="295"/>
      <c r="H131" s="296"/>
      <c r="I131" s="296"/>
      <c r="J131" s="296"/>
      <c r="K131" s="95">
        <f ca="1">IF(TblTech[[#This Row],[Sum of tech]]&lt;&gt;OFFSET(TblTech[[#This Row],[Sum of tech]],-1,0),1,0)</f>
        <v>0</v>
      </c>
      <c r="L131" s="297">
        <f>COUNTIF(TblTech[[#This Row],[1-1]:[11-1]],1)</f>
        <v>0</v>
      </c>
      <c r="M131" s="298" cm="1">
        <f t="array" ref="M131">IF(AND(M$2&lt;&gt;0,TblTech[[#This Row],[Hour]:[Hour]]&gt;=M$2),1,0)</f>
        <v>0</v>
      </c>
      <c r="N131" s="298" cm="1">
        <f t="array" ref="N131">IF(AND(N$2&lt;&gt;0,TblTech[[#This Row],[Hour]:[Hour]]&gt;=N$2),1,0)</f>
        <v>0</v>
      </c>
      <c r="O131" s="298" cm="1">
        <f t="array" ref="O131">IF(AND(O$2&lt;&gt;0,TblTech[[#This Row],[Hour]:[Hour]]&gt;=O$2),1,0)</f>
        <v>0</v>
      </c>
      <c r="P131" s="298" cm="1">
        <f t="array" ref="P131">IF(AND(P$2&lt;&gt;0,TblTech[[#This Row],[Hour]:[Hour]]&gt;=P$2),1,0)</f>
        <v>0</v>
      </c>
      <c r="Q131" s="298" cm="1">
        <f t="array" ref="Q131">IF(AND(Q$2&lt;&gt;0,TblTech[[#This Row],[Hour]:[Hour]]&gt;=Q$2),1,0)</f>
        <v>0</v>
      </c>
      <c r="R131" s="298" cm="1">
        <f t="array" ref="R131">IF(AND(R$2&lt;&gt;0,TblTech[[#This Row],[Hour]:[Hour]]&gt;=R$2),1,0)</f>
        <v>0</v>
      </c>
      <c r="S131" s="298" cm="1">
        <f t="array" ref="S131">IF(AND(S$2&lt;&gt;0,TblTech[[#This Row],[Hour]:[Hour]]&gt;=S$2),1,0)</f>
        <v>0</v>
      </c>
      <c r="T131" s="298" cm="1">
        <f t="array" ref="T131">IF(AND(T$2&lt;&gt;0,TblTech[[#This Row],[Hour]:[Hour]]&gt;=T$2),1,0)</f>
        <v>0</v>
      </c>
      <c r="U131" s="298" cm="1">
        <f t="array" ref="U131">IF(AND(U$2&lt;&gt;0,TblTech[[#This Row],[Hour]:[Hour]]&gt;=U$2),1,0)</f>
        <v>0</v>
      </c>
      <c r="V131" s="298" cm="1">
        <f t="array" ref="V131">IF(AND(V$2&lt;&gt;0,TblTech[[#This Row],[Hour]:[Hour]]&gt;=V$2),1,0)</f>
        <v>0</v>
      </c>
      <c r="W131" s="298" cm="1">
        <f t="array" ref="W131">IF(AND(W$2&lt;&gt;0,TblTech[[#This Row],[Hour]:[Hour]]&gt;=W$2),1,0)</f>
        <v>0</v>
      </c>
      <c r="X131" s="298" cm="1">
        <f t="array" ref="X131">IF(AND(X$2&lt;&gt;0,TblTech[[#This Row],[Hour]:[Hour]]&gt;=X$2),1,0)</f>
        <v>0</v>
      </c>
      <c r="Y131" s="298" cm="1">
        <f t="array" ref="Y131">IF(AND(Y$2&lt;&gt;0,TblTech[[#This Row],[Hour]:[Hour]]&gt;=Y$2),1,0)</f>
        <v>0</v>
      </c>
      <c r="Z131" s="298" cm="1">
        <f t="array" ref="Z131">IF(AND(Z$2&lt;&gt;0,TblTech[[#This Row],[Hour]:[Hour]]&gt;=Z$2),1,0)</f>
        <v>0</v>
      </c>
      <c r="AA131" s="298" cm="1">
        <f t="array" ref="AA131">IF(AND(AA$2&lt;&gt;0,TblTech[[#This Row],[Hour]:[Hour]]&gt;=AA$2),1,0)</f>
        <v>0</v>
      </c>
      <c r="AB131" s="298" cm="1">
        <f t="array" ref="AB131">IF(AND(AB$2&lt;&gt;0,TblTech[[#This Row],[Hour]:[Hour]]&gt;=AB$2),1,0)</f>
        <v>0</v>
      </c>
      <c r="AC131" s="298" cm="1">
        <f t="array" ref="AC131">IF(AND(AC$2&lt;&gt;0,TblTech[[#This Row],[Hour]:[Hour]]&gt;=AC$2),1,0)</f>
        <v>0</v>
      </c>
      <c r="AD131" s="298" cm="1">
        <f t="array" ref="AD131">IF(AND(AD$2&lt;&gt;0,TblTech[[#This Row],[Hour]:[Hour]]&gt;=AD$2),1,0)</f>
        <v>0</v>
      </c>
      <c r="AE131" s="298" cm="1">
        <f t="array" ref="AE131">IF(AND(AE$2&lt;&gt;0,TblTech[[#This Row],[Hour]:[Hour]]&gt;=AE$2),1,0)</f>
        <v>0</v>
      </c>
      <c r="AF131" s="298" cm="1">
        <f t="array" ref="AF131">IF(AND(AF$2&lt;&gt;0,TblTech[[#This Row],[Hour]:[Hour]]&gt;=AF$2),1,0)</f>
        <v>0</v>
      </c>
      <c r="AG131" s="298" cm="1">
        <f t="array" ref="AG131">IF(AND(AG$2&lt;&gt;0,TblTech[[#This Row],[Hour]:[Hour]]&gt;=AG$2),1,0)</f>
        <v>0</v>
      </c>
      <c r="AH131" s="298" cm="1">
        <f t="array" ref="AH131">IF(AND(AH$2&lt;&gt;0,TblTech[[#This Row],[Hour]:[Hour]]&gt;=AH$2),1,0)</f>
        <v>0</v>
      </c>
      <c r="AI131" s="298" cm="1">
        <f t="array" ref="AI131">IF(AND(AI$2&lt;&gt;0,TblTech[[#This Row],[Hour]:[Hour]]&gt;=AI$2),1,0)</f>
        <v>0</v>
      </c>
      <c r="AJ131" s="298" cm="1">
        <f t="array" ref="AJ131">IF(AND(AJ$2&lt;&gt;0,TblTech[[#This Row],[Hour]:[Hour]]&gt;=AJ$2),1,0)</f>
        <v>0</v>
      </c>
      <c r="AK131" s="298" cm="1">
        <f t="array" ref="AK131">IF(AND(AK$2&lt;&gt;0,TblTech[[#This Row],[Hour]:[Hour]]&gt;=AK$2),1,0)</f>
        <v>0</v>
      </c>
      <c r="AL131" s="298" cm="1">
        <f t="array" ref="AL131">IF(AND(AL$2&lt;&gt;0,TblTech[[#This Row],[Hour]:[Hour]]&gt;=AL$2),1,0)</f>
        <v>0</v>
      </c>
      <c r="AM131" s="298" cm="1">
        <f t="array" ref="AM131">IF(AND(AM$2&lt;&gt;0,TblTech[[#This Row],[Hour]:[Hour]]&gt;=AM$2),1,0)</f>
        <v>0</v>
      </c>
      <c r="AN131" s="298" cm="1">
        <f t="array" ref="AN131">IF(AND(AN$2&lt;&gt;0,TblTech[[#This Row],[Hour]:[Hour]]&gt;=AN$2),1,0)</f>
        <v>0</v>
      </c>
      <c r="AO131" s="298" cm="1">
        <f t="array" ref="AO131">IF(AND(AO$2&lt;&gt;0,TblTech[[#This Row],[Hour]:[Hour]]&gt;=AO$2),1,0)</f>
        <v>0</v>
      </c>
      <c r="AP131" s="298" cm="1">
        <f t="array" ref="AP131">IF(AND(AP$2&lt;&gt;0,TblTech[[#This Row],[Hour]:[Hour]]&gt;=AP$2),1,0)</f>
        <v>0</v>
      </c>
      <c r="AQ131" s="298" cm="1">
        <f t="array" ref="AQ131">IF(AND(AQ$2&lt;&gt;0,TblTech[[#This Row],[Hour]:[Hour]]&gt;=AQ$2),1,0)</f>
        <v>0</v>
      </c>
      <c r="AR131" s="298" cm="1">
        <f t="array" ref="AR131">IF(AND(AR$2&lt;&gt;0,TblTech[[#This Row],[Hour]:[Hour]]&gt;=AR$2),1,0)</f>
        <v>0</v>
      </c>
      <c r="AS131" s="298" cm="1">
        <f t="array" ref="AS131">IF(AND(AS$2&lt;&gt;0,TblTech[[#This Row],[Hour]:[Hour]]&gt;=AS$2),1,0)</f>
        <v>0</v>
      </c>
      <c r="AT131" s="298" cm="1">
        <f t="array" ref="AT131">IF(AND(AT$2&lt;&gt;0,TblTech[[#This Row],[Hour]:[Hour]]&gt;=AT$2),1,0)</f>
        <v>0</v>
      </c>
      <c r="AU131" s="298" cm="1">
        <f t="array" ref="AU131">IF(AND(AU$2&lt;&gt;0,TblTech[[#This Row],[Hour]:[Hour]]&gt;=AU$2),1,0)</f>
        <v>0</v>
      </c>
      <c r="AV131" s="298" cm="1">
        <f t="array" ref="AV131">IF(AND(AV$2&lt;&gt;0,TblTech[[#This Row],[Hour]:[Hour]]&gt;=AV$2),1,0)</f>
        <v>0</v>
      </c>
      <c r="AW131" s="298" cm="1">
        <f t="array" ref="AW131">IF(AND(AW$2&lt;&gt;0,TblTech[[#This Row],[Hour]:[Hour]]&gt;=AW$2),1,0)</f>
        <v>0</v>
      </c>
      <c r="AX131" s="298" cm="1">
        <f t="array" ref="AX131">IF(AND(AX$2&lt;&gt;0,TblTech[[#This Row],[Hour]:[Hour]]&gt;=AX$2),1,0)</f>
        <v>0</v>
      </c>
      <c r="AY131" s="298" cm="1">
        <f t="array" ref="AY131">IF(AND(AY$2&lt;&gt;0,TblTech[[#This Row],[Hour]:[Hour]]&gt;=AY$2),1,0)</f>
        <v>0</v>
      </c>
      <c r="AZ131" s="298" cm="1">
        <f t="array" ref="AZ131">IF(AND(AZ$2&lt;&gt;0,TblTech[[#This Row],[Hour]:[Hour]]&gt;=AZ$2),1,0)</f>
        <v>0</v>
      </c>
      <c r="BA131" s="298" cm="1">
        <f t="array" ref="BA131">IF(AND(BA$2&lt;&gt;0,TblTech[[#This Row],[Hour]:[Hour]]&gt;=BA$2),1,0)</f>
        <v>0</v>
      </c>
      <c r="BB131" s="298" cm="1">
        <f t="array" ref="BB131">IF(AND(BB$2&lt;&gt;0,TblTech[[#This Row],[Hour]:[Hour]]&gt;=BB$2),1,0)</f>
        <v>0</v>
      </c>
      <c r="BC131" s="298" cm="1">
        <f t="array" ref="BC131">IF(AND(BC$2&lt;&gt;0,TblTech[[#This Row],[Hour]:[Hour]]&gt;=BC$2),1,0)</f>
        <v>0</v>
      </c>
      <c r="BD131" s="298" cm="1">
        <f t="array" ref="BD131">IF(AND(BD$2&lt;&gt;0,TblTech[[#This Row],[Hour]:[Hour]]&gt;=BD$2),1,0)</f>
        <v>0</v>
      </c>
      <c r="BE131" s="298" cm="1">
        <f t="array" ref="BE131">IF(AND(BE$2&lt;&gt;0,TblTech[[#This Row],[Hour]:[Hour]]&gt;=BE$2),1,0)</f>
        <v>0</v>
      </c>
      <c r="BF131" s="298" cm="1">
        <f t="array" ref="BF131">IF(AND(BF$2&lt;&gt;0,TblTech[[#This Row],[Hour]:[Hour]]&gt;=BF$2),1,0)</f>
        <v>0</v>
      </c>
      <c r="BG131" s="298" cm="1">
        <f t="array" ref="BG131">IF(AND(BG$2&lt;&gt;0,TblTech[[#This Row],[Hour]:[Hour]]&gt;=BG$2),1,0)</f>
        <v>0</v>
      </c>
      <c r="BH131" s="298" cm="1">
        <f t="array" ref="BH131">IF(AND(BH$2&lt;&gt;0,TblTech[[#This Row],[Hour]:[Hour]]&gt;=BH$2),1,0)</f>
        <v>0</v>
      </c>
      <c r="BI131" s="298" cm="1">
        <f t="array" ref="BI131">IF(AND(BI$2&lt;&gt;0,TblTech[[#This Row],[Hour]:[Hour]]&gt;=BI$2),1,0)</f>
        <v>0</v>
      </c>
      <c r="BJ131" s="298" cm="1">
        <f t="array" ref="BJ131">IF(AND(BJ$2&lt;&gt;0,TblTech[[#This Row],[Hour]:[Hour]]&gt;=BJ$2),1,0)</f>
        <v>0</v>
      </c>
      <c r="BK131" s="298" cm="1">
        <f t="array" ref="BK131">IF(AND(BK$2&lt;&gt;0,TblTech[[#This Row],[Hour]:[Hour]]&gt;=BK$2),1,0)</f>
        <v>0</v>
      </c>
      <c r="BL131" s="298" cm="1">
        <f t="array" ref="BL131">IF(AND(BL$2&lt;&gt;0,TblTech[[#This Row],[Hour]:[Hour]]&gt;=BL$2),1,0)</f>
        <v>0</v>
      </c>
      <c r="BM131" s="298" cm="1">
        <f t="array" ref="BM131">IF(AND(BM$2&lt;&gt;0,TblTech[[#This Row],[Hour]:[Hour]]&gt;=BM$2),1,0)</f>
        <v>0</v>
      </c>
      <c r="BN131" s="298" cm="1">
        <f t="array" ref="BN131">IF(AND(BN$2&lt;&gt;0,TblTech[[#This Row],[Hour]:[Hour]]&gt;=BN$2),1,0)</f>
        <v>0</v>
      </c>
      <c r="BO131" s="298" cm="1">
        <f t="array" ref="BO131">IF(AND(BO$2&lt;&gt;0,TblTech[[#This Row],[Hour]:[Hour]]&gt;=BO$2),1,0)</f>
        <v>0</v>
      </c>
      <c r="BP131" s="298" cm="1">
        <f t="array" ref="BP131">IF(AND(BP$2&lt;&gt;0,TblTech[[#This Row],[Hour]:[Hour]]&gt;=BP$2),1,0)</f>
        <v>0</v>
      </c>
      <c r="BQ131" s="298" cm="1">
        <f t="array" ref="BQ131">IF(AND(BQ$2&lt;&gt;0,TblTech[[#This Row],[Hour]:[Hour]]&gt;=BQ$2),1,0)</f>
        <v>0</v>
      </c>
      <c r="BR131" s="298" cm="1">
        <f t="array" ref="BR131">IF(AND(BR$2&lt;&gt;0,TblTech[[#This Row],[Hour]:[Hour]]&gt;=BR$2),1,0)</f>
        <v>0</v>
      </c>
      <c r="BS131" s="298" cm="1">
        <f t="array" ref="BS131">IF(AND(BS$2&lt;&gt;0,TblTech[[#This Row],[Hour]:[Hour]]&gt;=BS$2),1,0)</f>
        <v>0</v>
      </c>
      <c r="BT131" s="298" cm="1">
        <f t="array" ref="BT131">IF(AND(BT$2&lt;&gt;0,TblTech[[#This Row],[Hour]:[Hour]]&gt;=BT$2),1,0)</f>
        <v>0</v>
      </c>
      <c r="BU131" s="298" cm="1">
        <f t="array" ref="BU131">IF(AND(BU$2&lt;&gt;0,TblTech[[#This Row],[Hour]:[Hour]]&gt;=BU$2),1,0)</f>
        <v>0</v>
      </c>
      <c r="BV131" s="298" cm="1">
        <f t="array" ref="BV131">IF(AND(BV$2&lt;&gt;0,TblTech[[#This Row],[Hour]:[Hour]]&gt;=BV$2),1,0)</f>
        <v>0</v>
      </c>
      <c r="BW131" s="298" cm="1">
        <f t="array" ref="BW131">IF(AND(BW$2&lt;&gt;0,TblTech[[#This Row],[Hour]:[Hour]]&gt;=BW$2),1,0)</f>
        <v>0</v>
      </c>
      <c r="BX131" s="298" cm="1">
        <f t="array" ref="BX131">IF(AND(BX$2&lt;&gt;0,TblTech[[#This Row],[Hour]:[Hour]]&gt;=BX$2),1,0)</f>
        <v>0</v>
      </c>
      <c r="BY131" s="298" cm="1">
        <f t="array" ref="BY131">IF(AND(BY$2&lt;&gt;0,TblTech[[#This Row],[Hour]:[Hour]]&gt;=BY$2),1,0)</f>
        <v>0</v>
      </c>
      <c r="BZ131" s="298" cm="1">
        <f t="array" ref="BZ131">IF(AND(BZ$2&lt;&gt;0,TblTech[[#This Row],[Hour]:[Hour]]&gt;=BZ$2),1,0)</f>
        <v>0</v>
      </c>
      <c r="CA131" s="402">
        <f>IFERROR(INDEX($H$4:$H$79,MATCH(INDEX(TblTech[[#Headers],[1-1]:[11-1]],1,MATCH(TblTech[[#This Row],[Hour]],$M$2:$BZ$2,0)),$G$4:$G$79,0)),)</f>
        <v>0</v>
      </c>
    </row>
    <row r="132" spans="1:79" x14ac:dyDescent="0.2">
      <c r="A132" s="290">
        <f>TblRezone[[#This Row],[Hour]]</f>
        <v>129</v>
      </c>
      <c r="B132" s="291">
        <f ca="1">TblExplore[[#This Row],[Land-DB]]</f>
        <v>250</v>
      </c>
      <c r="C132" s="292">
        <f ca="1">TblProd[[#This Row],[Techpoints]]</f>
        <v>0</v>
      </c>
      <c r="D132" s="292">
        <f ca="1">TblProd[[#This Row],[Required]]</f>
        <v>3750</v>
      </c>
      <c r="E132" s="301"/>
      <c r="F132" s="302"/>
      <c r="G132" s="295"/>
      <c r="H132" s="296"/>
      <c r="I132" s="296"/>
      <c r="J132" s="296"/>
      <c r="K132" s="95">
        <f ca="1">IF(TblTech[[#This Row],[Sum of tech]]&lt;&gt;OFFSET(TblTech[[#This Row],[Sum of tech]],-1,0),1,0)</f>
        <v>0</v>
      </c>
      <c r="L132" s="297">
        <f>COUNTIF(TblTech[[#This Row],[1-1]:[11-1]],1)</f>
        <v>0</v>
      </c>
      <c r="M132" s="298" cm="1">
        <f t="array" ref="M132">IF(AND(M$2&lt;&gt;0,TblTech[[#This Row],[Hour]:[Hour]]&gt;=M$2),1,0)</f>
        <v>0</v>
      </c>
      <c r="N132" s="298" cm="1">
        <f t="array" ref="N132">IF(AND(N$2&lt;&gt;0,TblTech[[#This Row],[Hour]:[Hour]]&gt;=N$2),1,0)</f>
        <v>0</v>
      </c>
      <c r="O132" s="298" cm="1">
        <f t="array" ref="O132">IF(AND(O$2&lt;&gt;0,TblTech[[#This Row],[Hour]:[Hour]]&gt;=O$2),1,0)</f>
        <v>0</v>
      </c>
      <c r="P132" s="298" cm="1">
        <f t="array" ref="P132">IF(AND(P$2&lt;&gt;0,TblTech[[#This Row],[Hour]:[Hour]]&gt;=P$2),1,0)</f>
        <v>0</v>
      </c>
      <c r="Q132" s="298" cm="1">
        <f t="array" ref="Q132">IF(AND(Q$2&lt;&gt;0,TblTech[[#This Row],[Hour]:[Hour]]&gt;=Q$2),1,0)</f>
        <v>0</v>
      </c>
      <c r="R132" s="298" cm="1">
        <f t="array" ref="R132">IF(AND(R$2&lt;&gt;0,TblTech[[#This Row],[Hour]:[Hour]]&gt;=R$2),1,0)</f>
        <v>0</v>
      </c>
      <c r="S132" s="298" cm="1">
        <f t="array" ref="S132">IF(AND(S$2&lt;&gt;0,TblTech[[#This Row],[Hour]:[Hour]]&gt;=S$2),1,0)</f>
        <v>0</v>
      </c>
      <c r="T132" s="298" cm="1">
        <f t="array" ref="T132">IF(AND(T$2&lt;&gt;0,TblTech[[#This Row],[Hour]:[Hour]]&gt;=T$2),1,0)</f>
        <v>0</v>
      </c>
      <c r="U132" s="298" cm="1">
        <f t="array" ref="U132">IF(AND(U$2&lt;&gt;0,TblTech[[#This Row],[Hour]:[Hour]]&gt;=U$2),1,0)</f>
        <v>0</v>
      </c>
      <c r="V132" s="298" cm="1">
        <f t="array" ref="V132">IF(AND(V$2&lt;&gt;0,TblTech[[#This Row],[Hour]:[Hour]]&gt;=V$2),1,0)</f>
        <v>0</v>
      </c>
      <c r="W132" s="298" cm="1">
        <f t="array" ref="W132">IF(AND(W$2&lt;&gt;0,TblTech[[#This Row],[Hour]:[Hour]]&gt;=W$2),1,0)</f>
        <v>0</v>
      </c>
      <c r="X132" s="298" cm="1">
        <f t="array" ref="X132">IF(AND(X$2&lt;&gt;0,TblTech[[#This Row],[Hour]:[Hour]]&gt;=X$2),1,0)</f>
        <v>0</v>
      </c>
      <c r="Y132" s="298" cm="1">
        <f t="array" ref="Y132">IF(AND(Y$2&lt;&gt;0,TblTech[[#This Row],[Hour]:[Hour]]&gt;=Y$2),1,0)</f>
        <v>0</v>
      </c>
      <c r="Z132" s="298" cm="1">
        <f t="array" ref="Z132">IF(AND(Z$2&lt;&gt;0,TblTech[[#This Row],[Hour]:[Hour]]&gt;=Z$2),1,0)</f>
        <v>0</v>
      </c>
      <c r="AA132" s="298" cm="1">
        <f t="array" ref="AA132">IF(AND(AA$2&lt;&gt;0,TblTech[[#This Row],[Hour]:[Hour]]&gt;=AA$2),1,0)</f>
        <v>0</v>
      </c>
      <c r="AB132" s="298" cm="1">
        <f t="array" ref="AB132">IF(AND(AB$2&lt;&gt;0,TblTech[[#This Row],[Hour]:[Hour]]&gt;=AB$2),1,0)</f>
        <v>0</v>
      </c>
      <c r="AC132" s="298" cm="1">
        <f t="array" ref="AC132">IF(AND(AC$2&lt;&gt;0,TblTech[[#This Row],[Hour]:[Hour]]&gt;=AC$2),1,0)</f>
        <v>0</v>
      </c>
      <c r="AD132" s="298" cm="1">
        <f t="array" ref="AD132">IF(AND(AD$2&lt;&gt;0,TblTech[[#This Row],[Hour]:[Hour]]&gt;=AD$2),1,0)</f>
        <v>0</v>
      </c>
      <c r="AE132" s="298" cm="1">
        <f t="array" ref="AE132">IF(AND(AE$2&lt;&gt;0,TblTech[[#This Row],[Hour]:[Hour]]&gt;=AE$2),1,0)</f>
        <v>0</v>
      </c>
      <c r="AF132" s="298" cm="1">
        <f t="array" ref="AF132">IF(AND(AF$2&lt;&gt;0,TblTech[[#This Row],[Hour]:[Hour]]&gt;=AF$2),1,0)</f>
        <v>0</v>
      </c>
      <c r="AG132" s="298" cm="1">
        <f t="array" ref="AG132">IF(AND(AG$2&lt;&gt;0,TblTech[[#This Row],[Hour]:[Hour]]&gt;=AG$2),1,0)</f>
        <v>0</v>
      </c>
      <c r="AH132" s="298" cm="1">
        <f t="array" ref="AH132">IF(AND(AH$2&lt;&gt;0,TblTech[[#This Row],[Hour]:[Hour]]&gt;=AH$2),1,0)</f>
        <v>0</v>
      </c>
      <c r="AI132" s="298" cm="1">
        <f t="array" ref="AI132">IF(AND(AI$2&lt;&gt;0,TblTech[[#This Row],[Hour]:[Hour]]&gt;=AI$2),1,0)</f>
        <v>0</v>
      </c>
      <c r="AJ132" s="298" cm="1">
        <f t="array" ref="AJ132">IF(AND(AJ$2&lt;&gt;0,TblTech[[#This Row],[Hour]:[Hour]]&gt;=AJ$2),1,0)</f>
        <v>0</v>
      </c>
      <c r="AK132" s="298" cm="1">
        <f t="array" ref="AK132">IF(AND(AK$2&lt;&gt;0,TblTech[[#This Row],[Hour]:[Hour]]&gt;=AK$2),1,0)</f>
        <v>0</v>
      </c>
      <c r="AL132" s="298" cm="1">
        <f t="array" ref="AL132">IF(AND(AL$2&lt;&gt;0,TblTech[[#This Row],[Hour]:[Hour]]&gt;=AL$2),1,0)</f>
        <v>0</v>
      </c>
      <c r="AM132" s="298" cm="1">
        <f t="array" ref="AM132">IF(AND(AM$2&lt;&gt;0,TblTech[[#This Row],[Hour]:[Hour]]&gt;=AM$2),1,0)</f>
        <v>0</v>
      </c>
      <c r="AN132" s="298" cm="1">
        <f t="array" ref="AN132">IF(AND(AN$2&lt;&gt;0,TblTech[[#This Row],[Hour]:[Hour]]&gt;=AN$2),1,0)</f>
        <v>0</v>
      </c>
      <c r="AO132" s="298" cm="1">
        <f t="array" ref="AO132">IF(AND(AO$2&lt;&gt;0,TblTech[[#This Row],[Hour]:[Hour]]&gt;=AO$2),1,0)</f>
        <v>0</v>
      </c>
      <c r="AP132" s="298" cm="1">
        <f t="array" ref="AP132">IF(AND(AP$2&lt;&gt;0,TblTech[[#This Row],[Hour]:[Hour]]&gt;=AP$2),1,0)</f>
        <v>0</v>
      </c>
      <c r="AQ132" s="298" cm="1">
        <f t="array" ref="AQ132">IF(AND(AQ$2&lt;&gt;0,TblTech[[#This Row],[Hour]:[Hour]]&gt;=AQ$2),1,0)</f>
        <v>0</v>
      </c>
      <c r="AR132" s="298" cm="1">
        <f t="array" ref="AR132">IF(AND(AR$2&lt;&gt;0,TblTech[[#This Row],[Hour]:[Hour]]&gt;=AR$2),1,0)</f>
        <v>0</v>
      </c>
      <c r="AS132" s="298" cm="1">
        <f t="array" ref="AS132">IF(AND(AS$2&lt;&gt;0,TblTech[[#This Row],[Hour]:[Hour]]&gt;=AS$2),1,0)</f>
        <v>0</v>
      </c>
      <c r="AT132" s="298" cm="1">
        <f t="array" ref="AT132">IF(AND(AT$2&lt;&gt;0,TblTech[[#This Row],[Hour]:[Hour]]&gt;=AT$2),1,0)</f>
        <v>0</v>
      </c>
      <c r="AU132" s="298" cm="1">
        <f t="array" ref="AU132">IF(AND(AU$2&lt;&gt;0,TblTech[[#This Row],[Hour]:[Hour]]&gt;=AU$2),1,0)</f>
        <v>0</v>
      </c>
      <c r="AV132" s="298" cm="1">
        <f t="array" ref="AV132">IF(AND(AV$2&lt;&gt;0,TblTech[[#This Row],[Hour]:[Hour]]&gt;=AV$2),1,0)</f>
        <v>0</v>
      </c>
      <c r="AW132" s="298" cm="1">
        <f t="array" ref="AW132">IF(AND(AW$2&lt;&gt;0,TblTech[[#This Row],[Hour]:[Hour]]&gt;=AW$2),1,0)</f>
        <v>0</v>
      </c>
      <c r="AX132" s="298" cm="1">
        <f t="array" ref="AX132">IF(AND(AX$2&lt;&gt;0,TblTech[[#This Row],[Hour]:[Hour]]&gt;=AX$2),1,0)</f>
        <v>0</v>
      </c>
      <c r="AY132" s="298" cm="1">
        <f t="array" ref="AY132">IF(AND(AY$2&lt;&gt;0,TblTech[[#This Row],[Hour]:[Hour]]&gt;=AY$2),1,0)</f>
        <v>0</v>
      </c>
      <c r="AZ132" s="298" cm="1">
        <f t="array" ref="AZ132">IF(AND(AZ$2&lt;&gt;0,TblTech[[#This Row],[Hour]:[Hour]]&gt;=AZ$2),1,0)</f>
        <v>0</v>
      </c>
      <c r="BA132" s="298" cm="1">
        <f t="array" ref="BA132">IF(AND(BA$2&lt;&gt;0,TblTech[[#This Row],[Hour]:[Hour]]&gt;=BA$2),1,0)</f>
        <v>0</v>
      </c>
      <c r="BB132" s="298" cm="1">
        <f t="array" ref="BB132">IF(AND(BB$2&lt;&gt;0,TblTech[[#This Row],[Hour]:[Hour]]&gt;=BB$2),1,0)</f>
        <v>0</v>
      </c>
      <c r="BC132" s="298" cm="1">
        <f t="array" ref="BC132">IF(AND(BC$2&lt;&gt;0,TblTech[[#This Row],[Hour]:[Hour]]&gt;=BC$2),1,0)</f>
        <v>0</v>
      </c>
      <c r="BD132" s="298" cm="1">
        <f t="array" ref="BD132">IF(AND(BD$2&lt;&gt;0,TblTech[[#This Row],[Hour]:[Hour]]&gt;=BD$2),1,0)</f>
        <v>0</v>
      </c>
      <c r="BE132" s="298" cm="1">
        <f t="array" ref="BE132">IF(AND(BE$2&lt;&gt;0,TblTech[[#This Row],[Hour]:[Hour]]&gt;=BE$2),1,0)</f>
        <v>0</v>
      </c>
      <c r="BF132" s="298" cm="1">
        <f t="array" ref="BF132">IF(AND(BF$2&lt;&gt;0,TblTech[[#This Row],[Hour]:[Hour]]&gt;=BF$2),1,0)</f>
        <v>0</v>
      </c>
      <c r="BG132" s="298" cm="1">
        <f t="array" ref="BG132">IF(AND(BG$2&lt;&gt;0,TblTech[[#This Row],[Hour]:[Hour]]&gt;=BG$2),1,0)</f>
        <v>0</v>
      </c>
      <c r="BH132" s="298" cm="1">
        <f t="array" ref="BH132">IF(AND(BH$2&lt;&gt;0,TblTech[[#This Row],[Hour]:[Hour]]&gt;=BH$2),1,0)</f>
        <v>0</v>
      </c>
      <c r="BI132" s="298" cm="1">
        <f t="array" ref="BI132">IF(AND(BI$2&lt;&gt;0,TblTech[[#This Row],[Hour]:[Hour]]&gt;=BI$2),1,0)</f>
        <v>0</v>
      </c>
      <c r="BJ132" s="298" cm="1">
        <f t="array" ref="BJ132">IF(AND(BJ$2&lt;&gt;0,TblTech[[#This Row],[Hour]:[Hour]]&gt;=BJ$2),1,0)</f>
        <v>0</v>
      </c>
      <c r="BK132" s="298" cm="1">
        <f t="array" ref="BK132">IF(AND(BK$2&lt;&gt;0,TblTech[[#This Row],[Hour]:[Hour]]&gt;=BK$2),1,0)</f>
        <v>0</v>
      </c>
      <c r="BL132" s="298" cm="1">
        <f t="array" ref="BL132">IF(AND(BL$2&lt;&gt;0,TblTech[[#This Row],[Hour]:[Hour]]&gt;=BL$2),1,0)</f>
        <v>0</v>
      </c>
      <c r="BM132" s="298" cm="1">
        <f t="array" ref="BM132">IF(AND(BM$2&lt;&gt;0,TblTech[[#This Row],[Hour]:[Hour]]&gt;=BM$2),1,0)</f>
        <v>0</v>
      </c>
      <c r="BN132" s="298" cm="1">
        <f t="array" ref="BN132">IF(AND(BN$2&lt;&gt;0,TblTech[[#This Row],[Hour]:[Hour]]&gt;=BN$2),1,0)</f>
        <v>0</v>
      </c>
      <c r="BO132" s="298" cm="1">
        <f t="array" ref="BO132">IF(AND(BO$2&lt;&gt;0,TblTech[[#This Row],[Hour]:[Hour]]&gt;=BO$2),1,0)</f>
        <v>0</v>
      </c>
      <c r="BP132" s="298" cm="1">
        <f t="array" ref="BP132">IF(AND(BP$2&lt;&gt;0,TblTech[[#This Row],[Hour]:[Hour]]&gt;=BP$2),1,0)</f>
        <v>0</v>
      </c>
      <c r="BQ132" s="298" cm="1">
        <f t="array" ref="BQ132">IF(AND(BQ$2&lt;&gt;0,TblTech[[#This Row],[Hour]:[Hour]]&gt;=BQ$2),1,0)</f>
        <v>0</v>
      </c>
      <c r="BR132" s="298" cm="1">
        <f t="array" ref="BR132">IF(AND(BR$2&lt;&gt;0,TblTech[[#This Row],[Hour]:[Hour]]&gt;=BR$2),1,0)</f>
        <v>0</v>
      </c>
      <c r="BS132" s="298" cm="1">
        <f t="array" ref="BS132">IF(AND(BS$2&lt;&gt;0,TblTech[[#This Row],[Hour]:[Hour]]&gt;=BS$2),1,0)</f>
        <v>0</v>
      </c>
      <c r="BT132" s="298" cm="1">
        <f t="array" ref="BT132">IF(AND(BT$2&lt;&gt;0,TblTech[[#This Row],[Hour]:[Hour]]&gt;=BT$2),1,0)</f>
        <v>0</v>
      </c>
      <c r="BU132" s="298" cm="1">
        <f t="array" ref="BU132">IF(AND(BU$2&lt;&gt;0,TblTech[[#This Row],[Hour]:[Hour]]&gt;=BU$2),1,0)</f>
        <v>0</v>
      </c>
      <c r="BV132" s="298" cm="1">
        <f t="array" ref="BV132">IF(AND(BV$2&lt;&gt;0,TblTech[[#This Row],[Hour]:[Hour]]&gt;=BV$2),1,0)</f>
        <v>0</v>
      </c>
      <c r="BW132" s="298" cm="1">
        <f t="array" ref="BW132">IF(AND(BW$2&lt;&gt;0,TblTech[[#This Row],[Hour]:[Hour]]&gt;=BW$2),1,0)</f>
        <v>0</v>
      </c>
      <c r="BX132" s="298" cm="1">
        <f t="array" ref="BX132">IF(AND(BX$2&lt;&gt;0,TblTech[[#This Row],[Hour]:[Hour]]&gt;=BX$2),1,0)</f>
        <v>0</v>
      </c>
      <c r="BY132" s="298" cm="1">
        <f t="array" ref="BY132">IF(AND(BY$2&lt;&gt;0,TblTech[[#This Row],[Hour]:[Hour]]&gt;=BY$2),1,0)</f>
        <v>0</v>
      </c>
      <c r="BZ132" s="298" cm="1">
        <f t="array" ref="BZ132">IF(AND(BZ$2&lt;&gt;0,TblTech[[#This Row],[Hour]:[Hour]]&gt;=BZ$2),1,0)</f>
        <v>0</v>
      </c>
      <c r="CA132" s="402">
        <f>IFERROR(INDEX($H$4:$H$79,MATCH(INDEX(TblTech[[#Headers],[1-1]:[11-1]],1,MATCH(TblTech[[#This Row],[Hour]],$M$2:$BZ$2,0)),$G$4:$G$79,0)),)</f>
        <v>0</v>
      </c>
    </row>
    <row r="133" spans="1:79" x14ac:dyDescent="0.2">
      <c r="A133" s="290">
        <f>TblRezone[[#This Row],[Hour]]</f>
        <v>130</v>
      </c>
      <c r="B133" s="291">
        <f ca="1">TblExplore[[#This Row],[Land-DB]]</f>
        <v>250</v>
      </c>
      <c r="C133" s="292">
        <f ca="1">TblProd[[#This Row],[Techpoints]]</f>
        <v>0</v>
      </c>
      <c r="D133" s="292">
        <f ca="1">TblProd[[#This Row],[Required]]</f>
        <v>3750</v>
      </c>
      <c r="E133" s="301"/>
      <c r="F133" s="302"/>
      <c r="G133" s="295"/>
      <c r="H133" s="296"/>
      <c r="I133" s="296"/>
      <c r="J133" s="296"/>
      <c r="K133" s="95">
        <f ca="1">IF(TblTech[[#This Row],[Sum of tech]]&lt;&gt;OFFSET(TblTech[[#This Row],[Sum of tech]],-1,0),1,0)</f>
        <v>0</v>
      </c>
      <c r="L133" s="297">
        <f>COUNTIF(TblTech[[#This Row],[1-1]:[11-1]],1)</f>
        <v>0</v>
      </c>
      <c r="M133" s="298" cm="1">
        <f t="array" ref="M133">IF(AND(M$2&lt;&gt;0,TblTech[[#This Row],[Hour]:[Hour]]&gt;=M$2),1,0)</f>
        <v>0</v>
      </c>
      <c r="N133" s="298" cm="1">
        <f t="array" ref="N133">IF(AND(N$2&lt;&gt;0,TblTech[[#This Row],[Hour]:[Hour]]&gt;=N$2),1,0)</f>
        <v>0</v>
      </c>
      <c r="O133" s="298" cm="1">
        <f t="array" ref="O133">IF(AND(O$2&lt;&gt;0,TblTech[[#This Row],[Hour]:[Hour]]&gt;=O$2),1,0)</f>
        <v>0</v>
      </c>
      <c r="P133" s="298" cm="1">
        <f t="array" ref="P133">IF(AND(P$2&lt;&gt;0,TblTech[[#This Row],[Hour]:[Hour]]&gt;=P$2),1,0)</f>
        <v>0</v>
      </c>
      <c r="Q133" s="298" cm="1">
        <f t="array" ref="Q133">IF(AND(Q$2&lt;&gt;0,TblTech[[#This Row],[Hour]:[Hour]]&gt;=Q$2),1,0)</f>
        <v>0</v>
      </c>
      <c r="R133" s="298" cm="1">
        <f t="array" ref="R133">IF(AND(R$2&lt;&gt;0,TblTech[[#This Row],[Hour]:[Hour]]&gt;=R$2),1,0)</f>
        <v>0</v>
      </c>
      <c r="S133" s="298" cm="1">
        <f t="array" ref="S133">IF(AND(S$2&lt;&gt;0,TblTech[[#This Row],[Hour]:[Hour]]&gt;=S$2),1,0)</f>
        <v>0</v>
      </c>
      <c r="T133" s="298" cm="1">
        <f t="array" ref="T133">IF(AND(T$2&lt;&gt;0,TblTech[[#This Row],[Hour]:[Hour]]&gt;=T$2),1,0)</f>
        <v>0</v>
      </c>
      <c r="U133" s="298" cm="1">
        <f t="array" ref="U133">IF(AND(U$2&lt;&gt;0,TblTech[[#This Row],[Hour]:[Hour]]&gt;=U$2),1,0)</f>
        <v>0</v>
      </c>
      <c r="V133" s="298" cm="1">
        <f t="array" ref="V133">IF(AND(V$2&lt;&gt;0,TblTech[[#This Row],[Hour]:[Hour]]&gt;=V$2),1,0)</f>
        <v>0</v>
      </c>
      <c r="W133" s="298" cm="1">
        <f t="array" ref="W133">IF(AND(W$2&lt;&gt;0,TblTech[[#This Row],[Hour]:[Hour]]&gt;=W$2),1,0)</f>
        <v>0</v>
      </c>
      <c r="X133" s="298" cm="1">
        <f t="array" ref="X133">IF(AND(X$2&lt;&gt;0,TblTech[[#This Row],[Hour]:[Hour]]&gt;=X$2),1,0)</f>
        <v>0</v>
      </c>
      <c r="Y133" s="298" cm="1">
        <f t="array" ref="Y133">IF(AND(Y$2&lt;&gt;0,TblTech[[#This Row],[Hour]:[Hour]]&gt;=Y$2),1,0)</f>
        <v>0</v>
      </c>
      <c r="Z133" s="298" cm="1">
        <f t="array" ref="Z133">IF(AND(Z$2&lt;&gt;0,TblTech[[#This Row],[Hour]:[Hour]]&gt;=Z$2),1,0)</f>
        <v>0</v>
      </c>
      <c r="AA133" s="298" cm="1">
        <f t="array" ref="AA133">IF(AND(AA$2&lt;&gt;0,TblTech[[#This Row],[Hour]:[Hour]]&gt;=AA$2),1,0)</f>
        <v>0</v>
      </c>
      <c r="AB133" s="298" cm="1">
        <f t="array" ref="AB133">IF(AND(AB$2&lt;&gt;0,TblTech[[#This Row],[Hour]:[Hour]]&gt;=AB$2),1,0)</f>
        <v>0</v>
      </c>
      <c r="AC133" s="298" cm="1">
        <f t="array" ref="AC133">IF(AND(AC$2&lt;&gt;0,TblTech[[#This Row],[Hour]:[Hour]]&gt;=AC$2),1,0)</f>
        <v>0</v>
      </c>
      <c r="AD133" s="298" cm="1">
        <f t="array" ref="AD133">IF(AND(AD$2&lt;&gt;0,TblTech[[#This Row],[Hour]:[Hour]]&gt;=AD$2),1,0)</f>
        <v>0</v>
      </c>
      <c r="AE133" s="298" cm="1">
        <f t="array" ref="AE133">IF(AND(AE$2&lt;&gt;0,TblTech[[#This Row],[Hour]:[Hour]]&gt;=AE$2),1,0)</f>
        <v>0</v>
      </c>
      <c r="AF133" s="298" cm="1">
        <f t="array" ref="AF133">IF(AND(AF$2&lt;&gt;0,TblTech[[#This Row],[Hour]:[Hour]]&gt;=AF$2),1,0)</f>
        <v>0</v>
      </c>
      <c r="AG133" s="298" cm="1">
        <f t="array" ref="AG133">IF(AND(AG$2&lt;&gt;0,TblTech[[#This Row],[Hour]:[Hour]]&gt;=AG$2),1,0)</f>
        <v>0</v>
      </c>
      <c r="AH133" s="298" cm="1">
        <f t="array" ref="AH133">IF(AND(AH$2&lt;&gt;0,TblTech[[#This Row],[Hour]:[Hour]]&gt;=AH$2),1,0)</f>
        <v>0</v>
      </c>
      <c r="AI133" s="298" cm="1">
        <f t="array" ref="AI133">IF(AND(AI$2&lt;&gt;0,TblTech[[#This Row],[Hour]:[Hour]]&gt;=AI$2),1,0)</f>
        <v>0</v>
      </c>
      <c r="AJ133" s="298" cm="1">
        <f t="array" ref="AJ133">IF(AND(AJ$2&lt;&gt;0,TblTech[[#This Row],[Hour]:[Hour]]&gt;=AJ$2),1,0)</f>
        <v>0</v>
      </c>
      <c r="AK133" s="298" cm="1">
        <f t="array" ref="AK133">IF(AND(AK$2&lt;&gt;0,TblTech[[#This Row],[Hour]:[Hour]]&gt;=AK$2),1,0)</f>
        <v>0</v>
      </c>
      <c r="AL133" s="298" cm="1">
        <f t="array" ref="AL133">IF(AND(AL$2&lt;&gt;0,TblTech[[#This Row],[Hour]:[Hour]]&gt;=AL$2),1,0)</f>
        <v>0</v>
      </c>
      <c r="AM133" s="298" cm="1">
        <f t="array" ref="AM133">IF(AND(AM$2&lt;&gt;0,TblTech[[#This Row],[Hour]:[Hour]]&gt;=AM$2),1,0)</f>
        <v>0</v>
      </c>
      <c r="AN133" s="298" cm="1">
        <f t="array" ref="AN133">IF(AND(AN$2&lt;&gt;0,TblTech[[#This Row],[Hour]:[Hour]]&gt;=AN$2),1,0)</f>
        <v>0</v>
      </c>
      <c r="AO133" s="298" cm="1">
        <f t="array" ref="AO133">IF(AND(AO$2&lt;&gt;0,TblTech[[#This Row],[Hour]:[Hour]]&gt;=AO$2),1,0)</f>
        <v>0</v>
      </c>
      <c r="AP133" s="298" cm="1">
        <f t="array" ref="AP133">IF(AND(AP$2&lt;&gt;0,TblTech[[#This Row],[Hour]:[Hour]]&gt;=AP$2),1,0)</f>
        <v>0</v>
      </c>
      <c r="AQ133" s="298" cm="1">
        <f t="array" ref="AQ133">IF(AND(AQ$2&lt;&gt;0,TblTech[[#This Row],[Hour]:[Hour]]&gt;=AQ$2),1,0)</f>
        <v>0</v>
      </c>
      <c r="AR133" s="298" cm="1">
        <f t="array" ref="AR133">IF(AND(AR$2&lt;&gt;0,TblTech[[#This Row],[Hour]:[Hour]]&gt;=AR$2),1,0)</f>
        <v>0</v>
      </c>
      <c r="AS133" s="298" cm="1">
        <f t="array" ref="AS133">IF(AND(AS$2&lt;&gt;0,TblTech[[#This Row],[Hour]:[Hour]]&gt;=AS$2),1,0)</f>
        <v>0</v>
      </c>
      <c r="AT133" s="298" cm="1">
        <f t="array" ref="AT133">IF(AND(AT$2&lt;&gt;0,TblTech[[#This Row],[Hour]:[Hour]]&gt;=AT$2),1,0)</f>
        <v>0</v>
      </c>
      <c r="AU133" s="298" cm="1">
        <f t="array" ref="AU133">IF(AND(AU$2&lt;&gt;0,TblTech[[#This Row],[Hour]:[Hour]]&gt;=AU$2),1,0)</f>
        <v>0</v>
      </c>
      <c r="AV133" s="298" cm="1">
        <f t="array" ref="AV133">IF(AND(AV$2&lt;&gt;0,TblTech[[#This Row],[Hour]:[Hour]]&gt;=AV$2),1,0)</f>
        <v>0</v>
      </c>
      <c r="AW133" s="298" cm="1">
        <f t="array" ref="AW133">IF(AND(AW$2&lt;&gt;0,TblTech[[#This Row],[Hour]:[Hour]]&gt;=AW$2),1,0)</f>
        <v>0</v>
      </c>
      <c r="AX133" s="298" cm="1">
        <f t="array" ref="AX133">IF(AND(AX$2&lt;&gt;0,TblTech[[#This Row],[Hour]:[Hour]]&gt;=AX$2),1,0)</f>
        <v>0</v>
      </c>
      <c r="AY133" s="298" cm="1">
        <f t="array" ref="AY133">IF(AND(AY$2&lt;&gt;0,TblTech[[#This Row],[Hour]:[Hour]]&gt;=AY$2),1,0)</f>
        <v>0</v>
      </c>
      <c r="AZ133" s="298" cm="1">
        <f t="array" ref="AZ133">IF(AND(AZ$2&lt;&gt;0,TblTech[[#This Row],[Hour]:[Hour]]&gt;=AZ$2),1,0)</f>
        <v>0</v>
      </c>
      <c r="BA133" s="298" cm="1">
        <f t="array" ref="BA133">IF(AND(BA$2&lt;&gt;0,TblTech[[#This Row],[Hour]:[Hour]]&gt;=BA$2),1,0)</f>
        <v>0</v>
      </c>
      <c r="BB133" s="298" cm="1">
        <f t="array" ref="BB133">IF(AND(BB$2&lt;&gt;0,TblTech[[#This Row],[Hour]:[Hour]]&gt;=BB$2),1,0)</f>
        <v>0</v>
      </c>
      <c r="BC133" s="298" cm="1">
        <f t="array" ref="BC133">IF(AND(BC$2&lt;&gt;0,TblTech[[#This Row],[Hour]:[Hour]]&gt;=BC$2),1,0)</f>
        <v>0</v>
      </c>
      <c r="BD133" s="298" cm="1">
        <f t="array" ref="BD133">IF(AND(BD$2&lt;&gt;0,TblTech[[#This Row],[Hour]:[Hour]]&gt;=BD$2),1,0)</f>
        <v>0</v>
      </c>
      <c r="BE133" s="298" cm="1">
        <f t="array" ref="BE133">IF(AND(BE$2&lt;&gt;0,TblTech[[#This Row],[Hour]:[Hour]]&gt;=BE$2),1,0)</f>
        <v>0</v>
      </c>
      <c r="BF133" s="298" cm="1">
        <f t="array" ref="BF133">IF(AND(BF$2&lt;&gt;0,TblTech[[#This Row],[Hour]:[Hour]]&gt;=BF$2),1,0)</f>
        <v>0</v>
      </c>
      <c r="BG133" s="298" cm="1">
        <f t="array" ref="BG133">IF(AND(BG$2&lt;&gt;0,TblTech[[#This Row],[Hour]:[Hour]]&gt;=BG$2),1,0)</f>
        <v>0</v>
      </c>
      <c r="BH133" s="298" cm="1">
        <f t="array" ref="BH133">IF(AND(BH$2&lt;&gt;0,TblTech[[#This Row],[Hour]:[Hour]]&gt;=BH$2),1,0)</f>
        <v>0</v>
      </c>
      <c r="BI133" s="298" cm="1">
        <f t="array" ref="BI133">IF(AND(BI$2&lt;&gt;0,TblTech[[#This Row],[Hour]:[Hour]]&gt;=BI$2),1,0)</f>
        <v>0</v>
      </c>
      <c r="BJ133" s="298" cm="1">
        <f t="array" ref="BJ133">IF(AND(BJ$2&lt;&gt;0,TblTech[[#This Row],[Hour]:[Hour]]&gt;=BJ$2),1,0)</f>
        <v>0</v>
      </c>
      <c r="BK133" s="298" cm="1">
        <f t="array" ref="BK133">IF(AND(BK$2&lt;&gt;0,TblTech[[#This Row],[Hour]:[Hour]]&gt;=BK$2),1,0)</f>
        <v>0</v>
      </c>
      <c r="BL133" s="298" cm="1">
        <f t="array" ref="BL133">IF(AND(BL$2&lt;&gt;0,TblTech[[#This Row],[Hour]:[Hour]]&gt;=BL$2),1,0)</f>
        <v>0</v>
      </c>
      <c r="BM133" s="298" cm="1">
        <f t="array" ref="BM133">IF(AND(BM$2&lt;&gt;0,TblTech[[#This Row],[Hour]:[Hour]]&gt;=BM$2),1,0)</f>
        <v>0</v>
      </c>
      <c r="BN133" s="298" cm="1">
        <f t="array" ref="BN133">IF(AND(BN$2&lt;&gt;0,TblTech[[#This Row],[Hour]:[Hour]]&gt;=BN$2),1,0)</f>
        <v>0</v>
      </c>
      <c r="BO133" s="298" cm="1">
        <f t="array" ref="BO133">IF(AND(BO$2&lt;&gt;0,TblTech[[#This Row],[Hour]:[Hour]]&gt;=BO$2),1,0)</f>
        <v>0</v>
      </c>
      <c r="BP133" s="298" cm="1">
        <f t="array" ref="BP133">IF(AND(BP$2&lt;&gt;0,TblTech[[#This Row],[Hour]:[Hour]]&gt;=BP$2),1,0)</f>
        <v>0</v>
      </c>
      <c r="BQ133" s="298" cm="1">
        <f t="array" ref="BQ133">IF(AND(BQ$2&lt;&gt;0,TblTech[[#This Row],[Hour]:[Hour]]&gt;=BQ$2),1,0)</f>
        <v>0</v>
      </c>
      <c r="BR133" s="298" cm="1">
        <f t="array" ref="BR133">IF(AND(BR$2&lt;&gt;0,TblTech[[#This Row],[Hour]:[Hour]]&gt;=BR$2),1,0)</f>
        <v>0</v>
      </c>
      <c r="BS133" s="298" cm="1">
        <f t="array" ref="BS133">IF(AND(BS$2&lt;&gt;0,TblTech[[#This Row],[Hour]:[Hour]]&gt;=BS$2),1,0)</f>
        <v>0</v>
      </c>
      <c r="BT133" s="298" cm="1">
        <f t="array" ref="BT133">IF(AND(BT$2&lt;&gt;0,TblTech[[#This Row],[Hour]:[Hour]]&gt;=BT$2),1,0)</f>
        <v>0</v>
      </c>
      <c r="BU133" s="298" cm="1">
        <f t="array" ref="BU133">IF(AND(BU$2&lt;&gt;0,TblTech[[#This Row],[Hour]:[Hour]]&gt;=BU$2),1,0)</f>
        <v>0</v>
      </c>
      <c r="BV133" s="298" cm="1">
        <f t="array" ref="BV133">IF(AND(BV$2&lt;&gt;0,TblTech[[#This Row],[Hour]:[Hour]]&gt;=BV$2),1,0)</f>
        <v>0</v>
      </c>
      <c r="BW133" s="298" cm="1">
        <f t="array" ref="BW133">IF(AND(BW$2&lt;&gt;0,TblTech[[#This Row],[Hour]:[Hour]]&gt;=BW$2),1,0)</f>
        <v>0</v>
      </c>
      <c r="BX133" s="298" cm="1">
        <f t="array" ref="BX133">IF(AND(BX$2&lt;&gt;0,TblTech[[#This Row],[Hour]:[Hour]]&gt;=BX$2),1,0)</f>
        <v>0</v>
      </c>
      <c r="BY133" s="298" cm="1">
        <f t="array" ref="BY133">IF(AND(BY$2&lt;&gt;0,TblTech[[#This Row],[Hour]:[Hour]]&gt;=BY$2),1,0)</f>
        <v>0</v>
      </c>
      <c r="BZ133" s="298" cm="1">
        <f t="array" ref="BZ133">IF(AND(BZ$2&lt;&gt;0,TblTech[[#This Row],[Hour]:[Hour]]&gt;=BZ$2),1,0)</f>
        <v>0</v>
      </c>
      <c r="CA133" s="402">
        <f>IFERROR(INDEX($H$4:$H$79,MATCH(INDEX(TblTech[[#Headers],[1-1]:[11-1]],1,MATCH(TblTech[[#This Row],[Hour]],$M$2:$BZ$2,0)),$G$4:$G$79,0)),)</f>
        <v>0</v>
      </c>
    </row>
    <row r="134" spans="1:79" x14ac:dyDescent="0.2">
      <c r="A134" s="290">
        <f>TblRezone[[#This Row],[Hour]]</f>
        <v>131</v>
      </c>
      <c r="B134" s="291">
        <f ca="1">TblExplore[[#This Row],[Land-DB]]</f>
        <v>250</v>
      </c>
      <c r="C134" s="292">
        <f ca="1">TblProd[[#This Row],[Techpoints]]</f>
        <v>0</v>
      </c>
      <c r="D134" s="292">
        <f ca="1">TblProd[[#This Row],[Required]]</f>
        <v>3750</v>
      </c>
      <c r="E134" s="301"/>
      <c r="F134" s="302"/>
      <c r="G134" s="295"/>
      <c r="H134" s="296"/>
      <c r="I134" s="296"/>
      <c r="J134" s="296"/>
      <c r="K134" s="95">
        <f ca="1">IF(TblTech[[#This Row],[Sum of tech]]&lt;&gt;OFFSET(TblTech[[#This Row],[Sum of tech]],-1,0),1,0)</f>
        <v>0</v>
      </c>
      <c r="L134" s="297">
        <f>COUNTIF(TblTech[[#This Row],[1-1]:[11-1]],1)</f>
        <v>0</v>
      </c>
      <c r="M134" s="298" cm="1">
        <f t="array" ref="M134">IF(AND(M$2&lt;&gt;0,TblTech[[#This Row],[Hour]:[Hour]]&gt;=M$2),1,0)</f>
        <v>0</v>
      </c>
      <c r="N134" s="298" cm="1">
        <f t="array" ref="N134">IF(AND(N$2&lt;&gt;0,TblTech[[#This Row],[Hour]:[Hour]]&gt;=N$2),1,0)</f>
        <v>0</v>
      </c>
      <c r="O134" s="298" cm="1">
        <f t="array" ref="O134">IF(AND(O$2&lt;&gt;0,TblTech[[#This Row],[Hour]:[Hour]]&gt;=O$2),1,0)</f>
        <v>0</v>
      </c>
      <c r="P134" s="298" cm="1">
        <f t="array" ref="P134">IF(AND(P$2&lt;&gt;0,TblTech[[#This Row],[Hour]:[Hour]]&gt;=P$2),1,0)</f>
        <v>0</v>
      </c>
      <c r="Q134" s="298" cm="1">
        <f t="array" ref="Q134">IF(AND(Q$2&lt;&gt;0,TblTech[[#This Row],[Hour]:[Hour]]&gt;=Q$2),1,0)</f>
        <v>0</v>
      </c>
      <c r="R134" s="298" cm="1">
        <f t="array" ref="R134">IF(AND(R$2&lt;&gt;0,TblTech[[#This Row],[Hour]:[Hour]]&gt;=R$2),1,0)</f>
        <v>0</v>
      </c>
      <c r="S134" s="298" cm="1">
        <f t="array" ref="S134">IF(AND(S$2&lt;&gt;0,TblTech[[#This Row],[Hour]:[Hour]]&gt;=S$2),1,0)</f>
        <v>0</v>
      </c>
      <c r="T134" s="298" cm="1">
        <f t="array" ref="T134">IF(AND(T$2&lt;&gt;0,TblTech[[#This Row],[Hour]:[Hour]]&gt;=T$2),1,0)</f>
        <v>0</v>
      </c>
      <c r="U134" s="298" cm="1">
        <f t="array" ref="U134">IF(AND(U$2&lt;&gt;0,TblTech[[#This Row],[Hour]:[Hour]]&gt;=U$2),1,0)</f>
        <v>0</v>
      </c>
      <c r="V134" s="298" cm="1">
        <f t="array" ref="V134">IF(AND(V$2&lt;&gt;0,TblTech[[#This Row],[Hour]:[Hour]]&gt;=V$2),1,0)</f>
        <v>0</v>
      </c>
      <c r="W134" s="298" cm="1">
        <f t="array" ref="W134">IF(AND(W$2&lt;&gt;0,TblTech[[#This Row],[Hour]:[Hour]]&gt;=W$2),1,0)</f>
        <v>0</v>
      </c>
      <c r="X134" s="298" cm="1">
        <f t="array" ref="X134">IF(AND(X$2&lt;&gt;0,TblTech[[#This Row],[Hour]:[Hour]]&gt;=X$2),1,0)</f>
        <v>0</v>
      </c>
      <c r="Y134" s="298" cm="1">
        <f t="array" ref="Y134">IF(AND(Y$2&lt;&gt;0,TblTech[[#This Row],[Hour]:[Hour]]&gt;=Y$2),1,0)</f>
        <v>0</v>
      </c>
      <c r="Z134" s="298" cm="1">
        <f t="array" ref="Z134">IF(AND(Z$2&lt;&gt;0,TblTech[[#This Row],[Hour]:[Hour]]&gt;=Z$2),1,0)</f>
        <v>0</v>
      </c>
      <c r="AA134" s="298" cm="1">
        <f t="array" ref="AA134">IF(AND(AA$2&lt;&gt;0,TblTech[[#This Row],[Hour]:[Hour]]&gt;=AA$2),1,0)</f>
        <v>0</v>
      </c>
      <c r="AB134" s="298" cm="1">
        <f t="array" ref="AB134">IF(AND(AB$2&lt;&gt;0,TblTech[[#This Row],[Hour]:[Hour]]&gt;=AB$2),1,0)</f>
        <v>0</v>
      </c>
      <c r="AC134" s="298" cm="1">
        <f t="array" ref="AC134">IF(AND(AC$2&lt;&gt;0,TblTech[[#This Row],[Hour]:[Hour]]&gt;=AC$2),1,0)</f>
        <v>0</v>
      </c>
      <c r="AD134" s="298" cm="1">
        <f t="array" ref="AD134">IF(AND(AD$2&lt;&gt;0,TblTech[[#This Row],[Hour]:[Hour]]&gt;=AD$2),1,0)</f>
        <v>0</v>
      </c>
      <c r="AE134" s="298" cm="1">
        <f t="array" ref="AE134">IF(AND(AE$2&lt;&gt;0,TblTech[[#This Row],[Hour]:[Hour]]&gt;=AE$2),1,0)</f>
        <v>0</v>
      </c>
      <c r="AF134" s="298" cm="1">
        <f t="array" ref="AF134">IF(AND(AF$2&lt;&gt;0,TblTech[[#This Row],[Hour]:[Hour]]&gt;=AF$2),1,0)</f>
        <v>0</v>
      </c>
      <c r="AG134" s="298" cm="1">
        <f t="array" ref="AG134">IF(AND(AG$2&lt;&gt;0,TblTech[[#This Row],[Hour]:[Hour]]&gt;=AG$2),1,0)</f>
        <v>0</v>
      </c>
      <c r="AH134" s="298" cm="1">
        <f t="array" ref="AH134">IF(AND(AH$2&lt;&gt;0,TblTech[[#This Row],[Hour]:[Hour]]&gt;=AH$2),1,0)</f>
        <v>0</v>
      </c>
      <c r="AI134" s="298" cm="1">
        <f t="array" ref="AI134">IF(AND(AI$2&lt;&gt;0,TblTech[[#This Row],[Hour]:[Hour]]&gt;=AI$2),1,0)</f>
        <v>0</v>
      </c>
      <c r="AJ134" s="298" cm="1">
        <f t="array" ref="AJ134">IF(AND(AJ$2&lt;&gt;0,TblTech[[#This Row],[Hour]:[Hour]]&gt;=AJ$2),1,0)</f>
        <v>0</v>
      </c>
      <c r="AK134" s="298" cm="1">
        <f t="array" ref="AK134">IF(AND(AK$2&lt;&gt;0,TblTech[[#This Row],[Hour]:[Hour]]&gt;=AK$2),1,0)</f>
        <v>0</v>
      </c>
      <c r="AL134" s="298" cm="1">
        <f t="array" ref="AL134">IF(AND(AL$2&lt;&gt;0,TblTech[[#This Row],[Hour]:[Hour]]&gt;=AL$2),1,0)</f>
        <v>0</v>
      </c>
      <c r="AM134" s="298" cm="1">
        <f t="array" ref="AM134">IF(AND(AM$2&lt;&gt;0,TblTech[[#This Row],[Hour]:[Hour]]&gt;=AM$2),1,0)</f>
        <v>0</v>
      </c>
      <c r="AN134" s="298" cm="1">
        <f t="array" ref="AN134">IF(AND(AN$2&lt;&gt;0,TblTech[[#This Row],[Hour]:[Hour]]&gt;=AN$2),1,0)</f>
        <v>0</v>
      </c>
      <c r="AO134" s="298" cm="1">
        <f t="array" ref="AO134">IF(AND(AO$2&lt;&gt;0,TblTech[[#This Row],[Hour]:[Hour]]&gt;=AO$2),1,0)</f>
        <v>0</v>
      </c>
      <c r="AP134" s="298" cm="1">
        <f t="array" ref="AP134">IF(AND(AP$2&lt;&gt;0,TblTech[[#This Row],[Hour]:[Hour]]&gt;=AP$2),1,0)</f>
        <v>0</v>
      </c>
      <c r="AQ134" s="298" cm="1">
        <f t="array" ref="AQ134">IF(AND(AQ$2&lt;&gt;0,TblTech[[#This Row],[Hour]:[Hour]]&gt;=AQ$2),1,0)</f>
        <v>0</v>
      </c>
      <c r="AR134" s="298" cm="1">
        <f t="array" ref="AR134">IF(AND(AR$2&lt;&gt;0,TblTech[[#This Row],[Hour]:[Hour]]&gt;=AR$2),1,0)</f>
        <v>0</v>
      </c>
      <c r="AS134" s="298" cm="1">
        <f t="array" ref="AS134">IF(AND(AS$2&lt;&gt;0,TblTech[[#This Row],[Hour]:[Hour]]&gt;=AS$2),1,0)</f>
        <v>0</v>
      </c>
      <c r="AT134" s="298" cm="1">
        <f t="array" ref="AT134">IF(AND(AT$2&lt;&gt;0,TblTech[[#This Row],[Hour]:[Hour]]&gt;=AT$2),1,0)</f>
        <v>0</v>
      </c>
      <c r="AU134" s="298" cm="1">
        <f t="array" ref="AU134">IF(AND(AU$2&lt;&gt;0,TblTech[[#This Row],[Hour]:[Hour]]&gt;=AU$2),1,0)</f>
        <v>0</v>
      </c>
      <c r="AV134" s="298" cm="1">
        <f t="array" ref="AV134">IF(AND(AV$2&lt;&gt;0,TblTech[[#This Row],[Hour]:[Hour]]&gt;=AV$2),1,0)</f>
        <v>0</v>
      </c>
      <c r="AW134" s="298" cm="1">
        <f t="array" ref="AW134">IF(AND(AW$2&lt;&gt;0,TblTech[[#This Row],[Hour]:[Hour]]&gt;=AW$2),1,0)</f>
        <v>0</v>
      </c>
      <c r="AX134" s="298" cm="1">
        <f t="array" ref="AX134">IF(AND(AX$2&lt;&gt;0,TblTech[[#This Row],[Hour]:[Hour]]&gt;=AX$2),1,0)</f>
        <v>0</v>
      </c>
      <c r="AY134" s="298" cm="1">
        <f t="array" ref="AY134">IF(AND(AY$2&lt;&gt;0,TblTech[[#This Row],[Hour]:[Hour]]&gt;=AY$2),1,0)</f>
        <v>0</v>
      </c>
      <c r="AZ134" s="298" cm="1">
        <f t="array" ref="AZ134">IF(AND(AZ$2&lt;&gt;0,TblTech[[#This Row],[Hour]:[Hour]]&gt;=AZ$2),1,0)</f>
        <v>0</v>
      </c>
      <c r="BA134" s="298" cm="1">
        <f t="array" ref="BA134">IF(AND(BA$2&lt;&gt;0,TblTech[[#This Row],[Hour]:[Hour]]&gt;=BA$2),1,0)</f>
        <v>0</v>
      </c>
      <c r="BB134" s="298" cm="1">
        <f t="array" ref="BB134">IF(AND(BB$2&lt;&gt;0,TblTech[[#This Row],[Hour]:[Hour]]&gt;=BB$2),1,0)</f>
        <v>0</v>
      </c>
      <c r="BC134" s="298" cm="1">
        <f t="array" ref="BC134">IF(AND(BC$2&lt;&gt;0,TblTech[[#This Row],[Hour]:[Hour]]&gt;=BC$2),1,0)</f>
        <v>0</v>
      </c>
      <c r="BD134" s="298" cm="1">
        <f t="array" ref="BD134">IF(AND(BD$2&lt;&gt;0,TblTech[[#This Row],[Hour]:[Hour]]&gt;=BD$2),1,0)</f>
        <v>0</v>
      </c>
      <c r="BE134" s="298" cm="1">
        <f t="array" ref="BE134">IF(AND(BE$2&lt;&gt;0,TblTech[[#This Row],[Hour]:[Hour]]&gt;=BE$2),1,0)</f>
        <v>0</v>
      </c>
      <c r="BF134" s="298" cm="1">
        <f t="array" ref="BF134">IF(AND(BF$2&lt;&gt;0,TblTech[[#This Row],[Hour]:[Hour]]&gt;=BF$2),1,0)</f>
        <v>0</v>
      </c>
      <c r="BG134" s="298" cm="1">
        <f t="array" ref="BG134">IF(AND(BG$2&lt;&gt;0,TblTech[[#This Row],[Hour]:[Hour]]&gt;=BG$2),1,0)</f>
        <v>0</v>
      </c>
      <c r="BH134" s="298" cm="1">
        <f t="array" ref="BH134">IF(AND(BH$2&lt;&gt;0,TblTech[[#This Row],[Hour]:[Hour]]&gt;=BH$2),1,0)</f>
        <v>0</v>
      </c>
      <c r="BI134" s="298" cm="1">
        <f t="array" ref="BI134">IF(AND(BI$2&lt;&gt;0,TblTech[[#This Row],[Hour]:[Hour]]&gt;=BI$2),1,0)</f>
        <v>0</v>
      </c>
      <c r="BJ134" s="298" cm="1">
        <f t="array" ref="BJ134">IF(AND(BJ$2&lt;&gt;0,TblTech[[#This Row],[Hour]:[Hour]]&gt;=BJ$2),1,0)</f>
        <v>0</v>
      </c>
      <c r="BK134" s="298" cm="1">
        <f t="array" ref="BK134">IF(AND(BK$2&lt;&gt;0,TblTech[[#This Row],[Hour]:[Hour]]&gt;=BK$2),1,0)</f>
        <v>0</v>
      </c>
      <c r="BL134" s="298" cm="1">
        <f t="array" ref="BL134">IF(AND(BL$2&lt;&gt;0,TblTech[[#This Row],[Hour]:[Hour]]&gt;=BL$2),1,0)</f>
        <v>0</v>
      </c>
      <c r="BM134" s="298" cm="1">
        <f t="array" ref="BM134">IF(AND(BM$2&lt;&gt;0,TblTech[[#This Row],[Hour]:[Hour]]&gt;=BM$2),1,0)</f>
        <v>0</v>
      </c>
      <c r="BN134" s="298" cm="1">
        <f t="array" ref="BN134">IF(AND(BN$2&lt;&gt;0,TblTech[[#This Row],[Hour]:[Hour]]&gt;=BN$2),1,0)</f>
        <v>0</v>
      </c>
      <c r="BO134" s="298" cm="1">
        <f t="array" ref="BO134">IF(AND(BO$2&lt;&gt;0,TblTech[[#This Row],[Hour]:[Hour]]&gt;=BO$2),1,0)</f>
        <v>0</v>
      </c>
      <c r="BP134" s="298" cm="1">
        <f t="array" ref="BP134">IF(AND(BP$2&lt;&gt;0,TblTech[[#This Row],[Hour]:[Hour]]&gt;=BP$2),1,0)</f>
        <v>0</v>
      </c>
      <c r="BQ134" s="298" cm="1">
        <f t="array" ref="BQ134">IF(AND(BQ$2&lt;&gt;0,TblTech[[#This Row],[Hour]:[Hour]]&gt;=BQ$2),1,0)</f>
        <v>0</v>
      </c>
      <c r="BR134" s="298" cm="1">
        <f t="array" ref="BR134">IF(AND(BR$2&lt;&gt;0,TblTech[[#This Row],[Hour]:[Hour]]&gt;=BR$2),1,0)</f>
        <v>0</v>
      </c>
      <c r="BS134" s="298" cm="1">
        <f t="array" ref="BS134">IF(AND(BS$2&lt;&gt;0,TblTech[[#This Row],[Hour]:[Hour]]&gt;=BS$2),1,0)</f>
        <v>0</v>
      </c>
      <c r="BT134" s="298" cm="1">
        <f t="array" ref="BT134">IF(AND(BT$2&lt;&gt;0,TblTech[[#This Row],[Hour]:[Hour]]&gt;=BT$2),1,0)</f>
        <v>0</v>
      </c>
      <c r="BU134" s="298" cm="1">
        <f t="array" ref="BU134">IF(AND(BU$2&lt;&gt;0,TblTech[[#This Row],[Hour]:[Hour]]&gt;=BU$2),1,0)</f>
        <v>0</v>
      </c>
      <c r="BV134" s="298" cm="1">
        <f t="array" ref="BV134">IF(AND(BV$2&lt;&gt;0,TblTech[[#This Row],[Hour]:[Hour]]&gt;=BV$2),1,0)</f>
        <v>0</v>
      </c>
      <c r="BW134" s="298" cm="1">
        <f t="array" ref="BW134">IF(AND(BW$2&lt;&gt;0,TblTech[[#This Row],[Hour]:[Hour]]&gt;=BW$2),1,0)</f>
        <v>0</v>
      </c>
      <c r="BX134" s="298" cm="1">
        <f t="array" ref="BX134">IF(AND(BX$2&lt;&gt;0,TblTech[[#This Row],[Hour]:[Hour]]&gt;=BX$2),1,0)</f>
        <v>0</v>
      </c>
      <c r="BY134" s="298" cm="1">
        <f t="array" ref="BY134">IF(AND(BY$2&lt;&gt;0,TblTech[[#This Row],[Hour]:[Hour]]&gt;=BY$2),1,0)</f>
        <v>0</v>
      </c>
      <c r="BZ134" s="298" cm="1">
        <f t="array" ref="BZ134">IF(AND(BZ$2&lt;&gt;0,TblTech[[#This Row],[Hour]:[Hour]]&gt;=BZ$2),1,0)</f>
        <v>0</v>
      </c>
      <c r="CA134" s="402">
        <f>IFERROR(INDEX($H$4:$H$79,MATCH(INDEX(TblTech[[#Headers],[1-1]:[11-1]],1,MATCH(TblTech[[#This Row],[Hour]],$M$2:$BZ$2,0)),$G$4:$G$79,0)),)</f>
        <v>0</v>
      </c>
    </row>
    <row r="135" spans="1:79" x14ac:dyDescent="0.2">
      <c r="A135" s="290">
        <f>TblRezone[[#This Row],[Hour]]</f>
        <v>132</v>
      </c>
      <c r="B135" s="291">
        <f ca="1">TblExplore[[#This Row],[Land-DB]]</f>
        <v>250</v>
      </c>
      <c r="C135" s="292">
        <f ca="1">TblProd[[#This Row],[Techpoints]]</f>
        <v>0</v>
      </c>
      <c r="D135" s="292">
        <f ca="1">TblProd[[#This Row],[Required]]</f>
        <v>3750</v>
      </c>
      <c r="E135" s="301"/>
      <c r="F135" s="302"/>
      <c r="G135" s="295"/>
      <c r="H135" s="296"/>
      <c r="I135" s="296"/>
      <c r="J135" s="296"/>
      <c r="K135" s="95">
        <f ca="1">IF(TblTech[[#This Row],[Sum of tech]]&lt;&gt;OFFSET(TblTech[[#This Row],[Sum of tech]],-1,0),1,0)</f>
        <v>0</v>
      </c>
      <c r="L135" s="297">
        <f>COUNTIF(TblTech[[#This Row],[1-1]:[11-1]],1)</f>
        <v>0</v>
      </c>
      <c r="M135" s="298" cm="1">
        <f t="array" ref="M135">IF(AND(M$2&lt;&gt;0,TblTech[[#This Row],[Hour]:[Hour]]&gt;=M$2),1,0)</f>
        <v>0</v>
      </c>
      <c r="N135" s="298" cm="1">
        <f t="array" ref="N135">IF(AND(N$2&lt;&gt;0,TblTech[[#This Row],[Hour]:[Hour]]&gt;=N$2),1,0)</f>
        <v>0</v>
      </c>
      <c r="O135" s="298" cm="1">
        <f t="array" ref="O135">IF(AND(O$2&lt;&gt;0,TblTech[[#This Row],[Hour]:[Hour]]&gt;=O$2),1,0)</f>
        <v>0</v>
      </c>
      <c r="P135" s="298" cm="1">
        <f t="array" ref="P135">IF(AND(P$2&lt;&gt;0,TblTech[[#This Row],[Hour]:[Hour]]&gt;=P$2),1,0)</f>
        <v>0</v>
      </c>
      <c r="Q135" s="298" cm="1">
        <f t="array" ref="Q135">IF(AND(Q$2&lt;&gt;0,TblTech[[#This Row],[Hour]:[Hour]]&gt;=Q$2),1,0)</f>
        <v>0</v>
      </c>
      <c r="R135" s="298" cm="1">
        <f t="array" ref="R135">IF(AND(R$2&lt;&gt;0,TblTech[[#This Row],[Hour]:[Hour]]&gt;=R$2),1,0)</f>
        <v>0</v>
      </c>
      <c r="S135" s="298" cm="1">
        <f t="array" ref="S135">IF(AND(S$2&lt;&gt;0,TblTech[[#This Row],[Hour]:[Hour]]&gt;=S$2),1,0)</f>
        <v>0</v>
      </c>
      <c r="T135" s="298" cm="1">
        <f t="array" ref="T135">IF(AND(T$2&lt;&gt;0,TblTech[[#This Row],[Hour]:[Hour]]&gt;=T$2),1,0)</f>
        <v>0</v>
      </c>
      <c r="U135" s="298" cm="1">
        <f t="array" ref="U135">IF(AND(U$2&lt;&gt;0,TblTech[[#This Row],[Hour]:[Hour]]&gt;=U$2),1,0)</f>
        <v>0</v>
      </c>
      <c r="V135" s="298" cm="1">
        <f t="array" ref="V135">IF(AND(V$2&lt;&gt;0,TblTech[[#This Row],[Hour]:[Hour]]&gt;=V$2),1,0)</f>
        <v>0</v>
      </c>
      <c r="W135" s="298" cm="1">
        <f t="array" ref="W135">IF(AND(W$2&lt;&gt;0,TblTech[[#This Row],[Hour]:[Hour]]&gt;=W$2),1,0)</f>
        <v>0</v>
      </c>
      <c r="X135" s="298" cm="1">
        <f t="array" ref="X135">IF(AND(X$2&lt;&gt;0,TblTech[[#This Row],[Hour]:[Hour]]&gt;=X$2),1,0)</f>
        <v>0</v>
      </c>
      <c r="Y135" s="298" cm="1">
        <f t="array" ref="Y135">IF(AND(Y$2&lt;&gt;0,TblTech[[#This Row],[Hour]:[Hour]]&gt;=Y$2),1,0)</f>
        <v>0</v>
      </c>
      <c r="Z135" s="298" cm="1">
        <f t="array" ref="Z135">IF(AND(Z$2&lt;&gt;0,TblTech[[#This Row],[Hour]:[Hour]]&gt;=Z$2),1,0)</f>
        <v>0</v>
      </c>
      <c r="AA135" s="298" cm="1">
        <f t="array" ref="AA135">IF(AND(AA$2&lt;&gt;0,TblTech[[#This Row],[Hour]:[Hour]]&gt;=AA$2),1,0)</f>
        <v>0</v>
      </c>
      <c r="AB135" s="298" cm="1">
        <f t="array" ref="AB135">IF(AND(AB$2&lt;&gt;0,TblTech[[#This Row],[Hour]:[Hour]]&gt;=AB$2),1,0)</f>
        <v>0</v>
      </c>
      <c r="AC135" s="298" cm="1">
        <f t="array" ref="AC135">IF(AND(AC$2&lt;&gt;0,TblTech[[#This Row],[Hour]:[Hour]]&gt;=AC$2),1,0)</f>
        <v>0</v>
      </c>
      <c r="AD135" s="298" cm="1">
        <f t="array" ref="AD135">IF(AND(AD$2&lt;&gt;0,TblTech[[#This Row],[Hour]:[Hour]]&gt;=AD$2),1,0)</f>
        <v>0</v>
      </c>
      <c r="AE135" s="298" cm="1">
        <f t="array" ref="AE135">IF(AND(AE$2&lt;&gt;0,TblTech[[#This Row],[Hour]:[Hour]]&gt;=AE$2),1,0)</f>
        <v>0</v>
      </c>
      <c r="AF135" s="298" cm="1">
        <f t="array" ref="AF135">IF(AND(AF$2&lt;&gt;0,TblTech[[#This Row],[Hour]:[Hour]]&gt;=AF$2),1,0)</f>
        <v>0</v>
      </c>
      <c r="AG135" s="298" cm="1">
        <f t="array" ref="AG135">IF(AND(AG$2&lt;&gt;0,TblTech[[#This Row],[Hour]:[Hour]]&gt;=AG$2),1,0)</f>
        <v>0</v>
      </c>
      <c r="AH135" s="298" cm="1">
        <f t="array" ref="AH135">IF(AND(AH$2&lt;&gt;0,TblTech[[#This Row],[Hour]:[Hour]]&gt;=AH$2),1,0)</f>
        <v>0</v>
      </c>
      <c r="AI135" s="298" cm="1">
        <f t="array" ref="AI135">IF(AND(AI$2&lt;&gt;0,TblTech[[#This Row],[Hour]:[Hour]]&gt;=AI$2),1,0)</f>
        <v>0</v>
      </c>
      <c r="AJ135" s="298" cm="1">
        <f t="array" ref="AJ135">IF(AND(AJ$2&lt;&gt;0,TblTech[[#This Row],[Hour]:[Hour]]&gt;=AJ$2),1,0)</f>
        <v>0</v>
      </c>
      <c r="AK135" s="298" cm="1">
        <f t="array" ref="AK135">IF(AND(AK$2&lt;&gt;0,TblTech[[#This Row],[Hour]:[Hour]]&gt;=AK$2),1,0)</f>
        <v>0</v>
      </c>
      <c r="AL135" s="298" cm="1">
        <f t="array" ref="AL135">IF(AND(AL$2&lt;&gt;0,TblTech[[#This Row],[Hour]:[Hour]]&gt;=AL$2),1,0)</f>
        <v>0</v>
      </c>
      <c r="AM135" s="298" cm="1">
        <f t="array" ref="AM135">IF(AND(AM$2&lt;&gt;0,TblTech[[#This Row],[Hour]:[Hour]]&gt;=AM$2),1,0)</f>
        <v>0</v>
      </c>
      <c r="AN135" s="298" cm="1">
        <f t="array" ref="AN135">IF(AND(AN$2&lt;&gt;0,TblTech[[#This Row],[Hour]:[Hour]]&gt;=AN$2),1,0)</f>
        <v>0</v>
      </c>
      <c r="AO135" s="298" cm="1">
        <f t="array" ref="AO135">IF(AND(AO$2&lt;&gt;0,TblTech[[#This Row],[Hour]:[Hour]]&gt;=AO$2),1,0)</f>
        <v>0</v>
      </c>
      <c r="AP135" s="298" cm="1">
        <f t="array" ref="AP135">IF(AND(AP$2&lt;&gt;0,TblTech[[#This Row],[Hour]:[Hour]]&gt;=AP$2),1,0)</f>
        <v>0</v>
      </c>
      <c r="AQ135" s="298" cm="1">
        <f t="array" ref="AQ135">IF(AND(AQ$2&lt;&gt;0,TblTech[[#This Row],[Hour]:[Hour]]&gt;=AQ$2),1,0)</f>
        <v>0</v>
      </c>
      <c r="AR135" s="298" cm="1">
        <f t="array" ref="AR135">IF(AND(AR$2&lt;&gt;0,TblTech[[#This Row],[Hour]:[Hour]]&gt;=AR$2),1,0)</f>
        <v>0</v>
      </c>
      <c r="AS135" s="298" cm="1">
        <f t="array" ref="AS135">IF(AND(AS$2&lt;&gt;0,TblTech[[#This Row],[Hour]:[Hour]]&gt;=AS$2),1,0)</f>
        <v>0</v>
      </c>
      <c r="AT135" s="298" cm="1">
        <f t="array" ref="AT135">IF(AND(AT$2&lt;&gt;0,TblTech[[#This Row],[Hour]:[Hour]]&gt;=AT$2),1,0)</f>
        <v>0</v>
      </c>
      <c r="AU135" s="298" cm="1">
        <f t="array" ref="AU135">IF(AND(AU$2&lt;&gt;0,TblTech[[#This Row],[Hour]:[Hour]]&gt;=AU$2),1,0)</f>
        <v>0</v>
      </c>
      <c r="AV135" s="298" cm="1">
        <f t="array" ref="AV135">IF(AND(AV$2&lt;&gt;0,TblTech[[#This Row],[Hour]:[Hour]]&gt;=AV$2),1,0)</f>
        <v>0</v>
      </c>
      <c r="AW135" s="298" cm="1">
        <f t="array" ref="AW135">IF(AND(AW$2&lt;&gt;0,TblTech[[#This Row],[Hour]:[Hour]]&gt;=AW$2),1,0)</f>
        <v>0</v>
      </c>
      <c r="AX135" s="298" cm="1">
        <f t="array" ref="AX135">IF(AND(AX$2&lt;&gt;0,TblTech[[#This Row],[Hour]:[Hour]]&gt;=AX$2),1,0)</f>
        <v>0</v>
      </c>
      <c r="AY135" s="298" cm="1">
        <f t="array" ref="AY135">IF(AND(AY$2&lt;&gt;0,TblTech[[#This Row],[Hour]:[Hour]]&gt;=AY$2),1,0)</f>
        <v>0</v>
      </c>
      <c r="AZ135" s="298" cm="1">
        <f t="array" ref="AZ135">IF(AND(AZ$2&lt;&gt;0,TblTech[[#This Row],[Hour]:[Hour]]&gt;=AZ$2),1,0)</f>
        <v>0</v>
      </c>
      <c r="BA135" s="298" cm="1">
        <f t="array" ref="BA135">IF(AND(BA$2&lt;&gt;0,TblTech[[#This Row],[Hour]:[Hour]]&gt;=BA$2),1,0)</f>
        <v>0</v>
      </c>
      <c r="BB135" s="298" cm="1">
        <f t="array" ref="BB135">IF(AND(BB$2&lt;&gt;0,TblTech[[#This Row],[Hour]:[Hour]]&gt;=BB$2),1,0)</f>
        <v>0</v>
      </c>
      <c r="BC135" s="298" cm="1">
        <f t="array" ref="BC135">IF(AND(BC$2&lt;&gt;0,TblTech[[#This Row],[Hour]:[Hour]]&gt;=BC$2),1,0)</f>
        <v>0</v>
      </c>
      <c r="BD135" s="298" cm="1">
        <f t="array" ref="BD135">IF(AND(BD$2&lt;&gt;0,TblTech[[#This Row],[Hour]:[Hour]]&gt;=BD$2),1,0)</f>
        <v>0</v>
      </c>
      <c r="BE135" s="298" cm="1">
        <f t="array" ref="BE135">IF(AND(BE$2&lt;&gt;0,TblTech[[#This Row],[Hour]:[Hour]]&gt;=BE$2),1,0)</f>
        <v>0</v>
      </c>
      <c r="BF135" s="298" cm="1">
        <f t="array" ref="BF135">IF(AND(BF$2&lt;&gt;0,TblTech[[#This Row],[Hour]:[Hour]]&gt;=BF$2),1,0)</f>
        <v>0</v>
      </c>
      <c r="BG135" s="298" cm="1">
        <f t="array" ref="BG135">IF(AND(BG$2&lt;&gt;0,TblTech[[#This Row],[Hour]:[Hour]]&gt;=BG$2),1,0)</f>
        <v>0</v>
      </c>
      <c r="BH135" s="298" cm="1">
        <f t="array" ref="BH135">IF(AND(BH$2&lt;&gt;0,TblTech[[#This Row],[Hour]:[Hour]]&gt;=BH$2),1,0)</f>
        <v>0</v>
      </c>
      <c r="BI135" s="298" cm="1">
        <f t="array" ref="BI135">IF(AND(BI$2&lt;&gt;0,TblTech[[#This Row],[Hour]:[Hour]]&gt;=BI$2),1,0)</f>
        <v>0</v>
      </c>
      <c r="BJ135" s="298" cm="1">
        <f t="array" ref="BJ135">IF(AND(BJ$2&lt;&gt;0,TblTech[[#This Row],[Hour]:[Hour]]&gt;=BJ$2),1,0)</f>
        <v>0</v>
      </c>
      <c r="BK135" s="298" cm="1">
        <f t="array" ref="BK135">IF(AND(BK$2&lt;&gt;0,TblTech[[#This Row],[Hour]:[Hour]]&gt;=BK$2),1,0)</f>
        <v>0</v>
      </c>
      <c r="BL135" s="298" cm="1">
        <f t="array" ref="BL135">IF(AND(BL$2&lt;&gt;0,TblTech[[#This Row],[Hour]:[Hour]]&gt;=BL$2),1,0)</f>
        <v>0</v>
      </c>
      <c r="BM135" s="298" cm="1">
        <f t="array" ref="BM135">IF(AND(BM$2&lt;&gt;0,TblTech[[#This Row],[Hour]:[Hour]]&gt;=BM$2),1,0)</f>
        <v>0</v>
      </c>
      <c r="BN135" s="298" cm="1">
        <f t="array" ref="BN135">IF(AND(BN$2&lt;&gt;0,TblTech[[#This Row],[Hour]:[Hour]]&gt;=BN$2),1,0)</f>
        <v>0</v>
      </c>
      <c r="BO135" s="298" cm="1">
        <f t="array" ref="BO135">IF(AND(BO$2&lt;&gt;0,TblTech[[#This Row],[Hour]:[Hour]]&gt;=BO$2),1,0)</f>
        <v>0</v>
      </c>
      <c r="BP135" s="298" cm="1">
        <f t="array" ref="BP135">IF(AND(BP$2&lt;&gt;0,TblTech[[#This Row],[Hour]:[Hour]]&gt;=BP$2),1,0)</f>
        <v>0</v>
      </c>
      <c r="BQ135" s="298" cm="1">
        <f t="array" ref="BQ135">IF(AND(BQ$2&lt;&gt;0,TblTech[[#This Row],[Hour]:[Hour]]&gt;=BQ$2),1,0)</f>
        <v>0</v>
      </c>
      <c r="BR135" s="298" cm="1">
        <f t="array" ref="BR135">IF(AND(BR$2&lt;&gt;0,TblTech[[#This Row],[Hour]:[Hour]]&gt;=BR$2),1,0)</f>
        <v>0</v>
      </c>
      <c r="BS135" s="298" cm="1">
        <f t="array" ref="BS135">IF(AND(BS$2&lt;&gt;0,TblTech[[#This Row],[Hour]:[Hour]]&gt;=BS$2),1,0)</f>
        <v>0</v>
      </c>
      <c r="BT135" s="298" cm="1">
        <f t="array" ref="BT135">IF(AND(BT$2&lt;&gt;0,TblTech[[#This Row],[Hour]:[Hour]]&gt;=BT$2),1,0)</f>
        <v>0</v>
      </c>
      <c r="BU135" s="298" cm="1">
        <f t="array" ref="BU135">IF(AND(BU$2&lt;&gt;0,TblTech[[#This Row],[Hour]:[Hour]]&gt;=BU$2),1,0)</f>
        <v>0</v>
      </c>
      <c r="BV135" s="298" cm="1">
        <f t="array" ref="BV135">IF(AND(BV$2&lt;&gt;0,TblTech[[#This Row],[Hour]:[Hour]]&gt;=BV$2),1,0)</f>
        <v>0</v>
      </c>
      <c r="BW135" s="298" cm="1">
        <f t="array" ref="BW135">IF(AND(BW$2&lt;&gt;0,TblTech[[#This Row],[Hour]:[Hour]]&gt;=BW$2),1,0)</f>
        <v>0</v>
      </c>
      <c r="BX135" s="298" cm="1">
        <f t="array" ref="BX135">IF(AND(BX$2&lt;&gt;0,TblTech[[#This Row],[Hour]:[Hour]]&gt;=BX$2),1,0)</f>
        <v>0</v>
      </c>
      <c r="BY135" s="298" cm="1">
        <f t="array" ref="BY135">IF(AND(BY$2&lt;&gt;0,TblTech[[#This Row],[Hour]:[Hour]]&gt;=BY$2),1,0)</f>
        <v>0</v>
      </c>
      <c r="BZ135" s="298" cm="1">
        <f t="array" ref="BZ135">IF(AND(BZ$2&lt;&gt;0,TblTech[[#This Row],[Hour]:[Hour]]&gt;=BZ$2),1,0)</f>
        <v>0</v>
      </c>
      <c r="CA135" s="402">
        <f>IFERROR(INDEX($H$4:$H$79,MATCH(INDEX(TblTech[[#Headers],[1-1]:[11-1]],1,MATCH(TblTech[[#This Row],[Hour]],$M$2:$BZ$2,0)),$G$4:$G$79,0)),)</f>
        <v>0</v>
      </c>
    </row>
    <row r="136" spans="1:79" x14ac:dyDescent="0.2">
      <c r="A136" s="290">
        <f>TblRezone[[#This Row],[Hour]]</f>
        <v>133</v>
      </c>
      <c r="B136" s="291">
        <f ca="1">TblExplore[[#This Row],[Land-DB]]</f>
        <v>250</v>
      </c>
      <c r="C136" s="292">
        <f ca="1">TblProd[[#This Row],[Techpoints]]</f>
        <v>0</v>
      </c>
      <c r="D136" s="292">
        <f ca="1">TblProd[[#This Row],[Required]]</f>
        <v>3750</v>
      </c>
      <c r="E136" s="301"/>
      <c r="F136" s="302"/>
      <c r="G136" s="295"/>
      <c r="H136" s="296"/>
      <c r="I136" s="296"/>
      <c r="J136" s="296"/>
      <c r="K136" s="95">
        <f ca="1">IF(TblTech[[#This Row],[Sum of tech]]&lt;&gt;OFFSET(TblTech[[#This Row],[Sum of tech]],-1,0),1,0)</f>
        <v>0</v>
      </c>
      <c r="L136" s="297">
        <f>COUNTIF(TblTech[[#This Row],[1-1]:[11-1]],1)</f>
        <v>0</v>
      </c>
      <c r="M136" s="298" cm="1">
        <f t="array" ref="M136">IF(AND(M$2&lt;&gt;0,TblTech[[#This Row],[Hour]:[Hour]]&gt;=M$2),1,0)</f>
        <v>0</v>
      </c>
      <c r="N136" s="298" cm="1">
        <f t="array" ref="N136">IF(AND(N$2&lt;&gt;0,TblTech[[#This Row],[Hour]:[Hour]]&gt;=N$2),1,0)</f>
        <v>0</v>
      </c>
      <c r="O136" s="298" cm="1">
        <f t="array" ref="O136">IF(AND(O$2&lt;&gt;0,TblTech[[#This Row],[Hour]:[Hour]]&gt;=O$2),1,0)</f>
        <v>0</v>
      </c>
      <c r="P136" s="298" cm="1">
        <f t="array" ref="P136">IF(AND(P$2&lt;&gt;0,TblTech[[#This Row],[Hour]:[Hour]]&gt;=P$2),1,0)</f>
        <v>0</v>
      </c>
      <c r="Q136" s="298" cm="1">
        <f t="array" ref="Q136">IF(AND(Q$2&lt;&gt;0,TblTech[[#This Row],[Hour]:[Hour]]&gt;=Q$2),1,0)</f>
        <v>0</v>
      </c>
      <c r="R136" s="298" cm="1">
        <f t="array" ref="R136">IF(AND(R$2&lt;&gt;0,TblTech[[#This Row],[Hour]:[Hour]]&gt;=R$2),1,0)</f>
        <v>0</v>
      </c>
      <c r="S136" s="298" cm="1">
        <f t="array" ref="S136">IF(AND(S$2&lt;&gt;0,TblTech[[#This Row],[Hour]:[Hour]]&gt;=S$2),1,0)</f>
        <v>0</v>
      </c>
      <c r="T136" s="298" cm="1">
        <f t="array" ref="T136">IF(AND(T$2&lt;&gt;0,TblTech[[#This Row],[Hour]:[Hour]]&gt;=T$2),1,0)</f>
        <v>0</v>
      </c>
      <c r="U136" s="298" cm="1">
        <f t="array" ref="U136">IF(AND(U$2&lt;&gt;0,TblTech[[#This Row],[Hour]:[Hour]]&gt;=U$2),1,0)</f>
        <v>0</v>
      </c>
      <c r="V136" s="298" cm="1">
        <f t="array" ref="V136">IF(AND(V$2&lt;&gt;0,TblTech[[#This Row],[Hour]:[Hour]]&gt;=V$2),1,0)</f>
        <v>0</v>
      </c>
      <c r="W136" s="298" cm="1">
        <f t="array" ref="W136">IF(AND(W$2&lt;&gt;0,TblTech[[#This Row],[Hour]:[Hour]]&gt;=W$2),1,0)</f>
        <v>0</v>
      </c>
      <c r="X136" s="298" cm="1">
        <f t="array" ref="X136">IF(AND(X$2&lt;&gt;0,TblTech[[#This Row],[Hour]:[Hour]]&gt;=X$2),1,0)</f>
        <v>0</v>
      </c>
      <c r="Y136" s="298" cm="1">
        <f t="array" ref="Y136">IF(AND(Y$2&lt;&gt;0,TblTech[[#This Row],[Hour]:[Hour]]&gt;=Y$2),1,0)</f>
        <v>0</v>
      </c>
      <c r="Z136" s="298" cm="1">
        <f t="array" ref="Z136">IF(AND(Z$2&lt;&gt;0,TblTech[[#This Row],[Hour]:[Hour]]&gt;=Z$2),1,0)</f>
        <v>0</v>
      </c>
      <c r="AA136" s="298" cm="1">
        <f t="array" ref="AA136">IF(AND(AA$2&lt;&gt;0,TblTech[[#This Row],[Hour]:[Hour]]&gt;=AA$2),1,0)</f>
        <v>0</v>
      </c>
      <c r="AB136" s="298" cm="1">
        <f t="array" ref="AB136">IF(AND(AB$2&lt;&gt;0,TblTech[[#This Row],[Hour]:[Hour]]&gt;=AB$2),1,0)</f>
        <v>0</v>
      </c>
      <c r="AC136" s="298" cm="1">
        <f t="array" ref="AC136">IF(AND(AC$2&lt;&gt;0,TblTech[[#This Row],[Hour]:[Hour]]&gt;=AC$2),1,0)</f>
        <v>0</v>
      </c>
      <c r="AD136" s="298" cm="1">
        <f t="array" ref="AD136">IF(AND(AD$2&lt;&gt;0,TblTech[[#This Row],[Hour]:[Hour]]&gt;=AD$2),1,0)</f>
        <v>0</v>
      </c>
      <c r="AE136" s="298" cm="1">
        <f t="array" ref="AE136">IF(AND(AE$2&lt;&gt;0,TblTech[[#This Row],[Hour]:[Hour]]&gt;=AE$2),1,0)</f>
        <v>0</v>
      </c>
      <c r="AF136" s="298" cm="1">
        <f t="array" ref="AF136">IF(AND(AF$2&lt;&gt;0,TblTech[[#This Row],[Hour]:[Hour]]&gt;=AF$2),1,0)</f>
        <v>0</v>
      </c>
      <c r="AG136" s="298" cm="1">
        <f t="array" ref="AG136">IF(AND(AG$2&lt;&gt;0,TblTech[[#This Row],[Hour]:[Hour]]&gt;=AG$2),1,0)</f>
        <v>0</v>
      </c>
      <c r="AH136" s="298" cm="1">
        <f t="array" ref="AH136">IF(AND(AH$2&lt;&gt;0,TblTech[[#This Row],[Hour]:[Hour]]&gt;=AH$2),1,0)</f>
        <v>0</v>
      </c>
      <c r="AI136" s="298" cm="1">
        <f t="array" ref="AI136">IF(AND(AI$2&lt;&gt;0,TblTech[[#This Row],[Hour]:[Hour]]&gt;=AI$2),1,0)</f>
        <v>0</v>
      </c>
      <c r="AJ136" s="298" cm="1">
        <f t="array" ref="AJ136">IF(AND(AJ$2&lt;&gt;0,TblTech[[#This Row],[Hour]:[Hour]]&gt;=AJ$2),1,0)</f>
        <v>0</v>
      </c>
      <c r="AK136" s="298" cm="1">
        <f t="array" ref="AK136">IF(AND(AK$2&lt;&gt;0,TblTech[[#This Row],[Hour]:[Hour]]&gt;=AK$2),1,0)</f>
        <v>0</v>
      </c>
      <c r="AL136" s="298" cm="1">
        <f t="array" ref="AL136">IF(AND(AL$2&lt;&gt;0,TblTech[[#This Row],[Hour]:[Hour]]&gt;=AL$2),1,0)</f>
        <v>0</v>
      </c>
      <c r="AM136" s="298" cm="1">
        <f t="array" ref="AM136">IF(AND(AM$2&lt;&gt;0,TblTech[[#This Row],[Hour]:[Hour]]&gt;=AM$2),1,0)</f>
        <v>0</v>
      </c>
      <c r="AN136" s="298" cm="1">
        <f t="array" ref="AN136">IF(AND(AN$2&lt;&gt;0,TblTech[[#This Row],[Hour]:[Hour]]&gt;=AN$2),1,0)</f>
        <v>0</v>
      </c>
      <c r="AO136" s="298" cm="1">
        <f t="array" ref="AO136">IF(AND(AO$2&lt;&gt;0,TblTech[[#This Row],[Hour]:[Hour]]&gt;=AO$2),1,0)</f>
        <v>0</v>
      </c>
      <c r="AP136" s="298" cm="1">
        <f t="array" ref="AP136">IF(AND(AP$2&lt;&gt;0,TblTech[[#This Row],[Hour]:[Hour]]&gt;=AP$2),1,0)</f>
        <v>0</v>
      </c>
      <c r="AQ136" s="298" cm="1">
        <f t="array" ref="AQ136">IF(AND(AQ$2&lt;&gt;0,TblTech[[#This Row],[Hour]:[Hour]]&gt;=AQ$2),1,0)</f>
        <v>0</v>
      </c>
      <c r="AR136" s="298" cm="1">
        <f t="array" ref="AR136">IF(AND(AR$2&lt;&gt;0,TblTech[[#This Row],[Hour]:[Hour]]&gt;=AR$2),1,0)</f>
        <v>0</v>
      </c>
      <c r="AS136" s="298" cm="1">
        <f t="array" ref="AS136">IF(AND(AS$2&lt;&gt;0,TblTech[[#This Row],[Hour]:[Hour]]&gt;=AS$2),1,0)</f>
        <v>0</v>
      </c>
      <c r="AT136" s="298" cm="1">
        <f t="array" ref="AT136">IF(AND(AT$2&lt;&gt;0,TblTech[[#This Row],[Hour]:[Hour]]&gt;=AT$2),1,0)</f>
        <v>0</v>
      </c>
      <c r="AU136" s="298" cm="1">
        <f t="array" ref="AU136">IF(AND(AU$2&lt;&gt;0,TblTech[[#This Row],[Hour]:[Hour]]&gt;=AU$2),1,0)</f>
        <v>0</v>
      </c>
      <c r="AV136" s="298" cm="1">
        <f t="array" ref="AV136">IF(AND(AV$2&lt;&gt;0,TblTech[[#This Row],[Hour]:[Hour]]&gt;=AV$2),1,0)</f>
        <v>0</v>
      </c>
      <c r="AW136" s="298" cm="1">
        <f t="array" ref="AW136">IF(AND(AW$2&lt;&gt;0,TblTech[[#This Row],[Hour]:[Hour]]&gt;=AW$2),1,0)</f>
        <v>0</v>
      </c>
      <c r="AX136" s="298" cm="1">
        <f t="array" ref="AX136">IF(AND(AX$2&lt;&gt;0,TblTech[[#This Row],[Hour]:[Hour]]&gt;=AX$2),1,0)</f>
        <v>0</v>
      </c>
      <c r="AY136" s="298" cm="1">
        <f t="array" ref="AY136">IF(AND(AY$2&lt;&gt;0,TblTech[[#This Row],[Hour]:[Hour]]&gt;=AY$2),1,0)</f>
        <v>0</v>
      </c>
      <c r="AZ136" s="298" cm="1">
        <f t="array" ref="AZ136">IF(AND(AZ$2&lt;&gt;0,TblTech[[#This Row],[Hour]:[Hour]]&gt;=AZ$2),1,0)</f>
        <v>0</v>
      </c>
      <c r="BA136" s="298" cm="1">
        <f t="array" ref="BA136">IF(AND(BA$2&lt;&gt;0,TblTech[[#This Row],[Hour]:[Hour]]&gt;=BA$2),1,0)</f>
        <v>0</v>
      </c>
      <c r="BB136" s="298" cm="1">
        <f t="array" ref="BB136">IF(AND(BB$2&lt;&gt;0,TblTech[[#This Row],[Hour]:[Hour]]&gt;=BB$2),1,0)</f>
        <v>0</v>
      </c>
      <c r="BC136" s="298" cm="1">
        <f t="array" ref="BC136">IF(AND(BC$2&lt;&gt;0,TblTech[[#This Row],[Hour]:[Hour]]&gt;=BC$2),1,0)</f>
        <v>0</v>
      </c>
      <c r="BD136" s="298" cm="1">
        <f t="array" ref="BD136">IF(AND(BD$2&lt;&gt;0,TblTech[[#This Row],[Hour]:[Hour]]&gt;=BD$2),1,0)</f>
        <v>0</v>
      </c>
      <c r="BE136" s="298" cm="1">
        <f t="array" ref="BE136">IF(AND(BE$2&lt;&gt;0,TblTech[[#This Row],[Hour]:[Hour]]&gt;=BE$2),1,0)</f>
        <v>0</v>
      </c>
      <c r="BF136" s="298" cm="1">
        <f t="array" ref="BF136">IF(AND(BF$2&lt;&gt;0,TblTech[[#This Row],[Hour]:[Hour]]&gt;=BF$2),1,0)</f>
        <v>0</v>
      </c>
      <c r="BG136" s="298" cm="1">
        <f t="array" ref="BG136">IF(AND(BG$2&lt;&gt;0,TblTech[[#This Row],[Hour]:[Hour]]&gt;=BG$2),1,0)</f>
        <v>0</v>
      </c>
      <c r="BH136" s="298" cm="1">
        <f t="array" ref="BH136">IF(AND(BH$2&lt;&gt;0,TblTech[[#This Row],[Hour]:[Hour]]&gt;=BH$2),1,0)</f>
        <v>0</v>
      </c>
      <c r="BI136" s="298" cm="1">
        <f t="array" ref="BI136">IF(AND(BI$2&lt;&gt;0,TblTech[[#This Row],[Hour]:[Hour]]&gt;=BI$2),1,0)</f>
        <v>0</v>
      </c>
      <c r="BJ136" s="298" cm="1">
        <f t="array" ref="BJ136">IF(AND(BJ$2&lt;&gt;0,TblTech[[#This Row],[Hour]:[Hour]]&gt;=BJ$2),1,0)</f>
        <v>0</v>
      </c>
      <c r="BK136" s="298" cm="1">
        <f t="array" ref="BK136">IF(AND(BK$2&lt;&gt;0,TblTech[[#This Row],[Hour]:[Hour]]&gt;=BK$2),1,0)</f>
        <v>0</v>
      </c>
      <c r="BL136" s="298" cm="1">
        <f t="array" ref="BL136">IF(AND(BL$2&lt;&gt;0,TblTech[[#This Row],[Hour]:[Hour]]&gt;=BL$2),1,0)</f>
        <v>0</v>
      </c>
      <c r="BM136" s="298" cm="1">
        <f t="array" ref="BM136">IF(AND(BM$2&lt;&gt;0,TblTech[[#This Row],[Hour]:[Hour]]&gt;=BM$2),1,0)</f>
        <v>0</v>
      </c>
      <c r="BN136" s="298" cm="1">
        <f t="array" ref="BN136">IF(AND(BN$2&lt;&gt;0,TblTech[[#This Row],[Hour]:[Hour]]&gt;=BN$2),1,0)</f>
        <v>0</v>
      </c>
      <c r="BO136" s="298" cm="1">
        <f t="array" ref="BO136">IF(AND(BO$2&lt;&gt;0,TblTech[[#This Row],[Hour]:[Hour]]&gt;=BO$2),1,0)</f>
        <v>0</v>
      </c>
      <c r="BP136" s="298" cm="1">
        <f t="array" ref="BP136">IF(AND(BP$2&lt;&gt;0,TblTech[[#This Row],[Hour]:[Hour]]&gt;=BP$2),1,0)</f>
        <v>0</v>
      </c>
      <c r="BQ136" s="298" cm="1">
        <f t="array" ref="BQ136">IF(AND(BQ$2&lt;&gt;0,TblTech[[#This Row],[Hour]:[Hour]]&gt;=BQ$2),1,0)</f>
        <v>0</v>
      </c>
      <c r="BR136" s="298" cm="1">
        <f t="array" ref="BR136">IF(AND(BR$2&lt;&gt;0,TblTech[[#This Row],[Hour]:[Hour]]&gt;=BR$2),1,0)</f>
        <v>0</v>
      </c>
      <c r="BS136" s="298" cm="1">
        <f t="array" ref="BS136">IF(AND(BS$2&lt;&gt;0,TblTech[[#This Row],[Hour]:[Hour]]&gt;=BS$2),1,0)</f>
        <v>0</v>
      </c>
      <c r="BT136" s="298" cm="1">
        <f t="array" ref="BT136">IF(AND(BT$2&lt;&gt;0,TblTech[[#This Row],[Hour]:[Hour]]&gt;=BT$2),1,0)</f>
        <v>0</v>
      </c>
      <c r="BU136" s="298" cm="1">
        <f t="array" ref="BU136">IF(AND(BU$2&lt;&gt;0,TblTech[[#This Row],[Hour]:[Hour]]&gt;=BU$2),1,0)</f>
        <v>0</v>
      </c>
      <c r="BV136" s="298" cm="1">
        <f t="array" ref="BV136">IF(AND(BV$2&lt;&gt;0,TblTech[[#This Row],[Hour]:[Hour]]&gt;=BV$2),1,0)</f>
        <v>0</v>
      </c>
      <c r="BW136" s="298" cm="1">
        <f t="array" ref="BW136">IF(AND(BW$2&lt;&gt;0,TblTech[[#This Row],[Hour]:[Hour]]&gt;=BW$2),1,0)</f>
        <v>0</v>
      </c>
      <c r="BX136" s="298" cm="1">
        <f t="array" ref="BX136">IF(AND(BX$2&lt;&gt;0,TblTech[[#This Row],[Hour]:[Hour]]&gt;=BX$2),1,0)</f>
        <v>0</v>
      </c>
      <c r="BY136" s="298" cm="1">
        <f t="array" ref="BY136">IF(AND(BY$2&lt;&gt;0,TblTech[[#This Row],[Hour]:[Hour]]&gt;=BY$2),1,0)</f>
        <v>0</v>
      </c>
      <c r="BZ136" s="298" cm="1">
        <f t="array" ref="BZ136">IF(AND(BZ$2&lt;&gt;0,TblTech[[#This Row],[Hour]:[Hour]]&gt;=BZ$2),1,0)</f>
        <v>0</v>
      </c>
      <c r="CA136" s="402">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1001</v>
      </c>
      <c r="Y1" s="28" t="s">
        <v>37</v>
      </c>
      <c r="Z1" s="28"/>
      <c r="AA1" s="28"/>
      <c r="AB1" s="28"/>
      <c r="AC1" s="28"/>
      <c r="AD1" s="28"/>
      <c r="AF1" s="501" t="s">
        <v>209</v>
      </c>
      <c r="AG1" s="501"/>
      <c r="AH1" s="28"/>
      <c r="AI1" s="28"/>
      <c r="AJ1" s="28"/>
      <c r="AK1" s="28"/>
      <c r="AM1" s="501" t="s">
        <v>217</v>
      </c>
      <c r="AN1" s="501"/>
      <c r="AO1" s="28"/>
      <c r="AP1" s="28"/>
      <c r="AR1" s="501" t="s">
        <v>218</v>
      </c>
      <c r="AS1" s="501"/>
      <c r="AT1" s="502"/>
      <c r="AU1" s="28"/>
      <c r="AW1" s="501" t="s">
        <v>219</v>
      </c>
      <c r="AX1" s="501"/>
      <c r="AY1" s="501"/>
      <c r="AZ1" s="28"/>
      <c r="BB1" s="501" t="s">
        <v>220</v>
      </c>
      <c r="BC1" s="501"/>
      <c r="BD1" s="501"/>
      <c r="BE1" s="501"/>
      <c r="BG1" s="501" t="s">
        <v>221</v>
      </c>
      <c r="BH1" s="501"/>
      <c r="BI1" s="501"/>
      <c r="BJ1" s="28"/>
      <c r="BL1" s="501" t="s">
        <v>222</v>
      </c>
      <c r="BM1" s="502"/>
      <c r="BN1" s="502"/>
      <c r="BO1" s="28"/>
      <c r="BQ1" s="501" t="s">
        <v>223</v>
      </c>
      <c r="BR1" s="501"/>
      <c r="BS1" s="501"/>
      <c r="BT1" s="28"/>
      <c r="BV1" s="5" t="s">
        <v>306</v>
      </c>
    </row>
    <row r="2" spans="1:84" s="5" customFormat="1" x14ac:dyDescent="0.2">
      <c r="C2" s="28"/>
      <c r="D2" s="28"/>
      <c r="E2" s="28"/>
      <c r="F2" s="28"/>
      <c r="K2" s="28"/>
      <c r="Y2" s="288" t="s">
        <v>208</v>
      </c>
      <c r="Z2" s="288" t="s">
        <v>210</v>
      </c>
      <c r="AA2" s="288" t="s">
        <v>1109</v>
      </c>
      <c r="AB2" s="288" t="s">
        <v>212</v>
      </c>
      <c r="AC2" s="288" t="s">
        <v>213</v>
      </c>
      <c r="AD2" s="288" t="s">
        <v>526</v>
      </c>
      <c r="AF2" s="288" t="s">
        <v>208</v>
      </c>
      <c r="AG2" s="288" t="s">
        <v>210</v>
      </c>
      <c r="AH2" s="288" t="s">
        <v>1109</v>
      </c>
      <c r="AI2" s="288" t="s">
        <v>212</v>
      </c>
      <c r="AJ2" s="288" t="s">
        <v>213</v>
      </c>
      <c r="AK2" s="288" t="s">
        <v>526</v>
      </c>
      <c r="AM2" s="288" t="s">
        <v>2</v>
      </c>
      <c r="AN2" s="288" t="s">
        <v>7</v>
      </c>
      <c r="AO2" s="288" t="s">
        <v>3</v>
      </c>
      <c r="AP2" s="288" t="s">
        <v>4</v>
      </c>
      <c r="AR2" s="288" t="s">
        <v>2</v>
      </c>
      <c r="AS2" s="288" t="s">
        <v>7</v>
      </c>
      <c r="AT2" s="288" t="s">
        <v>3</v>
      </c>
      <c r="AU2" s="288" t="s">
        <v>4</v>
      </c>
      <c r="AW2" s="288" t="s">
        <v>2</v>
      </c>
      <c r="AX2" s="288" t="s">
        <v>7</v>
      </c>
      <c r="AY2" s="288" t="s">
        <v>3</v>
      </c>
      <c r="AZ2" s="288" t="s">
        <v>4</v>
      </c>
      <c r="BB2" s="288" t="s">
        <v>2</v>
      </c>
      <c r="BC2" s="288" t="s">
        <v>7</v>
      </c>
      <c r="BD2" s="288" t="s">
        <v>3</v>
      </c>
      <c r="BE2" s="288" t="s">
        <v>4</v>
      </c>
      <c r="BG2" s="288" t="s">
        <v>2</v>
      </c>
      <c r="BH2" s="288" t="s">
        <v>7</v>
      </c>
      <c r="BI2" s="288" t="s">
        <v>3</v>
      </c>
      <c r="BJ2" s="288" t="s">
        <v>4</v>
      </c>
      <c r="BL2" s="288" t="s">
        <v>2</v>
      </c>
      <c r="BM2" s="288" t="s">
        <v>7</v>
      </c>
      <c r="BN2" s="288" t="s">
        <v>3</v>
      </c>
      <c r="BO2" s="288" t="s">
        <v>4</v>
      </c>
      <c r="BQ2" s="288" t="s">
        <v>2</v>
      </c>
      <c r="BR2" s="288" t="s">
        <v>7</v>
      </c>
      <c r="BS2" s="288" t="s">
        <v>3</v>
      </c>
      <c r="BT2" s="28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962</v>
      </c>
      <c r="O3" s="137" t="s">
        <v>312</v>
      </c>
      <c r="P3" s="137" t="s">
        <v>216</v>
      </c>
      <c r="Q3" s="137" t="s">
        <v>313</v>
      </c>
      <c r="R3" s="137" t="s">
        <v>963</v>
      </c>
      <c r="S3" s="137" t="s">
        <v>964</v>
      </c>
      <c r="T3" s="137" t="s">
        <v>965</v>
      </c>
      <c r="U3" s="137" t="s">
        <v>966</v>
      </c>
      <c r="V3" s="137" t="s">
        <v>967</v>
      </c>
      <c r="W3" s="137" t="s">
        <v>968</v>
      </c>
      <c r="X3" s="137" t="s">
        <v>771</v>
      </c>
      <c r="Y3" s="137" t="s">
        <v>208</v>
      </c>
      <c r="Z3" s="137" t="s">
        <v>210</v>
      </c>
      <c r="AA3" s="137" t="s">
        <v>1109</v>
      </c>
      <c r="AB3" s="137" t="s">
        <v>212</v>
      </c>
      <c r="AC3" s="137" t="s">
        <v>213</v>
      </c>
      <c r="AD3" s="137" t="s">
        <v>526</v>
      </c>
      <c r="AE3" s="137" t="s">
        <v>785</v>
      </c>
      <c r="AF3" s="137" t="s">
        <v>1031</v>
      </c>
      <c r="AG3" s="137" t="s">
        <v>931</v>
      </c>
      <c r="AH3" s="137" t="s">
        <v>1110</v>
      </c>
      <c r="AI3" s="137" t="s">
        <v>932</v>
      </c>
      <c r="AJ3" s="137" t="s">
        <v>933</v>
      </c>
      <c r="AK3" s="137" t="s">
        <v>1111</v>
      </c>
      <c r="AL3" s="137" t="s">
        <v>786</v>
      </c>
      <c r="AM3" s="257" t="s">
        <v>934</v>
      </c>
      <c r="AN3" s="257" t="s">
        <v>935</v>
      </c>
      <c r="AO3" s="257" t="s">
        <v>936</v>
      </c>
      <c r="AP3" s="257" t="s">
        <v>937</v>
      </c>
      <c r="AQ3" s="257" t="s">
        <v>787</v>
      </c>
      <c r="AR3" s="257" t="s">
        <v>938</v>
      </c>
      <c r="AS3" s="257" t="s">
        <v>939</v>
      </c>
      <c r="AT3" s="257" t="s">
        <v>940</v>
      </c>
      <c r="AU3" s="257" t="s">
        <v>941</v>
      </c>
      <c r="AV3" s="257" t="s">
        <v>861</v>
      </c>
      <c r="AW3" s="257" t="s">
        <v>942</v>
      </c>
      <c r="AX3" s="257" t="s">
        <v>943</v>
      </c>
      <c r="AY3" s="257" t="s">
        <v>944</v>
      </c>
      <c r="AZ3" s="257" t="s">
        <v>945</v>
      </c>
      <c r="BA3" s="257" t="s">
        <v>862</v>
      </c>
      <c r="BB3" s="257" t="s">
        <v>946</v>
      </c>
      <c r="BC3" s="257" t="s">
        <v>947</v>
      </c>
      <c r="BD3" s="257" t="s">
        <v>948</v>
      </c>
      <c r="BE3" s="257" t="s">
        <v>949</v>
      </c>
      <c r="BF3" s="257" t="s">
        <v>1032</v>
      </c>
      <c r="BG3" s="257" t="s">
        <v>950</v>
      </c>
      <c r="BH3" s="257" t="s">
        <v>951</v>
      </c>
      <c r="BI3" s="257" t="s">
        <v>952</v>
      </c>
      <c r="BJ3" s="257" t="s">
        <v>953</v>
      </c>
      <c r="BK3" s="257" t="s">
        <v>1033</v>
      </c>
      <c r="BL3" s="257" t="s">
        <v>954</v>
      </c>
      <c r="BM3" s="257" t="s">
        <v>955</v>
      </c>
      <c r="BN3" s="257" t="s">
        <v>956</v>
      </c>
      <c r="BO3" s="257" t="s">
        <v>957</v>
      </c>
      <c r="BP3" s="257" t="s">
        <v>1034</v>
      </c>
      <c r="BQ3" s="257" t="s">
        <v>958</v>
      </c>
      <c r="BR3" s="257" t="s">
        <v>959</v>
      </c>
      <c r="BS3" s="257" t="s">
        <v>960</v>
      </c>
      <c r="BT3" s="257" t="s">
        <v>961</v>
      </c>
      <c r="BU3" s="137" t="s">
        <v>1035</v>
      </c>
      <c r="BV3" s="304" t="s">
        <v>307</v>
      </c>
      <c r="BW3" s="137" t="s">
        <v>969</v>
      </c>
      <c r="BX3" s="137" t="s">
        <v>1036</v>
      </c>
      <c r="BY3" s="137" t="s">
        <v>970</v>
      </c>
      <c r="BZ3" s="137" t="s">
        <v>308</v>
      </c>
    </row>
    <row r="4" spans="1:84" x14ac:dyDescent="0.2">
      <c r="A4" s="224">
        <f ca="1">TblConstr[[#This Row],[Land]]</f>
        <v>250</v>
      </c>
      <c r="B4" s="144"/>
      <c r="C4" s="96">
        <f ca="1">TblProd[[#This Row],[Platinum]]</f>
        <v>120000</v>
      </c>
      <c r="D4" s="96">
        <f ca="1">TblProd[[#This Row],[Lumber]]</f>
        <v>15000</v>
      </c>
      <c r="E4" s="96">
        <f ca="1">TblProd[[#This Row],[Ore]]</f>
        <v>0</v>
      </c>
      <c r="F4" s="96">
        <f>TblProd[[#This Row],[Gems]]</f>
        <v>0</v>
      </c>
      <c r="G4" s="156"/>
      <c r="H4" s="96">
        <f ca="1">TblMili[[#This Row],[Draftees]]</f>
        <v>100</v>
      </c>
      <c r="I4" s="182">
        <f ca="1">TblPop[[#This Row],[Employment]]</f>
        <v>1</v>
      </c>
      <c r="J4" s="182">
        <f ca="1">TblPop[[#This Row],[Total]]/TblPop[[#This Row],[Net max]]</f>
        <v>0.67854113655640369</v>
      </c>
      <c r="K4" s="305">
        <f>TblRezone[[#This Row],[Hour]]</f>
        <v>1</v>
      </c>
      <c r="L4" s="306">
        <f>TblImps[[#This Row],[Real time]]</f>
        <v>45732</v>
      </c>
      <c r="M4" s="61">
        <f>IF(ISERROR(TblImps[[#This Row],[algorithm]]),0,TblImps[[#This Row],[algorithm]]*1)</f>
        <v>0</v>
      </c>
      <c r="N4" s="96">
        <f ca="1">TblImps[[#This Row],[Land]]</f>
        <v>250</v>
      </c>
      <c r="O4" s="307" t="s">
        <v>4</v>
      </c>
      <c r="P4" s="308"/>
      <c r="Q4" s="307" t="s">
        <v>208</v>
      </c>
      <c r="R4" s="307" t="s">
        <v>7</v>
      </c>
      <c r="S4" s="308"/>
      <c r="T4" s="307" t="s">
        <v>208</v>
      </c>
      <c r="U4" s="307" t="s">
        <v>3</v>
      </c>
      <c r="V4" s="308"/>
      <c r="W4" s="307" t="s">
        <v>208</v>
      </c>
      <c r="X4" s="144"/>
      <c r="Y4" s="309">
        <f ca="1">science_cap*(1-EXP(-TblImps[[#This Row],[Σ Science]]/(science_param*(OFFSET(TblImps[[#This Row],[Land]],1,0)-OFFSET(TblExplore[[#This Row],[Land Bonus]],1,0)*20)+15000)))*(1+(mason_bonus*TblConstr[[#This Row],[Tot Mas]]/TblConstr[[#This Row],[Land (2)]]))</f>
        <v>0</v>
      </c>
      <c r="Z4" s="309">
        <f ca="1">keep_cap*(1-EXP(-TblImps[[#This Row],[Σ Keep]]/(keep_param*(OFFSET(TblImps[[#This Row],[Land]],1,0)-OFFSET(TblExplore[[#This Row],[Land Bonus]],1,0)*20)+15000)))*(1+(mason_bonus*TblConstr[[#This Row],[Tot Mas]]/TblConstr[[#This Row],[Land (2)]]))</f>
        <v>0</v>
      </c>
      <c r="AA4" s="309">
        <f ca="1">harbor_towers_cap*(1-EXP(-TblImps[[#This Row],[Σ Spires]]/(towers_param*(OFFSET(TblImps[[#This Row],[Land]],1,0)-OFFSET(TblExplore[[#This Row],[Land Bonus]],1,0)*20)+15000)))*(1+(mason_bonus*TblConstr[[#This Row],[Tot Mas]]/TblConstr[[#This Row],[Land (2)]]))</f>
        <v>0</v>
      </c>
      <c r="AB4" s="309">
        <f ca="1">walls_forges_cap*(1-EXP(-TblImps[[#This Row],[Σ Forges]]/(walls_forges_param*(OFFSET(TblImps[[#This Row],[Land]],1,0)-OFFSET(TblExplore[[#This Row],[Land Bonus]],1,0)*20)+15000)))*(1+(mason_bonus*TblConstr[[#This Row],[Tot Mas]]/TblConstr[[#This Row],[Land (2)]]))</f>
        <v>0</v>
      </c>
      <c r="AC4" s="309">
        <f ca="1">walls_forges_cap*(1-EXP(-TblImps[[#This Row],[Σ Walls]]/(walls_forges_param*(OFFSET(TblImps[[#This Row],[Land]],1,0)-OFFSET(TblExplore[[#This Row],[Land Bonus]],1,0)*20)+15000)))*(1+(mason_bonus*TblConstr[[#This Row],[Tot Mas]]/TblConstr[[#This Row],[Land (2)]]))</f>
        <v>0</v>
      </c>
      <c r="AD4" s="309">
        <f ca="1">harbor_towers_cap*(1-EXP(-TblImps[[#This Row],[Σ Harbor]]/(harbor_towers_param*(OFFSET(TblImps[[#This Row],[Land]],1,0)-OFFSET(TblExplore[[#This Row],[Land Bonus]],1,0)*20)+15000)))*(1+(mason_bonus*TblConstr[[#This Row],[Tot Mas]]/TblConstr[[#This Row],[Land (2)]]))</f>
        <v>0</v>
      </c>
      <c r="AE4" s="144"/>
      <c r="AF4" s="310">
        <f>(1+Overview!$I$28)*SUM(TblImps[[#This Row],[P2]:[G2]])</f>
        <v>0</v>
      </c>
      <c r="AG4" s="310">
        <f>(1+Overview!$I$28)*SUM(TblImps[[#This Row],[P3]:[G3]])</f>
        <v>0</v>
      </c>
      <c r="AH4" s="310">
        <f>(1+Overview!$I$28 + tech_7_1*TblTech[[#This Row],[7-1]])*SUM(TblImps[[#This Row],[P4]:[G4]])</f>
        <v>0</v>
      </c>
      <c r="AI4" s="310">
        <f>(1+Overview!$I$28)*SUM(TblImps[[#This Row],[P5]:[G5]])</f>
        <v>0</v>
      </c>
      <c r="AJ4" s="310">
        <f>(1+Overview!$I$28)*SUM(TblImps[[#This Row],[P6]:[G6]])</f>
        <v>0</v>
      </c>
      <c r="AK4" s="31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311">
        <f>Overview!E15</f>
        <v>45732</v>
      </c>
      <c r="BZ4" s="312">
        <f>Overview!B15</f>
        <v>45732</v>
      </c>
      <c r="CA4" s="57"/>
      <c r="CB4" s="313"/>
      <c r="CC4" s="314"/>
    </row>
    <row r="5" spans="1:84" x14ac:dyDescent="0.2">
      <c r="A5" s="224">
        <f ca="1">TblConstr[[#This Row],[Land]]</f>
        <v>250</v>
      </c>
      <c r="B5" s="144"/>
      <c r="C5" s="96">
        <f ca="1">TblProd[[#This Row],[Platinum]]</f>
        <v>124860</v>
      </c>
      <c r="D5" s="96">
        <f ca="1">TblProd[[#This Row],[Lumber]]</f>
        <v>15850</v>
      </c>
      <c r="E5" s="96">
        <f ca="1">TblProd[[#This Row],[Ore]]</f>
        <v>0</v>
      </c>
      <c r="F5" s="96">
        <f ca="1">TblProd[[#This Row],[Gems]]</f>
        <v>0</v>
      </c>
      <c r="G5" s="156"/>
      <c r="H5" s="96">
        <f ca="1">TblMili[[#This Row],[Draftees]]</f>
        <v>113</v>
      </c>
      <c r="I5" s="182">
        <f ca="1">TblPop[[#This Row],[Employment]]</f>
        <v>1</v>
      </c>
      <c r="J5" s="182">
        <f ca="1">TblPop[[#This Row],[Total]]/TblPop[[#This Row],[Net max]]</f>
        <v>0.69508057675996604</v>
      </c>
      <c r="K5" s="305">
        <f>TblRezone[[#This Row],[Hour]]</f>
        <v>2</v>
      </c>
      <c r="L5" s="306">
        <f ca="1">TblImps[[#This Row],[Real time]]</f>
        <v>45732.041666666664</v>
      </c>
      <c r="M5" s="61">
        <f>IF(ISERROR(TblImps[[#This Row],[algorithm]]),0,TblImps[[#This Row],[algorithm]]*1)</f>
        <v>0</v>
      </c>
      <c r="N5" s="96">
        <f ca="1">TblImps[[#This Row],[Land]]</f>
        <v>250</v>
      </c>
      <c r="O5" s="307" t="s">
        <v>4</v>
      </c>
      <c r="P5" s="308"/>
      <c r="Q5" s="307" t="s">
        <v>210</v>
      </c>
      <c r="R5" s="307" t="s">
        <v>7</v>
      </c>
      <c r="S5" s="308"/>
      <c r="T5" s="307" t="s">
        <v>210</v>
      </c>
      <c r="U5" s="307" t="s">
        <v>3</v>
      </c>
      <c r="V5" s="308"/>
      <c r="W5" s="307" t="s">
        <v>210</v>
      </c>
      <c r="X5" s="144"/>
      <c r="Y5" s="309">
        <f ca="1">science_cap*(1-EXP(-TblImps[[#This Row],[Σ Science]]/(science_param*(OFFSET(TblImps[[#This Row],[Land]],1,0)-OFFSET(TblExplore[[#This Row],[Land Bonus]],1,0)*20)+15000)))*(1+(mason_bonus*TblConstr[[#This Row],[Tot Mas]]/TblConstr[[#This Row],[Land (2)]]))</f>
        <v>0</v>
      </c>
      <c r="Z5" s="309">
        <f ca="1">keep_cap*(1-EXP(-TblImps[[#This Row],[Σ Keep]]/(keep_param*(OFFSET(TblImps[[#This Row],[Land]],1,0)-OFFSET(TblExplore[[#This Row],[Land Bonus]],1,0)*20)+15000)))*(1+(mason_bonus*TblConstr[[#This Row],[Tot Mas]]/TblConstr[[#This Row],[Land (2)]]))</f>
        <v>0</v>
      </c>
      <c r="AA5" s="309">
        <f ca="1">harbor_towers_cap*(1-EXP(-TblImps[[#This Row],[Σ Spires]]/(towers_param*(OFFSET(TblImps[[#This Row],[Land]],1,0)-OFFSET(TblExplore[[#This Row],[Land Bonus]],1,0)*20)+15000)))*(1+(mason_bonus*TblConstr[[#This Row],[Tot Mas]]/TblConstr[[#This Row],[Land (2)]]))</f>
        <v>0</v>
      </c>
      <c r="AB5" s="309">
        <f ca="1">walls_forges_cap*(1-EXP(-TblImps[[#This Row],[Σ Forges]]/(walls_forges_param*(OFFSET(TblImps[[#This Row],[Land]],1,0)-OFFSET(TblExplore[[#This Row],[Land Bonus]],1,0)*20)+15000)))*(1+(mason_bonus*TblConstr[[#This Row],[Tot Mas]]/TblConstr[[#This Row],[Land (2)]]))</f>
        <v>0</v>
      </c>
      <c r="AC5" s="309">
        <f ca="1">walls_forges_cap*(1-EXP(-TblImps[[#This Row],[Σ Walls]]/(walls_forges_param*(OFFSET(TblImps[[#This Row],[Land]],1,0)-OFFSET(TblExplore[[#This Row],[Land Bonus]],1,0)*20)+15000)))*(1+(mason_bonus*TblConstr[[#This Row],[Tot Mas]]/TblConstr[[#This Row],[Land (2)]]))</f>
        <v>0</v>
      </c>
      <c r="AD5" s="30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315">
        <f ca="1">OFFSET(TblImps[[#This Row],[Real time]],-1,0)+1/24</f>
        <v>45732.041666666664</v>
      </c>
      <c r="BZ5" s="316">
        <f ca="1">OFFSET(TblImps[[#This Row],[Servertime]],-1,0)+1/24</f>
        <v>45732.041666666664</v>
      </c>
      <c r="CA5" s="57"/>
      <c r="CB5" s="314"/>
      <c r="CC5" s="314"/>
    </row>
    <row r="6" spans="1:84" x14ac:dyDescent="0.2">
      <c r="A6" s="224">
        <f ca="1">TblConstr[[#This Row],[Land]]</f>
        <v>250</v>
      </c>
      <c r="B6" s="144"/>
      <c r="C6" s="96">
        <f ca="1">TblProd[[#This Row],[Platinum]]</f>
        <v>129790</v>
      </c>
      <c r="D6" s="96">
        <f ca="1">TblProd[[#This Row],[Lumber]]</f>
        <v>16692</v>
      </c>
      <c r="E6" s="96">
        <f ca="1">TblProd[[#This Row],[Ore]]</f>
        <v>0</v>
      </c>
      <c r="F6" s="96">
        <f ca="1">TblProd[[#This Row],[Gems]]</f>
        <v>0</v>
      </c>
      <c r="G6" s="156"/>
      <c r="H6" s="96">
        <f ca="1">TblMili[[#This Row],[Draftees]]</f>
        <v>126</v>
      </c>
      <c r="I6" s="182">
        <f ca="1">TblPop[[#This Row],[Employment]]</f>
        <v>1</v>
      </c>
      <c r="J6" s="182">
        <f ca="1">TblPop[[#This Row],[Total]]/TblPop[[#This Row],[Net max]]</f>
        <v>0.71162001696352839</v>
      </c>
      <c r="K6" s="305">
        <f>TblRezone[[#This Row],[Hour]]</f>
        <v>3</v>
      </c>
      <c r="L6" s="306">
        <f ca="1">TblImps[[#This Row],[Real time]]</f>
        <v>45732.083333333328</v>
      </c>
      <c r="M6" s="61">
        <f>IF(ISERROR(TblImps[[#This Row],[algorithm]]),0,TblImps[[#This Row],[algorithm]]*1)</f>
        <v>0</v>
      </c>
      <c r="N6" s="96">
        <f ca="1">TblImps[[#This Row],[Land]]</f>
        <v>250</v>
      </c>
      <c r="O6" s="307" t="s">
        <v>4</v>
      </c>
      <c r="P6" s="308"/>
      <c r="Q6" s="307" t="s">
        <v>210</v>
      </c>
      <c r="R6" s="307" t="s">
        <v>7</v>
      </c>
      <c r="S6" s="308"/>
      <c r="T6" s="307" t="s">
        <v>210</v>
      </c>
      <c r="U6" s="307" t="s">
        <v>3</v>
      </c>
      <c r="V6" s="308"/>
      <c r="W6" s="307" t="s">
        <v>210</v>
      </c>
      <c r="X6" s="144"/>
      <c r="Y6" s="309">
        <f ca="1">science_cap*(1-EXP(-TblImps[[#This Row],[Σ Science]]/(science_param*(OFFSET(TblImps[[#This Row],[Land]],1,0)-OFFSET(TblExplore[[#This Row],[Land Bonus]],1,0)*20)+15000)))*(1+(mason_bonus*TblConstr[[#This Row],[Tot Mas]]/TblConstr[[#This Row],[Land (2)]]))</f>
        <v>0</v>
      </c>
      <c r="Z6" s="309">
        <f ca="1">keep_cap*(1-EXP(-TblImps[[#This Row],[Σ Keep]]/(keep_param*(OFFSET(TblImps[[#This Row],[Land]],1,0)-OFFSET(TblExplore[[#This Row],[Land Bonus]],1,0)*20)+15000)))*(1+(mason_bonus*TblConstr[[#This Row],[Tot Mas]]/TblConstr[[#This Row],[Land (2)]]))</f>
        <v>0</v>
      </c>
      <c r="AA6" s="309">
        <f ca="1">harbor_towers_cap*(1-EXP(-TblImps[[#This Row],[Σ Spires]]/(towers_param*(OFFSET(TblImps[[#This Row],[Land]],1,0)-OFFSET(TblExplore[[#This Row],[Land Bonus]],1,0)*20)+15000)))*(1+(mason_bonus*TblConstr[[#This Row],[Tot Mas]]/TblConstr[[#This Row],[Land (2)]]))</f>
        <v>0</v>
      </c>
      <c r="AB6" s="309">
        <f ca="1">walls_forges_cap*(1-EXP(-TblImps[[#This Row],[Σ Forges]]/(walls_forges_param*(OFFSET(TblImps[[#This Row],[Land]],1,0)-OFFSET(TblExplore[[#This Row],[Land Bonus]],1,0)*20)+15000)))*(1+(mason_bonus*TblConstr[[#This Row],[Tot Mas]]/TblConstr[[#This Row],[Land (2)]]))</f>
        <v>0</v>
      </c>
      <c r="AC6" s="309">
        <f ca="1">walls_forges_cap*(1-EXP(-TblImps[[#This Row],[Σ Walls]]/(walls_forges_param*(OFFSET(TblImps[[#This Row],[Land]],1,0)-OFFSET(TblExplore[[#This Row],[Land Bonus]],1,0)*20)+15000)))*(1+(mason_bonus*TblConstr[[#This Row],[Tot Mas]]/TblConstr[[#This Row],[Land (2)]]))</f>
        <v>0</v>
      </c>
      <c r="AD6" s="30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315">
        <f ca="1">OFFSET(TblImps[[#This Row],[Real time]],-1,0)+1/24</f>
        <v>45732.083333333328</v>
      </c>
      <c r="BZ6" s="316">
        <f ca="1">OFFSET(TblImps[[#This Row],[Servertime]],-1,0)+1/24</f>
        <v>45732.083333333328</v>
      </c>
      <c r="CA6" s="57"/>
      <c r="CB6" s="314"/>
      <c r="CC6" s="314"/>
      <c r="CF6" s="317"/>
    </row>
    <row r="7" spans="1:84" x14ac:dyDescent="0.2">
      <c r="A7" s="224">
        <f ca="1">TblConstr[[#This Row],[Land]]</f>
        <v>250</v>
      </c>
      <c r="B7" s="144"/>
      <c r="C7" s="96">
        <f ca="1">TblProd[[#This Row],[Platinum]]</f>
        <v>134790</v>
      </c>
      <c r="D7" s="96">
        <f ca="1">TblProd[[#This Row],[Lumber]]</f>
        <v>17525</v>
      </c>
      <c r="E7" s="96">
        <f ca="1">TblProd[[#This Row],[Ore]]</f>
        <v>0</v>
      </c>
      <c r="F7" s="96">
        <f ca="1">TblProd[[#This Row],[Gems]]</f>
        <v>0</v>
      </c>
      <c r="G7" s="156"/>
      <c r="H7" s="96">
        <f ca="1">TblMili[[#This Row],[Draftees]]</f>
        <v>140</v>
      </c>
      <c r="I7" s="182">
        <f ca="1">TblPop[[#This Row],[Employment]]</f>
        <v>1</v>
      </c>
      <c r="J7" s="182">
        <f ca="1">TblPop[[#This Row],[Total]]/TblPop[[#This Row],[Net max]]</f>
        <v>0.72858354537743852</v>
      </c>
      <c r="K7" s="305">
        <f>TblRezone[[#This Row],[Hour]]</f>
        <v>4</v>
      </c>
      <c r="L7" s="306">
        <f ca="1">TblImps[[#This Row],[Real time]]</f>
        <v>45732.124999999993</v>
      </c>
      <c r="M7" s="61">
        <f>IF(ISERROR(TblImps[[#This Row],[algorithm]]),0,TblImps[[#This Row],[algorithm]]*1)</f>
        <v>0</v>
      </c>
      <c r="N7" s="96">
        <f ca="1">TblImps[[#This Row],[Land]]</f>
        <v>250</v>
      </c>
      <c r="O7" s="307" t="s">
        <v>4</v>
      </c>
      <c r="P7" s="308"/>
      <c r="Q7" s="307" t="s">
        <v>210</v>
      </c>
      <c r="R7" s="307" t="s">
        <v>7</v>
      </c>
      <c r="S7" s="308"/>
      <c r="T7" s="307" t="s">
        <v>210</v>
      </c>
      <c r="U7" s="307" t="s">
        <v>3</v>
      </c>
      <c r="V7" s="308"/>
      <c r="W7" s="307" t="s">
        <v>210</v>
      </c>
      <c r="X7" s="144"/>
      <c r="Y7" s="309">
        <f ca="1">science_cap*(1-EXP(-TblImps[[#This Row],[Σ Science]]/(science_param*(OFFSET(TblImps[[#This Row],[Land]],1,0)-OFFSET(TblExplore[[#This Row],[Land Bonus]],1,0)*20)+15000)))*(1+(mason_bonus*TblConstr[[#This Row],[Tot Mas]]/TblConstr[[#This Row],[Land (2)]]))</f>
        <v>0</v>
      </c>
      <c r="Z7" s="309">
        <f ca="1">keep_cap*(1-EXP(-TblImps[[#This Row],[Σ Keep]]/(keep_param*(OFFSET(TblImps[[#This Row],[Land]],1,0)-OFFSET(TblExplore[[#This Row],[Land Bonus]],1,0)*20)+15000)))*(1+(mason_bonus*TblConstr[[#This Row],[Tot Mas]]/TblConstr[[#This Row],[Land (2)]]))</f>
        <v>0</v>
      </c>
      <c r="AA7" s="309">
        <f ca="1">harbor_towers_cap*(1-EXP(-TblImps[[#This Row],[Σ Spires]]/(towers_param*(OFFSET(TblImps[[#This Row],[Land]],1,0)-OFFSET(TblExplore[[#This Row],[Land Bonus]],1,0)*20)+15000)))*(1+(mason_bonus*TblConstr[[#This Row],[Tot Mas]]/TblConstr[[#This Row],[Land (2)]]))</f>
        <v>0</v>
      </c>
      <c r="AB7" s="309">
        <f ca="1">walls_forges_cap*(1-EXP(-TblImps[[#This Row],[Σ Forges]]/(walls_forges_param*(OFFSET(TblImps[[#This Row],[Land]],1,0)-OFFSET(TblExplore[[#This Row],[Land Bonus]],1,0)*20)+15000)))*(1+(mason_bonus*TblConstr[[#This Row],[Tot Mas]]/TblConstr[[#This Row],[Land (2)]]))</f>
        <v>0</v>
      </c>
      <c r="AC7" s="309">
        <f ca="1">walls_forges_cap*(1-EXP(-TblImps[[#This Row],[Σ Walls]]/(walls_forges_param*(OFFSET(TblImps[[#This Row],[Land]],1,0)-OFFSET(TblExplore[[#This Row],[Land Bonus]],1,0)*20)+15000)))*(1+(mason_bonus*TblConstr[[#This Row],[Tot Mas]]/TblConstr[[#This Row],[Land (2)]]))</f>
        <v>0</v>
      </c>
      <c r="AD7" s="30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315">
        <f ca="1">OFFSET(TblImps[[#This Row],[Real time]],-1,0)+1/24</f>
        <v>45732.124999999993</v>
      </c>
      <c r="BZ7" s="316">
        <f ca="1">OFFSET(TblImps[[#This Row],[Servertime]],-1,0)+1/24</f>
        <v>45732.124999999993</v>
      </c>
      <c r="CA7" s="57"/>
      <c r="CB7" s="314"/>
      <c r="CC7" s="314"/>
      <c r="CF7" s="318"/>
    </row>
    <row r="8" spans="1:84" x14ac:dyDescent="0.2">
      <c r="A8" s="224">
        <f ca="1">TblConstr[[#This Row],[Land]]</f>
        <v>250</v>
      </c>
      <c r="B8" s="144"/>
      <c r="C8" s="96">
        <f ca="1">TblProd[[#This Row],[Platinum]]</f>
        <v>139860</v>
      </c>
      <c r="D8" s="96">
        <f ca="1">TblProd[[#This Row],[Lumber]]</f>
        <v>18350</v>
      </c>
      <c r="E8" s="96">
        <f ca="1">TblProd[[#This Row],[Ore]]</f>
        <v>0</v>
      </c>
      <c r="F8" s="96">
        <f ca="1">TblProd[[#This Row],[Gems]]</f>
        <v>0</v>
      </c>
      <c r="G8" s="156"/>
      <c r="H8" s="96">
        <f ca="1">TblMili[[#This Row],[Draftees]]</f>
        <v>154</v>
      </c>
      <c r="I8" s="182">
        <f ca="1">TblPop[[#This Row],[Employment]]</f>
        <v>1</v>
      </c>
      <c r="J8" s="182">
        <f ca="1">TblPop[[#This Row],[Total]]/TblPop[[#This Row],[Net max]]</f>
        <v>0.74597116200169633</v>
      </c>
      <c r="K8" s="305">
        <f>TblRezone[[#This Row],[Hour]]</f>
        <v>5</v>
      </c>
      <c r="L8" s="306">
        <f ca="1">TblImps[[#This Row],[Real time]]</f>
        <v>45732.166666666657</v>
      </c>
      <c r="M8" s="61">
        <f>IF(ISERROR(TblImps[[#This Row],[algorithm]]),0,TblImps[[#This Row],[algorithm]]*1)</f>
        <v>0</v>
      </c>
      <c r="N8" s="96">
        <f ca="1">TblImps[[#This Row],[Land]]</f>
        <v>250</v>
      </c>
      <c r="O8" s="307" t="s">
        <v>4</v>
      </c>
      <c r="P8" s="308"/>
      <c r="Q8" s="307" t="s">
        <v>210</v>
      </c>
      <c r="R8" s="307" t="s">
        <v>7</v>
      </c>
      <c r="S8" s="308"/>
      <c r="T8" s="307" t="s">
        <v>210</v>
      </c>
      <c r="U8" s="307" t="s">
        <v>3</v>
      </c>
      <c r="V8" s="308"/>
      <c r="W8" s="307" t="s">
        <v>210</v>
      </c>
      <c r="X8" s="144"/>
      <c r="Y8" s="309">
        <f ca="1">science_cap*(1-EXP(-TblImps[[#This Row],[Σ Science]]/(science_param*(OFFSET(TblImps[[#This Row],[Land]],1,0)-OFFSET(TblExplore[[#This Row],[Land Bonus]],1,0)*20)+15000)))*(1+(mason_bonus*TblConstr[[#This Row],[Tot Mas]]/TblConstr[[#This Row],[Land (2)]]))</f>
        <v>0</v>
      </c>
      <c r="Z8" s="309">
        <f ca="1">keep_cap*(1-EXP(-TblImps[[#This Row],[Σ Keep]]/(keep_param*(OFFSET(TblImps[[#This Row],[Land]],1,0)-OFFSET(TblExplore[[#This Row],[Land Bonus]],1,0)*20)+15000)))*(1+(mason_bonus*TblConstr[[#This Row],[Tot Mas]]/TblConstr[[#This Row],[Land (2)]]))</f>
        <v>0</v>
      </c>
      <c r="AA8" s="309">
        <f ca="1">harbor_towers_cap*(1-EXP(-TblImps[[#This Row],[Σ Spires]]/(towers_param*(OFFSET(TblImps[[#This Row],[Land]],1,0)-OFFSET(TblExplore[[#This Row],[Land Bonus]],1,0)*20)+15000)))*(1+(mason_bonus*TblConstr[[#This Row],[Tot Mas]]/TblConstr[[#This Row],[Land (2)]]))</f>
        <v>0</v>
      </c>
      <c r="AB8" s="309">
        <f ca="1">walls_forges_cap*(1-EXP(-TblImps[[#This Row],[Σ Forges]]/(walls_forges_param*(OFFSET(TblImps[[#This Row],[Land]],1,0)-OFFSET(TblExplore[[#This Row],[Land Bonus]],1,0)*20)+15000)))*(1+(mason_bonus*TblConstr[[#This Row],[Tot Mas]]/TblConstr[[#This Row],[Land (2)]]))</f>
        <v>0</v>
      </c>
      <c r="AC8" s="309">
        <f ca="1">walls_forges_cap*(1-EXP(-TblImps[[#This Row],[Σ Walls]]/(walls_forges_param*(OFFSET(TblImps[[#This Row],[Land]],1,0)-OFFSET(TblExplore[[#This Row],[Land Bonus]],1,0)*20)+15000)))*(1+(mason_bonus*TblConstr[[#This Row],[Tot Mas]]/TblConstr[[#This Row],[Land (2)]]))</f>
        <v>0</v>
      </c>
      <c r="AD8" s="30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315">
        <f ca="1">OFFSET(TblImps[[#This Row],[Real time]],-1,0)+1/24</f>
        <v>45732.166666666657</v>
      </c>
      <c r="BZ8" s="316">
        <f ca="1">OFFSET(TblImps[[#This Row],[Servertime]],-1,0)+1/24</f>
        <v>45732.166666666657</v>
      </c>
      <c r="CA8" s="57"/>
      <c r="CB8" s="314"/>
      <c r="CC8" s="314"/>
      <c r="CF8" s="317"/>
    </row>
    <row r="9" spans="1:84" x14ac:dyDescent="0.2">
      <c r="A9" s="224">
        <f ca="1">TblConstr[[#This Row],[Land]]</f>
        <v>250</v>
      </c>
      <c r="B9" s="144"/>
      <c r="C9" s="96">
        <f ca="1">TblProd[[#This Row],[Platinum]]</f>
        <v>145003</v>
      </c>
      <c r="D9" s="96">
        <f ca="1">TblProd[[#This Row],[Lumber]]</f>
        <v>19167</v>
      </c>
      <c r="E9" s="96">
        <f ca="1">TblProd[[#This Row],[Ore]]</f>
        <v>0</v>
      </c>
      <c r="F9" s="96">
        <f ca="1">TblProd[[#This Row],[Gems]]</f>
        <v>0</v>
      </c>
      <c r="G9" s="156"/>
      <c r="H9" s="96">
        <f ca="1">TblMili[[#This Row],[Draftees]]</f>
        <v>168</v>
      </c>
      <c r="I9" s="182">
        <f ca="1">TblPop[[#This Row],[Employment]]</f>
        <v>1</v>
      </c>
      <c r="J9" s="182">
        <f ca="1">TblPop[[#This Row],[Total]]/TblPop[[#This Row],[Net max]]</f>
        <v>0.76378286683630192</v>
      </c>
      <c r="K9" s="305">
        <f>TblRezone[[#This Row],[Hour]]</f>
        <v>6</v>
      </c>
      <c r="L9" s="306">
        <f ca="1">TblImps[[#This Row],[Real time]]</f>
        <v>45732.208333333321</v>
      </c>
      <c r="M9" s="61">
        <f>IF(ISERROR(TblImps[[#This Row],[algorithm]]),0,TblImps[[#This Row],[algorithm]]*1)</f>
        <v>0</v>
      </c>
      <c r="N9" s="96">
        <f ca="1">TblImps[[#This Row],[Land]]</f>
        <v>250</v>
      </c>
      <c r="O9" s="307" t="s">
        <v>4</v>
      </c>
      <c r="P9" s="308"/>
      <c r="Q9" s="307" t="s">
        <v>210</v>
      </c>
      <c r="R9" s="307" t="s">
        <v>7</v>
      </c>
      <c r="S9" s="308"/>
      <c r="T9" s="307" t="s">
        <v>210</v>
      </c>
      <c r="U9" s="307" t="s">
        <v>3</v>
      </c>
      <c r="V9" s="308"/>
      <c r="W9" s="307" t="s">
        <v>210</v>
      </c>
      <c r="X9" s="144"/>
      <c r="Y9" s="309">
        <f ca="1">science_cap*(1-EXP(-TblImps[[#This Row],[Σ Science]]/(science_param*(OFFSET(TblImps[[#This Row],[Land]],1,0)-OFFSET(TblExplore[[#This Row],[Land Bonus]],1,0)*20)+15000)))*(1+(mason_bonus*TblConstr[[#This Row],[Tot Mas]]/TblConstr[[#This Row],[Land (2)]]))</f>
        <v>0</v>
      </c>
      <c r="Z9" s="309">
        <f ca="1">keep_cap*(1-EXP(-TblImps[[#This Row],[Σ Keep]]/(keep_param*(OFFSET(TblImps[[#This Row],[Land]],1,0)-OFFSET(TblExplore[[#This Row],[Land Bonus]],1,0)*20)+15000)))*(1+(mason_bonus*TblConstr[[#This Row],[Tot Mas]]/TblConstr[[#This Row],[Land (2)]]))</f>
        <v>0</v>
      </c>
      <c r="AA9" s="309">
        <f ca="1">harbor_towers_cap*(1-EXP(-TblImps[[#This Row],[Σ Spires]]/(towers_param*(OFFSET(TblImps[[#This Row],[Land]],1,0)-OFFSET(TblExplore[[#This Row],[Land Bonus]],1,0)*20)+15000)))*(1+(mason_bonus*TblConstr[[#This Row],[Tot Mas]]/TblConstr[[#This Row],[Land (2)]]))</f>
        <v>0</v>
      </c>
      <c r="AB9" s="309">
        <f ca="1">walls_forges_cap*(1-EXP(-TblImps[[#This Row],[Σ Forges]]/(walls_forges_param*(OFFSET(TblImps[[#This Row],[Land]],1,0)-OFFSET(TblExplore[[#This Row],[Land Bonus]],1,0)*20)+15000)))*(1+(mason_bonus*TblConstr[[#This Row],[Tot Mas]]/TblConstr[[#This Row],[Land (2)]]))</f>
        <v>0</v>
      </c>
      <c r="AC9" s="309">
        <f ca="1">walls_forges_cap*(1-EXP(-TblImps[[#This Row],[Σ Walls]]/(walls_forges_param*(OFFSET(TblImps[[#This Row],[Land]],1,0)-OFFSET(TblExplore[[#This Row],[Land Bonus]],1,0)*20)+15000)))*(1+(mason_bonus*TblConstr[[#This Row],[Tot Mas]]/TblConstr[[#This Row],[Land (2)]]))</f>
        <v>0</v>
      </c>
      <c r="AD9" s="30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315">
        <f ca="1">OFFSET(TblImps[[#This Row],[Real time]],-1,0)+1/24</f>
        <v>45732.208333333321</v>
      </c>
      <c r="BZ9" s="316">
        <f ca="1">OFFSET(TblImps[[#This Row],[Servertime]],-1,0)+1/24</f>
        <v>45732.208333333321</v>
      </c>
      <c r="CA9" s="57"/>
      <c r="CB9" s="314"/>
      <c r="CC9" s="314"/>
      <c r="CF9" s="317"/>
    </row>
    <row r="10" spans="1:84" x14ac:dyDescent="0.2">
      <c r="A10" s="224">
        <f ca="1">TblConstr[[#This Row],[Land]]</f>
        <v>250</v>
      </c>
      <c r="B10" s="144"/>
      <c r="C10" s="96">
        <f ca="1">TblProd[[#This Row],[Platinum]]</f>
        <v>150222</v>
      </c>
      <c r="D10" s="96">
        <f ca="1">TblProd[[#This Row],[Lumber]]</f>
        <v>19975</v>
      </c>
      <c r="E10" s="96">
        <f ca="1">TblProd[[#This Row],[Ore]]</f>
        <v>0</v>
      </c>
      <c r="F10" s="96">
        <f ca="1">TblProd[[#This Row],[Gems]]</f>
        <v>0</v>
      </c>
      <c r="G10" s="156"/>
      <c r="H10" s="96">
        <f ca="1">TblMili[[#This Row],[Draftees]]</f>
        <v>182</v>
      </c>
      <c r="I10" s="182">
        <f ca="1">TblPop[[#This Row],[Employment]]</f>
        <v>1</v>
      </c>
      <c r="J10" s="182">
        <f ca="1">TblPop[[#This Row],[Total]]/TblPop[[#This Row],[Net max]]</f>
        <v>0.7820186598812553</v>
      </c>
      <c r="K10" s="305">
        <f>TblRezone[[#This Row],[Hour]]</f>
        <v>7</v>
      </c>
      <c r="L10" s="306">
        <f ca="1">TblImps[[#This Row],[Real time]]</f>
        <v>45732.249999999985</v>
      </c>
      <c r="M10" s="61">
        <f>IF(ISERROR(TblImps[[#This Row],[algorithm]]),0,TblImps[[#This Row],[algorithm]]*1)</f>
        <v>0</v>
      </c>
      <c r="N10" s="96">
        <f ca="1">TblImps[[#This Row],[Land]]</f>
        <v>250</v>
      </c>
      <c r="O10" s="307" t="s">
        <v>4</v>
      </c>
      <c r="P10" s="308"/>
      <c r="Q10" s="307" t="s">
        <v>210</v>
      </c>
      <c r="R10" s="307" t="s">
        <v>7</v>
      </c>
      <c r="S10" s="308"/>
      <c r="T10" s="307" t="s">
        <v>210</v>
      </c>
      <c r="U10" s="307" t="s">
        <v>3</v>
      </c>
      <c r="V10" s="308"/>
      <c r="W10" s="307" t="s">
        <v>210</v>
      </c>
      <c r="X10" s="144"/>
      <c r="Y10" s="309">
        <f ca="1">science_cap*(1-EXP(-TblImps[[#This Row],[Σ Science]]/(science_param*(OFFSET(TblImps[[#This Row],[Land]],1,0)-OFFSET(TblExplore[[#This Row],[Land Bonus]],1,0)*20)+15000)))*(1+(mason_bonus*TblConstr[[#This Row],[Tot Mas]]/TblConstr[[#This Row],[Land (2)]]))</f>
        <v>0</v>
      </c>
      <c r="Z10" s="309">
        <f ca="1">keep_cap*(1-EXP(-TblImps[[#This Row],[Σ Keep]]/(keep_param*(OFFSET(TblImps[[#This Row],[Land]],1,0)-OFFSET(TblExplore[[#This Row],[Land Bonus]],1,0)*20)+15000)))*(1+(mason_bonus*TblConstr[[#This Row],[Tot Mas]]/TblConstr[[#This Row],[Land (2)]]))</f>
        <v>0</v>
      </c>
      <c r="AA10" s="309">
        <f ca="1">harbor_towers_cap*(1-EXP(-TblImps[[#This Row],[Σ Spires]]/(towers_param*(OFFSET(TblImps[[#This Row],[Land]],1,0)-OFFSET(TblExplore[[#This Row],[Land Bonus]],1,0)*20)+15000)))*(1+(mason_bonus*TblConstr[[#This Row],[Tot Mas]]/TblConstr[[#This Row],[Land (2)]]))</f>
        <v>0</v>
      </c>
      <c r="AB10" s="309">
        <f ca="1">walls_forges_cap*(1-EXP(-TblImps[[#This Row],[Σ Forges]]/(walls_forges_param*(OFFSET(TblImps[[#This Row],[Land]],1,0)-OFFSET(TblExplore[[#This Row],[Land Bonus]],1,0)*20)+15000)))*(1+(mason_bonus*TblConstr[[#This Row],[Tot Mas]]/TblConstr[[#This Row],[Land (2)]]))</f>
        <v>0</v>
      </c>
      <c r="AC10" s="309">
        <f ca="1">walls_forges_cap*(1-EXP(-TblImps[[#This Row],[Σ Walls]]/(walls_forges_param*(OFFSET(TblImps[[#This Row],[Land]],1,0)-OFFSET(TblExplore[[#This Row],[Land Bonus]],1,0)*20)+15000)))*(1+(mason_bonus*TblConstr[[#This Row],[Tot Mas]]/TblConstr[[#This Row],[Land (2)]]))</f>
        <v>0</v>
      </c>
      <c r="AD10" s="30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315">
        <f ca="1">OFFSET(TblImps[[#This Row],[Real time]],-1,0)+1/24</f>
        <v>45732.249999999985</v>
      </c>
      <c r="BZ10" s="316">
        <f ca="1">OFFSET(TblImps[[#This Row],[Servertime]],-1,0)+1/24</f>
        <v>45732.249999999985</v>
      </c>
      <c r="CA10" s="57"/>
      <c r="CB10" s="314"/>
      <c r="CC10" s="314"/>
    </row>
    <row r="11" spans="1:84" x14ac:dyDescent="0.2">
      <c r="A11" s="224">
        <f ca="1">TblConstr[[#This Row],[Land]]</f>
        <v>250</v>
      </c>
      <c r="B11" s="144"/>
      <c r="C11" s="96">
        <f ca="1">TblProd[[#This Row],[Platinum]]</f>
        <v>155519</v>
      </c>
      <c r="D11" s="96">
        <f ca="1">TblProd[[#This Row],[Lumber]]</f>
        <v>20775</v>
      </c>
      <c r="E11" s="96">
        <f ca="1">TblProd[[#This Row],[Ore]]</f>
        <v>0</v>
      </c>
      <c r="F11" s="96">
        <f ca="1">TblProd[[#This Row],[Gems]]</f>
        <v>0</v>
      </c>
      <c r="G11" s="156"/>
      <c r="H11" s="96">
        <f ca="1">TblMili[[#This Row],[Draftees]]</f>
        <v>197</v>
      </c>
      <c r="I11" s="182">
        <f ca="1">TblPop[[#This Row],[Employment]]</f>
        <v>1</v>
      </c>
      <c r="J11" s="182">
        <f ca="1">TblPop[[#This Row],[Total]]/TblPop[[#This Row],[Net max]]</f>
        <v>0.80025445292620867</v>
      </c>
      <c r="K11" s="305">
        <f>TblRezone[[#This Row],[Hour]]</f>
        <v>8</v>
      </c>
      <c r="L11" s="306">
        <f ca="1">TblImps[[#This Row],[Real time]]</f>
        <v>45732.29166666665</v>
      </c>
      <c r="M11" s="61">
        <f>IF(ISERROR(TblImps[[#This Row],[algorithm]]),0,TblImps[[#This Row],[algorithm]]*1)</f>
        <v>0</v>
      </c>
      <c r="N11" s="96">
        <f ca="1">TblImps[[#This Row],[Land]]</f>
        <v>250</v>
      </c>
      <c r="O11" s="307" t="s">
        <v>4</v>
      </c>
      <c r="P11" s="308"/>
      <c r="Q11" s="307" t="s">
        <v>210</v>
      </c>
      <c r="R11" s="307" t="s">
        <v>7</v>
      </c>
      <c r="S11" s="308"/>
      <c r="T11" s="307" t="s">
        <v>210</v>
      </c>
      <c r="U11" s="307" t="s">
        <v>3</v>
      </c>
      <c r="V11" s="308"/>
      <c r="W11" s="307" t="s">
        <v>210</v>
      </c>
      <c r="X11" s="144"/>
      <c r="Y11" s="309">
        <f ca="1">science_cap*(1-EXP(-TblImps[[#This Row],[Σ Science]]/(science_param*(OFFSET(TblImps[[#This Row],[Land]],1,0)-OFFSET(TblExplore[[#This Row],[Land Bonus]],1,0)*20)+15000)))*(1+(mason_bonus*TblConstr[[#This Row],[Tot Mas]]/TblConstr[[#This Row],[Land (2)]]))</f>
        <v>0</v>
      </c>
      <c r="Z11" s="309">
        <f ca="1">keep_cap*(1-EXP(-TblImps[[#This Row],[Σ Keep]]/(keep_param*(OFFSET(TblImps[[#This Row],[Land]],1,0)-OFFSET(TblExplore[[#This Row],[Land Bonus]],1,0)*20)+15000)))*(1+(mason_bonus*TblConstr[[#This Row],[Tot Mas]]/TblConstr[[#This Row],[Land (2)]]))</f>
        <v>0</v>
      </c>
      <c r="AA11" s="309">
        <f ca="1">harbor_towers_cap*(1-EXP(-TblImps[[#This Row],[Σ Spires]]/(towers_param*(OFFSET(TblImps[[#This Row],[Land]],1,0)-OFFSET(TblExplore[[#This Row],[Land Bonus]],1,0)*20)+15000)))*(1+(mason_bonus*TblConstr[[#This Row],[Tot Mas]]/TblConstr[[#This Row],[Land (2)]]))</f>
        <v>0</v>
      </c>
      <c r="AB11" s="309">
        <f ca="1">walls_forges_cap*(1-EXP(-TblImps[[#This Row],[Σ Forges]]/(walls_forges_param*(OFFSET(TblImps[[#This Row],[Land]],1,0)-OFFSET(TblExplore[[#This Row],[Land Bonus]],1,0)*20)+15000)))*(1+(mason_bonus*TblConstr[[#This Row],[Tot Mas]]/TblConstr[[#This Row],[Land (2)]]))</f>
        <v>0</v>
      </c>
      <c r="AC11" s="309">
        <f ca="1">walls_forges_cap*(1-EXP(-TblImps[[#This Row],[Σ Walls]]/(walls_forges_param*(OFFSET(TblImps[[#This Row],[Land]],1,0)-OFFSET(TblExplore[[#This Row],[Land Bonus]],1,0)*20)+15000)))*(1+(mason_bonus*TblConstr[[#This Row],[Tot Mas]]/TblConstr[[#This Row],[Land (2)]]))</f>
        <v>0</v>
      </c>
      <c r="AD11" s="30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315">
        <f ca="1">OFFSET(TblImps[[#This Row],[Real time]],-1,0)+1/24</f>
        <v>45732.29166666665</v>
      </c>
      <c r="BZ11" s="316">
        <f ca="1">OFFSET(TblImps[[#This Row],[Servertime]],-1,0)+1/24</f>
        <v>45732.29166666665</v>
      </c>
      <c r="CA11" s="57"/>
      <c r="CB11" s="314"/>
      <c r="CC11" s="314"/>
    </row>
    <row r="12" spans="1:84" x14ac:dyDescent="0.2">
      <c r="A12" s="224">
        <f ca="1">TblConstr[[#This Row],[Land]]</f>
        <v>250</v>
      </c>
      <c r="B12" s="144"/>
      <c r="C12" s="96">
        <f ca="1">TblProd[[#This Row],[Platinum]]</f>
        <v>160892</v>
      </c>
      <c r="D12" s="96">
        <f ca="1">TblProd[[#This Row],[Lumber]]</f>
        <v>21567</v>
      </c>
      <c r="E12" s="96">
        <f ca="1">TblProd[[#This Row],[Ore]]</f>
        <v>0</v>
      </c>
      <c r="F12" s="96">
        <f ca="1">TblProd[[#This Row],[Gems]]</f>
        <v>0</v>
      </c>
      <c r="G12" s="156"/>
      <c r="H12" s="96">
        <f ca="1">TblMili[[#This Row],[Draftees]]</f>
        <v>212</v>
      </c>
      <c r="I12" s="182">
        <f ca="1">TblPop[[#This Row],[Employment]]</f>
        <v>1</v>
      </c>
      <c r="J12" s="182">
        <f ca="1">TblPop[[#This Row],[Total]]/TblPop[[#This Row],[Net max]]</f>
        <v>0.81891433418150972</v>
      </c>
      <c r="K12" s="305">
        <f>TblRezone[[#This Row],[Hour]]</f>
        <v>9</v>
      </c>
      <c r="L12" s="306">
        <f ca="1">TblImps[[#This Row],[Real time]]</f>
        <v>45732.333333333314</v>
      </c>
      <c r="M12" s="61">
        <f>IF(ISERROR(TblImps[[#This Row],[algorithm]]),0,TblImps[[#This Row],[algorithm]]*1)</f>
        <v>0</v>
      </c>
      <c r="N12" s="96">
        <f ca="1">TblImps[[#This Row],[Land]]</f>
        <v>250</v>
      </c>
      <c r="O12" s="307" t="s">
        <v>4</v>
      </c>
      <c r="P12" s="308"/>
      <c r="Q12" s="307" t="s">
        <v>210</v>
      </c>
      <c r="R12" s="307" t="s">
        <v>7</v>
      </c>
      <c r="S12" s="308"/>
      <c r="T12" s="307" t="s">
        <v>210</v>
      </c>
      <c r="U12" s="307" t="s">
        <v>3</v>
      </c>
      <c r="V12" s="308"/>
      <c r="W12" s="307" t="s">
        <v>210</v>
      </c>
      <c r="X12" s="144"/>
      <c r="Y12" s="309">
        <f ca="1">science_cap*(1-EXP(-TblImps[[#This Row],[Σ Science]]/(science_param*(OFFSET(TblImps[[#This Row],[Land]],1,0)-OFFSET(TblExplore[[#This Row],[Land Bonus]],1,0)*20)+15000)))*(1+(mason_bonus*TblConstr[[#This Row],[Tot Mas]]/TblConstr[[#This Row],[Land (2)]]))</f>
        <v>0</v>
      </c>
      <c r="Z12" s="309">
        <f ca="1">keep_cap*(1-EXP(-TblImps[[#This Row],[Σ Keep]]/(keep_param*(OFFSET(TblImps[[#This Row],[Land]],1,0)-OFFSET(TblExplore[[#This Row],[Land Bonus]],1,0)*20)+15000)))*(1+(mason_bonus*TblConstr[[#This Row],[Tot Mas]]/TblConstr[[#This Row],[Land (2)]]))</f>
        <v>0</v>
      </c>
      <c r="AA12" s="309">
        <f ca="1">harbor_towers_cap*(1-EXP(-TblImps[[#This Row],[Σ Spires]]/(towers_param*(OFFSET(TblImps[[#This Row],[Land]],1,0)-OFFSET(TblExplore[[#This Row],[Land Bonus]],1,0)*20)+15000)))*(1+(mason_bonus*TblConstr[[#This Row],[Tot Mas]]/TblConstr[[#This Row],[Land (2)]]))</f>
        <v>0</v>
      </c>
      <c r="AB12" s="309">
        <f ca="1">walls_forges_cap*(1-EXP(-TblImps[[#This Row],[Σ Forges]]/(walls_forges_param*(OFFSET(TblImps[[#This Row],[Land]],1,0)-OFFSET(TblExplore[[#This Row],[Land Bonus]],1,0)*20)+15000)))*(1+(mason_bonus*TblConstr[[#This Row],[Tot Mas]]/TblConstr[[#This Row],[Land (2)]]))</f>
        <v>0</v>
      </c>
      <c r="AC12" s="309">
        <f ca="1">walls_forges_cap*(1-EXP(-TblImps[[#This Row],[Σ Walls]]/(walls_forges_param*(OFFSET(TblImps[[#This Row],[Land]],1,0)-OFFSET(TblExplore[[#This Row],[Land Bonus]],1,0)*20)+15000)))*(1+(mason_bonus*TblConstr[[#This Row],[Tot Mas]]/TblConstr[[#This Row],[Land (2)]]))</f>
        <v>0</v>
      </c>
      <c r="AD12" s="30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315">
        <f ca="1">OFFSET(TblImps[[#This Row],[Real time]],-1,0)+1/24</f>
        <v>45732.333333333314</v>
      </c>
      <c r="BZ12" s="316">
        <f ca="1">OFFSET(TblImps[[#This Row],[Servertime]],-1,0)+1/24</f>
        <v>45732.333333333314</v>
      </c>
      <c r="CA12" s="57"/>
      <c r="CB12" s="314"/>
      <c r="CC12" s="314"/>
    </row>
    <row r="13" spans="1:84" x14ac:dyDescent="0.2">
      <c r="A13" s="224">
        <f ca="1">TblConstr[[#This Row],[Land]]</f>
        <v>250</v>
      </c>
      <c r="B13" s="144"/>
      <c r="C13" s="96">
        <f ca="1">TblProd[[#This Row],[Platinum]]</f>
        <v>166343</v>
      </c>
      <c r="D13" s="96">
        <f ca="1">TblProd[[#This Row],[Lumber]]</f>
        <v>22351</v>
      </c>
      <c r="E13" s="96">
        <f ca="1">TblProd[[#This Row],[Ore]]</f>
        <v>0</v>
      </c>
      <c r="F13" s="96">
        <f ca="1">TblProd[[#This Row],[Gems]]</f>
        <v>0</v>
      </c>
      <c r="G13" s="156"/>
      <c r="H13" s="96">
        <f ca="1">TblMili[[#This Row],[Draftees]]</f>
        <v>227</v>
      </c>
      <c r="I13" s="182">
        <f ca="1">TblPop[[#This Row],[Employment]]</f>
        <v>1</v>
      </c>
      <c r="J13" s="182">
        <f ca="1">TblPop[[#This Row],[Total]]/TblPop[[#This Row],[Net max]]</f>
        <v>0.83799830364715866</v>
      </c>
      <c r="K13" s="305">
        <f>TblRezone[[#This Row],[Hour]]</f>
        <v>10</v>
      </c>
      <c r="L13" s="306">
        <f ca="1">TblImps[[#This Row],[Real time]]</f>
        <v>45732.374999999978</v>
      </c>
      <c r="M13" s="61">
        <f>IF(ISERROR(TblImps[[#This Row],[algorithm]]),0,TblImps[[#This Row],[algorithm]]*1)</f>
        <v>0</v>
      </c>
      <c r="N13" s="96">
        <f ca="1">TblImps[[#This Row],[Land]]</f>
        <v>250</v>
      </c>
      <c r="O13" s="307" t="s">
        <v>4</v>
      </c>
      <c r="P13" s="308"/>
      <c r="Q13" s="307" t="s">
        <v>210</v>
      </c>
      <c r="R13" s="307" t="s">
        <v>7</v>
      </c>
      <c r="S13" s="308"/>
      <c r="T13" s="307" t="s">
        <v>210</v>
      </c>
      <c r="U13" s="307" t="s">
        <v>3</v>
      </c>
      <c r="V13" s="308"/>
      <c r="W13" s="307" t="s">
        <v>210</v>
      </c>
      <c r="X13" s="144"/>
      <c r="Y13" s="309">
        <f ca="1">science_cap*(1-EXP(-TblImps[[#This Row],[Σ Science]]/(science_param*(OFFSET(TblImps[[#This Row],[Land]],1,0)-OFFSET(TblExplore[[#This Row],[Land Bonus]],1,0)*20)+15000)))*(1+(mason_bonus*TblConstr[[#This Row],[Tot Mas]]/TblConstr[[#This Row],[Land (2)]]))</f>
        <v>0</v>
      </c>
      <c r="Z13" s="309">
        <f ca="1">keep_cap*(1-EXP(-TblImps[[#This Row],[Σ Keep]]/(keep_param*(OFFSET(TblImps[[#This Row],[Land]],1,0)-OFFSET(TblExplore[[#This Row],[Land Bonus]],1,0)*20)+15000)))*(1+(mason_bonus*TblConstr[[#This Row],[Tot Mas]]/TblConstr[[#This Row],[Land (2)]]))</f>
        <v>0</v>
      </c>
      <c r="AA13" s="309">
        <f ca="1">harbor_towers_cap*(1-EXP(-TblImps[[#This Row],[Σ Spires]]/(towers_param*(OFFSET(TblImps[[#This Row],[Land]],1,0)-OFFSET(TblExplore[[#This Row],[Land Bonus]],1,0)*20)+15000)))*(1+(mason_bonus*TblConstr[[#This Row],[Tot Mas]]/TblConstr[[#This Row],[Land (2)]]))</f>
        <v>0</v>
      </c>
      <c r="AB13" s="309">
        <f ca="1">walls_forges_cap*(1-EXP(-TblImps[[#This Row],[Σ Forges]]/(walls_forges_param*(OFFSET(TblImps[[#This Row],[Land]],1,0)-OFFSET(TblExplore[[#This Row],[Land Bonus]],1,0)*20)+15000)))*(1+(mason_bonus*TblConstr[[#This Row],[Tot Mas]]/TblConstr[[#This Row],[Land (2)]]))</f>
        <v>0</v>
      </c>
      <c r="AC13" s="309">
        <f ca="1">walls_forges_cap*(1-EXP(-TblImps[[#This Row],[Σ Walls]]/(walls_forges_param*(OFFSET(TblImps[[#This Row],[Land]],1,0)-OFFSET(TblExplore[[#This Row],[Land Bonus]],1,0)*20)+15000)))*(1+(mason_bonus*TblConstr[[#This Row],[Tot Mas]]/TblConstr[[#This Row],[Land (2)]]))</f>
        <v>0</v>
      </c>
      <c r="AD13" s="30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315">
        <f ca="1">OFFSET(TblImps[[#This Row],[Real time]],-1,0)+1/24</f>
        <v>45732.374999999978</v>
      </c>
      <c r="BZ13" s="316">
        <f ca="1">OFFSET(TblImps[[#This Row],[Servertime]],-1,0)+1/24</f>
        <v>45732.374999999978</v>
      </c>
      <c r="CA13" s="57"/>
      <c r="CB13" s="314"/>
      <c r="CC13" s="314"/>
    </row>
    <row r="14" spans="1:84" x14ac:dyDescent="0.2">
      <c r="A14" s="224">
        <f ca="1">TblConstr[[#This Row],[Land]]</f>
        <v>250</v>
      </c>
      <c r="B14" s="144"/>
      <c r="C14" s="96">
        <f ca="1">TblProd[[#This Row],[Platinum]]</f>
        <v>171875</v>
      </c>
      <c r="D14" s="96">
        <f ca="1">TblProd[[#This Row],[Lumber]]</f>
        <v>23127</v>
      </c>
      <c r="E14" s="96">
        <f ca="1">TblProd[[#This Row],[Ore]]</f>
        <v>0</v>
      </c>
      <c r="F14" s="96">
        <f ca="1">TblProd[[#This Row],[Gems]]</f>
        <v>0</v>
      </c>
      <c r="G14" s="156"/>
      <c r="H14" s="96">
        <f ca="1">TblMili[[#This Row],[Draftees]]</f>
        <v>242</v>
      </c>
      <c r="I14" s="182">
        <f ca="1">TblPop[[#This Row],[Employment]]</f>
        <v>1</v>
      </c>
      <c r="J14" s="182">
        <f ca="1">TblPop[[#This Row],[Total]]/TblPop[[#This Row],[Net max]]</f>
        <v>0.85750636132315516</v>
      </c>
      <c r="K14" s="305">
        <f>TblRezone[[#This Row],[Hour]]</f>
        <v>11</v>
      </c>
      <c r="L14" s="306">
        <f ca="1">TblImps[[#This Row],[Real time]]</f>
        <v>45732.416666666642</v>
      </c>
      <c r="M14" s="61">
        <f>IF(ISERROR(TblImps[[#This Row],[algorithm]]),0,TblImps[[#This Row],[algorithm]]*1)</f>
        <v>0</v>
      </c>
      <c r="N14" s="96">
        <f ca="1">TblImps[[#This Row],[Land]]</f>
        <v>250</v>
      </c>
      <c r="O14" s="307" t="s">
        <v>4</v>
      </c>
      <c r="P14" s="308"/>
      <c r="Q14" s="307" t="s">
        <v>210</v>
      </c>
      <c r="R14" s="307" t="s">
        <v>7</v>
      </c>
      <c r="S14" s="308"/>
      <c r="T14" s="307" t="s">
        <v>210</v>
      </c>
      <c r="U14" s="307" t="s">
        <v>3</v>
      </c>
      <c r="V14" s="308"/>
      <c r="W14" s="307" t="s">
        <v>210</v>
      </c>
      <c r="X14" s="144"/>
      <c r="Y14" s="309">
        <f ca="1">science_cap*(1-EXP(-TblImps[[#This Row],[Σ Science]]/(science_param*(OFFSET(TblImps[[#This Row],[Land]],1,0)-OFFSET(TblExplore[[#This Row],[Land Bonus]],1,0)*20)+15000)))*(1+(mason_bonus*TblConstr[[#This Row],[Tot Mas]]/TblConstr[[#This Row],[Land (2)]]))</f>
        <v>0</v>
      </c>
      <c r="Z14" s="309">
        <f ca="1">keep_cap*(1-EXP(-TblImps[[#This Row],[Σ Keep]]/(keep_param*(OFFSET(TblImps[[#This Row],[Land]],1,0)-OFFSET(TblExplore[[#This Row],[Land Bonus]],1,0)*20)+15000)))*(1+(mason_bonus*TblConstr[[#This Row],[Tot Mas]]/TblConstr[[#This Row],[Land (2)]]))</f>
        <v>0</v>
      </c>
      <c r="AA14" s="309">
        <f ca="1">harbor_towers_cap*(1-EXP(-TblImps[[#This Row],[Σ Spires]]/(towers_param*(OFFSET(TblImps[[#This Row],[Land]],1,0)-OFFSET(TblExplore[[#This Row],[Land Bonus]],1,0)*20)+15000)))*(1+(mason_bonus*TblConstr[[#This Row],[Tot Mas]]/TblConstr[[#This Row],[Land (2)]]))</f>
        <v>0</v>
      </c>
      <c r="AB14" s="309">
        <f ca="1">walls_forges_cap*(1-EXP(-TblImps[[#This Row],[Σ Forges]]/(walls_forges_param*(OFFSET(TblImps[[#This Row],[Land]],1,0)-OFFSET(TblExplore[[#This Row],[Land Bonus]],1,0)*20)+15000)))*(1+(mason_bonus*TblConstr[[#This Row],[Tot Mas]]/TblConstr[[#This Row],[Land (2)]]))</f>
        <v>0</v>
      </c>
      <c r="AC14" s="309">
        <f ca="1">walls_forges_cap*(1-EXP(-TblImps[[#This Row],[Σ Walls]]/(walls_forges_param*(OFFSET(TblImps[[#This Row],[Land]],1,0)-OFFSET(TblExplore[[#This Row],[Land Bonus]],1,0)*20)+15000)))*(1+(mason_bonus*TblConstr[[#This Row],[Tot Mas]]/TblConstr[[#This Row],[Land (2)]]))</f>
        <v>0</v>
      </c>
      <c r="AD14" s="30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315">
        <f ca="1">OFFSET(TblImps[[#This Row],[Real time]],-1,0)+1/24</f>
        <v>45732.416666666642</v>
      </c>
      <c r="BZ14" s="316">
        <f ca="1">OFFSET(TblImps[[#This Row],[Servertime]],-1,0)+1/24</f>
        <v>45732.416666666642</v>
      </c>
      <c r="CA14" s="57"/>
      <c r="CB14" s="314"/>
      <c r="CC14" s="314"/>
    </row>
    <row r="15" spans="1:84" x14ac:dyDescent="0.2">
      <c r="A15" s="224">
        <f ca="1">TblConstr[[#This Row],[Land]]</f>
        <v>250</v>
      </c>
      <c r="B15" s="144"/>
      <c r="C15" s="96">
        <f ca="1">TblProd[[#This Row],[Platinum]]</f>
        <v>177491</v>
      </c>
      <c r="D15" s="96">
        <f ca="1">TblProd[[#This Row],[Lumber]]</f>
        <v>23896</v>
      </c>
      <c r="E15" s="96">
        <f ca="1">TblProd[[#This Row],[Ore]]</f>
        <v>0</v>
      </c>
      <c r="F15" s="96">
        <f ca="1">TblProd[[#This Row],[Gems]]</f>
        <v>0</v>
      </c>
      <c r="G15" s="156"/>
      <c r="H15" s="96">
        <f ca="1">TblMili[[#This Row],[Draftees]]</f>
        <v>258</v>
      </c>
      <c r="I15" s="182">
        <f ca="1">TblPop[[#This Row],[Employment]]</f>
        <v>0.99317194289261324</v>
      </c>
      <c r="J15" s="182">
        <f ca="1">TblPop[[#This Row],[Total]]/TblPop[[#This Row],[Net max]]</f>
        <v>0.87743850720949956</v>
      </c>
      <c r="K15" s="305">
        <f>TblRezone[[#This Row],[Hour]]</f>
        <v>12</v>
      </c>
      <c r="L15" s="306">
        <f ca="1">TblImps[[#This Row],[Real time]]</f>
        <v>45732.458333333307</v>
      </c>
      <c r="M15" s="61">
        <f>IF(ISERROR(TblImps[[#This Row],[algorithm]]),0,TblImps[[#This Row],[algorithm]]*1)</f>
        <v>0</v>
      </c>
      <c r="N15" s="96">
        <f ca="1">TblImps[[#This Row],[Land]]</f>
        <v>250</v>
      </c>
      <c r="O15" s="307" t="s">
        <v>4</v>
      </c>
      <c r="P15" s="308"/>
      <c r="Q15" s="307" t="s">
        <v>210</v>
      </c>
      <c r="R15" s="307" t="s">
        <v>7</v>
      </c>
      <c r="S15" s="308"/>
      <c r="T15" s="307" t="s">
        <v>210</v>
      </c>
      <c r="U15" s="307" t="s">
        <v>3</v>
      </c>
      <c r="V15" s="308"/>
      <c r="W15" s="307" t="s">
        <v>210</v>
      </c>
      <c r="X15" s="144"/>
      <c r="Y15" s="309">
        <f ca="1">science_cap*(1-EXP(-TblImps[[#This Row],[Σ Science]]/(science_param*(OFFSET(TblImps[[#This Row],[Land]],1,0)-OFFSET(TblExplore[[#This Row],[Land Bonus]],1,0)*20)+15000)))*(1+(mason_bonus*TblConstr[[#This Row],[Tot Mas]]/TblConstr[[#This Row],[Land (2)]]))</f>
        <v>0</v>
      </c>
      <c r="Z15" s="309">
        <f ca="1">keep_cap*(1-EXP(-TblImps[[#This Row],[Σ Keep]]/(keep_param*(OFFSET(TblImps[[#This Row],[Land]],1,0)-OFFSET(TblExplore[[#This Row],[Land Bonus]],1,0)*20)+15000)))*(1+(mason_bonus*TblConstr[[#This Row],[Tot Mas]]/TblConstr[[#This Row],[Land (2)]]))</f>
        <v>0</v>
      </c>
      <c r="AA15" s="309">
        <f ca="1">harbor_towers_cap*(1-EXP(-TblImps[[#This Row],[Σ Spires]]/(towers_param*(OFFSET(TblImps[[#This Row],[Land]],1,0)-OFFSET(TblExplore[[#This Row],[Land Bonus]],1,0)*20)+15000)))*(1+(mason_bonus*TblConstr[[#This Row],[Tot Mas]]/TblConstr[[#This Row],[Land (2)]]))</f>
        <v>0</v>
      </c>
      <c r="AB15" s="309">
        <f ca="1">walls_forges_cap*(1-EXP(-TblImps[[#This Row],[Σ Forges]]/(walls_forges_param*(OFFSET(TblImps[[#This Row],[Land]],1,0)-OFFSET(TblExplore[[#This Row],[Land Bonus]],1,0)*20)+15000)))*(1+(mason_bonus*TblConstr[[#This Row],[Tot Mas]]/TblConstr[[#This Row],[Land (2)]]))</f>
        <v>0</v>
      </c>
      <c r="AC15" s="309">
        <f ca="1">walls_forges_cap*(1-EXP(-TblImps[[#This Row],[Σ Walls]]/(walls_forges_param*(OFFSET(TblImps[[#This Row],[Land]],1,0)-OFFSET(TblExplore[[#This Row],[Land Bonus]],1,0)*20)+15000)))*(1+(mason_bonus*TblConstr[[#This Row],[Tot Mas]]/TblConstr[[#This Row],[Land (2)]]))</f>
        <v>0</v>
      </c>
      <c r="AD15" s="30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315">
        <f ca="1">OFFSET(TblImps[[#This Row],[Real time]],-1,0)+1/24</f>
        <v>45732.458333333307</v>
      </c>
      <c r="BZ15" s="316">
        <f ca="1">OFFSET(TblImps[[#This Row],[Servertime]],-1,0)+1/24</f>
        <v>45732.458333333307</v>
      </c>
      <c r="CA15" s="57"/>
      <c r="CB15" s="314"/>
      <c r="CC15" s="314"/>
    </row>
    <row r="16" spans="1:84" x14ac:dyDescent="0.2">
      <c r="A16" s="224">
        <f ca="1">TblConstr[[#This Row],[Land]]</f>
        <v>250</v>
      </c>
      <c r="B16" s="144"/>
      <c r="C16" s="96">
        <f ca="1">TblProd[[#This Row],[Platinum]]</f>
        <v>183161</v>
      </c>
      <c r="D16" s="96">
        <f ca="1">TblProd[[#This Row],[Lumber]]</f>
        <v>24657</v>
      </c>
      <c r="E16" s="96">
        <f ca="1">TblProd[[#This Row],[Ore]]</f>
        <v>0</v>
      </c>
      <c r="F16" s="96">
        <f ca="1">TblProd[[#This Row],[Gems]]</f>
        <v>0</v>
      </c>
      <c r="G16" s="156"/>
      <c r="H16" s="96">
        <f ca="1">TblMili[[#This Row],[Draftees]]</f>
        <v>274</v>
      </c>
      <c r="I16" s="182">
        <f ca="1">TblPop[[#This Row],[Employment]]</f>
        <v>0.9738283627510651</v>
      </c>
      <c r="J16" s="182">
        <f ca="1">TblPop[[#This Row],[Total]]/TblPop[[#This Row],[Net max]]</f>
        <v>0.89779474130619163</v>
      </c>
      <c r="K16" s="305">
        <f>TblRezone[[#This Row],[Hour]]</f>
        <v>13</v>
      </c>
      <c r="L16" s="306">
        <f ca="1">TblImps[[#This Row],[Real time]]</f>
        <v>45732.499999999971</v>
      </c>
      <c r="M16" s="61">
        <f>IF(ISERROR(TblImps[[#This Row],[algorithm]]),0,TblImps[[#This Row],[algorithm]]*1)</f>
        <v>0</v>
      </c>
      <c r="N16" s="96">
        <f ca="1">TblImps[[#This Row],[Land]]</f>
        <v>250</v>
      </c>
      <c r="O16" s="307" t="s">
        <v>4</v>
      </c>
      <c r="P16" s="308"/>
      <c r="Q16" s="307" t="s">
        <v>210</v>
      </c>
      <c r="R16" s="307" t="s">
        <v>7</v>
      </c>
      <c r="S16" s="308"/>
      <c r="T16" s="307" t="s">
        <v>210</v>
      </c>
      <c r="U16" s="307" t="s">
        <v>3</v>
      </c>
      <c r="V16" s="308"/>
      <c r="W16" s="307" t="s">
        <v>210</v>
      </c>
      <c r="X16" s="144"/>
      <c r="Y16" s="309">
        <f ca="1">science_cap*(1-EXP(-TblImps[[#This Row],[Σ Science]]/(science_param*(OFFSET(TblImps[[#This Row],[Land]],1,0)-OFFSET(TblExplore[[#This Row],[Land Bonus]],1,0)*20)+15000)))*(1+(mason_bonus*TblConstr[[#This Row],[Tot Mas]]/TblConstr[[#This Row],[Land (2)]]))</f>
        <v>0</v>
      </c>
      <c r="Z16" s="309">
        <f ca="1">keep_cap*(1-EXP(-TblImps[[#This Row],[Σ Keep]]/(keep_param*(OFFSET(TblImps[[#This Row],[Land]],1,0)-OFFSET(TblExplore[[#This Row],[Land Bonus]],1,0)*20)+15000)))*(1+(mason_bonus*TblConstr[[#This Row],[Tot Mas]]/TblConstr[[#This Row],[Land (2)]]))</f>
        <v>0</v>
      </c>
      <c r="AA16" s="309">
        <f ca="1">harbor_towers_cap*(1-EXP(-TblImps[[#This Row],[Σ Spires]]/(towers_param*(OFFSET(TblImps[[#This Row],[Land]],1,0)-OFFSET(TblExplore[[#This Row],[Land Bonus]],1,0)*20)+15000)))*(1+(mason_bonus*TblConstr[[#This Row],[Tot Mas]]/TblConstr[[#This Row],[Land (2)]]))</f>
        <v>0</v>
      </c>
      <c r="AB16" s="309">
        <f ca="1">walls_forges_cap*(1-EXP(-TblImps[[#This Row],[Σ Forges]]/(walls_forges_param*(OFFSET(TblImps[[#This Row],[Land]],1,0)-OFFSET(TblExplore[[#This Row],[Land Bonus]],1,0)*20)+15000)))*(1+(mason_bonus*TblConstr[[#This Row],[Tot Mas]]/TblConstr[[#This Row],[Land (2)]]))</f>
        <v>0</v>
      </c>
      <c r="AC16" s="309">
        <f ca="1">walls_forges_cap*(1-EXP(-TblImps[[#This Row],[Σ Walls]]/(walls_forges_param*(OFFSET(TblImps[[#This Row],[Land]],1,0)-OFFSET(TblExplore[[#This Row],[Land Bonus]],1,0)*20)+15000)))*(1+(mason_bonus*TblConstr[[#This Row],[Tot Mas]]/TblConstr[[#This Row],[Land (2)]]))</f>
        <v>0</v>
      </c>
      <c r="AD16" s="30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315">
        <f ca="1">OFFSET(TblImps[[#This Row],[Real time]],-1,0)+1/24</f>
        <v>45732.499999999971</v>
      </c>
      <c r="BZ16" s="316">
        <f ca="1">OFFSET(TblImps[[#This Row],[Servertime]],-1,0)+1/24</f>
        <v>45732.499999999971</v>
      </c>
      <c r="CA16" s="57"/>
      <c r="CB16" s="314"/>
      <c r="CC16" s="314"/>
    </row>
    <row r="17" spans="1:84" x14ac:dyDescent="0.2">
      <c r="A17" s="224">
        <f ca="1">TblConstr[[#This Row],[Land]]</f>
        <v>250</v>
      </c>
      <c r="B17" s="144"/>
      <c r="C17" s="96">
        <f ca="1">TblProd[[#This Row],[Platinum]]</f>
        <v>188831</v>
      </c>
      <c r="D17" s="96">
        <f ca="1">TblProd[[#This Row],[Lumber]]</f>
        <v>25410</v>
      </c>
      <c r="E17" s="96">
        <f ca="1">TblProd[[#This Row],[Ore]]</f>
        <v>0</v>
      </c>
      <c r="F17" s="96">
        <f ca="1">TblProd[[#This Row],[Gems]]</f>
        <v>0</v>
      </c>
      <c r="G17" s="156"/>
      <c r="H17" s="96">
        <f ca="1">TblMili[[#This Row],[Draftees]]</f>
        <v>290</v>
      </c>
      <c r="I17" s="182">
        <f ca="1">TblPop[[#This Row],[Employment]]</f>
        <v>0.95465393794749398</v>
      </c>
      <c r="J17" s="182">
        <f ca="1">TblPop[[#This Row],[Total]]/TblPop[[#This Row],[Net max]]</f>
        <v>0.9185750636132316</v>
      </c>
      <c r="K17" s="305">
        <f>TblRezone[[#This Row],[Hour]]</f>
        <v>14</v>
      </c>
      <c r="L17" s="306">
        <f ca="1">TblImps[[#This Row],[Real time]]</f>
        <v>45732.541666666635</v>
      </c>
      <c r="M17" s="61">
        <f>IF(ISERROR(TblImps[[#This Row],[algorithm]]),0,TblImps[[#This Row],[algorithm]]*1)</f>
        <v>0</v>
      </c>
      <c r="N17" s="96">
        <f ca="1">TblImps[[#This Row],[Land]]</f>
        <v>250</v>
      </c>
      <c r="O17" s="307" t="s">
        <v>4</v>
      </c>
      <c r="P17" s="308"/>
      <c r="Q17" s="307" t="s">
        <v>210</v>
      </c>
      <c r="R17" s="307" t="s">
        <v>7</v>
      </c>
      <c r="S17" s="308"/>
      <c r="T17" s="307" t="s">
        <v>210</v>
      </c>
      <c r="U17" s="307" t="s">
        <v>3</v>
      </c>
      <c r="V17" s="308"/>
      <c r="W17" s="307" t="s">
        <v>210</v>
      </c>
      <c r="X17" s="144"/>
      <c r="Y17" s="309">
        <f ca="1">science_cap*(1-EXP(-TblImps[[#This Row],[Σ Science]]/(science_param*(OFFSET(TblImps[[#This Row],[Land]],1,0)-OFFSET(TblExplore[[#This Row],[Land Bonus]],1,0)*20)+15000)))*(1+(mason_bonus*TblConstr[[#This Row],[Tot Mas]]/TblConstr[[#This Row],[Land (2)]]))</f>
        <v>0</v>
      </c>
      <c r="Z17" s="309">
        <f ca="1">keep_cap*(1-EXP(-TblImps[[#This Row],[Σ Keep]]/(keep_param*(OFFSET(TblImps[[#This Row],[Land]],1,0)-OFFSET(TblExplore[[#This Row],[Land Bonus]],1,0)*20)+15000)))*(1+(mason_bonus*TblConstr[[#This Row],[Tot Mas]]/TblConstr[[#This Row],[Land (2)]]))</f>
        <v>0</v>
      </c>
      <c r="AA17" s="309">
        <f ca="1">harbor_towers_cap*(1-EXP(-TblImps[[#This Row],[Σ Spires]]/(towers_param*(OFFSET(TblImps[[#This Row],[Land]],1,0)-OFFSET(TblExplore[[#This Row],[Land Bonus]],1,0)*20)+15000)))*(1+(mason_bonus*TblConstr[[#This Row],[Tot Mas]]/TblConstr[[#This Row],[Land (2)]]))</f>
        <v>0</v>
      </c>
      <c r="AB17" s="309">
        <f ca="1">walls_forges_cap*(1-EXP(-TblImps[[#This Row],[Σ Forges]]/(walls_forges_param*(OFFSET(TblImps[[#This Row],[Land]],1,0)-OFFSET(TblExplore[[#This Row],[Land Bonus]],1,0)*20)+15000)))*(1+(mason_bonus*TblConstr[[#This Row],[Tot Mas]]/TblConstr[[#This Row],[Land (2)]]))</f>
        <v>0</v>
      </c>
      <c r="AC17" s="309">
        <f ca="1">walls_forges_cap*(1-EXP(-TblImps[[#This Row],[Σ Walls]]/(walls_forges_param*(OFFSET(TblImps[[#This Row],[Land]],1,0)-OFFSET(TblExplore[[#This Row],[Land Bonus]],1,0)*20)+15000)))*(1+(mason_bonus*TblConstr[[#This Row],[Tot Mas]]/TblConstr[[#This Row],[Land (2)]]))</f>
        <v>0</v>
      </c>
      <c r="AD17" s="30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315">
        <f ca="1">OFFSET(TblImps[[#This Row],[Real time]],-1,0)+1/24</f>
        <v>45732.541666666635</v>
      </c>
      <c r="BZ17" s="316">
        <f ca="1">OFFSET(TblImps[[#This Row],[Servertime]],-1,0)+1/24</f>
        <v>45732.541666666635</v>
      </c>
      <c r="CA17" s="57"/>
      <c r="CB17" s="314"/>
      <c r="CC17" s="314"/>
      <c r="CD17" s="161"/>
    </row>
    <row r="18" spans="1:84" x14ac:dyDescent="0.2">
      <c r="A18" s="224">
        <f ca="1">TblConstr[[#This Row],[Land]]</f>
        <v>250</v>
      </c>
      <c r="B18" s="144"/>
      <c r="C18" s="96">
        <f ca="1">TblProd[[#This Row],[Platinum]]</f>
        <v>194501</v>
      </c>
      <c r="D18" s="96">
        <f ca="1">TblProd[[#This Row],[Lumber]]</f>
        <v>26156</v>
      </c>
      <c r="E18" s="96">
        <f ca="1">TblProd[[#This Row],[Ore]]</f>
        <v>0</v>
      </c>
      <c r="F18" s="96">
        <f ca="1">TblProd[[#This Row],[Gems]]</f>
        <v>0</v>
      </c>
      <c r="G18" s="156"/>
      <c r="H18" s="96">
        <f ca="1">TblMili[[#This Row],[Draftees]]</f>
        <v>307</v>
      </c>
      <c r="I18" s="182">
        <f ca="1">TblPop[[#This Row],[Employment]]</f>
        <v>0.93622001170275015</v>
      </c>
      <c r="J18" s="182">
        <f ca="1">TblPop[[#This Row],[Total]]/TblPop[[#This Row],[Net max]]</f>
        <v>0.93977947413061913</v>
      </c>
      <c r="K18" s="305">
        <f>TblRezone[[#This Row],[Hour]]</f>
        <v>15</v>
      </c>
      <c r="L18" s="306">
        <f ca="1">TblImps[[#This Row],[Real time]]</f>
        <v>45732.583333333299</v>
      </c>
      <c r="M18" s="61">
        <f>IF(ISERROR(TblImps[[#This Row],[algorithm]]),0,TblImps[[#This Row],[algorithm]]*1)</f>
        <v>0</v>
      </c>
      <c r="N18" s="96">
        <f ca="1">TblImps[[#This Row],[Land]]</f>
        <v>250</v>
      </c>
      <c r="O18" s="307" t="s">
        <v>4</v>
      </c>
      <c r="P18" s="308"/>
      <c r="Q18" s="307" t="s">
        <v>210</v>
      </c>
      <c r="R18" s="307" t="s">
        <v>7</v>
      </c>
      <c r="S18" s="308"/>
      <c r="T18" s="307" t="s">
        <v>210</v>
      </c>
      <c r="U18" s="307" t="s">
        <v>3</v>
      </c>
      <c r="V18" s="308"/>
      <c r="W18" s="307" t="s">
        <v>210</v>
      </c>
      <c r="X18" s="144"/>
      <c r="Y18" s="309">
        <f ca="1">science_cap*(1-EXP(-TblImps[[#This Row],[Σ Science]]/(science_param*(OFFSET(TblImps[[#This Row],[Land]],1,0)-OFFSET(TblExplore[[#This Row],[Land Bonus]],1,0)*20)+15000)))*(1+(mason_bonus*TblConstr[[#This Row],[Tot Mas]]/TblConstr[[#This Row],[Land (2)]]))</f>
        <v>0</v>
      </c>
      <c r="Z18" s="309">
        <f ca="1">keep_cap*(1-EXP(-TblImps[[#This Row],[Σ Keep]]/(keep_param*(OFFSET(TblImps[[#This Row],[Land]],1,0)-OFFSET(TblExplore[[#This Row],[Land Bonus]],1,0)*20)+15000)))*(1+(mason_bonus*TblConstr[[#This Row],[Tot Mas]]/TblConstr[[#This Row],[Land (2)]]))</f>
        <v>0</v>
      </c>
      <c r="AA18" s="309">
        <f ca="1">harbor_towers_cap*(1-EXP(-TblImps[[#This Row],[Σ Spires]]/(towers_param*(OFFSET(TblImps[[#This Row],[Land]],1,0)-OFFSET(TblExplore[[#This Row],[Land Bonus]],1,0)*20)+15000)))*(1+(mason_bonus*TblConstr[[#This Row],[Tot Mas]]/TblConstr[[#This Row],[Land (2)]]))</f>
        <v>0</v>
      </c>
      <c r="AB18" s="309">
        <f ca="1">walls_forges_cap*(1-EXP(-TblImps[[#This Row],[Σ Forges]]/(walls_forges_param*(OFFSET(TblImps[[#This Row],[Land]],1,0)-OFFSET(TblExplore[[#This Row],[Land Bonus]],1,0)*20)+15000)))*(1+(mason_bonus*TblConstr[[#This Row],[Tot Mas]]/TblConstr[[#This Row],[Land (2)]]))</f>
        <v>0</v>
      </c>
      <c r="AC18" s="309">
        <f ca="1">walls_forges_cap*(1-EXP(-TblImps[[#This Row],[Σ Walls]]/(walls_forges_param*(OFFSET(TblImps[[#This Row],[Land]],1,0)-OFFSET(TblExplore[[#This Row],[Land Bonus]],1,0)*20)+15000)))*(1+(mason_bonus*TblConstr[[#This Row],[Tot Mas]]/TblConstr[[#This Row],[Land (2)]]))</f>
        <v>0</v>
      </c>
      <c r="AD18" s="30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315">
        <f ca="1">OFFSET(TblImps[[#This Row],[Real time]],-1,0)+1/24</f>
        <v>45732.583333333299</v>
      </c>
      <c r="BZ18" s="316">
        <f ca="1">OFFSET(TblImps[[#This Row],[Servertime]],-1,0)+1/24</f>
        <v>45732.583333333299</v>
      </c>
      <c r="CA18" s="319"/>
      <c r="CB18" s="314"/>
      <c r="CC18" s="314"/>
      <c r="CF18" s="317"/>
    </row>
    <row r="19" spans="1:84" x14ac:dyDescent="0.2">
      <c r="A19" s="224">
        <f ca="1">TblConstr[[#This Row],[Land]]</f>
        <v>250</v>
      </c>
      <c r="B19" s="144"/>
      <c r="C19" s="96">
        <f ca="1">TblProd[[#This Row],[Platinum]]</f>
        <v>200171</v>
      </c>
      <c r="D19" s="96">
        <f ca="1">TblProd[[#This Row],[Lumber]]</f>
        <v>26894</v>
      </c>
      <c r="E19" s="96">
        <f ca="1">TblProd[[#This Row],[Ore]]</f>
        <v>0</v>
      </c>
      <c r="F19" s="96">
        <f ca="1">TblProd[[#This Row],[Gems]]</f>
        <v>0</v>
      </c>
      <c r="G19" s="156"/>
      <c r="H19" s="96">
        <f ca="1">TblMili[[#This Row],[Draftees]]</f>
        <v>324</v>
      </c>
      <c r="I19" s="182">
        <f ca="1">TblPop[[#This Row],[Employment]]</f>
        <v>0.91795754446356859</v>
      </c>
      <c r="J19" s="182">
        <f ca="1">TblPop[[#This Row],[Total]]/TblPop[[#This Row],[Net max]]</f>
        <v>0.96140797285835455</v>
      </c>
      <c r="K19" s="305">
        <f>TblRezone[[#This Row],[Hour]]</f>
        <v>16</v>
      </c>
      <c r="L19" s="306">
        <f ca="1">TblImps[[#This Row],[Real time]]</f>
        <v>45732.624999999964</v>
      </c>
      <c r="M19" s="61">
        <f>IF(ISERROR(TblImps[[#This Row],[algorithm]]),0,TblImps[[#This Row],[algorithm]]*1)</f>
        <v>0</v>
      </c>
      <c r="N19" s="96">
        <f ca="1">TblImps[[#This Row],[Land]]</f>
        <v>250</v>
      </c>
      <c r="O19" s="307" t="s">
        <v>4</v>
      </c>
      <c r="P19" s="308"/>
      <c r="Q19" s="307" t="s">
        <v>210</v>
      </c>
      <c r="R19" s="307" t="s">
        <v>7</v>
      </c>
      <c r="S19" s="308"/>
      <c r="T19" s="307" t="s">
        <v>210</v>
      </c>
      <c r="U19" s="307" t="s">
        <v>3</v>
      </c>
      <c r="V19" s="308"/>
      <c r="W19" s="307" t="s">
        <v>210</v>
      </c>
      <c r="X19" s="144"/>
      <c r="Y19" s="309">
        <f ca="1">science_cap*(1-EXP(-TblImps[[#This Row],[Σ Science]]/(science_param*(OFFSET(TblImps[[#This Row],[Land]],1,0)-OFFSET(TblExplore[[#This Row],[Land Bonus]],1,0)*20)+15000)))*(1+(mason_bonus*TblConstr[[#This Row],[Tot Mas]]/TblConstr[[#This Row],[Land (2)]]))</f>
        <v>0</v>
      </c>
      <c r="Z19" s="309">
        <f ca="1">keep_cap*(1-EXP(-TblImps[[#This Row],[Σ Keep]]/(keep_param*(OFFSET(TblImps[[#This Row],[Land]],1,0)-OFFSET(TblExplore[[#This Row],[Land Bonus]],1,0)*20)+15000)))*(1+(mason_bonus*TblConstr[[#This Row],[Tot Mas]]/TblConstr[[#This Row],[Land (2)]]))</f>
        <v>0</v>
      </c>
      <c r="AA19" s="309">
        <f ca="1">harbor_towers_cap*(1-EXP(-TblImps[[#This Row],[Σ Spires]]/(towers_param*(OFFSET(TblImps[[#This Row],[Land]],1,0)-OFFSET(TblExplore[[#This Row],[Land Bonus]],1,0)*20)+15000)))*(1+(mason_bonus*TblConstr[[#This Row],[Tot Mas]]/TblConstr[[#This Row],[Land (2)]]))</f>
        <v>0</v>
      </c>
      <c r="AB19" s="309">
        <f ca="1">walls_forges_cap*(1-EXP(-TblImps[[#This Row],[Σ Forges]]/(walls_forges_param*(OFFSET(TblImps[[#This Row],[Land]],1,0)-OFFSET(TblExplore[[#This Row],[Land Bonus]],1,0)*20)+15000)))*(1+(mason_bonus*TblConstr[[#This Row],[Tot Mas]]/TblConstr[[#This Row],[Land (2)]]))</f>
        <v>0</v>
      </c>
      <c r="AC19" s="309">
        <f ca="1">walls_forges_cap*(1-EXP(-TblImps[[#This Row],[Σ Walls]]/(walls_forges_param*(OFFSET(TblImps[[#This Row],[Land]],1,0)-OFFSET(TblExplore[[#This Row],[Land Bonus]],1,0)*20)+15000)))*(1+(mason_bonus*TblConstr[[#This Row],[Tot Mas]]/TblConstr[[#This Row],[Land (2)]]))</f>
        <v>0</v>
      </c>
      <c r="AD19" s="30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315">
        <f ca="1">OFFSET(TblImps[[#This Row],[Real time]],-1,0)+1/24</f>
        <v>45732.624999999964</v>
      </c>
      <c r="BZ19" s="316">
        <f ca="1">OFFSET(TblImps[[#This Row],[Servertime]],-1,0)+1/24</f>
        <v>45732.624999999964</v>
      </c>
      <c r="CA19" s="57"/>
      <c r="CB19" s="314"/>
      <c r="CC19" s="314"/>
      <c r="CF19" s="318"/>
    </row>
    <row r="20" spans="1:84" x14ac:dyDescent="0.2">
      <c r="A20" s="224">
        <f ca="1">TblConstr[[#This Row],[Land]]</f>
        <v>250</v>
      </c>
      <c r="B20" s="144"/>
      <c r="C20" s="96">
        <f ca="1">TblProd[[#This Row],[Platinum]]</f>
        <v>205841</v>
      </c>
      <c r="D20" s="96">
        <f ca="1">TblProd[[#This Row],[Lumber]]</f>
        <v>27625</v>
      </c>
      <c r="E20" s="96">
        <f ca="1">TblProd[[#This Row],[Ore]]</f>
        <v>0</v>
      </c>
      <c r="F20" s="96">
        <f ca="1">TblProd[[#This Row],[Gems]]</f>
        <v>0</v>
      </c>
      <c r="G20" s="156"/>
      <c r="H20" s="96">
        <f ca="1">TblMili[[#This Row],[Draftees]]</f>
        <v>341</v>
      </c>
      <c r="I20" s="182">
        <f ca="1">TblPop[[#This Row],[Employment]]</f>
        <v>0.89988751406074241</v>
      </c>
      <c r="J20" s="182">
        <f ca="1">TblPop[[#This Row],[Total]]/TblPop[[#This Row],[Net max]]</f>
        <v>0.98346055979643765</v>
      </c>
      <c r="K20" s="305">
        <f>TblRezone[[#This Row],[Hour]]</f>
        <v>17</v>
      </c>
      <c r="L20" s="306">
        <f ca="1">TblImps[[#This Row],[Real time]]</f>
        <v>45732.666666666628</v>
      </c>
      <c r="M20" s="61">
        <f>IF(ISERROR(TblImps[[#This Row],[algorithm]]),0,TblImps[[#This Row],[algorithm]]*1)</f>
        <v>0</v>
      </c>
      <c r="N20" s="96">
        <f ca="1">TblImps[[#This Row],[Land]]</f>
        <v>250</v>
      </c>
      <c r="O20" s="307" t="s">
        <v>4</v>
      </c>
      <c r="P20" s="308"/>
      <c r="Q20" s="307" t="s">
        <v>210</v>
      </c>
      <c r="R20" s="307" t="s">
        <v>7</v>
      </c>
      <c r="S20" s="308"/>
      <c r="T20" s="307" t="s">
        <v>210</v>
      </c>
      <c r="U20" s="307" t="s">
        <v>3</v>
      </c>
      <c r="V20" s="308"/>
      <c r="W20" s="307" t="s">
        <v>210</v>
      </c>
      <c r="X20" s="144"/>
      <c r="Y20" s="309">
        <f ca="1">science_cap*(1-EXP(-TblImps[[#This Row],[Σ Science]]/(science_param*(OFFSET(TblImps[[#This Row],[Land]],1,0)-OFFSET(TblExplore[[#This Row],[Land Bonus]],1,0)*20)+15000)))*(1+(mason_bonus*TblConstr[[#This Row],[Tot Mas]]/TblConstr[[#This Row],[Land (2)]]))</f>
        <v>0</v>
      </c>
      <c r="Z20" s="309">
        <f ca="1">keep_cap*(1-EXP(-TblImps[[#This Row],[Σ Keep]]/(keep_param*(OFFSET(TblImps[[#This Row],[Land]],1,0)-OFFSET(TblExplore[[#This Row],[Land Bonus]],1,0)*20)+15000)))*(1+(mason_bonus*TblConstr[[#This Row],[Tot Mas]]/TblConstr[[#This Row],[Land (2)]]))</f>
        <v>0</v>
      </c>
      <c r="AA20" s="309">
        <f ca="1">harbor_towers_cap*(1-EXP(-TblImps[[#This Row],[Σ Spires]]/(towers_param*(OFFSET(TblImps[[#This Row],[Land]],1,0)-OFFSET(TblExplore[[#This Row],[Land Bonus]],1,0)*20)+15000)))*(1+(mason_bonus*TblConstr[[#This Row],[Tot Mas]]/TblConstr[[#This Row],[Land (2)]]))</f>
        <v>0</v>
      </c>
      <c r="AB20" s="309">
        <f ca="1">walls_forges_cap*(1-EXP(-TblImps[[#This Row],[Σ Forges]]/(walls_forges_param*(OFFSET(TblImps[[#This Row],[Land]],1,0)-OFFSET(TblExplore[[#This Row],[Land Bonus]],1,0)*20)+15000)))*(1+(mason_bonus*TblConstr[[#This Row],[Tot Mas]]/TblConstr[[#This Row],[Land (2)]]))</f>
        <v>0</v>
      </c>
      <c r="AC20" s="309">
        <f ca="1">walls_forges_cap*(1-EXP(-TblImps[[#This Row],[Σ Walls]]/(walls_forges_param*(OFFSET(TblImps[[#This Row],[Land]],1,0)-OFFSET(TblExplore[[#This Row],[Land Bonus]],1,0)*20)+15000)))*(1+(mason_bonus*TblConstr[[#This Row],[Tot Mas]]/TblConstr[[#This Row],[Land (2)]]))</f>
        <v>0</v>
      </c>
      <c r="AD20" s="30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315">
        <f ca="1">OFFSET(TblImps[[#This Row],[Real time]],-1,0)+1/24</f>
        <v>45732.666666666628</v>
      </c>
      <c r="BZ20" s="316">
        <f ca="1">OFFSET(TblImps[[#This Row],[Servertime]],-1,0)+1/24</f>
        <v>45732.666666666628</v>
      </c>
      <c r="CA20" s="57"/>
      <c r="CB20" s="314"/>
      <c r="CC20" s="314"/>
      <c r="CF20" s="317"/>
    </row>
    <row r="21" spans="1:84" x14ac:dyDescent="0.2">
      <c r="A21" s="224">
        <f ca="1">TblConstr[[#This Row],[Land]]</f>
        <v>250</v>
      </c>
      <c r="B21" s="144"/>
      <c r="C21" s="96">
        <f ca="1">TblProd[[#This Row],[Platinum]]</f>
        <v>211511</v>
      </c>
      <c r="D21" s="96">
        <f ca="1">TblProd[[#This Row],[Lumber]]</f>
        <v>28349</v>
      </c>
      <c r="E21" s="96">
        <f ca="1">TblProd[[#This Row],[Ore]]</f>
        <v>0</v>
      </c>
      <c r="F21" s="96">
        <f ca="1">TblProd[[#This Row],[Gems]]</f>
        <v>0</v>
      </c>
      <c r="G21" s="156"/>
      <c r="H21" s="96">
        <f ca="1">TblMili[[#This Row],[Draftees]]</f>
        <v>359</v>
      </c>
      <c r="I21" s="182">
        <f ca="1">TblPop[[#This Row],[Employment]]</f>
        <v>0.88938299055030567</v>
      </c>
      <c r="J21" s="182">
        <f ca="1">TblPop[[#This Row],[Total]]/TblPop[[#This Row],[Net max]]</f>
        <v>1</v>
      </c>
      <c r="K21" s="305">
        <f>TblRezone[[#This Row],[Hour]]</f>
        <v>18</v>
      </c>
      <c r="L21" s="306">
        <f ca="1">TblImps[[#This Row],[Real time]]</f>
        <v>45732.708333333292</v>
      </c>
      <c r="M21" s="61">
        <f>IF(ISERROR(TblImps[[#This Row],[algorithm]]),0,TblImps[[#This Row],[algorithm]]*1)</f>
        <v>0</v>
      </c>
      <c r="N21" s="96">
        <f ca="1">TblImps[[#This Row],[Land]]</f>
        <v>250</v>
      </c>
      <c r="O21" s="307" t="s">
        <v>4</v>
      </c>
      <c r="P21" s="308"/>
      <c r="Q21" s="307" t="s">
        <v>210</v>
      </c>
      <c r="R21" s="307" t="s">
        <v>7</v>
      </c>
      <c r="S21" s="308"/>
      <c r="T21" s="307" t="s">
        <v>210</v>
      </c>
      <c r="U21" s="307" t="s">
        <v>3</v>
      </c>
      <c r="V21" s="308"/>
      <c r="W21" s="307" t="s">
        <v>210</v>
      </c>
      <c r="X21" s="144"/>
      <c r="Y21" s="309">
        <f ca="1">science_cap*(1-EXP(-TblImps[[#This Row],[Σ Science]]/(science_param*(OFFSET(TblImps[[#This Row],[Land]],1,0)-OFFSET(TblExplore[[#This Row],[Land Bonus]],1,0)*20)+15000)))*(1+(mason_bonus*TblConstr[[#This Row],[Tot Mas]]/TblConstr[[#This Row],[Land (2)]]))</f>
        <v>0</v>
      </c>
      <c r="Z21" s="309">
        <f ca="1">keep_cap*(1-EXP(-TblImps[[#This Row],[Σ Keep]]/(keep_param*(OFFSET(TblImps[[#This Row],[Land]],1,0)-OFFSET(TblExplore[[#This Row],[Land Bonus]],1,0)*20)+15000)))*(1+(mason_bonus*TblConstr[[#This Row],[Tot Mas]]/TblConstr[[#This Row],[Land (2)]]))</f>
        <v>0</v>
      </c>
      <c r="AA21" s="309">
        <f ca="1">harbor_towers_cap*(1-EXP(-TblImps[[#This Row],[Σ Spires]]/(towers_param*(OFFSET(TblImps[[#This Row],[Land]],1,0)-OFFSET(TblExplore[[#This Row],[Land Bonus]],1,0)*20)+15000)))*(1+(mason_bonus*TblConstr[[#This Row],[Tot Mas]]/TblConstr[[#This Row],[Land (2)]]))</f>
        <v>0</v>
      </c>
      <c r="AB21" s="309">
        <f ca="1">walls_forges_cap*(1-EXP(-TblImps[[#This Row],[Σ Forges]]/(walls_forges_param*(OFFSET(TblImps[[#This Row],[Land]],1,0)-OFFSET(TblExplore[[#This Row],[Land Bonus]],1,0)*20)+15000)))*(1+(mason_bonus*TblConstr[[#This Row],[Tot Mas]]/TblConstr[[#This Row],[Land (2)]]))</f>
        <v>0</v>
      </c>
      <c r="AC21" s="309">
        <f ca="1">walls_forges_cap*(1-EXP(-TblImps[[#This Row],[Σ Walls]]/(walls_forges_param*(OFFSET(TblImps[[#This Row],[Land]],1,0)-OFFSET(TblExplore[[#This Row],[Land Bonus]],1,0)*20)+15000)))*(1+(mason_bonus*TblConstr[[#This Row],[Tot Mas]]/TblConstr[[#This Row],[Land (2)]]))</f>
        <v>0</v>
      </c>
      <c r="AD21" s="30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315">
        <f ca="1">OFFSET(TblImps[[#This Row],[Real time]],-1,0)+1/24</f>
        <v>45732.708333333292</v>
      </c>
      <c r="BZ21" s="316">
        <f ca="1">OFFSET(TblImps[[#This Row],[Servertime]],-1,0)+1/24</f>
        <v>45732.708333333292</v>
      </c>
      <c r="CA21" s="57"/>
      <c r="CB21" s="314"/>
      <c r="CC21" s="314"/>
      <c r="CF21" s="317"/>
    </row>
    <row r="22" spans="1:84" x14ac:dyDescent="0.2">
      <c r="A22" s="224">
        <f ca="1">TblConstr[[#This Row],[Land]]</f>
        <v>250</v>
      </c>
      <c r="B22" s="144"/>
      <c r="C22" s="96">
        <f ca="1">TblProd[[#This Row],[Platinum]]</f>
        <v>217181</v>
      </c>
      <c r="D22" s="96">
        <f ca="1">TblProd[[#This Row],[Lumber]]</f>
        <v>29066</v>
      </c>
      <c r="E22" s="96">
        <f ca="1">TblProd[[#This Row],[Ore]]</f>
        <v>0</v>
      </c>
      <c r="F22" s="96">
        <f ca="1">TblProd[[#This Row],[Gems]]</f>
        <v>0</v>
      </c>
      <c r="G22" s="156"/>
      <c r="H22" s="96">
        <f ca="1">TblMili[[#This Row],[Draftees]]</f>
        <v>377</v>
      </c>
      <c r="I22" s="182">
        <f ca="1">TblPop[[#This Row],[Employment]]</f>
        <v>0.89837170129140931</v>
      </c>
      <c r="J22" s="182">
        <f ca="1">TblPop[[#This Row],[Total]]/TblPop[[#This Row],[Net max]]</f>
        <v>1</v>
      </c>
      <c r="K22" s="305">
        <f>TblRezone[[#This Row],[Hour]]</f>
        <v>19</v>
      </c>
      <c r="L22" s="306">
        <f ca="1">TblImps[[#This Row],[Real time]]</f>
        <v>45732.749999999956</v>
      </c>
      <c r="M22" s="61">
        <f>IF(ISERROR(TblImps[[#This Row],[algorithm]]),0,TblImps[[#This Row],[algorithm]]*1)</f>
        <v>0</v>
      </c>
      <c r="N22" s="96">
        <f ca="1">TblImps[[#This Row],[Land]]</f>
        <v>250</v>
      </c>
      <c r="O22" s="307" t="s">
        <v>4</v>
      </c>
      <c r="P22" s="308"/>
      <c r="Q22" s="307" t="s">
        <v>210</v>
      </c>
      <c r="R22" s="307" t="s">
        <v>7</v>
      </c>
      <c r="S22" s="308"/>
      <c r="T22" s="307" t="s">
        <v>210</v>
      </c>
      <c r="U22" s="307" t="s">
        <v>3</v>
      </c>
      <c r="V22" s="308"/>
      <c r="W22" s="307" t="s">
        <v>210</v>
      </c>
      <c r="X22" s="144"/>
      <c r="Y22" s="309">
        <f ca="1">science_cap*(1-EXP(-TblImps[[#This Row],[Σ Science]]/(science_param*(OFFSET(TblImps[[#This Row],[Land]],1,0)-OFFSET(TblExplore[[#This Row],[Land Bonus]],1,0)*20)+15000)))*(1+(mason_bonus*TblConstr[[#This Row],[Tot Mas]]/TblConstr[[#This Row],[Land (2)]]))</f>
        <v>0</v>
      </c>
      <c r="Z22" s="309">
        <f ca="1">keep_cap*(1-EXP(-TblImps[[#This Row],[Σ Keep]]/(keep_param*(OFFSET(TblImps[[#This Row],[Land]],1,0)-OFFSET(TblExplore[[#This Row],[Land Bonus]],1,0)*20)+15000)))*(1+(mason_bonus*TblConstr[[#This Row],[Tot Mas]]/TblConstr[[#This Row],[Land (2)]]))</f>
        <v>0</v>
      </c>
      <c r="AA22" s="309">
        <f ca="1">harbor_towers_cap*(1-EXP(-TblImps[[#This Row],[Σ Spires]]/(towers_param*(OFFSET(TblImps[[#This Row],[Land]],1,0)-OFFSET(TblExplore[[#This Row],[Land Bonus]],1,0)*20)+15000)))*(1+(mason_bonus*TblConstr[[#This Row],[Tot Mas]]/TblConstr[[#This Row],[Land (2)]]))</f>
        <v>0</v>
      </c>
      <c r="AB22" s="309">
        <f ca="1">walls_forges_cap*(1-EXP(-TblImps[[#This Row],[Σ Forges]]/(walls_forges_param*(OFFSET(TblImps[[#This Row],[Land]],1,0)-OFFSET(TblExplore[[#This Row],[Land Bonus]],1,0)*20)+15000)))*(1+(mason_bonus*TblConstr[[#This Row],[Tot Mas]]/TblConstr[[#This Row],[Land (2)]]))</f>
        <v>0</v>
      </c>
      <c r="AC22" s="309">
        <f ca="1">walls_forges_cap*(1-EXP(-TblImps[[#This Row],[Σ Walls]]/(walls_forges_param*(OFFSET(TblImps[[#This Row],[Land]],1,0)-OFFSET(TblExplore[[#This Row],[Land Bonus]],1,0)*20)+15000)))*(1+(mason_bonus*TblConstr[[#This Row],[Tot Mas]]/TblConstr[[#This Row],[Land (2)]]))</f>
        <v>0</v>
      </c>
      <c r="AD22" s="30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315">
        <f ca="1">OFFSET(TblImps[[#This Row],[Real time]],-1,0)+1/24</f>
        <v>45732.749999999956</v>
      </c>
      <c r="BZ22" s="316">
        <f ca="1">OFFSET(TblImps[[#This Row],[Servertime]],-1,0)+1/24</f>
        <v>45732.749999999956</v>
      </c>
      <c r="CA22" s="57"/>
      <c r="CB22" s="314"/>
      <c r="CC22" s="314"/>
    </row>
    <row r="23" spans="1:84" x14ac:dyDescent="0.2">
      <c r="A23" s="224">
        <f ca="1">TblConstr[[#This Row],[Land]]</f>
        <v>250</v>
      </c>
      <c r="B23" s="144"/>
      <c r="C23" s="96">
        <f ca="1">TblProd[[#This Row],[Platinum]]</f>
        <v>222851</v>
      </c>
      <c r="D23" s="96">
        <f ca="1">TblProd[[#This Row],[Lumber]]</f>
        <v>29775</v>
      </c>
      <c r="E23" s="96">
        <f ca="1">TblProd[[#This Row],[Ore]]</f>
        <v>0</v>
      </c>
      <c r="F23" s="96">
        <f ca="1">TblProd[[#This Row],[Gems]]</f>
        <v>0</v>
      </c>
      <c r="G23" s="156"/>
      <c r="H23" s="96">
        <f ca="1">TblMili[[#This Row],[Draftees]]</f>
        <v>395</v>
      </c>
      <c r="I23" s="182">
        <f ca="1">TblPop[[#This Row],[Employment]]</f>
        <v>0.90754395916052188</v>
      </c>
      <c r="J23" s="182">
        <f ca="1">TblPop[[#This Row],[Total]]/TblPop[[#This Row],[Net max]]</f>
        <v>1</v>
      </c>
      <c r="K23" s="305">
        <f>TblRezone[[#This Row],[Hour]]</f>
        <v>20</v>
      </c>
      <c r="L23" s="306">
        <f ca="1">TblImps[[#This Row],[Real time]]</f>
        <v>45732.791666666621</v>
      </c>
      <c r="M23" s="61">
        <f>IF(ISERROR(TblImps[[#This Row],[algorithm]]),0,TblImps[[#This Row],[algorithm]]*1)</f>
        <v>0</v>
      </c>
      <c r="N23" s="96">
        <f ca="1">TblImps[[#This Row],[Land]]</f>
        <v>250</v>
      </c>
      <c r="O23" s="307" t="s">
        <v>4</v>
      </c>
      <c r="P23" s="308"/>
      <c r="Q23" s="307" t="s">
        <v>210</v>
      </c>
      <c r="R23" s="307" t="s">
        <v>7</v>
      </c>
      <c r="S23" s="308"/>
      <c r="T23" s="307" t="s">
        <v>210</v>
      </c>
      <c r="U23" s="307" t="s">
        <v>3</v>
      </c>
      <c r="V23" s="308"/>
      <c r="W23" s="307" t="s">
        <v>210</v>
      </c>
      <c r="X23" s="144"/>
      <c r="Y23" s="309">
        <f ca="1">science_cap*(1-EXP(-TblImps[[#This Row],[Σ Science]]/(science_param*(OFFSET(TblImps[[#This Row],[Land]],1,0)-OFFSET(TblExplore[[#This Row],[Land Bonus]],1,0)*20)+15000)))*(1+(mason_bonus*TblConstr[[#This Row],[Tot Mas]]/TblConstr[[#This Row],[Land (2)]]))</f>
        <v>0</v>
      </c>
      <c r="Z23" s="309">
        <f ca="1">keep_cap*(1-EXP(-TblImps[[#This Row],[Σ Keep]]/(keep_param*(OFFSET(TblImps[[#This Row],[Land]],1,0)-OFFSET(TblExplore[[#This Row],[Land Bonus]],1,0)*20)+15000)))*(1+(mason_bonus*TblConstr[[#This Row],[Tot Mas]]/TblConstr[[#This Row],[Land (2)]]))</f>
        <v>0</v>
      </c>
      <c r="AA23" s="309">
        <f ca="1">harbor_towers_cap*(1-EXP(-TblImps[[#This Row],[Σ Spires]]/(towers_param*(OFFSET(TblImps[[#This Row],[Land]],1,0)-OFFSET(TblExplore[[#This Row],[Land Bonus]],1,0)*20)+15000)))*(1+(mason_bonus*TblConstr[[#This Row],[Tot Mas]]/TblConstr[[#This Row],[Land (2)]]))</f>
        <v>0</v>
      </c>
      <c r="AB23" s="309">
        <f ca="1">walls_forges_cap*(1-EXP(-TblImps[[#This Row],[Σ Forges]]/(walls_forges_param*(OFFSET(TblImps[[#This Row],[Land]],1,0)-OFFSET(TblExplore[[#This Row],[Land Bonus]],1,0)*20)+15000)))*(1+(mason_bonus*TblConstr[[#This Row],[Tot Mas]]/TblConstr[[#This Row],[Land (2)]]))</f>
        <v>0</v>
      </c>
      <c r="AC23" s="309">
        <f ca="1">walls_forges_cap*(1-EXP(-TblImps[[#This Row],[Σ Walls]]/(walls_forges_param*(OFFSET(TblImps[[#This Row],[Land]],1,0)-OFFSET(TblExplore[[#This Row],[Land Bonus]],1,0)*20)+15000)))*(1+(mason_bonus*TblConstr[[#This Row],[Tot Mas]]/TblConstr[[#This Row],[Land (2)]]))</f>
        <v>0</v>
      </c>
      <c r="AD23" s="30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315">
        <f ca="1">OFFSET(TblImps[[#This Row],[Real time]],-1,0)+1/24</f>
        <v>45732.791666666621</v>
      </c>
      <c r="BZ23" s="316">
        <f ca="1">OFFSET(TblImps[[#This Row],[Servertime]],-1,0)+1/24</f>
        <v>45732.791666666621</v>
      </c>
      <c r="CA23" s="57"/>
      <c r="CB23" s="314"/>
      <c r="CC23" s="314"/>
    </row>
    <row r="24" spans="1:84" x14ac:dyDescent="0.2">
      <c r="A24" s="224">
        <f ca="1">TblConstr[[#This Row],[Land]]</f>
        <v>250</v>
      </c>
      <c r="B24" s="144"/>
      <c r="C24" s="96">
        <f ca="1">TblProd[[#This Row],[Platinum]]</f>
        <v>228521</v>
      </c>
      <c r="D24" s="96">
        <f ca="1">TblProd[[#This Row],[Lumber]]</f>
        <v>30477</v>
      </c>
      <c r="E24" s="96">
        <f ca="1">TblProd[[#This Row],[Ore]]</f>
        <v>0</v>
      </c>
      <c r="F24" s="96">
        <f ca="1">TblProd[[#This Row],[Gems]]</f>
        <v>0</v>
      </c>
      <c r="G24" s="156"/>
      <c r="H24" s="96">
        <f ca="1">TblMili[[#This Row],[Draftees]]</f>
        <v>413</v>
      </c>
      <c r="I24" s="182">
        <f ca="1">TblPop[[#This Row],[Employment]]</f>
        <v>0.91690544412607455</v>
      </c>
      <c r="J24" s="182">
        <f ca="1">TblPop[[#This Row],[Total]]/TblPop[[#This Row],[Net max]]</f>
        <v>1</v>
      </c>
      <c r="K24" s="305">
        <f>TblRezone[[#This Row],[Hour]]</f>
        <v>21</v>
      </c>
      <c r="L24" s="306">
        <f ca="1">TblImps[[#This Row],[Real time]]</f>
        <v>45732.833333333285</v>
      </c>
      <c r="M24" s="61">
        <f>IF(ISERROR(TblImps[[#This Row],[algorithm]]),0,TblImps[[#This Row],[algorithm]]*1)</f>
        <v>0</v>
      </c>
      <c r="N24" s="96">
        <f ca="1">TblImps[[#This Row],[Land]]</f>
        <v>250</v>
      </c>
      <c r="O24" s="307" t="s">
        <v>4</v>
      </c>
      <c r="P24" s="308"/>
      <c r="Q24" s="307" t="s">
        <v>210</v>
      </c>
      <c r="R24" s="307" t="s">
        <v>7</v>
      </c>
      <c r="S24" s="308"/>
      <c r="T24" s="307" t="s">
        <v>210</v>
      </c>
      <c r="U24" s="307" t="s">
        <v>3</v>
      </c>
      <c r="V24" s="308"/>
      <c r="W24" s="307" t="s">
        <v>210</v>
      </c>
      <c r="X24" s="144"/>
      <c r="Y24" s="309">
        <f ca="1">science_cap*(1-EXP(-TblImps[[#This Row],[Σ Science]]/(science_param*(OFFSET(TblImps[[#This Row],[Land]],1,0)-OFFSET(TblExplore[[#This Row],[Land Bonus]],1,0)*20)+15000)))*(1+(mason_bonus*TblConstr[[#This Row],[Tot Mas]]/TblConstr[[#This Row],[Land (2)]]))</f>
        <v>0</v>
      </c>
      <c r="Z24" s="309">
        <f ca="1">keep_cap*(1-EXP(-TblImps[[#This Row],[Σ Keep]]/(keep_param*(OFFSET(TblImps[[#This Row],[Land]],1,0)-OFFSET(TblExplore[[#This Row],[Land Bonus]],1,0)*20)+15000)))*(1+(mason_bonus*TblConstr[[#This Row],[Tot Mas]]/TblConstr[[#This Row],[Land (2)]]))</f>
        <v>0</v>
      </c>
      <c r="AA24" s="309">
        <f ca="1">harbor_towers_cap*(1-EXP(-TblImps[[#This Row],[Σ Spires]]/(towers_param*(OFFSET(TblImps[[#This Row],[Land]],1,0)-OFFSET(TblExplore[[#This Row],[Land Bonus]],1,0)*20)+15000)))*(1+(mason_bonus*TblConstr[[#This Row],[Tot Mas]]/TblConstr[[#This Row],[Land (2)]]))</f>
        <v>0</v>
      </c>
      <c r="AB24" s="309">
        <f ca="1">walls_forges_cap*(1-EXP(-TblImps[[#This Row],[Σ Forges]]/(walls_forges_param*(OFFSET(TblImps[[#This Row],[Land]],1,0)-OFFSET(TblExplore[[#This Row],[Land Bonus]],1,0)*20)+15000)))*(1+(mason_bonus*TblConstr[[#This Row],[Tot Mas]]/TblConstr[[#This Row],[Land (2)]]))</f>
        <v>0</v>
      </c>
      <c r="AC24" s="309">
        <f ca="1">walls_forges_cap*(1-EXP(-TblImps[[#This Row],[Σ Walls]]/(walls_forges_param*(OFFSET(TblImps[[#This Row],[Land]],1,0)-OFFSET(TblExplore[[#This Row],[Land Bonus]],1,0)*20)+15000)))*(1+(mason_bonus*TblConstr[[#This Row],[Tot Mas]]/TblConstr[[#This Row],[Land (2)]]))</f>
        <v>0</v>
      </c>
      <c r="AD24" s="30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315">
        <f ca="1">OFFSET(TblImps[[#This Row],[Real time]],-1,0)+1/24</f>
        <v>45732.833333333285</v>
      </c>
      <c r="BZ24" s="316">
        <f ca="1">OFFSET(TblImps[[#This Row],[Servertime]],-1,0)+1/24</f>
        <v>45732.833333333285</v>
      </c>
      <c r="CA24" s="57"/>
      <c r="CB24" s="314"/>
      <c r="CC24" s="314"/>
    </row>
    <row r="25" spans="1:84" x14ac:dyDescent="0.2">
      <c r="A25" s="224">
        <f ca="1">TblConstr[[#This Row],[Land]]</f>
        <v>250</v>
      </c>
      <c r="B25" s="144"/>
      <c r="C25" s="96">
        <f ca="1">TblProd[[#This Row],[Platinum]]</f>
        <v>234191</v>
      </c>
      <c r="D25" s="96">
        <f ca="1">TblProd[[#This Row],[Lumber]]</f>
        <v>31172</v>
      </c>
      <c r="E25" s="96">
        <f ca="1">TblProd[[#This Row],[Ore]]</f>
        <v>0</v>
      </c>
      <c r="F25" s="96">
        <f ca="1">TblProd[[#This Row],[Gems]]</f>
        <v>0</v>
      </c>
      <c r="G25" s="156"/>
      <c r="H25" s="96">
        <f ca="1">TblMili[[#This Row],[Draftees]]</f>
        <v>430</v>
      </c>
      <c r="I25" s="182">
        <f ca="1">TblPop[[#This Row],[Employment]]</f>
        <v>0.92592592592592593</v>
      </c>
      <c r="J25" s="182">
        <f ca="1">TblPop[[#This Row],[Total]]/TblPop[[#This Row],[Net max]]</f>
        <v>1</v>
      </c>
      <c r="K25" s="305">
        <f>TblRezone[[#This Row],[Hour]]</f>
        <v>22</v>
      </c>
      <c r="L25" s="306">
        <f ca="1">TblImps[[#This Row],[Real time]]</f>
        <v>45732.874999999949</v>
      </c>
      <c r="M25" s="61">
        <f>IF(ISERROR(TblImps[[#This Row],[algorithm]]),0,TblImps[[#This Row],[algorithm]]*1)</f>
        <v>0</v>
      </c>
      <c r="N25" s="96">
        <f ca="1">TblImps[[#This Row],[Land]]</f>
        <v>250</v>
      </c>
      <c r="O25" s="307" t="s">
        <v>4</v>
      </c>
      <c r="P25" s="308"/>
      <c r="Q25" s="307" t="s">
        <v>210</v>
      </c>
      <c r="R25" s="307" t="s">
        <v>7</v>
      </c>
      <c r="S25" s="308"/>
      <c r="T25" s="307" t="s">
        <v>210</v>
      </c>
      <c r="U25" s="307" t="s">
        <v>3</v>
      </c>
      <c r="V25" s="308"/>
      <c r="W25" s="307" t="s">
        <v>210</v>
      </c>
      <c r="X25" s="144"/>
      <c r="Y25" s="309">
        <f ca="1">science_cap*(1-EXP(-TblImps[[#This Row],[Σ Science]]/(science_param*(OFFSET(TblImps[[#This Row],[Land]],1,0)-OFFSET(TblExplore[[#This Row],[Land Bonus]],1,0)*20)+15000)))*(1+(mason_bonus*TblConstr[[#This Row],[Tot Mas]]/TblConstr[[#This Row],[Land (2)]]))</f>
        <v>0</v>
      </c>
      <c r="Z25" s="309">
        <f ca="1">keep_cap*(1-EXP(-TblImps[[#This Row],[Σ Keep]]/(keep_param*(OFFSET(TblImps[[#This Row],[Land]],1,0)-OFFSET(TblExplore[[#This Row],[Land Bonus]],1,0)*20)+15000)))*(1+(mason_bonus*TblConstr[[#This Row],[Tot Mas]]/TblConstr[[#This Row],[Land (2)]]))</f>
        <v>0</v>
      </c>
      <c r="AA25" s="309">
        <f ca="1">harbor_towers_cap*(1-EXP(-TblImps[[#This Row],[Σ Spires]]/(towers_param*(OFFSET(TblImps[[#This Row],[Land]],1,0)-OFFSET(TblExplore[[#This Row],[Land Bonus]],1,0)*20)+15000)))*(1+(mason_bonus*TblConstr[[#This Row],[Tot Mas]]/TblConstr[[#This Row],[Land (2)]]))</f>
        <v>0</v>
      </c>
      <c r="AB25" s="309">
        <f ca="1">walls_forges_cap*(1-EXP(-TblImps[[#This Row],[Σ Forges]]/(walls_forges_param*(OFFSET(TblImps[[#This Row],[Land]],1,0)-OFFSET(TblExplore[[#This Row],[Land Bonus]],1,0)*20)+15000)))*(1+(mason_bonus*TblConstr[[#This Row],[Tot Mas]]/TblConstr[[#This Row],[Land (2)]]))</f>
        <v>0</v>
      </c>
      <c r="AC25" s="309">
        <f ca="1">walls_forges_cap*(1-EXP(-TblImps[[#This Row],[Σ Walls]]/(walls_forges_param*(OFFSET(TblImps[[#This Row],[Land]],1,0)-OFFSET(TblExplore[[#This Row],[Land Bonus]],1,0)*20)+15000)))*(1+(mason_bonus*TblConstr[[#This Row],[Tot Mas]]/TblConstr[[#This Row],[Land (2)]]))</f>
        <v>0</v>
      </c>
      <c r="AD25" s="30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315">
        <f ca="1">OFFSET(TblImps[[#This Row],[Real time]],-1,0)+1/24</f>
        <v>45732.874999999949</v>
      </c>
      <c r="BZ25" s="316">
        <f ca="1">OFFSET(TblImps[[#This Row],[Servertime]],-1,0)+1/24</f>
        <v>45732.874999999949</v>
      </c>
      <c r="CA25" s="57"/>
      <c r="CB25" s="314"/>
      <c r="CC25" s="314"/>
    </row>
    <row r="26" spans="1:84" x14ac:dyDescent="0.2">
      <c r="A26" s="224">
        <f ca="1">TblConstr[[#This Row],[Land]]</f>
        <v>250</v>
      </c>
      <c r="B26" s="144"/>
      <c r="C26" s="96">
        <f ca="1">TblProd[[#This Row],[Platinum]]</f>
        <v>239861</v>
      </c>
      <c r="D26" s="96">
        <f ca="1">TblProd[[#This Row],[Lumber]]</f>
        <v>31860</v>
      </c>
      <c r="E26" s="96">
        <f ca="1">TblProd[[#This Row],[Ore]]</f>
        <v>0</v>
      </c>
      <c r="F26" s="96">
        <f ca="1">TblProd[[#This Row],[Gems]]</f>
        <v>0</v>
      </c>
      <c r="G26" s="156"/>
      <c r="H26" s="96">
        <f ca="1">TblMili[[#This Row],[Draftees]]</f>
        <v>447</v>
      </c>
      <c r="I26" s="182">
        <f ca="1">TblPop[[#This Row],[Employment]]</f>
        <v>0.93512565751022791</v>
      </c>
      <c r="J26" s="182">
        <f ca="1">TblPop[[#This Row],[Total]]/TblPop[[#This Row],[Net max]]</f>
        <v>1</v>
      </c>
      <c r="K26" s="305">
        <f>TblRezone[[#This Row],[Hour]]</f>
        <v>23</v>
      </c>
      <c r="L26" s="306">
        <f ca="1">TblImps[[#This Row],[Real time]]</f>
        <v>45732.916666666613</v>
      </c>
      <c r="M26" s="61">
        <f>IF(ISERROR(TblImps[[#This Row],[algorithm]]),0,TblImps[[#This Row],[algorithm]]*1)</f>
        <v>0</v>
      </c>
      <c r="N26" s="96">
        <f ca="1">TblImps[[#This Row],[Land]]</f>
        <v>250</v>
      </c>
      <c r="O26" s="307" t="s">
        <v>4</v>
      </c>
      <c r="P26" s="308"/>
      <c r="Q26" s="307" t="s">
        <v>210</v>
      </c>
      <c r="R26" s="307" t="s">
        <v>7</v>
      </c>
      <c r="S26" s="308"/>
      <c r="T26" s="307" t="s">
        <v>210</v>
      </c>
      <c r="U26" s="307" t="s">
        <v>3</v>
      </c>
      <c r="V26" s="308"/>
      <c r="W26" s="307" t="s">
        <v>210</v>
      </c>
      <c r="X26" s="144"/>
      <c r="Y26" s="309">
        <f ca="1">science_cap*(1-EXP(-TblImps[[#This Row],[Σ Science]]/(science_param*(OFFSET(TblImps[[#This Row],[Land]],1,0)-OFFSET(TblExplore[[#This Row],[Land Bonus]],1,0)*20)+15000)))*(1+(mason_bonus*TblConstr[[#This Row],[Tot Mas]]/TblConstr[[#This Row],[Land (2)]]))</f>
        <v>0</v>
      </c>
      <c r="Z26" s="309">
        <f ca="1">keep_cap*(1-EXP(-TblImps[[#This Row],[Σ Keep]]/(keep_param*(OFFSET(TblImps[[#This Row],[Land]],1,0)-OFFSET(TblExplore[[#This Row],[Land Bonus]],1,0)*20)+15000)))*(1+(mason_bonus*TblConstr[[#This Row],[Tot Mas]]/TblConstr[[#This Row],[Land (2)]]))</f>
        <v>0</v>
      </c>
      <c r="AA26" s="309">
        <f ca="1">harbor_towers_cap*(1-EXP(-TblImps[[#This Row],[Σ Spires]]/(towers_param*(OFFSET(TblImps[[#This Row],[Land]],1,0)-OFFSET(TblExplore[[#This Row],[Land Bonus]],1,0)*20)+15000)))*(1+(mason_bonus*TblConstr[[#This Row],[Tot Mas]]/TblConstr[[#This Row],[Land (2)]]))</f>
        <v>0</v>
      </c>
      <c r="AB26" s="309">
        <f ca="1">walls_forges_cap*(1-EXP(-TblImps[[#This Row],[Σ Forges]]/(walls_forges_param*(OFFSET(TblImps[[#This Row],[Land]],1,0)-OFFSET(TblExplore[[#This Row],[Land Bonus]],1,0)*20)+15000)))*(1+(mason_bonus*TblConstr[[#This Row],[Tot Mas]]/TblConstr[[#This Row],[Land (2)]]))</f>
        <v>0</v>
      </c>
      <c r="AC26" s="309">
        <f ca="1">walls_forges_cap*(1-EXP(-TblImps[[#This Row],[Σ Walls]]/(walls_forges_param*(OFFSET(TblImps[[#This Row],[Land]],1,0)-OFFSET(TblExplore[[#This Row],[Land Bonus]],1,0)*20)+15000)))*(1+(mason_bonus*TblConstr[[#This Row],[Tot Mas]]/TblConstr[[#This Row],[Land (2)]]))</f>
        <v>0</v>
      </c>
      <c r="AD26" s="30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315">
        <f ca="1">OFFSET(TblImps[[#This Row],[Real time]],-1,0)+1/24</f>
        <v>45732.916666666613</v>
      </c>
      <c r="BZ26" s="316">
        <f ca="1">OFFSET(TblImps[[#This Row],[Servertime]],-1,0)+1/24</f>
        <v>45732.916666666613</v>
      </c>
      <c r="CA26" s="57"/>
      <c r="CB26" s="314"/>
      <c r="CC26" s="314"/>
    </row>
    <row r="27" spans="1:84" x14ac:dyDescent="0.2">
      <c r="A27" s="224">
        <f ca="1">TblConstr[[#This Row],[Land]]</f>
        <v>250</v>
      </c>
      <c r="B27" s="144"/>
      <c r="C27" s="96">
        <f ca="1">TblProd[[#This Row],[Platinum]]</f>
        <v>245531</v>
      </c>
      <c r="D27" s="96">
        <f ca="1">TblProd[[#This Row],[Lumber]]</f>
        <v>32541</v>
      </c>
      <c r="E27" s="96">
        <f ca="1">TblProd[[#This Row],[Ore]]</f>
        <v>0</v>
      </c>
      <c r="F27" s="96">
        <f ca="1">TblProd[[#This Row],[Gems]]</f>
        <v>0</v>
      </c>
      <c r="G27" s="156"/>
      <c r="H27" s="96">
        <f ca="1">TblMili[[#This Row],[Draftees]]</f>
        <v>464</v>
      </c>
      <c r="I27" s="182">
        <f ca="1">TblPop[[#This Row],[Employment]]</f>
        <v>0.94451003541912637</v>
      </c>
      <c r="J27" s="182">
        <f ca="1">TblPop[[#This Row],[Total]]/TblPop[[#This Row],[Net max]]</f>
        <v>1</v>
      </c>
      <c r="K27" s="305">
        <f>TblRezone[[#This Row],[Hour]]</f>
        <v>24</v>
      </c>
      <c r="L27" s="306">
        <f ca="1">TblImps[[#This Row],[Real time]]</f>
        <v>45732.958333333278</v>
      </c>
      <c r="M27" s="61">
        <f>IF(ISERROR(TblImps[[#This Row],[algorithm]]),0,TblImps[[#This Row],[algorithm]]*1)</f>
        <v>0</v>
      </c>
      <c r="N27" s="96">
        <f ca="1">TblImps[[#This Row],[Land]]</f>
        <v>250</v>
      </c>
      <c r="O27" s="307" t="s">
        <v>4</v>
      </c>
      <c r="P27" s="308"/>
      <c r="Q27" s="307" t="s">
        <v>210</v>
      </c>
      <c r="R27" s="307" t="s">
        <v>7</v>
      </c>
      <c r="S27" s="308"/>
      <c r="T27" s="307" t="s">
        <v>210</v>
      </c>
      <c r="U27" s="307" t="s">
        <v>3</v>
      </c>
      <c r="V27" s="308"/>
      <c r="W27" s="307" t="s">
        <v>210</v>
      </c>
      <c r="X27" s="144"/>
      <c r="Y27" s="309">
        <f ca="1">science_cap*(1-EXP(-TblImps[[#This Row],[Σ Science]]/(science_param*(OFFSET(TblImps[[#This Row],[Land]],1,0)-OFFSET(TblExplore[[#This Row],[Land Bonus]],1,0)*20)+15000)))*(1+(mason_bonus*TblConstr[[#This Row],[Tot Mas]]/TblConstr[[#This Row],[Land (2)]]))</f>
        <v>0</v>
      </c>
      <c r="Z27" s="309">
        <f ca="1">keep_cap*(1-EXP(-TblImps[[#This Row],[Σ Keep]]/(keep_param*(OFFSET(TblImps[[#This Row],[Land]],1,0)-OFFSET(TblExplore[[#This Row],[Land Bonus]],1,0)*20)+15000)))*(1+(mason_bonus*TblConstr[[#This Row],[Tot Mas]]/TblConstr[[#This Row],[Land (2)]]))</f>
        <v>0</v>
      </c>
      <c r="AA27" s="309">
        <f ca="1">harbor_towers_cap*(1-EXP(-TblImps[[#This Row],[Σ Spires]]/(towers_param*(OFFSET(TblImps[[#This Row],[Land]],1,0)-OFFSET(TblExplore[[#This Row],[Land Bonus]],1,0)*20)+15000)))*(1+(mason_bonus*TblConstr[[#This Row],[Tot Mas]]/TblConstr[[#This Row],[Land (2)]]))</f>
        <v>0</v>
      </c>
      <c r="AB27" s="309">
        <f ca="1">walls_forges_cap*(1-EXP(-TblImps[[#This Row],[Σ Forges]]/(walls_forges_param*(OFFSET(TblImps[[#This Row],[Land]],1,0)-OFFSET(TblExplore[[#This Row],[Land Bonus]],1,0)*20)+15000)))*(1+(mason_bonus*TblConstr[[#This Row],[Tot Mas]]/TblConstr[[#This Row],[Land (2)]]))</f>
        <v>0</v>
      </c>
      <c r="AC27" s="309">
        <f ca="1">walls_forges_cap*(1-EXP(-TblImps[[#This Row],[Σ Walls]]/(walls_forges_param*(OFFSET(TblImps[[#This Row],[Land]],1,0)-OFFSET(TblExplore[[#This Row],[Land Bonus]],1,0)*20)+15000)))*(1+(mason_bonus*TblConstr[[#This Row],[Tot Mas]]/TblConstr[[#This Row],[Land (2)]]))</f>
        <v>0</v>
      </c>
      <c r="AD27" s="30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315">
        <f ca="1">OFFSET(TblImps[[#This Row],[Real time]],-1,0)+1/24</f>
        <v>45732.958333333278</v>
      </c>
      <c r="BZ27" s="316">
        <f ca="1">OFFSET(TblImps[[#This Row],[Servertime]],-1,0)+1/24</f>
        <v>45732.958333333278</v>
      </c>
      <c r="CA27" s="57"/>
      <c r="CB27" s="314"/>
      <c r="CC27" s="314"/>
    </row>
    <row r="28" spans="1:84" x14ac:dyDescent="0.2">
      <c r="A28" s="224">
        <f ca="1">TblConstr[[#This Row],[Land]]</f>
        <v>250</v>
      </c>
      <c r="B28" s="144"/>
      <c r="C28" s="96">
        <f ca="1">TblProd[[#This Row],[Platinum]]</f>
        <v>251201</v>
      </c>
      <c r="D28" s="96">
        <f ca="1">TblProd[[#This Row],[Lumber]]</f>
        <v>33216</v>
      </c>
      <c r="E28" s="96">
        <f ca="1">TblProd[[#This Row],[Ore]]</f>
        <v>0</v>
      </c>
      <c r="F28" s="96">
        <f ca="1">TblProd[[#This Row],[Gems]]</f>
        <v>0</v>
      </c>
      <c r="G28" s="156"/>
      <c r="H28" s="96">
        <f ca="1">TblMili[[#This Row],[Draftees]]</f>
        <v>481</v>
      </c>
      <c r="I28" s="182">
        <f ca="1">TblPop[[#This Row],[Employment]]</f>
        <v>0.95408467501490757</v>
      </c>
      <c r="J28" s="182">
        <f ca="1">TblPop[[#This Row],[Total]]/TblPop[[#This Row],[Net max]]</f>
        <v>1</v>
      </c>
      <c r="K28" s="305">
        <f>TblRezone[[#This Row],[Hour]]</f>
        <v>25</v>
      </c>
      <c r="L28" s="306">
        <f ca="1">TblImps[[#This Row],[Real time]]</f>
        <v>45732.999999999942</v>
      </c>
      <c r="M28" s="61">
        <f>IF(ISERROR(TblImps[[#This Row],[algorithm]]),0,TblImps[[#This Row],[algorithm]]*1)</f>
        <v>0</v>
      </c>
      <c r="N28" s="96">
        <f ca="1">TblImps[[#This Row],[Land]]</f>
        <v>250</v>
      </c>
      <c r="O28" s="307" t="s">
        <v>2</v>
      </c>
      <c r="P28" s="308"/>
      <c r="Q28" s="307" t="s">
        <v>210</v>
      </c>
      <c r="R28" s="307" t="s">
        <v>7</v>
      </c>
      <c r="S28" s="308"/>
      <c r="T28" s="307" t="s">
        <v>210</v>
      </c>
      <c r="U28" s="307" t="s">
        <v>3</v>
      </c>
      <c r="V28" s="308"/>
      <c r="W28" s="307" t="s">
        <v>210</v>
      </c>
      <c r="X28" s="144"/>
      <c r="Y28" s="309">
        <f ca="1">science_cap*(1-EXP(-TblImps[[#This Row],[Σ Science]]/(science_param*(OFFSET(TblImps[[#This Row],[Land]],1,0)-OFFSET(TblExplore[[#This Row],[Land Bonus]],1,0)*20)+15000)))*(1+(mason_bonus*TblConstr[[#This Row],[Tot Mas]]/TblConstr[[#This Row],[Land (2)]]))</f>
        <v>0</v>
      </c>
      <c r="Z28" s="309">
        <f ca="1">keep_cap*(1-EXP(-TblImps[[#This Row],[Σ Keep]]/(keep_param*(OFFSET(TblImps[[#This Row],[Land]],1,0)-OFFSET(TblExplore[[#This Row],[Land Bonus]],1,0)*20)+15000)))*(1+(mason_bonus*TblConstr[[#This Row],[Tot Mas]]/TblConstr[[#This Row],[Land (2)]]))</f>
        <v>0</v>
      </c>
      <c r="AA28" s="309">
        <f ca="1">harbor_towers_cap*(1-EXP(-TblImps[[#This Row],[Σ Spires]]/(towers_param*(OFFSET(TblImps[[#This Row],[Land]],1,0)-OFFSET(TblExplore[[#This Row],[Land Bonus]],1,0)*20)+15000)))*(1+(mason_bonus*TblConstr[[#This Row],[Tot Mas]]/TblConstr[[#This Row],[Land (2)]]))</f>
        <v>0</v>
      </c>
      <c r="AB28" s="309">
        <f ca="1">walls_forges_cap*(1-EXP(-TblImps[[#This Row],[Σ Forges]]/(walls_forges_param*(OFFSET(TblImps[[#This Row],[Land]],1,0)-OFFSET(TblExplore[[#This Row],[Land Bonus]],1,0)*20)+15000)))*(1+(mason_bonus*TblConstr[[#This Row],[Tot Mas]]/TblConstr[[#This Row],[Land (2)]]))</f>
        <v>0</v>
      </c>
      <c r="AC28" s="309">
        <f ca="1">walls_forges_cap*(1-EXP(-TblImps[[#This Row],[Σ Walls]]/(walls_forges_param*(OFFSET(TblImps[[#This Row],[Land]],1,0)-OFFSET(TblExplore[[#This Row],[Land Bonus]],1,0)*20)+15000)))*(1+(mason_bonus*TblConstr[[#This Row],[Tot Mas]]/TblConstr[[#This Row],[Land (2)]]))</f>
        <v>0</v>
      </c>
      <c r="AD28" s="30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315">
        <f ca="1">OFFSET(TblImps[[#This Row],[Real time]],-1,0)+1/24</f>
        <v>45732.999999999942</v>
      </c>
      <c r="BZ28" s="316">
        <f ca="1">OFFSET(TblImps[[#This Row],[Servertime]],-1,0)+1/24</f>
        <v>45732.999999999942</v>
      </c>
      <c r="CA28" s="57"/>
      <c r="CB28" s="314"/>
      <c r="CC28" s="314"/>
    </row>
    <row r="29" spans="1:84" x14ac:dyDescent="0.2">
      <c r="A29" s="224">
        <f ca="1">TblConstr[[#This Row],[Land]]</f>
        <v>250</v>
      </c>
      <c r="B29" s="144"/>
      <c r="C29" s="96">
        <f ca="1">TblProd[[#This Row],[Platinum]]</f>
        <v>256871</v>
      </c>
      <c r="D29" s="96">
        <f ca="1">TblProd[[#This Row],[Lumber]]</f>
        <v>33884</v>
      </c>
      <c r="E29" s="96">
        <f ca="1">TblProd[[#This Row],[Ore]]</f>
        <v>0</v>
      </c>
      <c r="F29" s="96">
        <f ca="1">TblProd[[#This Row],[Gems]]</f>
        <v>0</v>
      </c>
      <c r="G29" s="156"/>
      <c r="H29" s="96">
        <f ca="1">TblMili[[#This Row],[Draftees]]</f>
        <v>498</v>
      </c>
      <c r="I29" s="182">
        <f ca="1">TblPop[[#This Row],[Employment]]</f>
        <v>0.96385542168674698</v>
      </c>
      <c r="J29" s="182">
        <f ca="1">TblPop[[#This Row],[Total]]/TblPop[[#This Row],[Net max]]</f>
        <v>1</v>
      </c>
      <c r="K29" s="305">
        <f>TblRezone[[#This Row],[Hour]]</f>
        <v>26</v>
      </c>
      <c r="L29" s="306">
        <f ca="1">TblImps[[#This Row],[Real time]]</f>
        <v>45733.041666666606</v>
      </c>
      <c r="M29" s="61">
        <f>IF(ISERROR(TblImps[[#This Row],[algorithm]]),0,TblImps[[#This Row],[algorithm]]*1)</f>
        <v>0</v>
      </c>
      <c r="N29" s="96">
        <f ca="1">TblImps[[#This Row],[Land]]</f>
        <v>250</v>
      </c>
      <c r="O29" s="307" t="s">
        <v>4</v>
      </c>
      <c r="P29" s="308"/>
      <c r="Q29" s="307" t="s">
        <v>210</v>
      </c>
      <c r="R29" s="307" t="s">
        <v>7</v>
      </c>
      <c r="S29" s="308"/>
      <c r="T29" s="307" t="s">
        <v>210</v>
      </c>
      <c r="U29" s="307" t="s">
        <v>3</v>
      </c>
      <c r="V29" s="308"/>
      <c r="W29" s="307" t="s">
        <v>210</v>
      </c>
      <c r="X29" s="144"/>
      <c r="Y29" s="309">
        <f ca="1">science_cap*(1-EXP(-TblImps[[#This Row],[Σ Science]]/(science_param*(OFFSET(TblImps[[#This Row],[Land]],1,0)-OFFSET(TblExplore[[#This Row],[Land Bonus]],1,0)*20)+15000)))*(1+(mason_bonus*TblConstr[[#This Row],[Tot Mas]]/TblConstr[[#This Row],[Land (2)]]))</f>
        <v>0</v>
      </c>
      <c r="Z29" s="309">
        <f ca="1">keep_cap*(1-EXP(-TblImps[[#This Row],[Σ Keep]]/(keep_param*(OFFSET(TblImps[[#This Row],[Land]],1,0)-OFFSET(TblExplore[[#This Row],[Land Bonus]],1,0)*20)+15000)))*(1+(mason_bonus*TblConstr[[#This Row],[Tot Mas]]/TblConstr[[#This Row],[Land (2)]]))</f>
        <v>0</v>
      </c>
      <c r="AA29" s="309">
        <f ca="1">harbor_towers_cap*(1-EXP(-TblImps[[#This Row],[Σ Spires]]/(towers_param*(OFFSET(TblImps[[#This Row],[Land]],1,0)-OFFSET(TblExplore[[#This Row],[Land Bonus]],1,0)*20)+15000)))*(1+(mason_bonus*TblConstr[[#This Row],[Tot Mas]]/TblConstr[[#This Row],[Land (2)]]))</f>
        <v>0</v>
      </c>
      <c r="AB29" s="309">
        <f ca="1">walls_forges_cap*(1-EXP(-TblImps[[#This Row],[Σ Forges]]/(walls_forges_param*(OFFSET(TblImps[[#This Row],[Land]],1,0)-OFFSET(TblExplore[[#This Row],[Land Bonus]],1,0)*20)+15000)))*(1+(mason_bonus*TblConstr[[#This Row],[Tot Mas]]/TblConstr[[#This Row],[Land (2)]]))</f>
        <v>0</v>
      </c>
      <c r="AC29" s="309">
        <f ca="1">walls_forges_cap*(1-EXP(-TblImps[[#This Row],[Σ Walls]]/(walls_forges_param*(OFFSET(TblImps[[#This Row],[Land]],1,0)-OFFSET(TblExplore[[#This Row],[Land Bonus]],1,0)*20)+15000)))*(1+(mason_bonus*TblConstr[[#This Row],[Tot Mas]]/TblConstr[[#This Row],[Land (2)]]))</f>
        <v>0</v>
      </c>
      <c r="AD29" s="30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315">
        <f ca="1">OFFSET(TblImps[[#This Row],[Real time]],-1,0)+1/24</f>
        <v>45733.041666666606</v>
      </c>
      <c r="BZ29" s="316">
        <f ca="1">OFFSET(TblImps[[#This Row],[Servertime]],-1,0)+1/24</f>
        <v>45733.041666666606</v>
      </c>
      <c r="CA29" s="57"/>
      <c r="CB29" s="314"/>
      <c r="CC29" s="314"/>
    </row>
    <row r="30" spans="1:84" x14ac:dyDescent="0.2">
      <c r="A30" s="224">
        <f ca="1">TblConstr[[#This Row],[Land]]</f>
        <v>250</v>
      </c>
      <c r="B30" s="144"/>
      <c r="C30" s="96">
        <f ca="1">TblProd[[#This Row],[Platinum]]</f>
        <v>262541</v>
      </c>
      <c r="D30" s="96">
        <f ca="1">TblProd[[#This Row],[Lumber]]</f>
        <v>34545</v>
      </c>
      <c r="E30" s="96">
        <f ca="1">TblProd[[#This Row],[Ore]]</f>
        <v>0</v>
      </c>
      <c r="F30" s="96">
        <f ca="1">TblProd[[#This Row],[Gems]]</f>
        <v>0</v>
      </c>
      <c r="G30" s="156"/>
      <c r="H30" s="96">
        <f ca="1">TblMili[[#This Row],[Draftees]]</f>
        <v>515</v>
      </c>
      <c r="I30" s="182">
        <f ca="1">TblPop[[#This Row],[Employment]]</f>
        <v>0.9738283627510651</v>
      </c>
      <c r="J30" s="182">
        <f ca="1">TblPop[[#This Row],[Total]]/TblPop[[#This Row],[Net max]]</f>
        <v>1</v>
      </c>
      <c r="K30" s="305">
        <f>TblRezone[[#This Row],[Hour]]</f>
        <v>27</v>
      </c>
      <c r="L30" s="306">
        <f ca="1">TblImps[[#This Row],[Real time]]</f>
        <v>45733.08333333327</v>
      </c>
      <c r="M30" s="61">
        <f>IF(ISERROR(TblImps[[#This Row],[algorithm]]),0,TblImps[[#This Row],[algorithm]]*1)</f>
        <v>0</v>
      </c>
      <c r="N30" s="96">
        <f ca="1">TblImps[[#This Row],[Land]]</f>
        <v>250</v>
      </c>
      <c r="O30" s="307" t="s">
        <v>4</v>
      </c>
      <c r="P30" s="308"/>
      <c r="Q30" s="307" t="s">
        <v>210</v>
      </c>
      <c r="R30" s="307" t="s">
        <v>7</v>
      </c>
      <c r="S30" s="308"/>
      <c r="T30" s="307" t="s">
        <v>210</v>
      </c>
      <c r="U30" s="307" t="s">
        <v>3</v>
      </c>
      <c r="V30" s="308"/>
      <c r="W30" s="307" t="s">
        <v>210</v>
      </c>
      <c r="X30" s="144"/>
      <c r="Y30" s="309">
        <f ca="1">science_cap*(1-EXP(-TblImps[[#This Row],[Σ Science]]/(science_param*(OFFSET(TblImps[[#This Row],[Land]],1,0)-OFFSET(TblExplore[[#This Row],[Land Bonus]],1,0)*20)+15000)))*(1+(mason_bonus*TblConstr[[#This Row],[Tot Mas]]/TblConstr[[#This Row],[Land (2)]]))</f>
        <v>0</v>
      </c>
      <c r="Z30" s="309">
        <f ca="1">keep_cap*(1-EXP(-TblImps[[#This Row],[Σ Keep]]/(keep_param*(OFFSET(TblImps[[#This Row],[Land]],1,0)-OFFSET(TblExplore[[#This Row],[Land Bonus]],1,0)*20)+15000)))*(1+(mason_bonus*TblConstr[[#This Row],[Tot Mas]]/TblConstr[[#This Row],[Land (2)]]))</f>
        <v>0</v>
      </c>
      <c r="AA30" s="309">
        <f ca="1">harbor_towers_cap*(1-EXP(-TblImps[[#This Row],[Σ Spires]]/(towers_param*(OFFSET(TblImps[[#This Row],[Land]],1,0)-OFFSET(TblExplore[[#This Row],[Land Bonus]],1,0)*20)+15000)))*(1+(mason_bonus*TblConstr[[#This Row],[Tot Mas]]/TblConstr[[#This Row],[Land (2)]]))</f>
        <v>0</v>
      </c>
      <c r="AB30" s="309">
        <f ca="1">walls_forges_cap*(1-EXP(-TblImps[[#This Row],[Σ Forges]]/(walls_forges_param*(OFFSET(TblImps[[#This Row],[Land]],1,0)-OFFSET(TblExplore[[#This Row],[Land Bonus]],1,0)*20)+15000)))*(1+(mason_bonus*TblConstr[[#This Row],[Tot Mas]]/TblConstr[[#This Row],[Land (2)]]))</f>
        <v>0</v>
      </c>
      <c r="AC30" s="309">
        <f ca="1">walls_forges_cap*(1-EXP(-TblImps[[#This Row],[Σ Walls]]/(walls_forges_param*(OFFSET(TblImps[[#This Row],[Land]],1,0)-OFFSET(TblExplore[[#This Row],[Land Bonus]],1,0)*20)+15000)))*(1+(mason_bonus*TblConstr[[#This Row],[Tot Mas]]/TblConstr[[#This Row],[Land (2)]]))</f>
        <v>0</v>
      </c>
      <c r="AD30" s="30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315">
        <f ca="1">OFFSET(TblImps[[#This Row],[Real time]],-1,0)+1/24</f>
        <v>45733.08333333327</v>
      </c>
      <c r="BZ30" s="316">
        <f ca="1">OFFSET(TblImps[[#This Row],[Servertime]],-1,0)+1/24</f>
        <v>45733.08333333327</v>
      </c>
      <c r="CA30" s="57"/>
      <c r="CB30" s="314"/>
      <c r="CC30" s="314"/>
      <c r="CD30" s="45" t="s">
        <v>4</v>
      </c>
    </row>
    <row r="31" spans="1:84" x14ac:dyDescent="0.2">
      <c r="A31" s="224">
        <f ca="1">TblConstr[[#This Row],[Land]]</f>
        <v>250</v>
      </c>
      <c r="B31" s="144"/>
      <c r="C31" s="96">
        <f ca="1">TblProd[[#This Row],[Platinum]]</f>
        <v>268211</v>
      </c>
      <c r="D31" s="96">
        <f ca="1">TblProd[[#This Row],[Lumber]]</f>
        <v>35200</v>
      </c>
      <c r="E31" s="96">
        <f ca="1">TblProd[[#This Row],[Ore]]</f>
        <v>0</v>
      </c>
      <c r="F31" s="96">
        <f ca="1">TblProd[[#This Row],[Gems]]</f>
        <v>0</v>
      </c>
      <c r="G31" s="156"/>
      <c r="H31" s="96">
        <f ca="1">TblMili[[#This Row],[Draftees]]</f>
        <v>531</v>
      </c>
      <c r="I31" s="182">
        <f ca="1">TblPop[[#This Row],[Employment]]</f>
        <v>0.98340503995082973</v>
      </c>
      <c r="J31" s="182">
        <f ca="1">TblPop[[#This Row],[Total]]/TblPop[[#This Row],[Net max]]</f>
        <v>1</v>
      </c>
      <c r="K31" s="305">
        <f>TblRezone[[#This Row],[Hour]]</f>
        <v>28</v>
      </c>
      <c r="L31" s="306">
        <f ca="1">TblImps[[#This Row],[Real time]]</f>
        <v>45733.124999999935</v>
      </c>
      <c r="M31" s="61">
        <f>IF(ISERROR(TblImps[[#This Row],[algorithm]]),0,TblImps[[#This Row],[algorithm]]*1)</f>
        <v>0</v>
      </c>
      <c r="N31" s="96">
        <f ca="1">TblImps[[#This Row],[Land]]</f>
        <v>250</v>
      </c>
      <c r="O31" s="307" t="s">
        <v>4</v>
      </c>
      <c r="P31" s="308"/>
      <c r="Q31" s="307" t="s">
        <v>210</v>
      </c>
      <c r="R31" s="307" t="s">
        <v>7</v>
      </c>
      <c r="S31" s="308"/>
      <c r="T31" s="307" t="s">
        <v>210</v>
      </c>
      <c r="U31" s="307" t="s">
        <v>3</v>
      </c>
      <c r="V31" s="308"/>
      <c r="W31" s="307" t="s">
        <v>210</v>
      </c>
      <c r="X31" s="144"/>
      <c r="Y31" s="309">
        <f ca="1">science_cap*(1-EXP(-TblImps[[#This Row],[Σ Science]]/(science_param*(OFFSET(TblImps[[#This Row],[Land]],1,0)-OFFSET(TblExplore[[#This Row],[Land Bonus]],1,0)*20)+15000)))*(1+(mason_bonus*TblConstr[[#This Row],[Tot Mas]]/TblConstr[[#This Row],[Land (2)]]))</f>
        <v>0</v>
      </c>
      <c r="Z31" s="309">
        <f ca="1">keep_cap*(1-EXP(-TblImps[[#This Row],[Σ Keep]]/(keep_param*(OFFSET(TblImps[[#This Row],[Land]],1,0)-OFFSET(TblExplore[[#This Row],[Land Bonus]],1,0)*20)+15000)))*(1+(mason_bonus*TblConstr[[#This Row],[Tot Mas]]/TblConstr[[#This Row],[Land (2)]]))</f>
        <v>0</v>
      </c>
      <c r="AA31" s="309">
        <f ca="1">harbor_towers_cap*(1-EXP(-TblImps[[#This Row],[Σ Spires]]/(towers_param*(OFFSET(TblImps[[#This Row],[Land]],1,0)-OFFSET(TblExplore[[#This Row],[Land Bonus]],1,0)*20)+15000)))*(1+(mason_bonus*TblConstr[[#This Row],[Tot Mas]]/TblConstr[[#This Row],[Land (2)]]))</f>
        <v>0</v>
      </c>
      <c r="AB31" s="309">
        <f ca="1">walls_forges_cap*(1-EXP(-TblImps[[#This Row],[Σ Forges]]/(walls_forges_param*(OFFSET(TblImps[[#This Row],[Land]],1,0)-OFFSET(TblExplore[[#This Row],[Land Bonus]],1,0)*20)+15000)))*(1+(mason_bonus*TblConstr[[#This Row],[Tot Mas]]/TblConstr[[#This Row],[Land (2)]]))</f>
        <v>0</v>
      </c>
      <c r="AC31" s="309">
        <f ca="1">walls_forges_cap*(1-EXP(-TblImps[[#This Row],[Σ Walls]]/(walls_forges_param*(OFFSET(TblImps[[#This Row],[Land]],1,0)-OFFSET(TblExplore[[#This Row],[Land Bonus]],1,0)*20)+15000)))*(1+(mason_bonus*TblConstr[[#This Row],[Tot Mas]]/TblConstr[[#This Row],[Land (2)]]))</f>
        <v>0</v>
      </c>
      <c r="AD31" s="30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315">
        <f ca="1">OFFSET(TblImps[[#This Row],[Real time]],-1,0)+1/24</f>
        <v>45733.124999999935</v>
      </c>
      <c r="BZ31" s="316">
        <f ca="1">OFFSET(TblImps[[#This Row],[Servertime]],-1,0)+1/24</f>
        <v>45733.124999999935</v>
      </c>
      <c r="CA31" s="57"/>
      <c r="CB31" s="314"/>
      <c r="CC31" s="314"/>
      <c r="CD31" s="45" t="s">
        <v>7</v>
      </c>
    </row>
    <row r="32" spans="1:84" x14ac:dyDescent="0.2">
      <c r="A32" s="224">
        <f ca="1">TblConstr[[#This Row],[Land]]</f>
        <v>250</v>
      </c>
      <c r="B32" s="144"/>
      <c r="C32" s="96">
        <f ca="1">TblProd[[#This Row],[Platinum]]</f>
        <v>273881</v>
      </c>
      <c r="D32" s="96">
        <f ca="1">TblProd[[#This Row],[Lumber]]</f>
        <v>35848</v>
      </c>
      <c r="E32" s="96">
        <f ca="1">TblProd[[#This Row],[Ore]]</f>
        <v>0</v>
      </c>
      <c r="F32" s="96">
        <f ca="1">TblProd[[#This Row],[Gems]]</f>
        <v>0</v>
      </c>
      <c r="G32" s="156"/>
      <c r="H32" s="96">
        <f ca="1">TblMili[[#This Row],[Draftees]]</f>
        <v>547</v>
      </c>
      <c r="I32" s="182">
        <f ca="1">TblPop[[#This Row],[Employment]]</f>
        <v>0.99317194289261324</v>
      </c>
      <c r="J32" s="182">
        <f ca="1">TblPop[[#This Row],[Total]]/TblPop[[#This Row],[Net max]]</f>
        <v>1</v>
      </c>
      <c r="K32" s="305">
        <f>TblRezone[[#This Row],[Hour]]</f>
        <v>29</v>
      </c>
      <c r="L32" s="306">
        <f ca="1">TblImps[[#This Row],[Real time]]</f>
        <v>45733.166666666599</v>
      </c>
      <c r="M32" s="61">
        <f>IF(ISERROR(TblImps[[#This Row],[algorithm]]),0,TblImps[[#This Row],[algorithm]]*1)</f>
        <v>0</v>
      </c>
      <c r="N32" s="96">
        <f ca="1">TblImps[[#This Row],[Land]]</f>
        <v>250</v>
      </c>
      <c r="O32" s="307" t="s">
        <v>4</v>
      </c>
      <c r="P32" s="308"/>
      <c r="Q32" s="307" t="s">
        <v>210</v>
      </c>
      <c r="R32" s="307" t="s">
        <v>7</v>
      </c>
      <c r="S32" s="308"/>
      <c r="T32" s="307" t="s">
        <v>210</v>
      </c>
      <c r="U32" s="307" t="s">
        <v>3</v>
      </c>
      <c r="V32" s="308"/>
      <c r="W32" s="307" t="s">
        <v>210</v>
      </c>
      <c r="X32" s="144"/>
      <c r="Y32" s="309">
        <f ca="1">science_cap*(1-EXP(-TblImps[[#This Row],[Σ Science]]/(science_param*(OFFSET(TblImps[[#This Row],[Land]],1,0)-OFFSET(TblExplore[[#This Row],[Land Bonus]],1,0)*20)+15000)))*(1+(mason_bonus*TblConstr[[#This Row],[Tot Mas]]/TblConstr[[#This Row],[Land (2)]]))</f>
        <v>0</v>
      </c>
      <c r="Z32" s="309">
        <f ca="1">keep_cap*(1-EXP(-TblImps[[#This Row],[Σ Keep]]/(keep_param*(OFFSET(TblImps[[#This Row],[Land]],1,0)-OFFSET(TblExplore[[#This Row],[Land Bonus]],1,0)*20)+15000)))*(1+(mason_bonus*TblConstr[[#This Row],[Tot Mas]]/TblConstr[[#This Row],[Land (2)]]))</f>
        <v>0</v>
      </c>
      <c r="AA32" s="309">
        <f ca="1">harbor_towers_cap*(1-EXP(-TblImps[[#This Row],[Σ Spires]]/(towers_param*(OFFSET(TblImps[[#This Row],[Land]],1,0)-OFFSET(TblExplore[[#This Row],[Land Bonus]],1,0)*20)+15000)))*(1+(mason_bonus*TblConstr[[#This Row],[Tot Mas]]/TblConstr[[#This Row],[Land (2)]]))</f>
        <v>0</v>
      </c>
      <c r="AB32" s="309">
        <f ca="1">walls_forges_cap*(1-EXP(-TblImps[[#This Row],[Σ Forges]]/(walls_forges_param*(OFFSET(TblImps[[#This Row],[Land]],1,0)-OFFSET(TblExplore[[#This Row],[Land Bonus]],1,0)*20)+15000)))*(1+(mason_bonus*TblConstr[[#This Row],[Tot Mas]]/TblConstr[[#This Row],[Land (2)]]))</f>
        <v>0</v>
      </c>
      <c r="AC32" s="309">
        <f ca="1">walls_forges_cap*(1-EXP(-TblImps[[#This Row],[Σ Walls]]/(walls_forges_param*(OFFSET(TblImps[[#This Row],[Land]],1,0)-OFFSET(TblExplore[[#This Row],[Land Bonus]],1,0)*20)+15000)))*(1+(mason_bonus*TblConstr[[#This Row],[Tot Mas]]/TblConstr[[#This Row],[Land (2)]]))</f>
        <v>0</v>
      </c>
      <c r="AD32" s="30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315">
        <f ca="1">OFFSET(TblImps[[#This Row],[Real time]],-1,0)+1/24</f>
        <v>45733.166666666599</v>
      </c>
      <c r="BZ32" s="316">
        <f ca="1">OFFSET(TblImps[[#This Row],[Servertime]],-1,0)+1/24</f>
        <v>45733.166666666599</v>
      </c>
      <c r="CA32" s="57"/>
      <c r="CB32" s="314"/>
      <c r="CC32" s="314"/>
      <c r="CD32" s="45" t="s">
        <v>3</v>
      </c>
    </row>
    <row r="33" spans="1:82" x14ac:dyDescent="0.2">
      <c r="A33" s="224">
        <f ca="1">TblConstr[[#This Row],[Land]]</f>
        <v>250</v>
      </c>
      <c r="B33" s="144"/>
      <c r="C33" s="96">
        <f ca="1">TblProd[[#This Row],[Platinum]]</f>
        <v>279551</v>
      </c>
      <c r="D33" s="96">
        <f ca="1">TblProd[[#This Row],[Lumber]]</f>
        <v>36490</v>
      </c>
      <c r="E33" s="96">
        <f ca="1">TblProd[[#This Row],[Ore]]</f>
        <v>0</v>
      </c>
      <c r="F33" s="96">
        <f ca="1">TblProd[[#This Row],[Gems]]</f>
        <v>0</v>
      </c>
      <c r="G33" s="156"/>
      <c r="H33" s="96">
        <f ca="1">TblMili[[#This Row],[Draftees]]</f>
        <v>563</v>
      </c>
      <c r="I33" s="182">
        <f ca="1">TblPop[[#This Row],[Employment]]</f>
        <v>1</v>
      </c>
      <c r="J33" s="182">
        <f ca="1">TblPop[[#This Row],[Total]]/TblPop[[#This Row],[Net max]]</f>
        <v>1</v>
      </c>
      <c r="K33" s="305">
        <f>TblRezone[[#This Row],[Hour]]</f>
        <v>30</v>
      </c>
      <c r="L33" s="306">
        <f ca="1">TblImps[[#This Row],[Real time]]</f>
        <v>45733.208333333263</v>
      </c>
      <c r="M33" s="61">
        <f>IF(ISERROR(TblImps[[#This Row],[algorithm]]),0,TblImps[[#This Row],[algorithm]]*1)</f>
        <v>0</v>
      </c>
      <c r="N33" s="96">
        <f ca="1">TblImps[[#This Row],[Land]]</f>
        <v>250</v>
      </c>
      <c r="O33" s="307" t="s">
        <v>4</v>
      </c>
      <c r="P33" s="308"/>
      <c r="Q33" s="307" t="s">
        <v>210</v>
      </c>
      <c r="R33" s="307" t="s">
        <v>7</v>
      </c>
      <c r="S33" s="308"/>
      <c r="T33" s="307" t="s">
        <v>210</v>
      </c>
      <c r="U33" s="307" t="s">
        <v>3</v>
      </c>
      <c r="V33" s="308"/>
      <c r="W33" s="307" t="s">
        <v>210</v>
      </c>
      <c r="X33" s="144"/>
      <c r="Y33" s="309">
        <f ca="1">science_cap*(1-EXP(-TblImps[[#This Row],[Σ Science]]/(science_param*(OFFSET(TblImps[[#This Row],[Land]],1,0)-OFFSET(TblExplore[[#This Row],[Land Bonus]],1,0)*20)+15000)))*(1+(mason_bonus*TblConstr[[#This Row],[Tot Mas]]/TblConstr[[#This Row],[Land (2)]]))</f>
        <v>0</v>
      </c>
      <c r="Z33" s="309">
        <f ca="1">keep_cap*(1-EXP(-TblImps[[#This Row],[Σ Keep]]/(keep_param*(OFFSET(TblImps[[#This Row],[Land]],1,0)-OFFSET(TblExplore[[#This Row],[Land Bonus]],1,0)*20)+15000)))*(1+(mason_bonus*TblConstr[[#This Row],[Tot Mas]]/TblConstr[[#This Row],[Land (2)]]))</f>
        <v>0</v>
      </c>
      <c r="AA33" s="309">
        <f ca="1">harbor_towers_cap*(1-EXP(-TblImps[[#This Row],[Σ Spires]]/(towers_param*(OFFSET(TblImps[[#This Row],[Land]],1,0)-OFFSET(TblExplore[[#This Row],[Land Bonus]],1,0)*20)+15000)))*(1+(mason_bonus*TblConstr[[#This Row],[Tot Mas]]/TblConstr[[#This Row],[Land (2)]]))</f>
        <v>0</v>
      </c>
      <c r="AB33" s="309">
        <f ca="1">walls_forges_cap*(1-EXP(-TblImps[[#This Row],[Σ Forges]]/(walls_forges_param*(OFFSET(TblImps[[#This Row],[Land]],1,0)-OFFSET(TblExplore[[#This Row],[Land Bonus]],1,0)*20)+15000)))*(1+(mason_bonus*TblConstr[[#This Row],[Tot Mas]]/TblConstr[[#This Row],[Land (2)]]))</f>
        <v>0</v>
      </c>
      <c r="AC33" s="309">
        <f ca="1">walls_forges_cap*(1-EXP(-TblImps[[#This Row],[Σ Walls]]/(walls_forges_param*(OFFSET(TblImps[[#This Row],[Land]],1,0)-OFFSET(TblExplore[[#This Row],[Land Bonus]],1,0)*20)+15000)))*(1+(mason_bonus*TblConstr[[#This Row],[Tot Mas]]/TblConstr[[#This Row],[Land (2)]]))</f>
        <v>0</v>
      </c>
      <c r="AD33" s="30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315">
        <f ca="1">OFFSET(TblImps[[#This Row],[Real time]],-1,0)+1/24</f>
        <v>45733.208333333263</v>
      </c>
      <c r="BZ33" s="316">
        <f ca="1">OFFSET(TblImps[[#This Row],[Servertime]],-1,0)+1/24</f>
        <v>45733.208333333263</v>
      </c>
      <c r="CA33" s="57"/>
      <c r="CB33" s="314"/>
      <c r="CC33" s="314"/>
      <c r="CD33" s="45" t="s">
        <v>2</v>
      </c>
    </row>
    <row r="34" spans="1:82" x14ac:dyDescent="0.2">
      <c r="A34" s="224">
        <f ca="1">TblConstr[[#This Row],[Land]]</f>
        <v>250</v>
      </c>
      <c r="B34" s="144"/>
      <c r="C34" s="96">
        <f ca="1">TblProd[[#This Row],[Platinum]]</f>
        <v>285207</v>
      </c>
      <c r="D34" s="96">
        <f ca="1">TblProd[[#This Row],[Lumber]]</f>
        <v>37125</v>
      </c>
      <c r="E34" s="96">
        <f ca="1">TblProd[[#This Row],[Ore]]</f>
        <v>0</v>
      </c>
      <c r="F34" s="96">
        <f ca="1">TblProd[[#This Row],[Gems]]</f>
        <v>0</v>
      </c>
      <c r="G34" s="156"/>
      <c r="H34" s="96">
        <f ca="1">TblMili[[#This Row],[Draftees]]</f>
        <v>579</v>
      </c>
      <c r="I34" s="182">
        <f ca="1">TblPop[[#This Row],[Employment]]</f>
        <v>1</v>
      </c>
      <c r="J34" s="182">
        <f ca="1">TblPop[[#This Row],[Total]]/TblPop[[#This Row],[Net max]]</f>
        <v>1</v>
      </c>
      <c r="K34" s="305">
        <f>TblRezone[[#This Row],[Hour]]</f>
        <v>31</v>
      </c>
      <c r="L34" s="306">
        <f ca="1">TblImps[[#This Row],[Real time]]</f>
        <v>45733.249999999927</v>
      </c>
      <c r="M34" s="61">
        <f>IF(ISERROR(TblImps[[#This Row],[algorithm]]),0,TblImps[[#This Row],[algorithm]]*1)</f>
        <v>0</v>
      </c>
      <c r="N34" s="96">
        <f ca="1">TblImps[[#This Row],[Land]]</f>
        <v>250</v>
      </c>
      <c r="O34" s="307" t="s">
        <v>4</v>
      </c>
      <c r="P34" s="308"/>
      <c r="Q34" s="307" t="s">
        <v>210</v>
      </c>
      <c r="R34" s="307" t="s">
        <v>7</v>
      </c>
      <c r="S34" s="308"/>
      <c r="T34" s="307" t="s">
        <v>210</v>
      </c>
      <c r="U34" s="307" t="s">
        <v>3</v>
      </c>
      <c r="V34" s="308"/>
      <c r="W34" s="307" t="s">
        <v>210</v>
      </c>
      <c r="X34" s="144"/>
      <c r="Y34" s="309">
        <f ca="1">science_cap*(1-EXP(-TblImps[[#This Row],[Σ Science]]/(science_param*(OFFSET(TblImps[[#This Row],[Land]],1,0)-OFFSET(TblExplore[[#This Row],[Land Bonus]],1,0)*20)+15000)))*(1+(mason_bonus*TblConstr[[#This Row],[Tot Mas]]/TblConstr[[#This Row],[Land (2)]]))</f>
        <v>0</v>
      </c>
      <c r="Z34" s="309">
        <f ca="1">keep_cap*(1-EXP(-TblImps[[#This Row],[Σ Keep]]/(keep_param*(OFFSET(TblImps[[#This Row],[Land]],1,0)-OFFSET(TblExplore[[#This Row],[Land Bonus]],1,0)*20)+15000)))*(1+(mason_bonus*TblConstr[[#This Row],[Tot Mas]]/TblConstr[[#This Row],[Land (2)]]))</f>
        <v>0</v>
      </c>
      <c r="AA34" s="309">
        <f ca="1">harbor_towers_cap*(1-EXP(-TblImps[[#This Row],[Σ Spires]]/(towers_param*(OFFSET(TblImps[[#This Row],[Land]],1,0)-OFFSET(TblExplore[[#This Row],[Land Bonus]],1,0)*20)+15000)))*(1+(mason_bonus*TblConstr[[#This Row],[Tot Mas]]/TblConstr[[#This Row],[Land (2)]]))</f>
        <v>0</v>
      </c>
      <c r="AB34" s="309">
        <f ca="1">walls_forges_cap*(1-EXP(-TblImps[[#This Row],[Σ Forges]]/(walls_forges_param*(OFFSET(TblImps[[#This Row],[Land]],1,0)-OFFSET(TblExplore[[#This Row],[Land Bonus]],1,0)*20)+15000)))*(1+(mason_bonus*TblConstr[[#This Row],[Tot Mas]]/TblConstr[[#This Row],[Land (2)]]))</f>
        <v>0</v>
      </c>
      <c r="AC34" s="309">
        <f ca="1">walls_forges_cap*(1-EXP(-TblImps[[#This Row],[Σ Walls]]/(walls_forges_param*(OFFSET(TblImps[[#This Row],[Land]],1,0)-OFFSET(TblExplore[[#This Row],[Land Bonus]],1,0)*20)+15000)))*(1+(mason_bonus*TblConstr[[#This Row],[Tot Mas]]/TblConstr[[#This Row],[Land (2)]]))</f>
        <v>0</v>
      </c>
      <c r="AD34" s="30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315">
        <f ca="1">OFFSET(TblImps[[#This Row],[Real time]],-1,0)+1/24</f>
        <v>45733.249999999927</v>
      </c>
      <c r="BZ34" s="316">
        <f ca="1">OFFSET(TblImps[[#This Row],[Servertime]],-1,0)+1/24</f>
        <v>45733.249999999927</v>
      </c>
      <c r="CA34" s="57"/>
      <c r="CB34" s="314"/>
      <c r="CC34" s="314"/>
    </row>
    <row r="35" spans="1:82" x14ac:dyDescent="0.2">
      <c r="A35" s="224">
        <f ca="1">TblConstr[[#This Row],[Land]]</f>
        <v>250</v>
      </c>
      <c r="B35" s="144"/>
      <c r="C35" s="96">
        <f ca="1">TblProd[[#This Row],[Platinum]]</f>
        <v>290820</v>
      </c>
      <c r="D35" s="96">
        <f ca="1">TblProd[[#This Row],[Lumber]]</f>
        <v>37754</v>
      </c>
      <c r="E35" s="96">
        <f ca="1">TblProd[[#This Row],[Ore]]</f>
        <v>0</v>
      </c>
      <c r="F35" s="96">
        <f ca="1">TblProd[[#This Row],[Gems]]</f>
        <v>0</v>
      </c>
      <c r="G35" s="156"/>
      <c r="H35" s="96">
        <f ca="1">TblMili[[#This Row],[Draftees]]</f>
        <v>595</v>
      </c>
      <c r="I35" s="182">
        <f ca="1">TblPop[[#This Row],[Employment]]</f>
        <v>1</v>
      </c>
      <c r="J35" s="182">
        <f ca="1">TblPop[[#This Row],[Total]]/TblPop[[#This Row],[Net max]]</f>
        <v>1</v>
      </c>
      <c r="K35" s="305">
        <f>TblRezone[[#This Row],[Hour]]</f>
        <v>32</v>
      </c>
      <c r="L35" s="306">
        <f ca="1">TblImps[[#This Row],[Real time]]</f>
        <v>45733.291666666591</v>
      </c>
      <c r="M35" s="61">
        <f>IF(ISERROR(TblImps[[#This Row],[algorithm]]),0,TblImps[[#This Row],[algorithm]]*1)</f>
        <v>0</v>
      </c>
      <c r="N35" s="96">
        <f ca="1">TblImps[[#This Row],[Land]]</f>
        <v>250</v>
      </c>
      <c r="O35" s="307" t="s">
        <v>4</v>
      </c>
      <c r="P35" s="308"/>
      <c r="Q35" s="307" t="s">
        <v>210</v>
      </c>
      <c r="R35" s="307" t="s">
        <v>7</v>
      </c>
      <c r="S35" s="308"/>
      <c r="T35" s="307" t="s">
        <v>210</v>
      </c>
      <c r="U35" s="307" t="s">
        <v>3</v>
      </c>
      <c r="V35" s="308"/>
      <c r="W35" s="307" t="s">
        <v>210</v>
      </c>
      <c r="X35" s="144"/>
      <c r="Y35" s="309">
        <f ca="1">science_cap*(1-EXP(-TblImps[[#This Row],[Σ Science]]/(science_param*(OFFSET(TblImps[[#This Row],[Land]],1,0)-OFFSET(TblExplore[[#This Row],[Land Bonus]],1,0)*20)+15000)))*(1+(mason_bonus*TblConstr[[#This Row],[Tot Mas]]/TblConstr[[#This Row],[Land (2)]]))</f>
        <v>0</v>
      </c>
      <c r="Z35" s="309">
        <f ca="1">keep_cap*(1-EXP(-TblImps[[#This Row],[Σ Keep]]/(keep_param*(OFFSET(TblImps[[#This Row],[Land]],1,0)-OFFSET(TblExplore[[#This Row],[Land Bonus]],1,0)*20)+15000)))*(1+(mason_bonus*TblConstr[[#This Row],[Tot Mas]]/TblConstr[[#This Row],[Land (2)]]))</f>
        <v>0</v>
      </c>
      <c r="AA35" s="309">
        <f ca="1">harbor_towers_cap*(1-EXP(-TblImps[[#This Row],[Σ Spires]]/(towers_param*(OFFSET(TblImps[[#This Row],[Land]],1,0)-OFFSET(TblExplore[[#This Row],[Land Bonus]],1,0)*20)+15000)))*(1+(mason_bonus*TblConstr[[#This Row],[Tot Mas]]/TblConstr[[#This Row],[Land (2)]]))</f>
        <v>0</v>
      </c>
      <c r="AB35" s="309">
        <f ca="1">walls_forges_cap*(1-EXP(-TblImps[[#This Row],[Σ Forges]]/(walls_forges_param*(OFFSET(TblImps[[#This Row],[Land]],1,0)-OFFSET(TblExplore[[#This Row],[Land Bonus]],1,0)*20)+15000)))*(1+(mason_bonus*TblConstr[[#This Row],[Tot Mas]]/TblConstr[[#This Row],[Land (2)]]))</f>
        <v>0</v>
      </c>
      <c r="AC35" s="309">
        <f ca="1">walls_forges_cap*(1-EXP(-TblImps[[#This Row],[Σ Walls]]/(walls_forges_param*(OFFSET(TblImps[[#This Row],[Land]],1,0)-OFFSET(TblExplore[[#This Row],[Land Bonus]],1,0)*20)+15000)))*(1+(mason_bonus*TblConstr[[#This Row],[Tot Mas]]/TblConstr[[#This Row],[Land (2)]]))</f>
        <v>0</v>
      </c>
      <c r="AD35" s="30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315">
        <f ca="1">OFFSET(TblImps[[#This Row],[Real time]],-1,0)+1/24</f>
        <v>45733.291666666591</v>
      </c>
      <c r="BZ35" s="316">
        <f ca="1">OFFSET(TblImps[[#This Row],[Servertime]],-1,0)+1/24</f>
        <v>45733.291666666591</v>
      </c>
      <c r="CA35" s="57"/>
      <c r="CB35" s="314"/>
      <c r="CC35" s="314"/>
      <c r="CD35" s="45" t="s">
        <v>208</v>
      </c>
    </row>
    <row r="36" spans="1:82" x14ac:dyDescent="0.2">
      <c r="A36" s="224">
        <f ca="1">TblConstr[[#This Row],[Land]]</f>
        <v>250</v>
      </c>
      <c r="B36" s="144"/>
      <c r="C36" s="96">
        <f ca="1">TblProd[[#This Row],[Platinum]]</f>
        <v>296390</v>
      </c>
      <c r="D36" s="96">
        <f ca="1">TblProd[[#This Row],[Lumber]]</f>
        <v>38376</v>
      </c>
      <c r="E36" s="96">
        <f ca="1">TblProd[[#This Row],[Ore]]</f>
        <v>0</v>
      </c>
      <c r="F36" s="96">
        <f ca="1">TblProd[[#This Row],[Gems]]</f>
        <v>0</v>
      </c>
      <c r="G36" s="156"/>
      <c r="H36" s="96">
        <f ca="1">TblMili[[#This Row],[Draftees]]</f>
        <v>611</v>
      </c>
      <c r="I36" s="182">
        <f ca="1">TblPop[[#This Row],[Employment]]</f>
        <v>1</v>
      </c>
      <c r="J36" s="182">
        <f ca="1">TblPop[[#This Row],[Total]]/TblPop[[#This Row],[Net max]]</f>
        <v>1</v>
      </c>
      <c r="K36" s="305">
        <f>TblRezone[[#This Row],[Hour]]</f>
        <v>33</v>
      </c>
      <c r="L36" s="306">
        <f ca="1">TblImps[[#This Row],[Real time]]</f>
        <v>45733.333333333256</v>
      </c>
      <c r="M36" s="61">
        <f>IF(ISERROR(TblImps[[#This Row],[algorithm]]),0,TblImps[[#This Row],[algorithm]]*1)</f>
        <v>0</v>
      </c>
      <c r="N36" s="96">
        <f ca="1">TblImps[[#This Row],[Land]]</f>
        <v>250</v>
      </c>
      <c r="O36" s="307" t="s">
        <v>4</v>
      </c>
      <c r="P36" s="308"/>
      <c r="Q36" s="307" t="s">
        <v>210</v>
      </c>
      <c r="R36" s="307" t="s">
        <v>7</v>
      </c>
      <c r="S36" s="308"/>
      <c r="T36" s="307" t="s">
        <v>210</v>
      </c>
      <c r="U36" s="307" t="s">
        <v>3</v>
      </c>
      <c r="V36" s="308"/>
      <c r="W36" s="307" t="s">
        <v>210</v>
      </c>
      <c r="X36" s="144"/>
      <c r="Y36" s="309">
        <f ca="1">science_cap*(1-EXP(-TblImps[[#This Row],[Σ Science]]/(science_param*(OFFSET(TblImps[[#This Row],[Land]],1,0)-OFFSET(TblExplore[[#This Row],[Land Bonus]],1,0)*20)+15000)))*(1+(mason_bonus*TblConstr[[#This Row],[Tot Mas]]/TblConstr[[#This Row],[Land (2)]]))</f>
        <v>0</v>
      </c>
      <c r="Z36" s="309">
        <f ca="1">keep_cap*(1-EXP(-TblImps[[#This Row],[Σ Keep]]/(keep_param*(OFFSET(TblImps[[#This Row],[Land]],1,0)-OFFSET(TblExplore[[#This Row],[Land Bonus]],1,0)*20)+15000)))*(1+(mason_bonus*TblConstr[[#This Row],[Tot Mas]]/TblConstr[[#This Row],[Land (2)]]))</f>
        <v>0</v>
      </c>
      <c r="AA36" s="309">
        <f ca="1">harbor_towers_cap*(1-EXP(-TblImps[[#This Row],[Σ Spires]]/(towers_param*(OFFSET(TblImps[[#This Row],[Land]],1,0)-OFFSET(TblExplore[[#This Row],[Land Bonus]],1,0)*20)+15000)))*(1+(mason_bonus*TblConstr[[#This Row],[Tot Mas]]/TblConstr[[#This Row],[Land (2)]]))</f>
        <v>0</v>
      </c>
      <c r="AB36" s="309">
        <f ca="1">walls_forges_cap*(1-EXP(-TblImps[[#This Row],[Σ Forges]]/(walls_forges_param*(OFFSET(TblImps[[#This Row],[Land]],1,0)-OFFSET(TblExplore[[#This Row],[Land Bonus]],1,0)*20)+15000)))*(1+(mason_bonus*TblConstr[[#This Row],[Tot Mas]]/TblConstr[[#This Row],[Land (2)]]))</f>
        <v>0</v>
      </c>
      <c r="AC36" s="309">
        <f ca="1">walls_forges_cap*(1-EXP(-TblImps[[#This Row],[Σ Walls]]/(walls_forges_param*(OFFSET(TblImps[[#This Row],[Land]],1,0)-OFFSET(TblExplore[[#This Row],[Land Bonus]],1,0)*20)+15000)))*(1+(mason_bonus*TblConstr[[#This Row],[Tot Mas]]/TblConstr[[#This Row],[Land (2)]]))</f>
        <v>0</v>
      </c>
      <c r="AD36" s="30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315">
        <f ca="1">OFFSET(TblImps[[#This Row],[Real time]],-1,0)+1/24</f>
        <v>45733.333333333256</v>
      </c>
      <c r="BZ36" s="316">
        <f ca="1">OFFSET(TblImps[[#This Row],[Servertime]],-1,0)+1/24</f>
        <v>45733.333333333256</v>
      </c>
      <c r="CA36" s="57"/>
      <c r="CB36" s="314"/>
      <c r="CC36" s="314"/>
      <c r="CD36" s="45" t="s">
        <v>210</v>
      </c>
    </row>
    <row r="37" spans="1:82" x14ac:dyDescent="0.2">
      <c r="A37" s="224">
        <f ca="1">TblConstr[[#This Row],[Land]]</f>
        <v>250</v>
      </c>
      <c r="B37" s="144"/>
      <c r="C37" s="96">
        <f ca="1">TblProd[[#This Row],[Platinum]]</f>
        <v>301916</v>
      </c>
      <c r="D37" s="96">
        <f ca="1">TblProd[[#This Row],[Lumber]]</f>
        <v>38992</v>
      </c>
      <c r="E37" s="96">
        <f ca="1">TblProd[[#This Row],[Ore]]</f>
        <v>0</v>
      </c>
      <c r="F37" s="96">
        <f ca="1">TblProd[[#This Row],[Gems]]</f>
        <v>0</v>
      </c>
      <c r="G37" s="156"/>
      <c r="H37" s="96">
        <f ca="1">TblMili[[#This Row],[Draftees]]</f>
        <v>626</v>
      </c>
      <c r="I37" s="182">
        <f ca="1">TblPop[[#This Row],[Employment]]</f>
        <v>1</v>
      </c>
      <c r="J37" s="182">
        <f ca="1">TblPop[[#This Row],[Total]]/TblPop[[#This Row],[Net max]]</f>
        <v>1</v>
      </c>
      <c r="K37" s="305">
        <f>TblRezone[[#This Row],[Hour]]</f>
        <v>34</v>
      </c>
      <c r="L37" s="306">
        <f ca="1">TblImps[[#This Row],[Real time]]</f>
        <v>45733.37499999992</v>
      </c>
      <c r="M37" s="61">
        <f>IF(ISERROR(TblImps[[#This Row],[algorithm]]),0,TblImps[[#This Row],[algorithm]]*1)</f>
        <v>0</v>
      </c>
      <c r="N37" s="96">
        <f ca="1">TblImps[[#This Row],[Land]]</f>
        <v>250</v>
      </c>
      <c r="O37" s="307" t="s">
        <v>4</v>
      </c>
      <c r="P37" s="308"/>
      <c r="Q37" s="307" t="s">
        <v>210</v>
      </c>
      <c r="R37" s="307" t="s">
        <v>7</v>
      </c>
      <c r="S37" s="308"/>
      <c r="T37" s="307" t="s">
        <v>210</v>
      </c>
      <c r="U37" s="307" t="s">
        <v>3</v>
      </c>
      <c r="V37" s="308"/>
      <c r="W37" s="307" t="s">
        <v>210</v>
      </c>
      <c r="X37" s="144"/>
      <c r="Y37" s="309">
        <f ca="1">science_cap*(1-EXP(-TblImps[[#This Row],[Σ Science]]/(science_param*(OFFSET(TblImps[[#This Row],[Land]],1,0)-OFFSET(TblExplore[[#This Row],[Land Bonus]],1,0)*20)+15000)))*(1+(mason_bonus*TblConstr[[#This Row],[Tot Mas]]/TblConstr[[#This Row],[Land (2)]]))</f>
        <v>0</v>
      </c>
      <c r="Z37" s="309">
        <f ca="1">keep_cap*(1-EXP(-TblImps[[#This Row],[Σ Keep]]/(keep_param*(OFFSET(TblImps[[#This Row],[Land]],1,0)-OFFSET(TblExplore[[#This Row],[Land Bonus]],1,0)*20)+15000)))*(1+(mason_bonus*TblConstr[[#This Row],[Tot Mas]]/TblConstr[[#This Row],[Land (2)]]))</f>
        <v>0</v>
      </c>
      <c r="AA37" s="309">
        <f ca="1">harbor_towers_cap*(1-EXP(-TblImps[[#This Row],[Σ Spires]]/(towers_param*(OFFSET(TblImps[[#This Row],[Land]],1,0)-OFFSET(TblExplore[[#This Row],[Land Bonus]],1,0)*20)+15000)))*(1+(mason_bonus*TblConstr[[#This Row],[Tot Mas]]/TblConstr[[#This Row],[Land (2)]]))</f>
        <v>0</v>
      </c>
      <c r="AB37" s="309">
        <f ca="1">walls_forges_cap*(1-EXP(-TblImps[[#This Row],[Σ Forges]]/(walls_forges_param*(OFFSET(TblImps[[#This Row],[Land]],1,0)-OFFSET(TblExplore[[#This Row],[Land Bonus]],1,0)*20)+15000)))*(1+(mason_bonus*TblConstr[[#This Row],[Tot Mas]]/TblConstr[[#This Row],[Land (2)]]))</f>
        <v>0</v>
      </c>
      <c r="AC37" s="309">
        <f ca="1">walls_forges_cap*(1-EXP(-TblImps[[#This Row],[Σ Walls]]/(walls_forges_param*(OFFSET(TblImps[[#This Row],[Land]],1,0)-OFFSET(TblExplore[[#This Row],[Land Bonus]],1,0)*20)+15000)))*(1+(mason_bonus*TblConstr[[#This Row],[Tot Mas]]/TblConstr[[#This Row],[Land (2)]]))</f>
        <v>0</v>
      </c>
      <c r="AD37" s="30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315">
        <f ca="1">OFFSET(TblImps[[#This Row],[Real time]],-1,0)+1/24</f>
        <v>45733.37499999992</v>
      </c>
      <c r="BZ37" s="316">
        <f ca="1">OFFSET(TblImps[[#This Row],[Servertime]],-1,0)+1/24</f>
        <v>45733.37499999992</v>
      </c>
      <c r="CA37" s="57"/>
      <c r="CB37" s="314"/>
      <c r="CC37" s="314"/>
      <c r="CD37" s="45" t="s">
        <v>1109</v>
      </c>
    </row>
    <row r="38" spans="1:82" x14ac:dyDescent="0.2">
      <c r="A38" s="224">
        <f ca="1">TblConstr[[#This Row],[Land]]</f>
        <v>250</v>
      </c>
      <c r="B38" s="144"/>
      <c r="C38" s="96">
        <f ca="1">TblProd[[#This Row],[Platinum]]</f>
        <v>307402</v>
      </c>
      <c r="D38" s="96">
        <f ca="1">TblProd[[#This Row],[Lumber]]</f>
        <v>39602</v>
      </c>
      <c r="E38" s="96">
        <f ca="1">TblProd[[#This Row],[Ore]]</f>
        <v>0</v>
      </c>
      <c r="F38" s="96">
        <f ca="1">TblProd[[#This Row],[Gems]]</f>
        <v>0</v>
      </c>
      <c r="G38" s="156"/>
      <c r="H38" s="96">
        <f ca="1">TblMili[[#This Row],[Draftees]]</f>
        <v>626</v>
      </c>
      <c r="I38" s="182">
        <f ca="1">TblPop[[#This Row],[Employment]]</f>
        <v>1</v>
      </c>
      <c r="J38" s="182">
        <f ca="1">TblPop[[#This Row],[Total]]/TblPop[[#This Row],[Net max]]</f>
        <v>1</v>
      </c>
      <c r="K38" s="305">
        <f>TblRezone[[#This Row],[Hour]]</f>
        <v>35</v>
      </c>
      <c r="L38" s="306">
        <f ca="1">TblImps[[#This Row],[Real time]]</f>
        <v>45733.416666666584</v>
      </c>
      <c r="M38" s="61">
        <f>IF(ISERROR(TblImps[[#This Row],[algorithm]]),0,TblImps[[#This Row],[algorithm]]*1)</f>
        <v>0</v>
      </c>
      <c r="N38" s="96">
        <f ca="1">TblImps[[#This Row],[Land]]</f>
        <v>250</v>
      </c>
      <c r="O38" s="307" t="s">
        <v>4</v>
      </c>
      <c r="P38" s="308"/>
      <c r="Q38" s="307" t="s">
        <v>210</v>
      </c>
      <c r="R38" s="307" t="s">
        <v>7</v>
      </c>
      <c r="S38" s="308"/>
      <c r="T38" s="307" t="s">
        <v>210</v>
      </c>
      <c r="U38" s="307" t="s">
        <v>3</v>
      </c>
      <c r="V38" s="308"/>
      <c r="W38" s="307" t="s">
        <v>210</v>
      </c>
      <c r="X38" s="144"/>
      <c r="Y38" s="309">
        <f ca="1">science_cap*(1-EXP(-TblImps[[#This Row],[Σ Science]]/(science_param*(OFFSET(TblImps[[#This Row],[Land]],1,0)-OFFSET(TblExplore[[#This Row],[Land Bonus]],1,0)*20)+15000)))*(1+(mason_bonus*TblConstr[[#This Row],[Tot Mas]]/TblConstr[[#This Row],[Land (2)]]))</f>
        <v>0</v>
      </c>
      <c r="Z38" s="309">
        <f ca="1">keep_cap*(1-EXP(-TblImps[[#This Row],[Σ Keep]]/(keep_param*(OFFSET(TblImps[[#This Row],[Land]],1,0)-OFFSET(TblExplore[[#This Row],[Land Bonus]],1,0)*20)+15000)))*(1+(mason_bonus*TblConstr[[#This Row],[Tot Mas]]/TblConstr[[#This Row],[Land (2)]]))</f>
        <v>0</v>
      </c>
      <c r="AA38" s="309">
        <f ca="1">harbor_towers_cap*(1-EXP(-TblImps[[#This Row],[Σ Spires]]/(towers_param*(OFFSET(TblImps[[#This Row],[Land]],1,0)-OFFSET(TblExplore[[#This Row],[Land Bonus]],1,0)*20)+15000)))*(1+(mason_bonus*TblConstr[[#This Row],[Tot Mas]]/TblConstr[[#This Row],[Land (2)]]))</f>
        <v>0</v>
      </c>
      <c r="AB38" s="309">
        <f ca="1">walls_forges_cap*(1-EXP(-TblImps[[#This Row],[Σ Forges]]/(walls_forges_param*(OFFSET(TblImps[[#This Row],[Land]],1,0)-OFFSET(TblExplore[[#This Row],[Land Bonus]],1,0)*20)+15000)))*(1+(mason_bonus*TblConstr[[#This Row],[Tot Mas]]/TblConstr[[#This Row],[Land (2)]]))</f>
        <v>0</v>
      </c>
      <c r="AC38" s="309">
        <f ca="1">walls_forges_cap*(1-EXP(-TblImps[[#This Row],[Σ Walls]]/(walls_forges_param*(OFFSET(TblImps[[#This Row],[Land]],1,0)-OFFSET(TblExplore[[#This Row],[Land Bonus]],1,0)*20)+15000)))*(1+(mason_bonus*TblConstr[[#This Row],[Tot Mas]]/TblConstr[[#This Row],[Land (2)]]))</f>
        <v>0</v>
      </c>
      <c r="AD38" s="30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315">
        <f ca="1">OFFSET(TblImps[[#This Row],[Real time]],-1,0)+1/24</f>
        <v>45733.416666666584</v>
      </c>
      <c r="BZ38" s="316">
        <f ca="1">OFFSET(TblImps[[#This Row],[Servertime]],-1,0)+1/24</f>
        <v>45733.416666666584</v>
      </c>
      <c r="CA38" s="57"/>
      <c r="CB38" s="314"/>
      <c r="CC38" s="314"/>
      <c r="CD38" s="45" t="s">
        <v>212</v>
      </c>
    </row>
    <row r="39" spans="1:82" x14ac:dyDescent="0.2">
      <c r="A39" s="224">
        <f ca="1">TblConstr[[#This Row],[Land]]</f>
        <v>250</v>
      </c>
      <c r="B39" s="144"/>
      <c r="C39" s="96">
        <f ca="1">TblProd[[#This Row],[Platinum]]</f>
        <v>312888</v>
      </c>
      <c r="D39" s="96">
        <f ca="1">TblProd[[#This Row],[Lumber]]</f>
        <v>40206</v>
      </c>
      <c r="E39" s="96">
        <f ca="1">TblProd[[#This Row],[Ore]]</f>
        <v>0</v>
      </c>
      <c r="F39" s="96">
        <f ca="1">TblProd[[#This Row],[Gems]]</f>
        <v>0</v>
      </c>
      <c r="G39" s="156"/>
      <c r="H39" s="96">
        <f ca="1">TblMili[[#This Row],[Draftees]]</f>
        <v>626</v>
      </c>
      <c r="I39" s="182">
        <f ca="1">TblPop[[#This Row],[Employment]]</f>
        <v>1</v>
      </c>
      <c r="J39" s="182">
        <f ca="1">TblPop[[#This Row],[Total]]/TblPop[[#This Row],[Net max]]</f>
        <v>1</v>
      </c>
      <c r="K39" s="305">
        <f>TblRezone[[#This Row],[Hour]]</f>
        <v>36</v>
      </c>
      <c r="L39" s="306">
        <f ca="1">TblImps[[#This Row],[Real time]]</f>
        <v>45733.458333333248</v>
      </c>
      <c r="M39" s="61">
        <f>IF(ISERROR(TblImps[[#This Row],[algorithm]]),0,TblImps[[#This Row],[algorithm]]*1)</f>
        <v>0</v>
      </c>
      <c r="N39" s="96">
        <f ca="1">TblImps[[#This Row],[Land]]</f>
        <v>250</v>
      </c>
      <c r="O39" s="307" t="s">
        <v>4</v>
      </c>
      <c r="P39" s="308"/>
      <c r="Q39" s="307" t="s">
        <v>210</v>
      </c>
      <c r="R39" s="307" t="s">
        <v>7</v>
      </c>
      <c r="S39" s="308"/>
      <c r="T39" s="307" t="s">
        <v>210</v>
      </c>
      <c r="U39" s="307" t="s">
        <v>3</v>
      </c>
      <c r="V39" s="308"/>
      <c r="W39" s="307" t="s">
        <v>210</v>
      </c>
      <c r="X39" s="144"/>
      <c r="Y39" s="309">
        <f ca="1">science_cap*(1-EXP(-TblImps[[#This Row],[Σ Science]]/(science_param*(OFFSET(TblImps[[#This Row],[Land]],1,0)-OFFSET(TblExplore[[#This Row],[Land Bonus]],1,0)*20)+15000)))*(1+(mason_bonus*TblConstr[[#This Row],[Tot Mas]]/TblConstr[[#This Row],[Land (2)]]))</f>
        <v>0</v>
      </c>
      <c r="Z39" s="309">
        <f ca="1">keep_cap*(1-EXP(-TblImps[[#This Row],[Σ Keep]]/(keep_param*(OFFSET(TblImps[[#This Row],[Land]],1,0)-OFFSET(TblExplore[[#This Row],[Land Bonus]],1,0)*20)+15000)))*(1+(mason_bonus*TblConstr[[#This Row],[Tot Mas]]/TblConstr[[#This Row],[Land (2)]]))</f>
        <v>0</v>
      </c>
      <c r="AA39" s="309">
        <f ca="1">harbor_towers_cap*(1-EXP(-TblImps[[#This Row],[Σ Spires]]/(towers_param*(OFFSET(TblImps[[#This Row],[Land]],1,0)-OFFSET(TblExplore[[#This Row],[Land Bonus]],1,0)*20)+15000)))*(1+(mason_bonus*TblConstr[[#This Row],[Tot Mas]]/TblConstr[[#This Row],[Land (2)]]))</f>
        <v>0</v>
      </c>
      <c r="AB39" s="309">
        <f ca="1">walls_forges_cap*(1-EXP(-TblImps[[#This Row],[Σ Forges]]/(walls_forges_param*(OFFSET(TblImps[[#This Row],[Land]],1,0)-OFFSET(TblExplore[[#This Row],[Land Bonus]],1,0)*20)+15000)))*(1+(mason_bonus*TblConstr[[#This Row],[Tot Mas]]/TblConstr[[#This Row],[Land (2)]]))</f>
        <v>0</v>
      </c>
      <c r="AC39" s="309">
        <f ca="1">walls_forges_cap*(1-EXP(-TblImps[[#This Row],[Σ Walls]]/(walls_forges_param*(OFFSET(TblImps[[#This Row],[Land]],1,0)-OFFSET(TblExplore[[#This Row],[Land Bonus]],1,0)*20)+15000)))*(1+(mason_bonus*TblConstr[[#This Row],[Tot Mas]]/TblConstr[[#This Row],[Land (2)]]))</f>
        <v>0</v>
      </c>
      <c r="AD39" s="30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315">
        <f ca="1">OFFSET(TblImps[[#This Row],[Real time]],-1,0)+1/24</f>
        <v>45733.458333333248</v>
      </c>
      <c r="BZ39" s="316">
        <f ca="1">OFFSET(TblImps[[#This Row],[Servertime]],-1,0)+1/24</f>
        <v>45733.458333333248</v>
      </c>
      <c r="CA39" s="57"/>
      <c r="CB39" s="314"/>
      <c r="CC39" s="314"/>
      <c r="CD39" s="45" t="s">
        <v>213</v>
      </c>
    </row>
    <row r="40" spans="1:82" x14ac:dyDescent="0.2">
      <c r="A40" s="224">
        <f ca="1">TblConstr[[#This Row],[Land]]</f>
        <v>250</v>
      </c>
      <c r="B40" s="144"/>
      <c r="C40" s="96">
        <f ca="1">TblProd[[#This Row],[Platinum]]</f>
        <v>318374</v>
      </c>
      <c r="D40" s="96">
        <f ca="1">TblProd[[#This Row],[Lumber]]</f>
        <v>40804</v>
      </c>
      <c r="E40" s="96">
        <f ca="1">TblProd[[#This Row],[Ore]]</f>
        <v>0</v>
      </c>
      <c r="F40" s="96">
        <f ca="1">TblProd[[#This Row],[Gems]]</f>
        <v>0</v>
      </c>
      <c r="G40" s="156"/>
      <c r="H40" s="96">
        <f ca="1">TblMili[[#This Row],[Draftees]]</f>
        <v>626</v>
      </c>
      <c r="I40" s="182">
        <f ca="1">TblPop[[#This Row],[Employment]]</f>
        <v>1</v>
      </c>
      <c r="J40" s="182">
        <f ca="1">TblPop[[#This Row],[Total]]/TblPop[[#This Row],[Net max]]</f>
        <v>1</v>
      </c>
      <c r="K40" s="305">
        <f>TblRezone[[#This Row],[Hour]]</f>
        <v>37</v>
      </c>
      <c r="L40" s="306">
        <f ca="1">TblImps[[#This Row],[Real time]]</f>
        <v>45733.499999999913</v>
      </c>
      <c r="M40" s="61">
        <f>IF(ISERROR(TblImps[[#This Row],[algorithm]]),0,TblImps[[#This Row],[algorithm]]*1)</f>
        <v>0</v>
      </c>
      <c r="N40" s="96">
        <f ca="1">TblImps[[#This Row],[Land]]</f>
        <v>250</v>
      </c>
      <c r="O40" s="307" t="s">
        <v>4</v>
      </c>
      <c r="P40" s="308"/>
      <c r="Q40" s="307" t="s">
        <v>210</v>
      </c>
      <c r="R40" s="307" t="s">
        <v>7</v>
      </c>
      <c r="S40" s="308"/>
      <c r="T40" s="307" t="s">
        <v>210</v>
      </c>
      <c r="U40" s="307" t="s">
        <v>3</v>
      </c>
      <c r="V40" s="308"/>
      <c r="W40" s="307" t="s">
        <v>210</v>
      </c>
      <c r="X40" s="144"/>
      <c r="Y40" s="309">
        <f ca="1">science_cap*(1-EXP(-TblImps[[#This Row],[Σ Science]]/(science_param*(OFFSET(TblImps[[#This Row],[Land]],1,0)-OFFSET(TblExplore[[#This Row],[Land Bonus]],1,0)*20)+15000)))*(1+(mason_bonus*TblConstr[[#This Row],[Tot Mas]]/TblConstr[[#This Row],[Land (2)]]))</f>
        <v>0</v>
      </c>
      <c r="Z40" s="309">
        <f ca="1">keep_cap*(1-EXP(-TblImps[[#This Row],[Σ Keep]]/(keep_param*(OFFSET(TblImps[[#This Row],[Land]],1,0)-OFFSET(TblExplore[[#This Row],[Land Bonus]],1,0)*20)+15000)))*(1+(mason_bonus*TblConstr[[#This Row],[Tot Mas]]/TblConstr[[#This Row],[Land (2)]]))</f>
        <v>0</v>
      </c>
      <c r="AA40" s="309">
        <f ca="1">harbor_towers_cap*(1-EXP(-TblImps[[#This Row],[Σ Spires]]/(towers_param*(OFFSET(TblImps[[#This Row],[Land]],1,0)-OFFSET(TblExplore[[#This Row],[Land Bonus]],1,0)*20)+15000)))*(1+(mason_bonus*TblConstr[[#This Row],[Tot Mas]]/TblConstr[[#This Row],[Land (2)]]))</f>
        <v>0</v>
      </c>
      <c r="AB40" s="309">
        <f ca="1">walls_forges_cap*(1-EXP(-TblImps[[#This Row],[Σ Forges]]/(walls_forges_param*(OFFSET(TblImps[[#This Row],[Land]],1,0)-OFFSET(TblExplore[[#This Row],[Land Bonus]],1,0)*20)+15000)))*(1+(mason_bonus*TblConstr[[#This Row],[Tot Mas]]/TblConstr[[#This Row],[Land (2)]]))</f>
        <v>0</v>
      </c>
      <c r="AC40" s="309">
        <f ca="1">walls_forges_cap*(1-EXP(-TblImps[[#This Row],[Σ Walls]]/(walls_forges_param*(OFFSET(TblImps[[#This Row],[Land]],1,0)-OFFSET(TblExplore[[#This Row],[Land Bonus]],1,0)*20)+15000)))*(1+(mason_bonus*TblConstr[[#This Row],[Tot Mas]]/TblConstr[[#This Row],[Land (2)]]))</f>
        <v>0</v>
      </c>
      <c r="AD40" s="30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315">
        <f ca="1">OFFSET(TblImps[[#This Row],[Real time]],-1,0)+1/24</f>
        <v>45733.499999999913</v>
      </c>
      <c r="BZ40" s="316">
        <f ca="1">OFFSET(TblImps[[#This Row],[Servertime]],-1,0)+1/24</f>
        <v>45733.499999999913</v>
      </c>
      <c r="CA40" s="57"/>
      <c r="CB40" s="314"/>
      <c r="CC40" s="314"/>
      <c r="CD40" s="45" t="s">
        <v>526</v>
      </c>
    </row>
    <row r="41" spans="1:82" x14ac:dyDescent="0.2">
      <c r="A41" s="224">
        <f ca="1">TblConstr[[#This Row],[Land]]</f>
        <v>250</v>
      </c>
      <c r="B41" s="144"/>
      <c r="C41" s="96">
        <f ca="1">TblProd[[#This Row],[Platinum]]</f>
        <v>323860</v>
      </c>
      <c r="D41" s="96">
        <f ca="1">TblProd[[#This Row],[Lumber]]</f>
        <v>41396</v>
      </c>
      <c r="E41" s="96">
        <f ca="1">TblProd[[#This Row],[Ore]]</f>
        <v>0</v>
      </c>
      <c r="F41" s="96">
        <f ca="1">TblProd[[#This Row],[Gems]]</f>
        <v>0</v>
      </c>
      <c r="G41" s="156"/>
      <c r="H41" s="96">
        <f ca="1">TblMili[[#This Row],[Draftees]]</f>
        <v>626</v>
      </c>
      <c r="I41" s="182">
        <f ca="1">TblPop[[#This Row],[Employment]]</f>
        <v>1</v>
      </c>
      <c r="J41" s="182">
        <f ca="1">TblPop[[#This Row],[Total]]/TblPop[[#This Row],[Net max]]</f>
        <v>1</v>
      </c>
      <c r="K41" s="305">
        <f>TblRezone[[#This Row],[Hour]]</f>
        <v>38</v>
      </c>
      <c r="L41" s="306">
        <f ca="1">TblImps[[#This Row],[Real time]]</f>
        <v>45733.541666666577</v>
      </c>
      <c r="M41" s="61">
        <f>IF(ISERROR(TblImps[[#This Row],[algorithm]]),0,TblImps[[#This Row],[algorithm]]*1)</f>
        <v>0</v>
      </c>
      <c r="N41" s="96">
        <f ca="1">TblImps[[#This Row],[Land]]</f>
        <v>250</v>
      </c>
      <c r="O41" s="307" t="s">
        <v>4</v>
      </c>
      <c r="P41" s="308"/>
      <c r="Q41" s="307" t="s">
        <v>210</v>
      </c>
      <c r="R41" s="307" t="s">
        <v>7</v>
      </c>
      <c r="S41" s="308"/>
      <c r="T41" s="307" t="s">
        <v>210</v>
      </c>
      <c r="U41" s="307" t="s">
        <v>3</v>
      </c>
      <c r="V41" s="308"/>
      <c r="W41" s="307" t="s">
        <v>210</v>
      </c>
      <c r="X41" s="144"/>
      <c r="Y41" s="309">
        <f ca="1">science_cap*(1-EXP(-TblImps[[#This Row],[Σ Science]]/(science_param*(OFFSET(TblImps[[#This Row],[Land]],1,0)-OFFSET(TblExplore[[#This Row],[Land Bonus]],1,0)*20)+15000)))*(1+(mason_bonus*TblConstr[[#This Row],[Tot Mas]]/TblConstr[[#This Row],[Land (2)]]))</f>
        <v>0</v>
      </c>
      <c r="Z41" s="309">
        <f ca="1">keep_cap*(1-EXP(-TblImps[[#This Row],[Σ Keep]]/(keep_param*(OFFSET(TblImps[[#This Row],[Land]],1,0)-OFFSET(TblExplore[[#This Row],[Land Bonus]],1,0)*20)+15000)))*(1+(mason_bonus*TblConstr[[#This Row],[Tot Mas]]/TblConstr[[#This Row],[Land (2)]]))</f>
        <v>0</v>
      </c>
      <c r="AA41" s="309">
        <f ca="1">harbor_towers_cap*(1-EXP(-TblImps[[#This Row],[Σ Spires]]/(towers_param*(OFFSET(TblImps[[#This Row],[Land]],1,0)-OFFSET(TblExplore[[#This Row],[Land Bonus]],1,0)*20)+15000)))*(1+(mason_bonus*TblConstr[[#This Row],[Tot Mas]]/TblConstr[[#This Row],[Land (2)]]))</f>
        <v>0</v>
      </c>
      <c r="AB41" s="309">
        <f ca="1">walls_forges_cap*(1-EXP(-TblImps[[#This Row],[Σ Forges]]/(walls_forges_param*(OFFSET(TblImps[[#This Row],[Land]],1,0)-OFFSET(TblExplore[[#This Row],[Land Bonus]],1,0)*20)+15000)))*(1+(mason_bonus*TblConstr[[#This Row],[Tot Mas]]/TblConstr[[#This Row],[Land (2)]]))</f>
        <v>0</v>
      </c>
      <c r="AC41" s="309">
        <f ca="1">walls_forges_cap*(1-EXP(-TblImps[[#This Row],[Σ Walls]]/(walls_forges_param*(OFFSET(TblImps[[#This Row],[Land]],1,0)-OFFSET(TblExplore[[#This Row],[Land Bonus]],1,0)*20)+15000)))*(1+(mason_bonus*TblConstr[[#This Row],[Tot Mas]]/TblConstr[[#This Row],[Land (2)]]))</f>
        <v>0</v>
      </c>
      <c r="AD41" s="30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315">
        <f ca="1">OFFSET(TblImps[[#This Row],[Real time]],-1,0)+1/24</f>
        <v>45733.541666666577</v>
      </c>
      <c r="BZ41" s="316">
        <f ca="1">OFFSET(TblImps[[#This Row],[Servertime]],-1,0)+1/24</f>
        <v>45733.541666666577</v>
      </c>
      <c r="CA41" s="57"/>
      <c r="CB41" s="314"/>
      <c r="CC41" s="314"/>
    </row>
    <row r="42" spans="1:82" x14ac:dyDescent="0.2">
      <c r="A42" s="224">
        <f ca="1">TblConstr[[#This Row],[Land]]</f>
        <v>250</v>
      </c>
      <c r="B42" s="144"/>
      <c r="C42" s="96">
        <f ca="1">TblProd[[#This Row],[Platinum]]</f>
        <v>329346</v>
      </c>
      <c r="D42" s="96">
        <f ca="1">TblProd[[#This Row],[Lumber]]</f>
        <v>41982</v>
      </c>
      <c r="E42" s="96">
        <f ca="1">TblProd[[#This Row],[Ore]]</f>
        <v>0</v>
      </c>
      <c r="F42" s="96">
        <f ca="1">TblProd[[#This Row],[Gems]]</f>
        <v>0</v>
      </c>
      <c r="G42" s="156"/>
      <c r="H42" s="96">
        <f ca="1">TblMili[[#This Row],[Draftees]]</f>
        <v>626</v>
      </c>
      <c r="I42" s="182">
        <f ca="1">TblPop[[#This Row],[Employment]]</f>
        <v>1</v>
      </c>
      <c r="J42" s="182">
        <f ca="1">TblPop[[#This Row],[Total]]/TblPop[[#This Row],[Net max]]</f>
        <v>1</v>
      </c>
      <c r="K42" s="305">
        <f>TblRezone[[#This Row],[Hour]]</f>
        <v>39</v>
      </c>
      <c r="L42" s="306">
        <f ca="1">TblImps[[#This Row],[Real time]]</f>
        <v>45733.583333333241</v>
      </c>
      <c r="M42" s="61">
        <f>IF(ISERROR(TblImps[[#This Row],[algorithm]]),0,TblImps[[#This Row],[algorithm]]*1)</f>
        <v>0</v>
      </c>
      <c r="N42" s="96">
        <f ca="1">TblImps[[#This Row],[Land]]</f>
        <v>250</v>
      </c>
      <c r="O42" s="307" t="s">
        <v>4</v>
      </c>
      <c r="P42" s="308"/>
      <c r="Q42" s="307" t="s">
        <v>210</v>
      </c>
      <c r="R42" s="307" t="s">
        <v>7</v>
      </c>
      <c r="S42" s="308"/>
      <c r="T42" s="307" t="s">
        <v>210</v>
      </c>
      <c r="U42" s="307" t="s">
        <v>3</v>
      </c>
      <c r="V42" s="308"/>
      <c r="W42" s="307" t="s">
        <v>210</v>
      </c>
      <c r="X42" s="144"/>
      <c r="Y42" s="309">
        <f ca="1">science_cap*(1-EXP(-TblImps[[#This Row],[Σ Science]]/(science_param*(OFFSET(TblImps[[#This Row],[Land]],1,0)-OFFSET(TblExplore[[#This Row],[Land Bonus]],1,0)*20)+15000)))*(1+(mason_bonus*TblConstr[[#This Row],[Tot Mas]]/TblConstr[[#This Row],[Land (2)]]))</f>
        <v>0</v>
      </c>
      <c r="Z42" s="309">
        <f ca="1">keep_cap*(1-EXP(-TblImps[[#This Row],[Σ Keep]]/(keep_param*(OFFSET(TblImps[[#This Row],[Land]],1,0)-OFFSET(TblExplore[[#This Row],[Land Bonus]],1,0)*20)+15000)))*(1+(mason_bonus*TblConstr[[#This Row],[Tot Mas]]/TblConstr[[#This Row],[Land (2)]]))</f>
        <v>0</v>
      </c>
      <c r="AA42" s="309">
        <f ca="1">harbor_towers_cap*(1-EXP(-TblImps[[#This Row],[Σ Spires]]/(towers_param*(OFFSET(TblImps[[#This Row],[Land]],1,0)-OFFSET(TblExplore[[#This Row],[Land Bonus]],1,0)*20)+15000)))*(1+(mason_bonus*TblConstr[[#This Row],[Tot Mas]]/TblConstr[[#This Row],[Land (2)]]))</f>
        <v>0</v>
      </c>
      <c r="AB42" s="309">
        <f ca="1">walls_forges_cap*(1-EXP(-TblImps[[#This Row],[Σ Forges]]/(walls_forges_param*(OFFSET(TblImps[[#This Row],[Land]],1,0)-OFFSET(TblExplore[[#This Row],[Land Bonus]],1,0)*20)+15000)))*(1+(mason_bonus*TblConstr[[#This Row],[Tot Mas]]/TblConstr[[#This Row],[Land (2)]]))</f>
        <v>0</v>
      </c>
      <c r="AC42" s="309">
        <f ca="1">walls_forges_cap*(1-EXP(-TblImps[[#This Row],[Σ Walls]]/(walls_forges_param*(OFFSET(TblImps[[#This Row],[Land]],1,0)-OFFSET(TblExplore[[#This Row],[Land Bonus]],1,0)*20)+15000)))*(1+(mason_bonus*TblConstr[[#This Row],[Tot Mas]]/TblConstr[[#This Row],[Land (2)]]))</f>
        <v>0</v>
      </c>
      <c r="AD42" s="30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315">
        <f ca="1">OFFSET(TblImps[[#This Row],[Real time]],-1,0)+1/24</f>
        <v>45733.583333333241</v>
      </c>
      <c r="BZ42" s="316">
        <f ca="1">OFFSET(TblImps[[#This Row],[Servertime]],-1,0)+1/24</f>
        <v>45733.583333333241</v>
      </c>
      <c r="CA42" s="319"/>
      <c r="CB42" s="314"/>
      <c r="CC42" s="314"/>
    </row>
    <row r="43" spans="1:82" x14ac:dyDescent="0.2">
      <c r="A43" s="224">
        <f ca="1">TblConstr[[#This Row],[Land]]</f>
        <v>250</v>
      </c>
      <c r="B43" s="144"/>
      <c r="C43" s="96">
        <f ca="1">TblProd[[#This Row],[Platinum]]</f>
        <v>334832</v>
      </c>
      <c r="D43" s="96">
        <f ca="1">TblProd[[#This Row],[Lumber]]</f>
        <v>42562</v>
      </c>
      <c r="E43" s="96">
        <f ca="1">TblProd[[#This Row],[Ore]]</f>
        <v>0</v>
      </c>
      <c r="F43" s="96">
        <f ca="1">TblProd[[#This Row],[Gems]]</f>
        <v>0</v>
      </c>
      <c r="G43" s="156"/>
      <c r="H43" s="96">
        <f ca="1">TblMili[[#This Row],[Draftees]]</f>
        <v>626</v>
      </c>
      <c r="I43" s="182">
        <f ca="1">TblPop[[#This Row],[Employment]]</f>
        <v>1</v>
      </c>
      <c r="J43" s="182">
        <f ca="1">TblPop[[#This Row],[Total]]/TblPop[[#This Row],[Net max]]</f>
        <v>1</v>
      </c>
      <c r="K43" s="305">
        <f>TblRezone[[#This Row],[Hour]]</f>
        <v>40</v>
      </c>
      <c r="L43" s="306">
        <f ca="1">TblImps[[#This Row],[Real time]]</f>
        <v>45733.624999999905</v>
      </c>
      <c r="M43" s="61">
        <f>IF(ISERROR(TblImps[[#This Row],[algorithm]]),0,TblImps[[#This Row],[algorithm]]*1)</f>
        <v>0</v>
      </c>
      <c r="N43" s="96">
        <f ca="1">TblImps[[#This Row],[Land]]</f>
        <v>250</v>
      </c>
      <c r="O43" s="307" t="s">
        <v>4</v>
      </c>
      <c r="P43" s="308"/>
      <c r="Q43" s="307" t="s">
        <v>210</v>
      </c>
      <c r="R43" s="307" t="s">
        <v>7</v>
      </c>
      <c r="S43" s="308"/>
      <c r="T43" s="307" t="s">
        <v>210</v>
      </c>
      <c r="U43" s="307" t="s">
        <v>3</v>
      </c>
      <c r="V43" s="308"/>
      <c r="W43" s="307" t="s">
        <v>210</v>
      </c>
      <c r="X43" s="144"/>
      <c r="Y43" s="309">
        <f ca="1">science_cap*(1-EXP(-TblImps[[#This Row],[Σ Science]]/(science_param*(OFFSET(TblImps[[#This Row],[Land]],1,0)-OFFSET(TblExplore[[#This Row],[Land Bonus]],1,0)*20)+15000)))*(1+(mason_bonus*TblConstr[[#This Row],[Tot Mas]]/TblConstr[[#This Row],[Land (2)]]))</f>
        <v>0</v>
      </c>
      <c r="Z43" s="309">
        <f ca="1">keep_cap*(1-EXP(-TblImps[[#This Row],[Σ Keep]]/(keep_param*(OFFSET(TblImps[[#This Row],[Land]],1,0)-OFFSET(TblExplore[[#This Row],[Land Bonus]],1,0)*20)+15000)))*(1+(mason_bonus*TblConstr[[#This Row],[Tot Mas]]/TblConstr[[#This Row],[Land (2)]]))</f>
        <v>0</v>
      </c>
      <c r="AA43" s="309">
        <f ca="1">harbor_towers_cap*(1-EXP(-TblImps[[#This Row],[Σ Spires]]/(towers_param*(OFFSET(TblImps[[#This Row],[Land]],1,0)-OFFSET(TblExplore[[#This Row],[Land Bonus]],1,0)*20)+15000)))*(1+(mason_bonus*TblConstr[[#This Row],[Tot Mas]]/TblConstr[[#This Row],[Land (2)]]))</f>
        <v>0</v>
      </c>
      <c r="AB43" s="309">
        <f ca="1">walls_forges_cap*(1-EXP(-TblImps[[#This Row],[Σ Forges]]/(walls_forges_param*(OFFSET(TblImps[[#This Row],[Land]],1,0)-OFFSET(TblExplore[[#This Row],[Land Bonus]],1,0)*20)+15000)))*(1+(mason_bonus*TblConstr[[#This Row],[Tot Mas]]/TblConstr[[#This Row],[Land (2)]]))</f>
        <v>0</v>
      </c>
      <c r="AC43" s="309">
        <f ca="1">walls_forges_cap*(1-EXP(-TblImps[[#This Row],[Σ Walls]]/(walls_forges_param*(OFFSET(TblImps[[#This Row],[Land]],1,0)-OFFSET(TblExplore[[#This Row],[Land Bonus]],1,0)*20)+15000)))*(1+(mason_bonus*TblConstr[[#This Row],[Tot Mas]]/TblConstr[[#This Row],[Land (2)]]))</f>
        <v>0</v>
      </c>
      <c r="AD43" s="30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315">
        <f ca="1">OFFSET(TblImps[[#This Row],[Real time]],-1,0)+1/24</f>
        <v>45733.624999999905</v>
      </c>
      <c r="BZ43" s="316">
        <f ca="1">OFFSET(TblImps[[#This Row],[Servertime]],-1,0)+1/24</f>
        <v>45733.624999999905</v>
      </c>
      <c r="CA43" s="57"/>
      <c r="CB43" s="314"/>
      <c r="CC43" s="314"/>
    </row>
    <row r="44" spans="1:82" x14ac:dyDescent="0.2">
      <c r="A44" s="224">
        <f ca="1">TblConstr[[#This Row],[Land]]</f>
        <v>250</v>
      </c>
      <c r="B44" s="144"/>
      <c r="C44" s="96">
        <f ca="1">TblProd[[#This Row],[Platinum]]</f>
        <v>340318</v>
      </c>
      <c r="D44" s="96">
        <f ca="1">TblProd[[#This Row],[Lumber]]</f>
        <v>43136</v>
      </c>
      <c r="E44" s="96">
        <f ca="1">TblProd[[#This Row],[Ore]]</f>
        <v>0</v>
      </c>
      <c r="F44" s="96">
        <f ca="1">TblProd[[#This Row],[Gems]]</f>
        <v>0</v>
      </c>
      <c r="G44" s="156"/>
      <c r="H44" s="96">
        <f ca="1">TblMili[[#This Row],[Draftees]]</f>
        <v>626</v>
      </c>
      <c r="I44" s="182">
        <f ca="1">TblPop[[#This Row],[Employment]]</f>
        <v>1</v>
      </c>
      <c r="J44" s="182">
        <f ca="1">TblPop[[#This Row],[Total]]/TblPop[[#This Row],[Net max]]</f>
        <v>1</v>
      </c>
      <c r="K44" s="305">
        <f>TblRezone[[#This Row],[Hour]]</f>
        <v>41</v>
      </c>
      <c r="L44" s="306">
        <f ca="1">TblImps[[#This Row],[Real time]]</f>
        <v>45733.66666666657</v>
      </c>
      <c r="M44" s="61">
        <f>IF(ISERROR(TblImps[[#This Row],[algorithm]]),0,TblImps[[#This Row],[algorithm]]*1)</f>
        <v>0</v>
      </c>
      <c r="N44" s="96">
        <f ca="1">TblImps[[#This Row],[Land]]</f>
        <v>250</v>
      </c>
      <c r="O44" s="307" t="s">
        <v>4</v>
      </c>
      <c r="P44" s="308"/>
      <c r="Q44" s="307" t="s">
        <v>210</v>
      </c>
      <c r="R44" s="307" t="s">
        <v>7</v>
      </c>
      <c r="S44" s="308"/>
      <c r="T44" s="307" t="s">
        <v>210</v>
      </c>
      <c r="U44" s="307" t="s">
        <v>3</v>
      </c>
      <c r="V44" s="308"/>
      <c r="W44" s="307" t="s">
        <v>210</v>
      </c>
      <c r="X44" s="144"/>
      <c r="Y44" s="309">
        <f ca="1">science_cap*(1-EXP(-TblImps[[#This Row],[Σ Science]]/(science_param*(OFFSET(TblImps[[#This Row],[Land]],1,0)-OFFSET(TblExplore[[#This Row],[Land Bonus]],1,0)*20)+15000)))*(1+(mason_bonus*TblConstr[[#This Row],[Tot Mas]]/TblConstr[[#This Row],[Land (2)]]))</f>
        <v>0</v>
      </c>
      <c r="Z44" s="309">
        <f ca="1">keep_cap*(1-EXP(-TblImps[[#This Row],[Σ Keep]]/(keep_param*(OFFSET(TblImps[[#This Row],[Land]],1,0)-OFFSET(TblExplore[[#This Row],[Land Bonus]],1,0)*20)+15000)))*(1+(mason_bonus*TblConstr[[#This Row],[Tot Mas]]/TblConstr[[#This Row],[Land (2)]]))</f>
        <v>0</v>
      </c>
      <c r="AA44" s="309">
        <f ca="1">harbor_towers_cap*(1-EXP(-TblImps[[#This Row],[Σ Spires]]/(towers_param*(OFFSET(TblImps[[#This Row],[Land]],1,0)-OFFSET(TblExplore[[#This Row],[Land Bonus]],1,0)*20)+15000)))*(1+(mason_bonus*TblConstr[[#This Row],[Tot Mas]]/TblConstr[[#This Row],[Land (2)]]))</f>
        <v>0</v>
      </c>
      <c r="AB44" s="309">
        <f ca="1">walls_forges_cap*(1-EXP(-TblImps[[#This Row],[Σ Forges]]/(walls_forges_param*(OFFSET(TblImps[[#This Row],[Land]],1,0)-OFFSET(TblExplore[[#This Row],[Land Bonus]],1,0)*20)+15000)))*(1+(mason_bonus*TblConstr[[#This Row],[Tot Mas]]/TblConstr[[#This Row],[Land (2)]]))</f>
        <v>0</v>
      </c>
      <c r="AC44" s="309">
        <f ca="1">walls_forges_cap*(1-EXP(-TblImps[[#This Row],[Σ Walls]]/(walls_forges_param*(OFFSET(TblImps[[#This Row],[Land]],1,0)-OFFSET(TblExplore[[#This Row],[Land Bonus]],1,0)*20)+15000)))*(1+(mason_bonus*TblConstr[[#This Row],[Tot Mas]]/TblConstr[[#This Row],[Land (2)]]))</f>
        <v>0</v>
      </c>
      <c r="AD44" s="30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315">
        <f ca="1">OFFSET(TblImps[[#This Row],[Real time]],-1,0)+1/24</f>
        <v>45733.66666666657</v>
      </c>
      <c r="BZ44" s="316">
        <f ca="1">OFFSET(TblImps[[#This Row],[Servertime]],-1,0)+1/24</f>
        <v>45733.66666666657</v>
      </c>
      <c r="CA44" s="57"/>
      <c r="CB44" s="314"/>
      <c r="CC44" s="314"/>
    </row>
    <row r="45" spans="1:82" x14ac:dyDescent="0.2">
      <c r="A45" s="224">
        <f ca="1">TblConstr[[#This Row],[Land]]</f>
        <v>250</v>
      </c>
      <c r="B45" s="144"/>
      <c r="C45" s="96">
        <f ca="1">TblProd[[#This Row],[Platinum]]</f>
        <v>345804</v>
      </c>
      <c r="D45" s="96">
        <f ca="1">TblProd[[#This Row],[Lumber]]</f>
        <v>43705</v>
      </c>
      <c r="E45" s="96">
        <f ca="1">TblProd[[#This Row],[Ore]]</f>
        <v>0</v>
      </c>
      <c r="F45" s="96">
        <f ca="1">TblProd[[#This Row],[Gems]]</f>
        <v>0</v>
      </c>
      <c r="G45" s="156"/>
      <c r="H45" s="96">
        <f ca="1">TblMili[[#This Row],[Draftees]]</f>
        <v>626</v>
      </c>
      <c r="I45" s="182">
        <f ca="1">TblPop[[#This Row],[Employment]]</f>
        <v>1</v>
      </c>
      <c r="J45" s="182">
        <f ca="1">TblPop[[#This Row],[Total]]/TblPop[[#This Row],[Net max]]</f>
        <v>1</v>
      </c>
      <c r="K45" s="305">
        <f>TblRezone[[#This Row],[Hour]]</f>
        <v>42</v>
      </c>
      <c r="L45" s="306">
        <f ca="1">TblImps[[#This Row],[Real time]]</f>
        <v>45733.708333333234</v>
      </c>
      <c r="M45" s="61">
        <f>IF(ISERROR(TblImps[[#This Row],[algorithm]]),0,TblImps[[#This Row],[algorithm]]*1)</f>
        <v>0</v>
      </c>
      <c r="N45" s="96">
        <f ca="1">TblImps[[#This Row],[Land]]</f>
        <v>250</v>
      </c>
      <c r="O45" s="307" t="s">
        <v>4</v>
      </c>
      <c r="P45" s="308"/>
      <c r="Q45" s="307" t="s">
        <v>210</v>
      </c>
      <c r="R45" s="307" t="s">
        <v>7</v>
      </c>
      <c r="S45" s="308"/>
      <c r="T45" s="307" t="s">
        <v>210</v>
      </c>
      <c r="U45" s="307" t="s">
        <v>3</v>
      </c>
      <c r="V45" s="308"/>
      <c r="W45" s="307" t="s">
        <v>210</v>
      </c>
      <c r="X45" s="144"/>
      <c r="Y45" s="309">
        <f ca="1">science_cap*(1-EXP(-TblImps[[#This Row],[Σ Science]]/(science_param*(OFFSET(TblImps[[#This Row],[Land]],1,0)-OFFSET(TblExplore[[#This Row],[Land Bonus]],1,0)*20)+15000)))*(1+(mason_bonus*TblConstr[[#This Row],[Tot Mas]]/TblConstr[[#This Row],[Land (2)]]))</f>
        <v>0</v>
      </c>
      <c r="Z45" s="309">
        <f ca="1">keep_cap*(1-EXP(-TblImps[[#This Row],[Σ Keep]]/(keep_param*(OFFSET(TblImps[[#This Row],[Land]],1,0)-OFFSET(TblExplore[[#This Row],[Land Bonus]],1,0)*20)+15000)))*(1+(mason_bonus*TblConstr[[#This Row],[Tot Mas]]/TblConstr[[#This Row],[Land (2)]]))</f>
        <v>0</v>
      </c>
      <c r="AA45" s="309">
        <f ca="1">harbor_towers_cap*(1-EXP(-TblImps[[#This Row],[Σ Spires]]/(towers_param*(OFFSET(TblImps[[#This Row],[Land]],1,0)-OFFSET(TblExplore[[#This Row],[Land Bonus]],1,0)*20)+15000)))*(1+(mason_bonus*TblConstr[[#This Row],[Tot Mas]]/TblConstr[[#This Row],[Land (2)]]))</f>
        <v>0</v>
      </c>
      <c r="AB45" s="309">
        <f ca="1">walls_forges_cap*(1-EXP(-TblImps[[#This Row],[Σ Forges]]/(walls_forges_param*(OFFSET(TblImps[[#This Row],[Land]],1,0)-OFFSET(TblExplore[[#This Row],[Land Bonus]],1,0)*20)+15000)))*(1+(mason_bonus*TblConstr[[#This Row],[Tot Mas]]/TblConstr[[#This Row],[Land (2)]]))</f>
        <v>0</v>
      </c>
      <c r="AC45" s="309">
        <f ca="1">walls_forges_cap*(1-EXP(-TblImps[[#This Row],[Σ Walls]]/(walls_forges_param*(OFFSET(TblImps[[#This Row],[Land]],1,0)-OFFSET(TblExplore[[#This Row],[Land Bonus]],1,0)*20)+15000)))*(1+(mason_bonus*TblConstr[[#This Row],[Tot Mas]]/TblConstr[[#This Row],[Land (2)]]))</f>
        <v>0</v>
      </c>
      <c r="AD45" s="30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315">
        <f ca="1">OFFSET(TblImps[[#This Row],[Real time]],-1,0)+1/24</f>
        <v>45733.708333333234</v>
      </c>
      <c r="BZ45" s="316">
        <f ca="1">OFFSET(TblImps[[#This Row],[Servertime]],-1,0)+1/24</f>
        <v>45733.708333333234</v>
      </c>
      <c r="CA45" s="57"/>
      <c r="CB45" s="314"/>
      <c r="CC45" s="314"/>
    </row>
    <row r="46" spans="1:82" x14ac:dyDescent="0.2">
      <c r="A46" s="224">
        <f ca="1">TblConstr[[#This Row],[Land]]</f>
        <v>250</v>
      </c>
      <c r="B46" s="144"/>
      <c r="C46" s="96">
        <f ca="1">TblProd[[#This Row],[Platinum]]</f>
        <v>351290</v>
      </c>
      <c r="D46" s="96">
        <f ca="1">TblProd[[#This Row],[Lumber]]</f>
        <v>44268</v>
      </c>
      <c r="E46" s="96">
        <f ca="1">TblProd[[#This Row],[Ore]]</f>
        <v>0</v>
      </c>
      <c r="F46" s="96">
        <f ca="1">TblProd[[#This Row],[Gems]]</f>
        <v>0</v>
      </c>
      <c r="G46" s="156"/>
      <c r="H46" s="96">
        <f ca="1">TblMili[[#This Row],[Draftees]]</f>
        <v>626</v>
      </c>
      <c r="I46" s="182">
        <f ca="1">TblPop[[#This Row],[Employment]]</f>
        <v>1</v>
      </c>
      <c r="J46" s="182">
        <f ca="1">TblPop[[#This Row],[Total]]/TblPop[[#This Row],[Net max]]</f>
        <v>1</v>
      </c>
      <c r="K46" s="305">
        <f>TblRezone[[#This Row],[Hour]]</f>
        <v>43</v>
      </c>
      <c r="L46" s="306">
        <f ca="1">TblImps[[#This Row],[Real time]]</f>
        <v>45733.749999999898</v>
      </c>
      <c r="M46" s="61">
        <f>IF(ISERROR(TblImps[[#This Row],[algorithm]]),0,TblImps[[#This Row],[algorithm]]*1)</f>
        <v>0</v>
      </c>
      <c r="N46" s="96">
        <f ca="1">TblImps[[#This Row],[Land]]</f>
        <v>250</v>
      </c>
      <c r="O46" s="307" t="s">
        <v>4</v>
      </c>
      <c r="P46" s="308"/>
      <c r="Q46" s="307" t="s">
        <v>210</v>
      </c>
      <c r="R46" s="307" t="s">
        <v>7</v>
      </c>
      <c r="S46" s="308"/>
      <c r="T46" s="307" t="s">
        <v>210</v>
      </c>
      <c r="U46" s="307" t="s">
        <v>3</v>
      </c>
      <c r="V46" s="308"/>
      <c r="W46" s="307" t="s">
        <v>210</v>
      </c>
      <c r="X46" s="144"/>
      <c r="Y46" s="309">
        <f ca="1">science_cap*(1-EXP(-TblImps[[#This Row],[Σ Science]]/(science_param*(OFFSET(TblImps[[#This Row],[Land]],1,0)-OFFSET(TblExplore[[#This Row],[Land Bonus]],1,0)*20)+15000)))*(1+(mason_bonus*TblConstr[[#This Row],[Tot Mas]]/TblConstr[[#This Row],[Land (2)]]))</f>
        <v>0</v>
      </c>
      <c r="Z46" s="309">
        <f ca="1">keep_cap*(1-EXP(-TblImps[[#This Row],[Σ Keep]]/(keep_param*(OFFSET(TblImps[[#This Row],[Land]],1,0)-OFFSET(TblExplore[[#This Row],[Land Bonus]],1,0)*20)+15000)))*(1+(mason_bonus*TblConstr[[#This Row],[Tot Mas]]/TblConstr[[#This Row],[Land (2)]]))</f>
        <v>0</v>
      </c>
      <c r="AA46" s="309">
        <f ca="1">harbor_towers_cap*(1-EXP(-TblImps[[#This Row],[Σ Spires]]/(towers_param*(OFFSET(TblImps[[#This Row],[Land]],1,0)-OFFSET(TblExplore[[#This Row],[Land Bonus]],1,0)*20)+15000)))*(1+(mason_bonus*TblConstr[[#This Row],[Tot Mas]]/TblConstr[[#This Row],[Land (2)]]))</f>
        <v>0</v>
      </c>
      <c r="AB46" s="309">
        <f ca="1">walls_forges_cap*(1-EXP(-TblImps[[#This Row],[Σ Forges]]/(walls_forges_param*(OFFSET(TblImps[[#This Row],[Land]],1,0)-OFFSET(TblExplore[[#This Row],[Land Bonus]],1,0)*20)+15000)))*(1+(mason_bonus*TblConstr[[#This Row],[Tot Mas]]/TblConstr[[#This Row],[Land (2)]]))</f>
        <v>0</v>
      </c>
      <c r="AC46" s="309">
        <f ca="1">walls_forges_cap*(1-EXP(-TblImps[[#This Row],[Σ Walls]]/(walls_forges_param*(OFFSET(TblImps[[#This Row],[Land]],1,0)-OFFSET(TblExplore[[#This Row],[Land Bonus]],1,0)*20)+15000)))*(1+(mason_bonus*TblConstr[[#This Row],[Tot Mas]]/TblConstr[[#This Row],[Land (2)]]))</f>
        <v>0</v>
      </c>
      <c r="AD46" s="30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315">
        <f ca="1">OFFSET(TblImps[[#This Row],[Real time]],-1,0)+1/24</f>
        <v>45733.749999999898</v>
      </c>
      <c r="BZ46" s="316">
        <f ca="1">OFFSET(TblImps[[#This Row],[Servertime]],-1,0)+1/24</f>
        <v>45733.749999999898</v>
      </c>
      <c r="CA46" s="57"/>
      <c r="CB46" s="314"/>
      <c r="CC46" s="314"/>
    </row>
    <row r="47" spans="1:82" x14ac:dyDescent="0.2">
      <c r="A47" s="224">
        <f ca="1">TblConstr[[#This Row],[Land]]</f>
        <v>250</v>
      </c>
      <c r="B47" s="144"/>
      <c r="C47" s="96">
        <f ca="1">TblProd[[#This Row],[Platinum]]</f>
        <v>356776</v>
      </c>
      <c r="D47" s="96">
        <f ca="1">TblProd[[#This Row],[Lumber]]</f>
        <v>44825</v>
      </c>
      <c r="E47" s="96">
        <f ca="1">TblProd[[#This Row],[Ore]]</f>
        <v>0</v>
      </c>
      <c r="F47" s="96">
        <f ca="1">TblProd[[#This Row],[Gems]]</f>
        <v>0</v>
      </c>
      <c r="G47" s="156"/>
      <c r="H47" s="96">
        <f ca="1">TblMili[[#This Row],[Draftees]]</f>
        <v>626</v>
      </c>
      <c r="I47" s="182">
        <f ca="1">TblPop[[#This Row],[Employment]]</f>
        <v>1</v>
      </c>
      <c r="J47" s="182">
        <f ca="1">TblPop[[#This Row],[Total]]/TblPop[[#This Row],[Net max]]</f>
        <v>1</v>
      </c>
      <c r="K47" s="305">
        <f>TblRezone[[#This Row],[Hour]]</f>
        <v>44</v>
      </c>
      <c r="L47" s="306">
        <f ca="1">TblImps[[#This Row],[Real time]]</f>
        <v>45733.791666666562</v>
      </c>
      <c r="M47" s="61">
        <f>IF(ISERROR(TblImps[[#This Row],[algorithm]]),0,TblImps[[#This Row],[algorithm]]*1)</f>
        <v>0</v>
      </c>
      <c r="N47" s="96">
        <f ca="1">TblImps[[#This Row],[Land]]</f>
        <v>250</v>
      </c>
      <c r="O47" s="307" t="s">
        <v>4</v>
      </c>
      <c r="P47" s="308"/>
      <c r="Q47" s="307" t="s">
        <v>210</v>
      </c>
      <c r="R47" s="307" t="s">
        <v>7</v>
      </c>
      <c r="S47" s="308"/>
      <c r="T47" s="307" t="s">
        <v>210</v>
      </c>
      <c r="U47" s="307" t="s">
        <v>3</v>
      </c>
      <c r="V47" s="308"/>
      <c r="W47" s="307" t="s">
        <v>210</v>
      </c>
      <c r="X47" s="144"/>
      <c r="Y47" s="309">
        <f ca="1">science_cap*(1-EXP(-TblImps[[#This Row],[Σ Science]]/(science_param*(OFFSET(TblImps[[#This Row],[Land]],1,0)-OFFSET(TblExplore[[#This Row],[Land Bonus]],1,0)*20)+15000)))*(1+(mason_bonus*TblConstr[[#This Row],[Tot Mas]]/TblConstr[[#This Row],[Land (2)]]))</f>
        <v>0</v>
      </c>
      <c r="Z47" s="309">
        <f ca="1">keep_cap*(1-EXP(-TblImps[[#This Row],[Σ Keep]]/(keep_param*(OFFSET(TblImps[[#This Row],[Land]],1,0)-OFFSET(TblExplore[[#This Row],[Land Bonus]],1,0)*20)+15000)))*(1+(mason_bonus*TblConstr[[#This Row],[Tot Mas]]/TblConstr[[#This Row],[Land (2)]]))</f>
        <v>0</v>
      </c>
      <c r="AA47" s="309">
        <f ca="1">harbor_towers_cap*(1-EXP(-TblImps[[#This Row],[Σ Spires]]/(towers_param*(OFFSET(TblImps[[#This Row],[Land]],1,0)-OFFSET(TblExplore[[#This Row],[Land Bonus]],1,0)*20)+15000)))*(1+(mason_bonus*TblConstr[[#This Row],[Tot Mas]]/TblConstr[[#This Row],[Land (2)]]))</f>
        <v>0</v>
      </c>
      <c r="AB47" s="309">
        <f ca="1">walls_forges_cap*(1-EXP(-TblImps[[#This Row],[Σ Forges]]/(walls_forges_param*(OFFSET(TblImps[[#This Row],[Land]],1,0)-OFFSET(TblExplore[[#This Row],[Land Bonus]],1,0)*20)+15000)))*(1+(mason_bonus*TblConstr[[#This Row],[Tot Mas]]/TblConstr[[#This Row],[Land (2)]]))</f>
        <v>0</v>
      </c>
      <c r="AC47" s="309">
        <f ca="1">walls_forges_cap*(1-EXP(-TblImps[[#This Row],[Σ Walls]]/(walls_forges_param*(OFFSET(TblImps[[#This Row],[Land]],1,0)-OFFSET(TblExplore[[#This Row],[Land Bonus]],1,0)*20)+15000)))*(1+(mason_bonus*TblConstr[[#This Row],[Tot Mas]]/TblConstr[[#This Row],[Land (2)]]))</f>
        <v>0</v>
      </c>
      <c r="AD47" s="30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315">
        <f ca="1">OFFSET(TblImps[[#This Row],[Real time]],-1,0)+1/24</f>
        <v>45733.791666666562</v>
      </c>
      <c r="BZ47" s="316">
        <f ca="1">OFFSET(TblImps[[#This Row],[Servertime]],-1,0)+1/24</f>
        <v>45733.791666666562</v>
      </c>
      <c r="CA47" s="57"/>
      <c r="CB47" s="314"/>
      <c r="CC47" s="314"/>
    </row>
    <row r="48" spans="1:82" x14ac:dyDescent="0.2">
      <c r="A48" s="224">
        <f ca="1">TblConstr[[#This Row],[Land]]</f>
        <v>250</v>
      </c>
      <c r="B48" s="144"/>
      <c r="C48" s="96">
        <f ca="1">TblProd[[#This Row],[Platinum]]</f>
        <v>362262</v>
      </c>
      <c r="D48" s="96">
        <f ca="1">TblProd[[#This Row],[Lumber]]</f>
        <v>45377</v>
      </c>
      <c r="E48" s="96">
        <f ca="1">TblProd[[#This Row],[Ore]]</f>
        <v>0</v>
      </c>
      <c r="F48" s="96">
        <f ca="1">TblProd[[#This Row],[Gems]]</f>
        <v>0</v>
      </c>
      <c r="G48" s="156"/>
      <c r="H48" s="96">
        <f ca="1">TblMili[[#This Row],[Draftees]]</f>
        <v>626</v>
      </c>
      <c r="I48" s="182">
        <f ca="1">TblPop[[#This Row],[Employment]]</f>
        <v>1</v>
      </c>
      <c r="J48" s="182">
        <f ca="1">TblPop[[#This Row],[Total]]/TblPop[[#This Row],[Net max]]</f>
        <v>1</v>
      </c>
      <c r="K48" s="305">
        <f>TblRezone[[#This Row],[Hour]]</f>
        <v>45</v>
      </c>
      <c r="L48" s="306">
        <f ca="1">TblImps[[#This Row],[Real time]]</f>
        <v>45733.833333333227</v>
      </c>
      <c r="M48" s="61">
        <f>IF(ISERROR(TblImps[[#This Row],[algorithm]]),0,TblImps[[#This Row],[algorithm]]*1)</f>
        <v>0</v>
      </c>
      <c r="N48" s="96">
        <f ca="1">TblImps[[#This Row],[Land]]</f>
        <v>250</v>
      </c>
      <c r="O48" s="307" t="s">
        <v>4</v>
      </c>
      <c r="P48" s="308"/>
      <c r="Q48" s="307" t="s">
        <v>210</v>
      </c>
      <c r="R48" s="307" t="s">
        <v>7</v>
      </c>
      <c r="S48" s="308"/>
      <c r="T48" s="307" t="s">
        <v>210</v>
      </c>
      <c r="U48" s="307" t="s">
        <v>3</v>
      </c>
      <c r="V48" s="308"/>
      <c r="W48" s="307" t="s">
        <v>210</v>
      </c>
      <c r="X48" s="144"/>
      <c r="Y48" s="309">
        <f ca="1">science_cap*(1-EXP(-TblImps[[#This Row],[Σ Science]]/(science_param*(OFFSET(TblImps[[#This Row],[Land]],1,0)-OFFSET(TblExplore[[#This Row],[Land Bonus]],1,0)*20)+15000)))*(1+(mason_bonus*TblConstr[[#This Row],[Tot Mas]]/TblConstr[[#This Row],[Land (2)]]))</f>
        <v>0</v>
      </c>
      <c r="Z48" s="309">
        <f ca="1">keep_cap*(1-EXP(-TblImps[[#This Row],[Σ Keep]]/(keep_param*(OFFSET(TblImps[[#This Row],[Land]],1,0)-OFFSET(TblExplore[[#This Row],[Land Bonus]],1,0)*20)+15000)))*(1+(mason_bonus*TblConstr[[#This Row],[Tot Mas]]/TblConstr[[#This Row],[Land (2)]]))</f>
        <v>0</v>
      </c>
      <c r="AA48" s="309">
        <f ca="1">harbor_towers_cap*(1-EXP(-TblImps[[#This Row],[Σ Spires]]/(towers_param*(OFFSET(TblImps[[#This Row],[Land]],1,0)-OFFSET(TblExplore[[#This Row],[Land Bonus]],1,0)*20)+15000)))*(1+(mason_bonus*TblConstr[[#This Row],[Tot Mas]]/TblConstr[[#This Row],[Land (2)]]))</f>
        <v>0</v>
      </c>
      <c r="AB48" s="309">
        <f ca="1">walls_forges_cap*(1-EXP(-TblImps[[#This Row],[Σ Forges]]/(walls_forges_param*(OFFSET(TblImps[[#This Row],[Land]],1,0)-OFFSET(TblExplore[[#This Row],[Land Bonus]],1,0)*20)+15000)))*(1+(mason_bonus*TblConstr[[#This Row],[Tot Mas]]/TblConstr[[#This Row],[Land (2)]]))</f>
        <v>0</v>
      </c>
      <c r="AC48" s="309">
        <f ca="1">walls_forges_cap*(1-EXP(-TblImps[[#This Row],[Σ Walls]]/(walls_forges_param*(OFFSET(TblImps[[#This Row],[Land]],1,0)-OFFSET(TblExplore[[#This Row],[Land Bonus]],1,0)*20)+15000)))*(1+(mason_bonus*TblConstr[[#This Row],[Tot Mas]]/TblConstr[[#This Row],[Land (2)]]))</f>
        <v>0</v>
      </c>
      <c r="AD48" s="30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315">
        <f ca="1">OFFSET(TblImps[[#This Row],[Real time]],-1,0)+1/24</f>
        <v>45733.833333333227</v>
      </c>
      <c r="BZ48" s="316">
        <f ca="1">OFFSET(TblImps[[#This Row],[Servertime]],-1,0)+1/24</f>
        <v>45733.833333333227</v>
      </c>
      <c r="CA48" s="57"/>
      <c r="CB48" s="314"/>
      <c r="CC48" s="314"/>
    </row>
    <row r="49" spans="1:81" x14ac:dyDescent="0.2">
      <c r="A49" s="224">
        <f ca="1">TblConstr[[#This Row],[Land]]</f>
        <v>250</v>
      </c>
      <c r="B49" s="144"/>
      <c r="C49" s="96">
        <f ca="1">TblProd[[#This Row],[Platinum]]</f>
        <v>367748</v>
      </c>
      <c r="D49" s="96">
        <f ca="1">TblProd[[#This Row],[Lumber]]</f>
        <v>45923</v>
      </c>
      <c r="E49" s="96">
        <f ca="1">TblProd[[#This Row],[Ore]]</f>
        <v>0</v>
      </c>
      <c r="F49" s="96">
        <f ca="1">TblProd[[#This Row],[Gems]]</f>
        <v>0</v>
      </c>
      <c r="G49" s="156"/>
      <c r="H49" s="96">
        <f ca="1">TblMili[[#This Row],[Draftees]]</f>
        <v>626</v>
      </c>
      <c r="I49" s="182">
        <f ca="1">TblPop[[#This Row],[Employment]]</f>
        <v>1</v>
      </c>
      <c r="J49" s="182">
        <f ca="1">TblPop[[#This Row],[Total]]/TblPop[[#This Row],[Net max]]</f>
        <v>1</v>
      </c>
      <c r="K49" s="305">
        <f>TblRezone[[#This Row],[Hour]]</f>
        <v>46</v>
      </c>
      <c r="L49" s="306">
        <f ca="1">TblImps[[#This Row],[Real time]]</f>
        <v>45733.874999999891</v>
      </c>
      <c r="M49" s="61">
        <f>IF(ISERROR(TblImps[[#This Row],[algorithm]]),0,TblImps[[#This Row],[algorithm]]*1)</f>
        <v>0</v>
      </c>
      <c r="N49" s="96">
        <f ca="1">TblImps[[#This Row],[Land]]</f>
        <v>250</v>
      </c>
      <c r="O49" s="307" t="s">
        <v>4</v>
      </c>
      <c r="P49" s="308"/>
      <c r="Q49" s="307" t="s">
        <v>210</v>
      </c>
      <c r="R49" s="307" t="s">
        <v>7</v>
      </c>
      <c r="S49" s="308"/>
      <c r="T49" s="307" t="s">
        <v>210</v>
      </c>
      <c r="U49" s="307" t="s">
        <v>3</v>
      </c>
      <c r="V49" s="308"/>
      <c r="W49" s="307" t="s">
        <v>210</v>
      </c>
      <c r="X49" s="144"/>
      <c r="Y49" s="309">
        <f ca="1">science_cap*(1-EXP(-TblImps[[#This Row],[Σ Science]]/(science_param*(OFFSET(TblImps[[#This Row],[Land]],1,0)-OFFSET(TblExplore[[#This Row],[Land Bonus]],1,0)*20)+15000)))*(1+(mason_bonus*TblConstr[[#This Row],[Tot Mas]]/TblConstr[[#This Row],[Land (2)]]))</f>
        <v>0</v>
      </c>
      <c r="Z49" s="309">
        <f ca="1">keep_cap*(1-EXP(-TblImps[[#This Row],[Σ Keep]]/(keep_param*(OFFSET(TblImps[[#This Row],[Land]],1,0)-OFFSET(TblExplore[[#This Row],[Land Bonus]],1,0)*20)+15000)))*(1+(mason_bonus*TblConstr[[#This Row],[Tot Mas]]/TblConstr[[#This Row],[Land (2)]]))</f>
        <v>0</v>
      </c>
      <c r="AA49" s="309">
        <f ca="1">harbor_towers_cap*(1-EXP(-TblImps[[#This Row],[Σ Spires]]/(towers_param*(OFFSET(TblImps[[#This Row],[Land]],1,0)-OFFSET(TblExplore[[#This Row],[Land Bonus]],1,0)*20)+15000)))*(1+(mason_bonus*TblConstr[[#This Row],[Tot Mas]]/TblConstr[[#This Row],[Land (2)]]))</f>
        <v>0</v>
      </c>
      <c r="AB49" s="309">
        <f ca="1">walls_forges_cap*(1-EXP(-TblImps[[#This Row],[Σ Forges]]/(walls_forges_param*(OFFSET(TblImps[[#This Row],[Land]],1,0)-OFFSET(TblExplore[[#This Row],[Land Bonus]],1,0)*20)+15000)))*(1+(mason_bonus*TblConstr[[#This Row],[Tot Mas]]/TblConstr[[#This Row],[Land (2)]]))</f>
        <v>0</v>
      </c>
      <c r="AC49" s="309">
        <f ca="1">walls_forges_cap*(1-EXP(-TblImps[[#This Row],[Σ Walls]]/(walls_forges_param*(OFFSET(TblImps[[#This Row],[Land]],1,0)-OFFSET(TblExplore[[#This Row],[Land Bonus]],1,0)*20)+15000)))*(1+(mason_bonus*TblConstr[[#This Row],[Tot Mas]]/TblConstr[[#This Row],[Land (2)]]))</f>
        <v>0</v>
      </c>
      <c r="AD49" s="30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315">
        <f ca="1">OFFSET(TblImps[[#This Row],[Real time]],-1,0)+1/24</f>
        <v>45733.874999999891</v>
      </c>
      <c r="BZ49" s="316">
        <f ca="1">OFFSET(TblImps[[#This Row],[Servertime]],-1,0)+1/24</f>
        <v>45733.874999999891</v>
      </c>
      <c r="CA49" s="57"/>
      <c r="CB49" s="314"/>
      <c r="CC49" s="314"/>
    </row>
    <row r="50" spans="1:81" x14ac:dyDescent="0.2">
      <c r="A50" s="224">
        <f ca="1">TblConstr[[#This Row],[Land]]</f>
        <v>250</v>
      </c>
      <c r="B50" s="144"/>
      <c r="C50" s="96">
        <f ca="1">TblProd[[#This Row],[Platinum]]</f>
        <v>373234</v>
      </c>
      <c r="D50" s="96">
        <f ca="1">TblProd[[#This Row],[Lumber]]</f>
        <v>46464</v>
      </c>
      <c r="E50" s="96">
        <f ca="1">TblProd[[#This Row],[Ore]]</f>
        <v>0</v>
      </c>
      <c r="F50" s="96">
        <f ca="1">TblProd[[#This Row],[Gems]]</f>
        <v>0</v>
      </c>
      <c r="G50" s="156"/>
      <c r="H50" s="96">
        <f ca="1">TblMili[[#This Row],[Draftees]]</f>
        <v>626</v>
      </c>
      <c r="I50" s="182">
        <f ca="1">TblPop[[#This Row],[Employment]]</f>
        <v>1</v>
      </c>
      <c r="J50" s="182">
        <f ca="1">TblPop[[#This Row],[Total]]/TblPop[[#This Row],[Net max]]</f>
        <v>1</v>
      </c>
      <c r="K50" s="305">
        <f>TblRezone[[#This Row],[Hour]]</f>
        <v>47</v>
      </c>
      <c r="L50" s="306">
        <f ca="1">TblImps[[#This Row],[Real time]]</f>
        <v>45733.916666666555</v>
      </c>
      <c r="M50" s="61">
        <f>IF(ISERROR(TblImps[[#This Row],[algorithm]]),0,TblImps[[#This Row],[algorithm]]*1)</f>
        <v>0</v>
      </c>
      <c r="N50" s="96">
        <f ca="1">TblImps[[#This Row],[Land]]</f>
        <v>250</v>
      </c>
      <c r="O50" s="307" t="s">
        <v>4</v>
      </c>
      <c r="P50" s="308"/>
      <c r="Q50" s="307" t="s">
        <v>210</v>
      </c>
      <c r="R50" s="307" t="s">
        <v>7</v>
      </c>
      <c r="S50" s="308"/>
      <c r="T50" s="307" t="s">
        <v>210</v>
      </c>
      <c r="U50" s="307" t="s">
        <v>3</v>
      </c>
      <c r="V50" s="308"/>
      <c r="W50" s="307" t="s">
        <v>210</v>
      </c>
      <c r="X50" s="144"/>
      <c r="Y50" s="309">
        <f ca="1">science_cap*(1-EXP(-TblImps[[#This Row],[Σ Science]]/(science_param*(OFFSET(TblImps[[#This Row],[Land]],1,0)-OFFSET(TblExplore[[#This Row],[Land Bonus]],1,0)*20)+15000)))*(1+(mason_bonus*TblConstr[[#This Row],[Tot Mas]]/TblConstr[[#This Row],[Land (2)]]))</f>
        <v>0</v>
      </c>
      <c r="Z50" s="309">
        <f ca="1">keep_cap*(1-EXP(-TblImps[[#This Row],[Σ Keep]]/(keep_param*(OFFSET(TblImps[[#This Row],[Land]],1,0)-OFFSET(TblExplore[[#This Row],[Land Bonus]],1,0)*20)+15000)))*(1+(mason_bonus*TblConstr[[#This Row],[Tot Mas]]/TblConstr[[#This Row],[Land (2)]]))</f>
        <v>0</v>
      </c>
      <c r="AA50" s="309">
        <f ca="1">harbor_towers_cap*(1-EXP(-TblImps[[#This Row],[Σ Spires]]/(towers_param*(OFFSET(TblImps[[#This Row],[Land]],1,0)-OFFSET(TblExplore[[#This Row],[Land Bonus]],1,0)*20)+15000)))*(1+(mason_bonus*TblConstr[[#This Row],[Tot Mas]]/TblConstr[[#This Row],[Land (2)]]))</f>
        <v>0</v>
      </c>
      <c r="AB50" s="309">
        <f ca="1">walls_forges_cap*(1-EXP(-TblImps[[#This Row],[Σ Forges]]/(walls_forges_param*(OFFSET(TblImps[[#This Row],[Land]],1,0)-OFFSET(TblExplore[[#This Row],[Land Bonus]],1,0)*20)+15000)))*(1+(mason_bonus*TblConstr[[#This Row],[Tot Mas]]/TblConstr[[#This Row],[Land (2)]]))</f>
        <v>0</v>
      </c>
      <c r="AC50" s="309">
        <f ca="1">walls_forges_cap*(1-EXP(-TblImps[[#This Row],[Σ Walls]]/(walls_forges_param*(OFFSET(TblImps[[#This Row],[Land]],1,0)-OFFSET(TblExplore[[#This Row],[Land Bonus]],1,0)*20)+15000)))*(1+(mason_bonus*TblConstr[[#This Row],[Tot Mas]]/TblConstr[[#This Row],[Land (2)]]))</f>
        <v>0</v>
      </c>
      <c r="AD50" s="30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315">
        <f ca="1">OFFSET(TblImps[[#This Row],[Real time]],-1,0)+1/24</f>
        <v>45733.916666666555</v>
      </c>
      <c r="BZ50" s="316">
        <f ca="1">OFFSET(TblImps[[#This Row],[Servertime]],-1,0)+1/24</f>
        <v>45733.916666666555</v>
      </c>
      <c r="CA50" s="57"/>
      <c r="CB50" s="314"/>
      <c r="CC50" s="314"/>
    </row>
    <row r="51" spans="1:81" x14ac:dyDescent="0.2">
      <c r="A51" s="224">
        <f ca="1">TblConstr[[#This Row],[Land]]</f>
        <v>250</v>
      </c>
      <c r="B51" s="144"/>
      <c r="C51" s="96">
        <f ca="1">TblProd[[#This Row],[Platinum]]</f>
        <v>378720</v>
      </c>
      <c r="D51" s="96">
        <f ca="1">TblProd[[#This Row],[Lumber]]</f>
        <v>46999</v>
      </c>
      <c r="E51" s="96">
        <f ca="1">TblProd[[#This Row],[Ore]]</f>
        <v>0</v>
      </c>
      <c r="F51" s="96">
        <f ca="1">TblProd[[#This Row],[Gems]]</f>
        <v>0</v>
      </c>
      <c r="G51" s="156"/>
      <c r="H51" s="96">
        <f ca="1">TblMili[[#This Row],[Draftees]]</f>
        <v>626</v>
      </c>
      <c r="I51" s="182">
        <f ca="1">TblPop[[#This Row],[Employment]]</f>
        <v>1</v>
      </c>
      <c r="J51" s="182">
        <f ca="1">TblPop[[#This Row],[Total]]/TblPop[[#This Row],[Net max]]</f>
        <v>1</v>
      </c>
      <c r="K51" s="305">
        <f>TblRezone[[#This Row],[Hour]]</f>
        <v>48</v>
      </c>
      <c r="L51" s="306">
        <f ca="1">TblImps[[#This Row],[Real time]]</f>
        <v>45733.958333333219</v>
      </c>
      <c r="M51" s="61">
        <f>IF(ISERROR(TblImps[[#This Row],[algorithm]]),0,TblImps[[#This Row],[algorithm]]*1)</f>
        <v>0</v>
      </c>
      <c r="N51" s="96">
        <f ca="1">TblImps[[#This Row],[Land]]</f>
        <v>250</v>
      </c>
      <c r="O51" s="307" t="s">
        <v>4</v>
      </c>
      <c r="P51" s="308"/>
      <c r="Q51" s="307" t="s">
        <v>210</v>
      </c>
      <c r="R51" s="307" t="s">
        <v>7</v>
      </c>
      <c r="S51" s="308"/>
      <c r="T51" s="307" t="s">
        <v>210</v>
      </c>
      <c r="U51" s="307" t="s">
        <v>3</v>
      </c>
      <c r="V51" s="308"/>
      <c r="W51" s="307" t="s">
        <v>210</v>
      </c>
      <c r="X51" s="144"/>
      <c r="Y51" s="309">
        <f ca="1">science_cap*(1-EXP(-TblImps[[#This Row],[Σ Science]]/(science_param*(OFFSET(TblImps[[#This Row],[Land]],1,0)-OFFSET(TblExplore[[#This Row],[Land Bonus]],1,0)*20)+15000)))*(1+(mason_bonus*TblConstr[[#This Row],[Tot Mas]]/TblConstr[[#This Row],[Land (2)]]))</f>
        <v>0</v>
      </c>
      <c r="Z51" s="309">
        <f ca="1">keep_cap*(1-EXP(-TblImps[[#This Row],[Σ Keep]]/(keep_param*(OFFSET(TblImps[[#This Row],[Land]],1,0)-OFFSET(TblExplore[[#This Row],[Land Bonus]],1,0)*20)+15000)))*(1+(mason_bonus*TblConstr[[#This Row],[Tot Mas]]/TblConstr[[#This Row],[Land (2)]]))</f>
        <v>0</v>
      </c>
      <c r="AA51" s="309">
        <f ca="1">harbor_towers_cap*(1-EXP(-TblImps[[#This Row],[Σ Spires]]/(towers_param*(OFFSET(TblImps[[#This Row],[Land]],1,0)-OFFSET(TblExplore[[#This Row],[Land Bonus]],1,0)*20)+15000)))*(1+(mason_bonus*TblConstr[[#This Row],[Tot Mas]]/TblConstr[[#This Row],[Land (2)]]))</f>
        <v>0</v>
      </c>
      <c r="AB51" s="309">
        <f ca="1">walls_forges_cap*(1-EXP(-TblImps[[#This Row],[Σ Forges]]/(walls_forges_param*(OFFSET(TblImps[[#This Row],[Land]],1,0)-OFFSET(TblExplore[[#This Row],[Land Bonus]],1,0)*20)+15000)))*(1+(mason_bonus*TblConstr[[#This Row],[Tot Mas]]/TblConstr[[#This Row],[Land (2)]]))</f>
        <v>0</v>
      </c>
      <c r="AC51" s="309">
        <f ca="1">walls_forges_cap*(1-EXP(-TblImps[[#This Row],[Σ Walls]]/(walls_forges_param*(OFFSET(TblImps[[#This Row],[Land]],1,0)-OFFSET(TblExplore[[#This Row],[Land Bonus]],1,0)*20)+15000)))*(1+(mason_bonus*TblConstr[[#This Row],[Tot Mas]]/TblConstr[[#This Row],[Land (2)]]))</f>
        <v>0</v>
      </c>
      <c r="AD51" s="30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315">
        <f ca="1">OFFSET(TblImps[[#This Row],[Real time]],-1,0)+1/24</f>
        <v>45733.958333333219</v>
      </c>
      <c r="BZ51" s="316">
        <f ca="1">OFFSET(TblImps[[#This Row],[Servertime]],-1,0)+1/24</f>
        <v>45733.958333333219</v>
      </c>
      <c r="CA51" s="57"/>
      <c r="CB51" s="314"/>
      <c r="CC51" s="314"/>
    </row>
    <row r="52" spans="1:81" x14ac:dyDescent="0.2">
      <c r="A52" s="224">
        <f ca="1">TblConstr[[#This Row],[Land]]</f>
        <v>250</v>
      </c>
      <c r="B52" s="144"/>
      <c r="C52" s="96">
        <f ca="1">TblProd[[#This Row],[Platinum]]</f>
        <v>384206</v>
      </c>
      <c r="D52" s="96">
        <f ca="1">TblProd[[#This Row],[Lumber]]</f>
        <v>47529</v>
      </c>
      <c r="E52" s="96">
        <f ca="1">TblProd[[#This Row],[Ore]]</f>
        <v>0</v>
      </c>
      <c r="F52" s="96">
        <f ca="1">TblProd[[#This Row],[Gems]]</f>
        <v>0</v>
      </c>
      <c r="G52" s="156"/>
      <c r="H52" s="96">
        <f ca="1">TblMili[[#This Row],[Draftees]]</f>
        <v>626</v>
      </c>
      <c r="I52" s="182">
        <f ca="1">TblPop[[#This Row],[Employment]]</f>
        <v>1</v>
      </c>
      <c r="J52" s="182">
        <f ca="1">TblPop[[#This Row],[Total]]/TblPop[[#This Row],[Net max]]</f>
        <v>1</v>
      </c>
      <c r="K52" s="305">
        <f>TblRezone[[#This Row],[Hour]]</f>
        <v>49</v>
      </c>
      <c r="L52" s="306">
        <f ca="1">TblImps[[#This Row],[Real time]]</f>
        <v>45733.999999999884</v>
      </c>
      <c r="M52" s="61">
        <f>IF(ISERROR(TblImps[[#This Row],[algorithm]]),0,TblImps[[#This Row],[algorithm]]*1)</f>
        <v>0</v>
      </c>
      <c r="N52" s="96">
        <f ca="1">TblImps[[#This Row],[Land]]</f>
        <v>250</v>
      </c>
      <c r="O52" s="307" t="s">
        <v>4</v>
      </c>
      <c r="P52" s="308"/>
      <c r="Q52" s="307" t="s">
        <v>210</v>
      </c>
      <c r="R52" s="307" t="s">
        <v>7</v>
      </c>
      <c r="S52" s="308"/>
      <c r="T52" s="307" t="s">
        <v>210</v>
      </c>
      <c r="U52" s="307" t="s">
        <v>3</v>
      </c>
      <c r="V52" s="308"/>
      <c r="W52" s="307" t="s">
        <v>210</v>
      </c>
      <c r="X52" s="144"/>
      <c r="Y52" s="309">
        <f ca="1">science_cap*(1-EXP(-TblImps[[#This Row],[Σ Science]]/(science_param*(OFFSET(TblImps[[#This Row],[Land]],1,0)-OFFSET(TblExplore[[#This Row],[Land Bonus]],1,0)*20)+15000)))*(1+(mason_bonus*TblConstr[[#This Row],[Tot Mas]]/TblConstr[[#This Row],[Land (2)]]))</f>
        <v>0</v>
      </c>
      <c r="Z52" s="309">
        <f ca="1">keep_cap*(1-EXP(-TblImps[[#This Row],[Σ Keep]]/(keep_param*(OFFSET(TblImps[[#This Row],[Land]],1,0)-OFFSET(TblExplore[[#This Row],[Land Bonus]],1,0)*20)+15000)))*(1+(mason_bonus*TblConstr[[#This Row],[Tot Mas]]/TblConstr[[#This Row],[Land (2)]]))</f>
        <v>0</v>
      </c>
      <c r="AA52" s="309">
        <f ca="1">harbor_towers_cap*(1-EXP(-TblImps[[#This Row],[Σ Spires]]/(towers_param*(OFFSET(TblImps[[#This Row],[Land]],1,0)-OFFSET(TblExplore[[#This Row],[Land Bonus]],1,0)*20)+15000)))*(1+(mason_bonus*TblConstr[[#This Row],[Tot Mas]]/TblConstr[[#This Row],[Land (2)]]))</f>
        <v>0</v>
      </c>
      <c r="AB52" s="309">
        <f ca="1">walls_forges_cap*(1-EXP(-TblImps[[#This Row],[Σ Forges]]/(walls_forges_param*(OFFSET(TblImps[[#This Row],[Land]],1,0)-OFFSET(TblExplore[[#This Row],[Land Bonus]],1,0)*20)+15000)))*(1+(mason_bonus*TblConstr[[#This Row],[Tot Mas]]/TblConstr[[#This Row],[Land (2)]]))</f>
        <v>0</v>
      </c>
      <c r="AC52" s="309">
        <f ca="1">walls_forges_cap*(1-EXP(-TblImps[[#This Row],[Σ Walls]]/(walls_forges_param*(OFFSET(TblImps[[#This Row],[Land]],1,0)-OFFSET(TblExplore[[#This Row],[Land Bonus]],1,0)*20)+15000)))*(1+(mason_bonus*TblConstr[[#This Row],[Tot Mas]]/TblConstr[[#This Row],[Land (2)]]))</f>
        <v>0</v>
      </c>
      <c r="AD52" s="309">
        <f ca="1">harbor_towers_cap*(1-EXP(-TblImps[[#This Row],[Σ Harbor]]/(harbor_towers_param*(OFFSET(TblImps[[#This Row],[Land]],1,0)-OFFSET(TblExplore[[#This Row],[Land Bonus]],1,0)*20)+15000)))*(1+(mason_bonus*TblConstr[[#This Row],[Tot Mas]]/TblConstr[[#This Row],[Land (2)]]))</f>
        <v>0</v>
      </c>
      <c r="AE52" s="144"/>
      <c r="AF52" s="61">
        <f ca="1">(1+Overview!$I$28)*SUM(TblImps[[#This Row],[P2]:[G2]])+OFFSET(TblImps[[#This Row],[Σ Science]],-1,0)</f>
        <v>0</v>
      </c>
      <c r="AG52" s="61">
        <f ca="1">(1+Overview!$I$28)*SUM(TblImps[[#This Row],[P3]:[G3]])+OFFSET(TblImps[[#This Row],[Σ Keep]],-1,0)</f>
        <v>0</v>
      </c>
      <c r="AH52" s="61">
        <f ca="1">(1+Overview!$I$28 + tech_7_1*TblTech[[#This Row],[7-1]])*SUM(TblImps[[#This Row],[P4]:[G4]])+OFFSET(TblImps[[#This Row],[Σ Spires]],-1,0)</f>
        <v>0</v>
      </c>
      <c r="AI52" s="61">
        <f ca="1">(1+Overview!$I$28)*SUM(TblImps[[#This Row],[P5]:[G5]])+OFFSET(TblImps[[#This Row],[Σ Forges]],-1,0)</f>
        <v>0</v>
      </c>
      <c r="AJ52" s="61">
        <f ca="1">(1+Overview!$I$28)*SUM(TblImps[[#This Row],[P6]:[G6]])+OFFSET(TblImps[[#This Row],[Σ Walls]],-1,0)</f>
        <v>0</v>
      </c>
      <c r="AK52" s="61">
        <f ca="1">(1+Overview!$I$28 + tech_7_1*TblTech[[#This Row],[7-1]])*SUM(TblImps[[#This Row],[P7]:[G7]])+OFFSET(TblImps[[#This Row],[Σ Harbor]],-1,0)</f>
        <v>0</v>
      </c>
      <c r="AL52" s="144"/>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4"/>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4"/>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4"/>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4"/>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4"/>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4"/>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4"/>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9"/>
      <c r="BY52" s="315">
        <f ca="1">OFFSET(TblImps[[#This Row],[Real time]],-1,0)+1/24</f>
        <v>45733.999999999884</v>
      </c>
      <c r="BZ52" s="316">
        <f ca="1">OFFSET(TblImps[[#This Row],[Servertime]],-1,0)+1/24</f>
        <v>45733.999999999884</v>
      </c>
      <c r="CA52" s="57"/>
      <c r="CB52" s="314"/>
      <c r="CC52" s="314"/>
    </row>
    <row r="53" spans="1:81" x14ac:dyDescent="0.2">
      <c r="A53" s="224">
        <f ca="1">TblConstr[[#This Row],[Land]]</f>
        <v>250</v>
      </c>
      <c r="B53" s="144"/>
      <c r="C53" s="96">
        <f ca="1">TblProd[[#This Row],[Platinum]]</f>
        <v>389692</v>
      </c>
      <c r="D53" s="96">
        <f ca="1">TblProd[[#This Row],[Lumber]]</f>
        <v>48054</v>
      </c>
      <c r="E53" s="96">
        <f ca="1">TblProd[[#This Row],[Ore]]</f>
        <v>0</v>
      </c>
      <c r="F53" s="96">
        <f ca="1">TblProd[[#This Row],[Gems]]</f>
        <v>0</v>
      </c>
      <c r="G53" s="156"/>
      <c r="H53" s="96">
        <f ca="1">TblMili[[#This Row],[Draftees]]</f>
        <v>626</v>
      </c>
      <c r="I53" s="182">
        <f ca="1">TblPop[[#This Row],[Employment]]</f>
        <v>1</v>
      </c>
      <c r="J53" s="182">
        <f ca="1">TblPop[[#This Row],[Total]]/TblPop[[#This Row],[Net max]]</f>
        <v>1</v>
      </c>
      <c r="K53" s="305">
        <f>TblRezone[[#This Row],[Hour]]</f>
        <v>50</v>
      </c>
      <c r="L53" s="306">
        <f ca="1">TblImps[[#This Row],[Real time]]</f>
        <v>45734.041666666548</v>
      </c>
      <c r="M53" s="61">
        <f>IF(ISERROR(TblImps[[#This Row],[algorithm]]),0,TblImps[[#This Row],[algorithm]]*1)</f>
        <v>0</v>
      </c>
      <c r="N53" s="96">
        <f ca="1">TblImps[[#This Row],[Land]]</f>
        <v>250</v>
      </c>
      <c r="O53" s="307" t="s">
        <v>4</v>
      </c>
      <c r="P53" s="308"/>
      <c r="Q53" s="307" t="s">
        <v>210</v>
      </c>
      <c r="R53" s="307" t="s">
        <v>7</v>
      </c>
      <c r="S53" s="308"/>
      <c r="T53" s="307" t="s">
        <v>210</v>
      </c>
      <c r="U53" s="307" t="s">
        <v>3</v>
      </c>
      <c r="V53" s="308"/>
      <c r="W53" s="307" t="s">
        <v>210</v>
      </c>
      <c r="X53" s="144"/>
      <c r="Y53" s="309">
        <f ca="1">science_cap*(1-EXP(-TblImps[[#This Row],[Σ Science]]/(science_param*(OFFSET(TblImps[[#This Row],[Land]],1,0)-OFFSET(TblExplore[[#This Row],[Land Bonus]],1,0)*20)+15000)))*(1+(mason_bonus*TblConstr[[#This Row],[Tot Mas]]/TblConstr[[#This Row],[Land (2)]]))</f>
        <v>0</v>
      </c>
      <c r="Z53" s="309">
        <f ca="1">keep_cap*(1-EXP(-TblImps[[#This Row],[Σ Keep]]/(keep_param*(OFFSET(TblImps[[#This Row],[Land]],1,0)-OFFSET(TblExplore[[#This Row],[Land Bonus]],1,0)*20)+15000)))*(1+(mason_bonus*TblConstr[[#This Row],[Tot Mas]]/TblConstr[[#This Row],[Land (2)]]))</f>
        <v>0</v>
      </c>
      <c r="AA53" s="309">
        <f ca="1">harbor_towers_cap*(1-EXP(-TblImps[[#This Row],[Σ Spires]]/(towers_param*(OFFSET(TblImps[[#This Row],[Land]],1,0)-OFFSET(TblExplore[[#This Row],[Land Bonus]],1,0)*20)+15000)))*(1+(mason_bonus*TblConstr[[#This Row],[Tot Mas]]/TblConstr[[#This Row],[Land (2)]]))</f>
        <v>0</v>
      </c>
      <c r="AB53" s="309">
        <f ca="1">walls_forges_cap*(1-EXP(-TblImps[[#This Row],[Σ Forges]]/(walls_forges_param*(OFFSET(TblImps[[#This Row],[Land]],1,0)-OFFSET(TblExplore[[#This Row],[Land Bonus]],1,0)*20)+15000)))*(1+(mason_bonus*TblConstr[[#This Row],[Tot Mas]]/TblConstr[[#This Row],[Land (2)]]))</f>
        <v>0</v>
      </c>
      <c r="AC53" s="309">
        <f ca="1">walls_forges_cap*(1-EXP(-TblImps[[#This Row],[Σ Walls]]/(walls_forges_param*(OFFSET(TblImps[[#This Row],[Land]],1,0)-OFFSET(TblExplore[[#This Row],[Land Bonus]],1,0)*20)+15000)))*(1+(mason_bonus*TblConstr[[#This Row],[Tot Mas]]/TblConstr[[#This Row],[Land (2)]]))</f>
        <v>0</v>
      </c>
      <c r="AD53" s="30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315">
        <f ca="1">OFFSET(TblImps[[#This Row],[Real time]],-1,0)+1/24</f>
        <v>45734.041666666548</v>
      </c>
      <c r="BZ53" s="316">
        <f ca="1">OFFSET(TblImps[[#This Row],[Servertime]],-1,0)+1/24</f>
        <v>45734.041666666548</v>
      </c>
      <c r="CA53" s="57"/>
      <c r="CB53" s="314"/>
      <c r="CC53" s="314"/>
    </row>
    <row r="54" spans="1:81" x14ac:dyDescent="0.2">
      <c r="A54" s="224">
        <f ca="1">TblConstr[[#This Row],[Land]]</f>
        <v>250</v>
      </c>
      <c r="B54" s="144"/>
      <c r="C54" s="96">
        <f ca="1">TblProd[[#This Row],[Platinum]]</f>
        <v>395178</v>
      </c>
      <c r="D54" s="96">
        <f ca="1">TblProd[[#This Row],[Lumber]]</f>
        <v>48573</v>
      </c>
      <c r="E54" s="96">
        <f ca="1">TblProd[[#This Row],[Ore]]</f>
        <v>0</v>
      </c>
      <c r="F54" s="96">
        <f ca="1">TblProd[[#This Row],[Gems]]</f>
        <v>0</v>
      </c>
      <c r="G54" s="156"/>
      <c r="H54" s="96">
        <f ca="1">TblMili[[#This Row],[Draftees]]</f>
        <v>626</v>
      </c>
      <c r="I54" s="182">
        <f ca="1">TblPop[[#This Row],[Employment]]</f>
        <v>1</v>
      </c>
      <c r="J54" s="182">
        <f ca="1">TblPop[[#This Row],[Total]]/TblPop[[#This Row],[Net max]]</f>
        <v>1</v>
      </c>
      <c r="K54" s="305">
        <f>TblRezone[[#This Row],[Hour]]</f>
        <v>51</v>
      </c>
      <c r="L54" s="306">
        <f ca="1">TblImps[[#This Row],[Real time]]</f>
        <v>45734.083333333212</v>
      </c>
      <c r="M54" s="61">
        <f>IF(ISERROR(TblImps[[#This Row],[algorithm]]),0,TblImps[[#This Row],[algorithm]]*1)</f>
        <v>0</v>
      </c>
      <c r="N54" s="96">
        <f ca="1">TblImps[[#This Row],[Land]]</f>
        <v>250</v>
      </c>
      <c r="O54" s="307" t="s">
        <v>2</v>
      </c>
      <c r="P54" s="308"/>
      <c r="Q54" s="307" t="s">
        <v>210</v>
      </c>
      <c r="R54" s="307" t="s">
        <v>7</v>
      </c>
      <c r="S54" s="308"/>
      <c r="T54" s="307" t="s">
        <v>210</v>
      </c>
      <c r="U54" s="307" t="s">
        <v>3</v>
      </c>
      <c r="V54" s="308"/>
      <c r="W54" s="307" t="s">
        <v>210</v>
      </c>
      <c r="X54" s="144"/>
      <c r="Y54" s="309">
        <f ca="1">science_cap*(1-EXP(-TblImps[[#This Row],[Σ Science]]/(science_param*(OFFSET(TblImps[[#This Row],[Land]],1,0)-OFFSET(TblExplore[[#This Row],[Land Bonus]],1,0)*20)+15000)))*(1+(mason_bonus*TblConstr[[#This Row],[Tot Mas]]/TblConstr[[#This Row],[Land (2)]]))</f>
        <v>0</v>
      </c>
      <c r="Z54" s="309">
        <f ca="1">keep_cap*(1-EXP(-TblImps[[#This Row],[Σ Keep]]/(keep_param*(OFFSET(TblImps[[#This Row],[Land]],1,0)-OFFSET(TblExplore[[#This Row],[Land Bonus]],1,0)*20)+15000)))*(1+(mason_bonus*TblConstr[[#This Row],[Tot Mas]]/TblConstr[[#This Row],[Land (2)]]))</f>
        <v>0</v>
      </c>
      <c r="AA54" s="309">
        <f ca="1">harbor_towers_cap*(1-EXP(-TblImps[[#This Row],[Σ Spires]]/(towers_param*(OFFSET(TblImps[[#This Row],[Land]],1,0)-OFFSET(TblExplore[[#This Row],[Land Bonus]],1,0)*20)+15000)))*(1+(mason_bonus*TblConstr[[#This Row],[Tot Mas]]/TblConstr[[#This Row],[Land (2)]]))</f>
        <v>0</v>
      </c>
      <c r="AB54" s="309">
        <f ca="1">walls_forges_cap*(1-EXP(-TblImps[[#This Row],[Σ Forges]]/(walls_forges_param*(OFFSET(TblImps[[#This Row],[Land]],1,0)-OFFSET(TblExplore[[#This Row],[Land Bonus]],1,0)*20)+15000)))*(1+(mason_bonus*TblConstr[[#This Row],[Tot Mas]]/TblConstr[[#This Row],[Land (2)]]))</f>
        <v>0</v>
      </c>
      <c r="AC54" s="309">
        <f ca="1">walls_forges_cap*(1-EXP(-TblImps[[#This Row],[Σ Walls]]/(walls_forges_param*(OFFSET(TblImps[[#This Row],[Land]],1,0)-OFFSET(TblExplore[[#This Row],[Land Bonus]],1,0)*20)+15000)))*(1+(mason_bonus*TblConstr[[#This Row],[Tot Mas]]/TblConstr[[#This Row],[Land (2)]]))</f>
        <v>0</v>
      </c>
      <c r="AD54" s="30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315">
        <f ca="1">OFFSET(TblImps[[#This Row],[Real time]],-1,0)+1/24</f>
        <v>45734.083333333212</v>
      </c>
      <c r="BZ54" s="316">
        <f ca="1">OFFSET(TblImps[[#This Row],[Servertime]],-1,0)+1/24</f>
        <v>45734.083333333212</v>
      </c>
      <c r="CA54" s="57"/>
      <c r="CB54" s="314"/>
      <c r="CC54" s="314"/>
    </row>
    <row r="55" spans="1:81" x14ac:dyDescent="0.2">
      <c r="A55" s="224">
        <f ca="1">TblConstr[[#This Row],[Land]]</f>
        <v>250</v>
      </c>
      <c r="B55" s="144"/>
      <c r="C55" s="96">
        <f ca="1">TblProd[[#This Row],[Platinum]]</f>
        <v>400664</v>
      </c>
      <c r="D55" s="96">
        <f ca="1">TblProd[[#This Row],[Lumber]]</f>
        <v>49087</v>
      </c>
      <c r="E55" s="96">
        <f ca="1">TblProd[[#This Row],[Ore]]</f>
        <v>0</v>
      </c>
      <c r="F55" s="96">
        <f ca="1">TblProd[[#This Row],[Gems]]</f>
        <v>0</v>
      </c>
      <c r="G55" s="156"/>
      <c r="H55" s="96">
        <f ca="1">TblMili[[#This Row],[Draftees]]</f>
        <v>626</v>
      </c>
      <c r="I55" s="182">
        <f ca="1">TblPop[[#This Row],[Employment]]</f>
        <v>1</v>
      </c>
      <c r="J55" s="182">
        <f ca="1">TblPop[[#This Row],[Total]]/TblPop[[#This Row],[Net max]]</f>
        <v>1</v>
      </c>
      <c r="K55" s="305">
        <f>TblRezone[[#This Row],[Hour]]</f>
        <v>52</v>
      </c>
      <c r="L55" s="306">
        <f ca="1">TblImps[[#This Row],[Real time]]</f>
        <v>45734.124999999876</v>
      </c>
      <c r="M55" s="61">
        <f>IF(ISERROR(TblImps[[#This Row],[algorithm]]),0,TblImps[[#This Row],[algorithm]]*1)</f>
        <v>0</v>
      </c>
      <c r="N55" s="96">
        <f ca="1">TblImps[[#This Row],[Land]]</f>
        <v>250</v>
      </c>
      <c r="O55" s="307" t="s">
        <v>4</v>
      </c>
      <c r="P55" s="308"/>
      <c r="Q55" s="307" t="s">
        <v>210</v>
      </c>
      <c r="R55" s="307" t="s">
        <v>7</v>
      </c>
      <c r="S55" s="308"/>
      <c r="T55" s="307" t="s">
        <v>210</v>
      </c>
      <c r="U55" s="307" t="s">
        <v>3</v>
      </c>
      <c r="V55" s="308"/>
      <c r="W55" s="307" t="s">
        <v>210</v>
      </c>
      <c r="X55" s="144"/>
      <c r="Y55" s="309">
        <f ca="1">science_cap*(1-EXP(-TblImps[[#This Row],[Σ Science]]/(science_param*(OFFSET(TblImps[[#This Row],[Land]],1,0)-OFFSET(TblExplore[[#This Row],[Land Bonus]],1,0)*20)+15000)))*(1+(mason_bonus*TblConstr[[#This Row],[Tot Mas]]/TblConstr[[#This Row],[Land (2)]]))</f>
        <v>0</v>
      </c>
      <c r="Z55" s="309">
        <f ca="1">keep_cap*(1-EXP(-TblImps[[#This Row],[Σ Keep]]/(keep_param*(OFFSET(TblImps[[#This Row],[Land]],1,0)-OFFSET(TblExplore[[#This Row],[Land Bonus]],1,0)*20)+15000)))*(1+(mason_bonus*TblConstr[[#This Row],[Tot Mas]]/TblConstr[[#This Row],[Land (2)]]))</f>
        <v>0</v>
      </c>
      <c r="AA55" s="309">
        <f ca="1">harbor_towers_cap*(1-EXP(-TblImps[[#This Row],[Σ Spires]]/(towers_param*(OFFSET(TblImps[[#This Row],[Land]],1,0)-OFFSET(TblExplore[[#This Row],[Land Bonus]],1,0)*20)+15000)))*(1+(mason_bonus*TblConstr[[#This Row],[Tot Mas]]/TblConstr[[#This Row],[Land (2)]]))</f>
        <v>0</v>
      </c>
      <c r="AB55" s="309">
        <f ca="1">walls_forges_cap*(1-EXP(-TblImps[[#This Row],[Σ Forges]]/(walls_forges_param*(OFFSET(TblImps[[#This Row],[Land]],1,0)-OFFSET(TblExplore[[#This Row],[Land Bonus]],1,0)*20)+15000)))*(1+(mason_bonus*TblConstr[[#This Row],[Tot Mas]]/TblConstr[[#This Row],[Land (2)]]))</f>
        <v>0</v>
      </c>
      <c r="AC55" s="309">
        <f ca="1">walls_forges_cap*(1-EXP(-TblImps[[#This Row],[Σ Walls]]/(walls_forges_param*(OFFSET(TblImps[[#This Row],[Land]],1,0)-OFFSET(TblExplore[[#This Row],[Land Bonus]],1,0)*20)+15000)))*(1+(mason_bonus*TblConstr[[#This Row],[Tot Mas]]/TblConstr[[#This Row],[Land (2)]]))</f>
        <v>0</v>
      </c>
      <c r="AD55" s="30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315">
        <f ca="1">OFFSET(TblImps[[#This Row],[Real time]],-1,0)+1/24</f>
        <v>45734.124999999876</v>
      </c>
      <c r="BZ55" s="316">
        <f ca="1">OFFSET(TblImps[[#This Row],[Servertime]],-1,0)+1/24</f>
        <v>45734.124999999876</v>
      </c>
      <c r="CA55" s="57"/>
      <c r="CB55" s="314"/>
      <c r="CC55" s="314"/>
    </row>
    <row r="56" spans="1:81" x14ac:dyDescent="0.2">
      <c r="A56" s="224">
        <f ca="1">TblConstr[[#This Row],[Land]]</f>
        <v>250</v>
      </c>
      <c r="B56" s="144"/>
      <c r="C56" s="96">
        <f ca="1">TblProd[[#This Row],[Platinum]]</f>
        <v>406150</v>
      </c>
      <c r="D56" s="96">
        <f ca="1">TblProd[[#This Row],[Lumber]]</f>
        <v>49596</v>
      </c>
      <c r="E56" s="96">
        <f ca="1">TblProd[[#This Row],[Ore]]</f>
        <v>0</v>
      </c>
      <c r="F56" s="96">
        <f ca="1">TblProd[[#This Row],[Gems]]</f>
        <v>0</v>
      </c>
      <c r="G56" s="156"/>
      <c r="H56" s="96">
        <f ca="1">TblMili[[#This Row],[Draftees]]</f>
        <v>626</v>
      </c>
      <c r="I56" s="182">
        <f ca="1">TblPop[[#This Row],[Employment]]</f>
        <v>1</v>
      </c>
      <c r="J56" s="182">
        <f ca="1">TblPop[[#This Row],[Total]]/TblPop[[#This Row],[Net max]]</f>
        <v>1</v>
      </c>
      <c r="K56" s="305">
        <f>TblRezone[[#This Row],[Hour]]</f>
        <v>53</v>
      </c>
      <c r="L56" s="306">
        <f ca="1">TblImps[[#This Row],[Real time]]</f>
        <v>45734.166666666541</v>
      </c>
      <c r="M56" s="61">
        <f>IF(ISERROR(TblImps[[#This Row],[algorithm]]),0,TblImps[[#This Row],[algorithm]]*1)</f>
        <v>0</v>
      </c>
      <c r="N56" s="96">
        <f ca="1">TblImps[[#This Row],[Land]]</f>
        <v>250</v>
      </c>
      <c r="O56" s="307" t="s">
        <v>4</v>
      </c>
      <c r="P56" s="308"/>
      <c r="Q56" s="307" t="s">
        <v>210</v>
      </c>
      <c r="R56" s="307" t="s">
        <v>7</v>
      </c>
      <c r="S56" s="308"/>
      <c r="T56" s="307" t="s">
        <v>210</v>
      </c>
      <c r="U56" s="307" t="s">
        <v>3</v>
      </c>
      <c r="V56" s="308"/>
      <c r="W56" s="307" t="s">
        <v>210</v>
      </c>
      <c r="X56" s="144"/>
      <c r="Y56" s="309">
        <f ca="1">science_cap*(1-EXP(-TblImps[[#This Row],[Σ Science]]/(science_param*(OFFSET(TblImps[[#This Row],[Land]],1,0)-OFFSET(TblExplore[[#This Row],[Land Bonus]],1,0)*20)+15000)))*(1+(mason_bonus*TblConstr[[#This Row],[Tot Mas]]/TblConstr[[#This Row],[Land (2)]]))</f>
        <v>0</v>
      </c>
      <c r="Z56" s="309">
        <f ca="1">keep_cap*(1-EXP(-TblImps[[#This Row],[Σ Keep]]/(keep_param*(OFFSET(TblImps[[#This Row],[Land]],1,0)-OFFSET(TblExplore[[#This Row],[Land Bonus]],1,0)*20)+15000)))*(1+(mason_bonus*TblConstr[[#This Row],[Tot Mas]]/TblConstr[[#This Row],[Land (2)]]))</f>
        <v>0</v>
      </c>
      <c r="AA56" s="309">
        <f ca="1">harbor_towers_cap*(1-EXP(-TblImps[[#This Row],[Σ Spires]]/(towers_param*(OFFSET(TblImps[[#This Row],[Land]],1,0)-OFFSET(TblExplore[[#This Row],[Land Bonus]],1,0)*20)+15000)))*(1+(mason_bonus*TblConstr[[#This Row],[Tot Mas]]/TblConstr[[#This Row],[Land (2)]]))</f>
        <v>0</v>
      </c>
      <c r="AB56" s="309">
        <f ca="1">walls_forges_cap*(1-EXP(-TblImps[[#This Row],[Σ Forges]]/(walls_forges_param*(OFFSET(TblImps[[#This Row],[Land]],1,0)-OFFSET(TblExplore[[#This Row],[Land Bonus]],1,0)*20)+15000)))*(1+(mason_bonus*TblConstr[[#This Row],[Tot Mas]]/TblConstr[[#This Row],[Land (2)]]))</f>
        <v>0</v>
      </c>
      <c r="AC56" s="309">
        <f ca="1">walls_forges_cap*(1-EXP(-TblImps[[#This Row],[Σ Walls]]/(walls_forges_param*(OFFSET(TblImps[[#This Row],[Land]],1,0)-OFFSET(TblExplore[[#This Row],[Land Bonus]],1,0)*20)+15000)))*(1+(mason_bonus*TblConstr[[#This Row],[Tot Mas]]/TblConstr[[#This Row],[Land (2)]]))</f>
        <v>0</v>
      </c>
      <c r="AD56" s="30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315">
        <f ca="1">OFFSET(TblImps[[#This Row],[Real time]],-1,0)+1/24</f>
        <v>45734.166666666541</v>
      </c>
      <c r="BZ56" s="316">
        <f ca="1">OFFSET(TblImps[[#This Row],[Servertime]],-1,0)+1/24</f>
        <v>45734.166666666541</v>
      </c>
      <c r="CA56" s="57"/>
      <c r="CB56" s="314"/>
      <c r="CC56" s="314"/>
    </row>
    <row r="57" spans="1:81" x14ac:dyDescent="0.2">
      <c r="A57" s="224">
        <f ca="1">TblConstr[[#This Row],[Land]]</f>
        <v>250</v>
      </c>
      <c r="B57" s="144"/>
      <c r="C57" s="96">
        <f ca="1">TblProd[[#This Row],[Platinum]]</f>
        <v>411636</v>
      </c>
      <c r="D57" s="96">
        <f ca="1">TblProd[[#This Row],[Lumber]]</f>
        <v>50100</v>
      </c>
      <c r="E57" s="96">
        <f ca="1">TblProd[[#This Row],[Ore]]</f>
        <v>0</v>
      </c>
      <c r="F57" s="96">
        <f ca="1">TblProd[[#This Row],[Gems]]</f>
        <v>0</v>
      </c>
      <c r="G57" s="156"/>
      <c r="H57" s="96">
        <f ca="1">TblMili[[#This Row],[Draftees]]</f>
        <v>626</v>
      </c>
      <c r="I57" s="182">
        <f ca="1">TblPop[[#This Row],[Employment]]</f>
        <v>1</v>
      </c>
      <c r="J57" s="182">
        <f ca="1">TblPop[[#This Row],[Total]]/TblPop[[#This Row],[Net max]]</f>
        <v>1</v>
      </c>
      <c r="K57" s="305">
        <f>TblRezone[[#This Row],[Hour]]</f>
        <v>54</v>
      </c>
      <c r="L57" s="306">
        <f ca="1">TblImps[[#This Row],[Real time]]</f>
        <v>45734.208333333205</v>
      </c>
      <c r="M57" s="61">
        <f>IF(ISERROR(TblImps[[#This Row],[algorithm]]),0,TblImps[[#This Row],[algorithm]]*1)</f>
        <v>0</v>
      </c>
      <c r="N57" s="96">
        <f ca="1">TblImps[[#This Row],[Land]]</f>
        <v>250</v>
      </c>
      <c r="O57" s="307" t="s">
        <v>4</v>
      </c>
      <c r="P57" s="308"/>
      <c r="Q57" s="307" t="s">
        <v>210</v>
      </c>
      <c r="R57" s="307" t="s">
        <v>7</v>
      </c>
      <c r="S57" s="308"/>
      <c r="T57" s="307" t="s">
        <v>210</v>
      </c>
      <c r="U57" s="307" t="s">
        <v>3</v>
      </c>
      <c r="V57" s="308"/>
      <c r="W57" s="307" t="s">
        <v>210</v>
      </c>
      <c r="X57" s="144"/>
      <c r="Y57" s="309">
        <f ca="1">science_cap*(1-EXP(-TblImps[[#This Row],[Σ Science]]/(science_param*(OFFSET(TblImps[[#This Row],[Land]],1,0)-OFFSET(TblExplore[[#This Row],[Land Bonus]],1,0)*20)+15000)))*(1+(mason_bonus*TblConstr[[#This Row],[Tot Mas]]/TblConstr[[#This Row],[Land (2)]]))</f>
        <v>0</v>
      </c>
      <c r="Z57" s="309">
        <f ca="1">keep_cap*(1-EXP(-TblImps[[#This Row],[Σ Keep]]/(keep_param*(OFFSET(TblImps[[#This Row],[Land]],1,0)-OFFSET(TblExplore[[#This Row],[Land Bonus]],1,0)*20)+15000)))*(1+(mason_bonus*TblConstr[[#This Row],[Tot Mas]]/TblConstr[[#This Row],[Land (2)]]))</f>
        <v>0</v>
      </c>
      <c r="AA57" s="309">
        <f ca="1">harbor_towers_cap*(1-EXP(-TblImps[[#This Row],[Σ Spires]]/(towers_param*(OFFSET(TblImps[[#This Row],[Land]],1,0)-OFFSET(TblExplore[[#This Row],[Land Bonus]],1,0)*20)+15000)))*(1+(mason_bonus*TblConstr[[#This Row],[Tot Mas]]/TblConstr[[#This Row],[Land (2)]]))</f>
        <v>0</v>
      </c>
      <c r="AB57" s="309">
        <f ca="1">walls_forges_cap*(1-EXP(-TblImps[[#This Row],[Σ Forges]]/(walls_forges_param*(OFFSET(TblImps[[#This Row],[Land]],1,0)-OFFSET(TblExplore[[#This Row],[Land Bonus]],1,0)*20)+15000)))*(1+(mason_bonus*TblConstr[[#This Row],[Tot Mas]]/TblConstr[[#This Row],[Land (2)]]))</f>
        <v>0</v>
      </c>
      <c r="AC57" s="309">
        <f ca="1">walls_forges_cap*(1-EXP(-TblImps[[#This Row],[Σ Walls]]/(walls_forges_param*(OFFSET(TblImps[[#This Row],[Land]],1,0)-OFFSET(TblExplore[[#This Row],[Land Bonus]],1,0)*20)+15000)))*(1+(mason_bonus*TblConstr[[#This Row],[Tot Mas]]/TblConstr[[#This Row],[Land (2)]]))</f>
        <v>0</v>
      </c>
      <c r="AD57" s="30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315">
        <f ca="1">OFFSET(TblImps[[#This Row],[Real time]],-1,0)+1/24</f>
        <v>45734.208333333205</v>
      </c>
      <c r="BZ57" s="316">
        <f ca="1">OFFSET(TblImps[[#This Row],[Servertime]],-1,0)+1/24</f>
        <v>45734.208333333205</v>
      </c>
      <c r="CA57" s="57"/>
      <c r="CB57" s="314"/>
      <c r="CC57" s="314"/>
    </row>
    <row r="58" spans="1:81" x14ac:dyDescent="0.2">
      <c r="A58" s="224">
        <f ca="1">TblConstr[[#This Row],[Land]]</f>
        <v>250</v>
      </c>
      <c r="B58" s="144"/>
      <c r="C58" s="96">
        <f ca="1">TblProd[[#This Row],[Platinum]]</f>
        <v>417122</v>
      </c>
      <c r="D58" s="96">
        <f ca="1">TblProd[[#This Row],[Lumber]]</f>
        <v>50599</v>
      </c>
      <c r="E58" s="96">
        <f ca="1">TblProd[[#This Row],[Ore]]</f>
        <v>0</v>
      </c>
      <c r="F58" s="96">
        <f ca="1">TblProd[[#This Row],[Gems]]</f>
        <v>0</v>
      </c>
      <c r="G58" s="156"/>
      <c r="H58" s="96">
        <f ca="1">TblMili[[#This Row],[Draftees]]</f>
        <v>626</v>
      </c>
      <c r="I58" s="182">
        <f ca="1">TblPop[[#This Row],[Employment]]</f>
        <v>1</v>
      </c>
      <c r="J58" s="182">
        <f ca="1">TblPop[[#This Row],[Total]]/TblPop[[#This Row],[Net max]]</f>
        <v>1</v>
      </c>
      <c r="K58" s="305">
        <f>TblRezone[[#This Row],[Hour]]</f>
        <v>55</v>
      </c>
      <c r="L58" s="306">
        <f ca="1">TblImps[[#This Row],[Real time]]</f>
        <v>45734.249999999869</v>
      </c>
      <c r="M58" s="61">
        <f>IF(ISERROR(TblImps[[#This Row],[algorithm]]),0,TblImps[[#This Row],[algorithm]]*1)</f>
        <v>0</v>
      </c>
      <c r="N58" s="96">
        <f ca="1">TblImps[[#This Row],[Land]]</f>
        <v>250</v>
      </c>
      <c r="O58" s="307" t="s">
        <v>4</v>
      </c>
      <c r="P58" s="308"/>
      <c r="Q58" s="307" t="s">
        <v>210</v>
      </c>
      <c r="R58" s="307" t="s">
        <v>7</v>
      </c>
      <c r="S58" s="308"/>
      <c r="T58" s="307" t="s">
        <v>210</v>
      </c>
      <c r="U58" s="307" t="s">
        <v>3</v>
      </c>
      <c r="V58" s="308"/>
      <c r="W58" s="307" t="s">
        <v>210</v>
      </c>
      <c r="X58" s="144"/>
      <c r="Y58" s="309">
        <f ca="1">science_cap*(1-EXP(-TblImps[[#This Row],[Σ Science]]/(science_param*(OFFSET(TblImps[[#This Row],[Land]],1,0)-OFFSET(TblExplore[[#This Row],[Land Bonus]],1,0)*20)+15000)))*(1+(mason_bonus*TblConstr[[#This Row],[Tot Mas]]/TblConstr[[#This Row],[Land (2)]]))</f>
        <v>0</v>
      </c>
      <c r="Z58" s="309">
        <f ca="1">keep_cap*(1-EXP(-TblImps[[#This Row],[Σ Keep]]/(keep_param*(OFFSET(TblImps[[#This Row],[Land]],1,0)-OFFSET(TblExplore[[#This Row],[Land Bonus]],1,0)*20)+15000)))*(1+(mason_bonus*TblConstr[[#This Row],[Tot Mas]]/TblConstr[[#This Row],[Land (2)]]))</f>
        <v>0</v>
      </c>
      <c r="AA58" s="309">
        <f ca="1">harbor_towers_cap*(1-EXP(-TblImps[[#This Row],[Σ Spires]]/(towers_param*(OFFSET(TblImps[[#This Row],[Land]],1,0)-OFFSET(TblExplore[[#This Row],[Land Bonus]],1,0)*20)+15000)))*(1+(mason_bonus*TblConstr[[#This Row],[Tot Mas]]/TblConstr[[#This Row],[Land (2)]]))</f>
        <v>0</v>
      </c>
      <c r="AB58" s="309">
        <f ca="1">walls_forges_cap*(1-EXP(-TblImps[[#This Row],[Σ Forges]]/(walls_forges_param*(OFFSET(TblImps[[#This Row],[Land]],1,0)-OFFSET(TblExplore[[#This Row],[Land Bonus]],1,0)*20)+15000)))*(1+(mason_bonus*TblConstr[[#This Row],[Tot Mas]]/TblConstr[[#This Row],[Land (2)]]))</f>
        <v>0</v>
      </c>
      <c r="AC58" s="309">
        <f ca="1">walls_forges_cap*(1-EXP(-TblImps[[#This Row],[Σ Walls]]/(walls_forges_param*(OFFSET(TblImps[[#This Row],[Land]],1,0)-OFFSET(TblExplore[[#This Row],[Land Bonus]],1,0)*20)+15000)))*(1+(mason_bonus*TblConstr[[#This Row],[Tot Mas]]/TblConstr[[#This Row],[Land (2)]]))</f>
        <v>0</v>
      </c>
      <c r="AD58" s="30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315">
        <f ca="1">OFFSET(TblImps[[#This Row],[Real time]],-1,0)+1/24</f>
        <v>45734.249999999869</v>
      </c>
      <c r="BZ58" s="316">
        <f ca="1">OFFSET(TblImps[[#This Row],[Servertime]],-1,0)+1/24</f>
        <v>45734.249999999869</v>
      </c>
      <c r="CA58" s="57"/>
      <c r="CB58" s="314"/>
      <c r="CC58" s="314"/>
    </row>
    <row r="59" spans="1:81" x14ac:dyDescent="0.2">
      <c r="A59" s="224">
        <f ca="1">TblConstr[[#This Row],[Land]]</f>
        <v>250</v>
      </c>
      <c r="B59" s="144"/>
      <c r="C59" s="96">
        <f ca="1">TblProd[[#This Row],[Platinum]]</f>
        <v>422608</v>
      </c>
      <c r="D59" s="96">
        <f ca="1">TblProd[[#This Row],[Lumber]]</f>
        <v>51093</v>
      </c>
      <c r="E59" s="96">
        <f ca="1">TblProd[[#This Row],[Ore]]</f>
        <v>0</v>
      </c>
      <c r="F59" s="96">
        <f ca="1">TblProd[[#This Row],[Gems]]</f>
        <v>0</v>
      </c>
      <c r="G59" s="156"/>
      <c r="H59" s="96">
        <f ca="1">TblMili[[#This Row],[Draftees]]</f>
        <v>626</v>
      </c>
      <c r="I59" s="182">
        <f ca="1">TblPop[[#This Row],[Employment]]</f>
        <v>1</v>
      </c>
      <c r="J59" s="182">
        <f ca="1">TblPop[[#This Row],[Total]]/TblPop[[#This Row],[Net max]]</f>
        <v>1</v>
      </c>
      <c r="K59" s="305">
        <f>TblRezone[[#This Row],[Hour]]</f>
        <v>56</v>
      </c>
      <c r="L59" s="306">
        <f ca="1">TblImps[[#This Row],[Real time]]</f>
        <v>45734.291666666533</v>
      </c>
      <c r="M59" s="61">
        <f>IF(ISERROR(TblImps[[#This Row],[algorithm]]),0,TblImps[[#This Row],[algorithm]]*1)</f>
        <v>0</v>
      </c>
      <c r="N59" s="96">
        <f ca="1">TblImps[[#This Row],[Land]]</f>
        <v>250</v>
      </c>
      <c r="O59" s="307" t="s">
        <v>4</v>
      </c>
      <c r="P59" s="308"/>
      <c r="Q59" s="307" t="s">
        <v>210</v>
      </c>
      <c r="R59" s="307" t="s">
        <v>7</v>
      </c>
      <c r="S59" s="308"/>
      <c r="T59" s="307" t="s">
        <v>210</v>
      </c>
      <c r="U59" s="307" t="s">
        <v>3</v>
      </c>
      <c r="V59" s="308"/>
      <c r="W59" s="307" t="s">
        <v>210</v>
      </c>
      <c r="X59" s="144"/>
      <c r="Y59" s="309">
        <f ca="1">science_cap*(1-EXP(-TblImps[[#This Row],[Σ Science]]/(science_param*(OFFSET(TblImps[[#This Row],[Land]],1,0)-OFFSET(TblExplore[[#This Row],[Land Bonus]],1,0)*20)+15000)))*(1+(mason_bonus*TblConstr[[#This Row],[Tot Mas]]/TblConstr[[#This Row],[Land (2)]]))</f>
        <v>0</v>
      </c>
      <c r="Z59" s="309">
        <f ca="1">keep_cap*(1-EXP(-TblImps[[#This Row],[Σ Keep]]/(keep_param*(OFFSET(TblImps[[#This Row],[Land]],1,0)-OFFSET(TblExplore[[#This Row],[Land Bonus]],1,0)*20)+15000)))*(1+(mason_bonus*TblConstr[[#This Row],[Tot Mas]]/TblConstr[[#This Row],[Land (2)]]))</f>
        <v>0</v>
      </c>
      <c r="AA59" s="309">
        <f ca="1">harbor_towers_cap*(1-EXP(-TblImps[[#This Row],[Σ Spires]]/(towers_param*(OFFSET(TblImps[[#This Row],[Land]],1,0)-OFFSET(TblExplore[[#This Row],[Land Bonus]],1,0)*20)+15000)))*(1+(mason_bonus*TblConstr[[#This Row],[Tot Mas]]/TblConstr[[#This Row],[Land (2)]]))</f>
        <v>0</v>
      </c>
      <c r="AB59" s="309">
        <f ca="1">walls_forges_cap*(1-EXP(-TblImps[[#This Row],[Σ Forges]]/(walls_forges_param*(OFFSET(TblImps[[#This Row],[Land]],1,0)-OFFSET(TblExplore[[#This Row],[Land Bonus]],1,0)*20)+15000)))*(1+(mason_bonus*TblConstr[[#This Row],[Tot Mas]]/TblConstr[[#This Row],[Land (2)]]))</f>
        <v>0</v>
      </c>
      <c r="AC59" s="309">
        <f ca="1">walls_forges_cap*(1-EXP(-TblImps[[#This Row],[Σ Walls]]/(walls_forges_param*(OFFSET(TblImps[[#This Row],[Land]],1,0)-OFFSET(TblExplore[[#This Row],[Land Bonus]],1,0)*20)+15000)))*(1+(mason_bonus*TblConstr[[#This Row],[Tot Mas]]/TblConstr[[#This Row],[Land (2)]]))</f>
        <v>0</v>
      </c>
      <c r="AD59" s="30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315">
        <f ca="1">OFFSET(TblImps[[#This Row],[Real time]],-1,0)+1/24</f>
        <v>45734.291666666533</v>
      </c>
      <c r="BZ59" s="316">
        <f ca="1">OFFSET(TblImps[[#This Row],[Servertime]],-1,0)+1/24</f>
        <v>45734.291666666533</v>
      </c>
      <c r="CA59" s="57"/>
      <c r="CB59" s="314"/>
      <c r="CC59" s="314"/>
    </row>
    <row r="60" spans="1:81" x14ac:dyDescent="0.2">
      <c r="A60" s="224">
        <f ca="1">TblConstr[[#This Row],[Land]]</f>
        <v>250</v>
      </c>
      <c r="B60" s="144"/>
      <c r="C60" s="96">
        <f ca="1">TblProd[[#This Row],[Platinum]]</f>
        <v>428094</v>
      </c>
      <c r="D60" s="96">
        <f ca="1">TblProd[[#This Row],[Lumber]]</f>
        <v>51582</v>
      </c>
      <c r="E60" s="96">
        <f ca="1">TblProd[[#This Row],[Ore]]</f>
        <v>0</v>
      </c>
      <c r="F60" s="96">
        <f ca="1">TblProd[[#This Row],[Gems]]</f>
        <v>0</v>
      </c>
      <c r="G60" s="156"/>
      <c r="H60" s="96">
        <f ca="1">TblMili[[#This Row],[Draftees]]</f>
        <v>626</v>
      </c>
      <c r="I60" s="182">
        <f ca="1">TblPop[[#This Row],[Employment]]</f>
        <v>1</v>
      </c>
      <c r="J60" s="182">
        <f ca="1">TblPop[[#This Row],[Total]]/TblPop[[#This Row],[Net max]]</f>
        <v>1</v>
      </c>
      <c r="K60" s="305">
        <f>TblRezone[[#This Row],[Hour]]</f>
        <v>57</v>
      </c>
      <c r="L60" s="306">
        <f ca="1">TblImps[[#This Row],[Real time]]</f>
        <v>45734.333333333198</v>
      </c>
      <c r="M60" s="61">
        <f>IF(ISERROR(TblImps[[#This Row],[algorithm]]),0,TblImps[[#This Row],[algorithm]]*1)</f>
        <v>0</v>
      </c>
      <c r="N60" s="96">
        <f ca="1">TblImps[[#This Row],[Land]]</f>
        <v>250</v>
      </c>
      <c r="O60" s="307" t="s">
        <v>4</v>
      </c>
      <c r="P60" s="308"/>
      <c r="Q60" s="307" t="s">
        <v>210</v>
      </c>
      <c r="R60" s="307" t="s">
        <v>7</v>
      </c>
      <c r="S60" s="308"/>
      <c r="T60" s="307" t="s">
        <v>210</v>
      </c>
      <c r="U60" s="307" t="s">
        <v>3</v>
      </c>
      <c r="V60" s="308"/>
      <c r="W60" s="307" t="s">
        <v>210</v>
      </c>
      <c r="X60" s="144"/>
      <c r="Y60" s="309">
        <f ca="1">science_cap*(1-EXP(-TblImps[[#This Row],[Σ Science]]/(science_param*(OFFSET(TblImps[[#This Row],[Land]],1,0)-OFFSET(TblExplore[[#This Row],[Land Bonus]],1,0)*20)+15000)))*(1+(mason_bonus*TblConstr[[#This Row],[Tot Mas]]/TblConstr[[#This Row],[Land (2)]]))</f>
        <v>0</v>
      </c>
      <c r="Z60" s="309">
        <f ca="1">keep_cap*(1-EXP(-TblImps[[#This Row],[Σ Keep]]/(keep_param*(OFFSET(TblImps[[#This Row],[Land]],1,0)-OFFSET(TblExplore[[#This Row],[Land Bonus]],1,0)*20)+15000)))*(1+(mason_bonus*TblConstr[[#This Row],[Tot Mas]]/TblConstr[[#This Row],[Land (2)]]))</f>
        <v>0</v>
      </c>
      <c r="AA60" s="309">
        <f ca="1">harbor_towers_cap*(1-EXP(-TblImps[[#This Row],[Σ Spires]]/(towers_param*(OFFSET(TblImps[[#This Row],[Land]],1,0)-OFFSET(TblExplore[[#This Row],[Land Bonus]],1,0)*20)+15000)))*(1+(mason_bonus*TblConstr[[#This Row],[Tot Mas]]/TblConstr[[#This Row],[Land (2)]]))</f>
        <v>0</v>
      </c>
      <c r="AB60" s="309">
        <f ca="1">walls_forges_cap*(1-EXP(-TblImps[[#This Row],[Σ Forges]]/(walls_forges_param*(OFFSET(TblImps[[#This Row],[Land]],1,0)-OFFSET(TblExplore[[#This Row],[Land Bonus]],1,0)*20)+15000)))*(1+(mason_bonus*TblConstr[[#This Row],[Tot Mas]]/TblConstr[[#This Row],[Land (2)]]))</f>
        <v>0</v>
      </c>
      <c r="AC60" s="309">
        <f ca="1">walls_forges_cap*(1-EXP(-TblImps[[#This Row],[Σ Walls]]/(walls_forges_param*(OFFSET(TblImps[[#This Row],[Land]],1,0)-OFFSET(TblExplore[[#This Row],[Land Bonus]],1,0)*20)+15000)))*(1+(mason_bonus*TblConstr[[#This Row],[Tot Mas]]/TblConstr[[#This Row],[Land (2)]]))</f>
        <v>0</v>
      </c>
      <c r="AD60" s="30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315">
        <f ca="1">OFFSET(TblImps[[#This Row],[Real time]],-1,0)+1/24</f>
        <v>45734.333333333198</v>
      </c>
      <c r="BZ60" s="316">
        <f ca="1">OFFSET(TblImps[[#This Row],[Servertime]],-1,0)+1/24</f>
        <v>45734.333333333198</v>
      </c>
      <c r="CA60" s="57"/>
      <c r="CB60" s="314"/>
      <c r="CC60" s="314"/>
    </row>
    <row r="61" spans="1:81" x14ac:dyDescent="0.2">
      <c r="A61" s="224">
        <f ca="1">TblConstr[[#This Row],[Land]]</f>
        <v>250</v>
      </c>
      <c r="B61" s="144"/>
      <c r="C61" s="96">
        <f ca="1">TblProd[[#This Row],[Platinum]]</f>
        <v>433580</v>
      </c>
      <c r="D61" s="96">
        <f ca="1">TblProd[[#This Row],[Lumber]]</f>
        <v>52066</v>
      </c>
      <c r="E61" s="96">
        <f ca="1">TblProd[[#This Row],[Ore]]</f>
        <v>0</v>
      </c>
      <c r="F61" s="96">
        <f ca="1">TblProd[[#This Row],[Gems]]</f>
        <v>0</v>
      </c>
      <c r="G61" s="156"/>
      <c r="H61" s="96">
        <f ca="1">TblMili[[#This Row],[Draftees]]</f>
        <v>626</v>
      </c>
      <c r="I61" s="182">
        <f ca="1">TblPop[[#This Row],[Employment]]</f>
        <v>1</v>
      </c>
      <c r="J61" s="182">
        <f ca="1">TblPop[[#This Row],[Total]]/TblPop[[#This Row],[Net max]]</f>
        <v>1</v>
      </c>
      <c r="K61" s="305">
        <f>TblRezone[[#This Row],[Hour]]</f>
        <v>58</v>
      </c>
      <c r="L61" s="306">
        <f ca="1">TblImps[[#This Row],[Real time]]</f>
        <v>45734.374999999862</v>
      </c>
      <c r="M61" s="61">
        <f>IF(ISERROR(TblImps[[#This Row],[algorithm]]),0,TblImps[[#This Row],[algorithm]]*1)</f>
        <v>0</v>
      </c>
      <c r="N61" s="96">
        <f ca="1">TblImps[[#This Row],[Land]]</f>
        <v>250</v>
      </c>
      <c r="O61" s="307" t="s">
        <v>4</v>
      </c>
      <c r="P61" s="308"/>
      <c r="Q61" s="307" t="s">
        <v>210</v>
      </c>
      <c r="R61" s="307" t="s">
        <v>7</v>
      </c>
      <c r="S61" s="308"/>
      <c r="T61" s="307" t="s">
        <v>210</v>
      </c>
      <c r="U61" s="307" t="s">
        <v>3</v>
      </c>
      <c r="V61" s="308"/>
      <c r="W61" s="307" t="s">
        <v>210</v>
      </c>
      <c r="X61" s="144"/>
      <c r="Y61" s="309">
        <f ca="1">science_cap*(1-EXP(-TblImps[[#This Row],[Σ Science]]/(science_param*(OFFSET(TblImps[[#This Row],[Land]],1,0)-OFFSET(TblExplore[[#This Row],[Land Bonus]],1,0)*20)+15000)))*(1+(mason_bonus*TblConstr[[#This Row],[Tot Mas]]/TblConstr[[#This Row],[Land (2)]]))</f>
        <v>0</v>
      </c>
      <c r="Z61" s="309">
        <f ca="1">keep_cap*(1-EXP(-TblImps[[#This Row],[Σ Keep]]/(keep_param*(OFFSET(TblImps[[#This Row],[Land]],1,0)-OFFSET(TblExplore[[#This Row],[Land Bonus]],1,0)*20)+15000)))*(1+(mason_bonus*TblConstr[[#This Row],[Tot Mas]]/TblConstr[[#This Row],[Land (2)]]))</f>
        <v>0</v>
      </c>
      <c r="AA61" s="309">
        <f ca="1">harbor_towers_cap*(1-EXP(-TblImps[[#This Row],[Σ Spires]]/(towers_param*(OFFSET(TblImps[[#This Row],[Land]],1,0)-OFFSET(TblExplore[[#This Row],[Land Bonus]],1,0)*20)+15000)))*(1+(mason_bonus*TblConstr[[#This Row],[Tot Mas]]/TblConstr[[#This Row],[Land (2)]]))</f>
        <v>0</v>
      </c>
      <c r="AB61" s="309">
        <f ca="1">walls_forges_cap*(1-EXP(-TblImps[[#This Row],[Σ Forges]]/(walls_forges_param*(OFFSET(TblImps[[#This Row],[Land]],1,0)-OFFSET(TblExplore[[#This Row],[Land Bonus]],1,0)*20)+15000)))*(1+(mason_bonus*TblConstr[[#This Row],[Tot Mas]]/TblConstr[[#This Row],[Land (2)]]))</f>
        <v>0</v>
      </c>
      <c r="AC61" s="309">
        <f ca="1">walls_forges_cap*(1-EXP(-TblImps[[#This Row],[Σ Walls]]/(walls_forges_param*(OFFSET(TblImps[[#This Row],[Land]],1,0)-OFFSET(TblExplore[[#This Row],[Land Bonus]],1,0)*20)+15000)))*(1+(mason_bonus*TblConstr[[#This Row],[Tot Mas]]/TblConstr[[#This Row],[Land (2)]]))</f>
        <v>0</v>
      </c>
      <c r="AD61" s="30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315">
        <f ca="1">OFFSET(TblImps[[#This Row],[Real time]],-1,0)+1/24</f>
        <v>45734.374999999862</v>
      </c>
      <c r="BZ61" s="316">
        <f ca="1">OFFSET(TblImps[[#This Row],[Servertime]],-1,0)+1/24</f>
        <v>45734.374999999862</v>
      </c>
      <c r="CA61" s="57"/>
      <c r="CB61" s="314"/>
      <c r="CC61" s="314"/>
    </row>
    <row r="62" spans="1:81" x14ac:dyDescent="0.2">
      <c r="A62" s="224">
        <f ca="1">TblConstr[[#This Row],[Land]]</f>
        <v>250</v>
      </c>
      <c r="B62" s="144"/>
      <c r="C62" s="96">
        <f ca="1">TblProd[[#This Row],[Platinum]]</f>
        <v>439066</v>
      </c>
      <c r="D62" s="96">
        <f ca="1">TblProd[[#This Row],[Lumber]]</f>
        <v>52545</v>
      </c>
      <c r="E62" s="96">
        <f ca="1">TblProd[[#This Row],[Ore]]</f>
        <v>0</v>
      </c>
      <c r="F62" s="96">
        <f ca="1">TblProd[[#This Row],[Gems]]</f>
        <v>0</v>
      </c>
      <c r="G62" s="156"/>
      <c r="H62" s="96">
        <f ca="1">TblMili[[#This Row],[Draftees]]</f>
        <v>626</v>
      </c>
      <c r="I62" s="182">
        <f ca="1">TblPop[[#This Row],[Employment]]</f>
        <v>1</v>
      </c>
      <c r="J62" s="182">
        <f ca="1">TblPop[[#This Row],[Total]]/TblPop[[#This Row],[Net max]]</f>
        <v>1</v>
      </c>
      <c r="K62" s="305">
        <f>TblRezone[[#This Row],[Hour]]</f>
        <v>59</v>
      </c>
      <c r="L62" s="306">
        <f ca="1">TblImps[[#This Row],[Real time]]</f>
        <v>45734.416666666526</v>
      </c>
      <c r="M62" s="61">
        <f>IF(ISERROR(TblImps[[#This Row],[algorithm]]),0,TblImps[[#This Row],[algorithm]]*1)</f>
        <v>0</v>
      </c>
      <c r="N62" s="96">
        <f ca="1">TblImps[[#This Row],[Land]]</f>
        <v>250</v>
      </c>
      <c r="O62" s="307" t="s">
        <v>4</v>
      </c>
      <c r="P62" s="308"/>
      <c r="Q62" s="307" t="s">
        <v>210</v>
      </c>
      <c r="R62" s="307" t="s">
        <v>7</v>
      </c>
      <c r="S62" s="308"/>
      <c r="T62" s="307" t="s">
        <v>210</v>
      </c>
      <c r="U62" s="307" t="s">
        <v>3</v>
      </c>
      <c r="V62" s="308"/>
      <c r="W62" s="307" t="s">
        <v>210</v>
      </c>
      <c r="X62" s="144"/>
      <c r="Y62" s="309">
        <f ca="1">science_cap*(1-EXP(-TblImps[[#This Row],[Σ Science]]/(science_param*(OFFSET(TblImps[[#This Row],[Land]],1,0)-OFFSET(TblExplore[[#This Row],[Land Bonus]],1,0)*20)+15000)))*(1+(mason_bonus*TblConstr[[#This Row],[Tot Mas]]/TblConstr[[#This Row],[Land (2)]]))</f>
        <v>0</v>
      </c>
      <c r="Z62" s="309">
        <f ca="1">keep_cap*(1-EXP(-TblImps[[#This Row],[Σ Keep]]/(keep_param*(OFFSET(TblImps[[#This Row],[Land]],1,0)-OFFSET(TblExplore[[#This Row],[Land Bonus]],1,0)*20)+15000)))*(1+(mason_bonus*TblConstr[[#This Row],[Tot Mas]]/TblConstr[[#This Row],[Land (2)]]))</f>
        <v>0</v>
      </c>
      <c r="AA62" s="309">
        <f ca="1">harbor_towers_cap*(1-EXP(-TblImps[[#This Row],[Σ Spires]]/(towers_param*(OFFSET(TblImps[[#This Row],[Land]],1,0)-OFFSET(TblExplore[[#This Row],[Land Bonus]],1,0)*20)+15000)))*(1+(mason_bonus*TblConstr[[#This Row],[Tot Mas]]/TblConstr[[#This Row],[Land (2)]]))</f>
        <v>0</v>
      </c>
      <c r="AB62" s="309">
        <f ca="1">walls_forges_cap*(1-EXP(-TblImps[[#This Row],[Σ Forges]]/(walls_forges_param*(OFFSET(TblImps[[#This Row],[Land]],1,0)-OFFSET(TblExplore[[#This Row],[Land Bonus]],1,0)*20)+15000)))*(1+(mason_bonus*TblConstr[[#This Row],[Tot Mas]]/TblConstr[[#This Row],[Land (2)]]))</f>
        <v>0</v>
      </c>
      <c r="AC62" s="309">
        <f ca="1">walls_forges_cap*(1-EXP(-TblImps[[#This Row],[Σ Walls]]/(walls_forges_param*(OFFSET(TblImps[[#This Row],[Land]],1,0)-OFFSET(TblExplore[[#This Row],[Land Bonus]],1,0)*20)+15000)))*(1+(mason_bonus*TblConstr[[#This Row],[Tot Mas]]/TblConstr[[#This Row],[Land (2)]]))</f>
        <v>0</v>
      </c>
      <c r="AD62" s="30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315">
        <f ca="1">OFFSET(TblImps[[#This Row],[Real time]],-1,0)+1/24</f>
        <v>45734.416666666526</v>
      </c>
      <c r="BZ62" s="316">
        <f ca="1">OFFSET(TblImps[[#This Row],[Servertime]],-1,0)+1/24</f>
        <v>45734.416666666526</v>
      </c>
      <c r="CA62" s="57"/>
      <c r="CB62" s="314"/>
      <c r="CC62" s="314"/>
    </row>
    <row r="63" spans="1:81" x14ac:dyDescent="0.2">
      <c r="A63" s="224">
        <f ca="1">TblConstr[[#This Row],[Land]]</f>
        <v>250</v>
      </c>
      <c r="B63" s="144"/>
      <c r="C63" s="96">
        <f ca="1">TblProd[[#This Row],[Platinum]]</f>
        <v>444552</v>
      </c>
      <c r="D63" s="96">
        <f ca="1">TblProd[[#This Row],[Lumber]]</f>
        <v>53020</v>
      </c>
      <c r="E63" s="96">
        <f ca="1">TblProd[[#This Row],[Ore]]</f>
        <v>0</v>
      </c>
      <c r="F63" s="96">
        <f ca="1">TblProd[[#This Row],[Gems]]</f>
        <v>0</v>
      </c>
      <c r="G63" s="156"/>
      <c r="H63" s="96">
        <f ca="1">TblMili[[#This Row],[Draftees]]</f>
        <v>626</v>
      </c>
      <c r="I63" s="182">
        <f ca="1">TblPop[[#This Row],[Employment]]</f>
        <v>1</v>
      </c>
      <c r="J63" s="182">
        <f ca="1">TblPop[[#This Row],[Total]]/TblPop[[#This Row],[Net max]]</f>
        <v>1</v>
      </c>
      <c r="K63" s="305">
        <f>TblRezone[[#This Row],[Hour]]</f>
        <v>60</v>
      </c>
      <c r="L63" s="306">
        <f ca="1">TblImps[[#This Row],[Real time]]</f>
        <v>45734.45833333319</v>
      </c>
      <c r="M63" s="61">
        <f>IF(ISERROR(TblImps[[#This Row],[algorithm]]),0,TblImps[[#This Row],[algorithm]]*1)</f>
        <v>0</v>
      </c>
      <c r="N63" s="96">
        <f ca="1">TblImps[[#This Row],[Land]]</f>
        <v>250</v>
      </c>
      <c r="O63" s="307" t="s">
        <v>4</v>
      </c>
      <c r="P63" s="308"/>
      <c r="Q63" s="307" t="s">
        <v>210</v>
      </c>
      <c r="R63" s="307" t="s">
        <v>7</v>
      </c>
      <c r="S63" s="308"/>
      <c r="T63" s="307" t="s">
        <v>210</v>
      </c>
      <c r="U63" s="307" t="s">
        <v>3</v>
      </c>
      <c r="V63" s="308"/>
      <c r="W63" s="307" t="s">
        <v>210</v>
      </c>
      <c r="X63" s="144"/>
      <c r="Y63" s="309">
        <f ca="1">science_cap*(1-EXP(-TblImps[[#This Row],[Σ Science]]/(science_param*(OFFSET(TblImps[[#This Row],[Land]],1,0)-OFFSET(TblExplore[[#This Row],[Land Bonus]],1,0)*20)+15000)))*(1+(mason_bonus*TblConstr[[#This Row],[Tot Mas]]/TblConstr[[#This Row],[Land (2)]]))</f>
        <v>0</v>
      </c>
      <c r="Z63" s="309">
        <f ca="1">keep_cap*(1-EXP(-TblImps[[#This Row],[Σ Keep]]/(keep_param*(OFFSET(TblImps[[#This Row],[Land]],1,0)-OFFSET(TblExplore[[#This Row],[Land Bonus]],1,0)*20)+15000)))*(1+(mason_bonus*TblConstr[[#This Row],[Tot Mas]]/TblConstr[[#This Row],[Land (2)]]))</f>
        <v>0</v>
      </c>
      <c r="AA63" s="309">
        <f ca="1">harbor_towers_cap*(1-EXP(-TblImps[[#This Row],[Σ Spires]]/(towers_param*(OFFSET(TblImps[[#This Row],[Land]],1,0)-OFFSET(TblExplore[[#This Row],[Land Bonus]],1,0)*20)+15000)))*(1+(mason_bonus*TblConstr[[#This Row],[Tot Mas]]/TblConstr[[#This Row],[Land (2)]]))</f>
        <v>0</v>
      </c>
      <c r="AB63" s="309">
        <f ca="1">walls_forges_cap*(1-EXP(-TblImps[[#This Row],[Σ Forges]]/(walls_forges_param*(OFFSET(TblImps[[#This Row],[Land]],1,0)-OFFSET(TblExplore[[#This Row],[Land Bonus]],1,0)*20)+15000)))*(1+(mason_bonus*TblConstr[[#This Row],[Tot Mas]]/TblConstr[[#This Row],[Land (2)]]))</f>
        <v>0</v>
      </c>
      <c r="AC63" s="309">
        <f ca="1">walls_forges_cap*(1-EXP(-TblImps[[#This Row],[Σ Walls]]/(walls_forges_param*(OFFSET(TblImps[[#This Row],[Land]],1,0)-OFFSET(TblExplore[[#This Row],[Land Bonus]],1,0)*20)+15000)))*(1+(mason_bonus*TblConstr[[#This Row],[Tot Mas]]/TblConstr[[#This Row],[Land (2)]]))</f>
        <v>0</v>
      </c>
      <c r="AD63" s="30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315">
        <f ca="1">OFFSET(TblImps[[#This Row],[Real time]],-1,0)+1/24</f>
        <v>45734.45833333319</v>
      </c>
      <c r="BZ63" s="316">
        <f ca="1">OFFSET(TblImps[[#This Row],[Servertime]],-1,0)+1/24</f>
        <v>45734.45833333319</v>
      </c>
      <c r="CA63" s="57"/>
      <c r="CB63" s="314"/>
      <c r="CC63" s="314"/>
    </row>
    <row r="64" spans="1:81" x14ac:dyDescent="0.2">
      <c r="A64" s="224">
        <f ca="1">TblConstr[[#This Row],[Land]]</f>
        <v>250</v>
      </c>
      <c r="B64" s="144"/>
      <c r="C64" s="96">
        <f ca="1">TblProd[[#This Row],[Platinum]]</f>
        <v>450038</v>
      </c>
      <c r="D64" s="96">
        <f ca="1">TblProd[[#This Row],[Lumber]]</f>
        <v>53490</v>
      </c>
      <c r="E64" s="96">
        <f ca="1">TblProd[[#This Row],[Ore]]</f>
        <v>0</v>
      </c>
      <c r="F64" s="96">
        <f ca="1">TblProd[[#This Row],[Gems]]</f>
        <v>0</v>
      </c>
      <c r="G64" s="156"/>
      <c r="H64" s="96">
        <f ca="1">TblMili[[#This Row],[Draftees]]</f>
        <v>626</v>
      </c>
      <c r="I64" s="182">
        <f ca="1">TblPop[[#This Row],[Employment]]</f>
        <v>1</v>
      </c>
      <c r="J64" s="182">
        <f ca="1">TblPop[[#This Row],[Total]]/TblPop[[#This Row],[Net max]]</f>
        <v>1</v>
      </c>
      <c r="K64" s="305">
        <f>TblRezone[[#This Row],[Hour]]</f>
        <v>61</v>
      </c>
      <c r="L64" s="306">
        <f ca="1">TblImps[[#This Row],[Real time]]</f>
        <v>45734.499999999854</v>
      </c>
      <c r="M64" s="61">
        <f>IF(ISERROR(TblImps[[#This Row],[algorithm]]),0,TblImps[[#This Row],[algorithm]]*1)</f>
        <v>0</v>
      </c>
      <c r="N64" s="96">
        <f ca="1">TblImps[[#This Row],[Land]]</f>
        <v>250</v>
      </c>
      <c r="O64" s="307" t="s">
        <v>4</v>
      </c>
      <c r="P64" s="308"/>
      <c r="Q64" s="307" t="s">
        <v>210</v>
      </c>
      <c r="R64" s="307" t="s">
        <v>7</v>
      </c>
      <c r="S64" s="308"/>
      <c r="T64" s="307" t="s">
        <v>210</v>
      </c>
      <c r="U64" s="307" t="s">
        <v>3</v>
      </c>
      <c r="V64" s="308"/>
      <c r="W64" s="307" t="s">
        <v>210</v>
      </c>
      <c r="X64" s="144"/>
      <c r="Y64" s="309">
        <f ca="1">science_cap*(1-EXP(-TblImps[[#This Row],[Σ Science]]/(science_param*(OFFSET(TblImps[[#This Row],[Land]],1,0)-OFFSET(TblExplore[[#This Row],[Land Bonus]],1,0)*20)+15000)))*(1+(mason_bonus*TblConstr[[#This Row],[Tot Mas]]/TblConstr[[#This Row],[Land (2)]]))</f>
        <v>0</v>
      </c>
      <c r="Z64" s="309">
        <f ca="1">keep_cap*(1-EXP(-TblImps[[#This Row],[Σ Keep]]/(keep_param*(OFFSET(TblImps[[#This Row],[Land]],1,0)-OFFSET(TblExplore[[#This Row],[Land Bonus]],1,0)*20)+15000)))*(1+(mason_bonus*TblConstr[[#This Row],[Tot Mas]]/TblConstr[[#This Row],[Land (2)]]))</f>
        <v>0</v>
      </c>
      <c r="AA64" s="309">
        <f ca="1">harbor_towers_cap*(1-EXP(-TblImps[[#This Row],[Σ Spires]]/(towers_param*(OFFSET(TblImps[[#This Row],[Land]],1,0)-OFFSET(TblExplore[[#This Row],[Land Bonus]],1,0)*20)+15000)))*(1+(mason_bonus*TblConstr[[#This Row],[Tot Mas]]/TblConstr[[#This Row],[Land (2)]]))</f>
        <v>0</v>
      </c>
      <c r="AB64" s="309">
        <f ca="1">walls_forges_cap*(1-EXP(-TblImps[[#This Row],[Σ Forges]]/(walls_forges_param*(OFFSET(TblImps[[#This Row],[Land]],1,0)-OFFSET(TblExplore[[#This Row],[Land Bonus]],1,0)*20)+15000)))*(1+(mason_bonus*TblConstr[[#This Row],[Tot Mas]]/TblConstr[[#This Row],[Land (2)]]))</f>
        <v>0</v>
      </c>
      <c r="AC64" s="309">
        <f ca="1">walls_forges_cap*(1-EXP(-TblImps[[#This Row],[Σ Walls]]/(walls_forges_param*(OFFSET(TblImps[[#This Row],[Land]],1,0)-OFFSET(TblExplore[[#This Row],[Land Bonus]],1,0)*20)+15000)))*(1+(mason_bonus*TblConstr[[#This Row],[Tot Mas]]/TblConstr[[#This Row],[Land (2)]]))</f>
        <v>0</v>
      </c>
      <c r="AD64" s="30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315">
        <f ca="1">OFFSET(TblImps[[#This Row],[Real time]],-1,0)+1/24</f>
        <v>45734.499999999854</v>
      </c>
      <c r="BZ64" s="316">
        <f ca="1">OFFSET(TblImps[[#This Row],[Servertime]],-1,0)+1/24</f>
        <v>45734.499999999854</v>
      </c>
      <c r="CA64" s="57"/>
      <c r="CB64" s="314"/>
      <c r="CC64" s="314"/>
    </row>
    <row r="65" spans="1:84" x14ac:dyDescent="0.2">
      <c r="A65" s="224">
        <f ca="1">TblConstr[[#This Row],[Land]]</f>
        <v>250</v>
      </c>
      <c r="B65" s="144"/>
      <c r="C65" s="96">
        <f ca="1">TblProd[[#This Row],[Platinum]]</f>
        <v>455524</v>
      </c>
      <c r="D65" s="96">
        <f ca="1">TblProd[[#This Row],[Lumber]]</f>
        <v>53955</v>
      </c>
      <c r="E65" s="96">
        <f ca="1">TblProd[[#This Row],[Ore]]</f>
        <v>0</v>
      </c>
      <c r="F65" s="96">
        <f ca="1">TblProd[[#This Row],[Gems]]</f>
        <v>0</v>
      </c>
      <c r="G65" s="156"/>
      <c r="H65" s="96">
        <f ca="1">TblMili[[#This Row],[Draftees]]</f>
        <v>626</v>
      </c>
      <c r="I65" s="182">
        <f ca="1">TblPop[[#This Row],[Employment]]</f>
        <v>1</v>
      </c>
      <c r="J65" s="182">
        <f ca="1">TblPop[[#This Row],[Total]]/TblPop[[#This Row],[Net max]]</f>
        <v>1</v>
      </c>
      <c r="K65" s="305">
        <f>TblRezone[[#This Row],[Hour]]</f>
        <v>62</v>
      </c>
      <c r="L65" s="306">
        <f ca="1">TblImps[[#This Row],[Real time]]</f>
        <v>45734.541666666519</v>
      </c>
      <c r="M65" s="61">
        <f>IF(ISERROR(TblImps[[#This Row],[algorithm]]),0,TblImps[[#This Row],[algorithm]]*1)</f>
        <v>0</v>
      </c>
      <c r="N65" s="96">
        <f ca="1">TblImps[[#This Row],[Land]]</f>
        <v>250</v>
      </c>
      <c r="O65" s="307" t="s">
        <v>4</v>
      </c>
      <c r="P65" s="308"/>
      <c r="Q65" s="307" t="s">
        <v>210</v>
      </c>
      <c r="R65" s="307" t="s">
        <v>7</v>
      </c>
      <c r="S65" s="308"/>
      <c r="T65" s="307" t="s">
        <v>210</v>
      </c>
      <c r="U65" s="307" t="s">
        <v>3</v>
      </c>
      <c r="V65" s="308"/>
      <c r="W65" s="307" t="s">
        <v>210</v>
      </c>
      <c r="X65" s="144"/>
      <c r="Y65" s="309">
        <f ca="1">science_cap*(1-EXP(-TblImps[[#This Row],[Σ Science]]/(science_param*(OFFSET(TblImps[[#This Row],[Land]],1,0)-OFFSET(TblExplore[[#This Row],[Land Bonus]],1,0)*20)+15000)))*(1+(mason_bonus*TblConstr[[#This Row],[Tot Mas]]/TblConstr[[#This Row],[Land (2)]]))</f>
        <v>0</v>
      </c>
      <c r="Z65" s="309">
        <f ca="1">keep_cap*(1-EXP(-TblImps[[#This Row],[Σ Keep]]/(keep_param*(OFFSET(TblImps[[#This Row],[Land]],1,0)-OFFSET(TblExplore[[#This Row],[Land Bonus]],1,0)*20)+15000)))*(1+(mason_bonus*TblConstr[[#This Row],[Tot Mas]]/TblConstr[[#This Row],[Land (2)]]))</f>
        <v>0</v>
      </c>
      <c r="AA65" s="309">
        <f ca="1">harbor_towers_cap*(1-EXP(-TblImps[[#This Row],[Σ Spires]]/(towers_param*(OFFSET(TblImps[[#This Row],[Land]],1,0)-OFFSET(TblExplore[[#This Row],[Land Bonus]],1,0)*20)+15000)))*(1+(mason_bonus*TblConstr[[#This Row],[Tot Mas]]/TblConstr[[#This Row],[Land (2)]]))</f>
        <v>0</v>
      </c>
      <c r="AB65" s="309">
        <f ca="1">walls_forges_cap*(1-EXP(-TblImps[[#This Row],[Σ Forges]]/(walls_forges_param*(OFFSET(TblImps[[#This Row],[Land]],1,0)-OFFSET(TblExplore[[#This Row],[Land Bonus]],1,0)*20)+15000)))*(1+(mason_bonus*TblConstr[[#This Row],[Tot Mas]]/TblConstr[[#This Row],[Land (2)]]))</f>
        <v>0</v>
      </c>
      <c r="AC65" s="309">
        <f ca="1">walls_forges_cap*(1-EXP(-TblImps[[#This Row],[Σ Walls]]/(walls_forges_param*(OFFSET(TblImps[[#This Row],[Land]],1,0)-OFFSET(TblExplore[[#This Row],[Land Bonus]],1,0)*20)+15000)))*(1+(mason_bonus*TblConstr[[#This Row],[Tot Mas]]/TblConstr[[#This Row],[Land (2)]]))</f>
        <v>0</v>
      </c>
      <c r="AD65" s="30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315">
        <f ca="1">OFFSET(TblImps[[#This Row],[Real time]],-1,0)+1/24</f>
        <v>45734.541666666519</v>
      </c>
      <c r="BZ65" s="316">
        <f ca="1">OFFSET(TblImps[[#This Row],[Servertime]],-1,0)+1/24</f>
        <v>45734.541666666519</v>
      </c>
      <c r="CA65" s="57"/>
      <c r="CB65" s="314"/>
      <c r="CC65" s="314"/>
    </row>
    <row r="66" spans="1:84" x14ac:dyDescent="0.2">
      <c r="A66" s="224">
        <f ca="1">TblConstr[[#This Row],[Land]]</f>
        <v>250</v>
      </c>
      <c r="B66" s="144"/>
      <c r="C66" s="96">
        <f ca="1">TblProd[[#This Row],[Platinum]]</f>
        <v>461010</v>
      </c>
      <c r="D66" s="96">
        <f ca="1">TblProd[[#This Row],[Lumber]]</f>
        <v>54415</v>
      </c>
      <c r="E66" s="96">
        <f ca="1">TblProd[[#This Row],[Ore]]</f>
        <v>0</v>
      </c>
      <c r="F66" s="96">
        <f ca="1">TblProd[[#This Row],[Gems]]</f>
        <v>0</v>
      </c>
      <c r="G66" s="156"/>
      <c r="H66" s="96">
        <f ca="1">TblMili[[#This Row],[Draftees]]</f>
        <v>626</v>
      </c>
      <c r="I66" s="182">
        <f ca="1">TblPop[[#This Row],[Employment]]</f>
        <v>1</v>
      </c>
      <c r="J66" s="182">
        <f ca="1">TblPop[[#This Row],[Total]]/TblPop[[#This Row],[Net max]]</f>
        <v>1</v>
      </c>
      <c r="K66" s="305">
        <f>TblRezone[[#This Row],[Hour]]</f>
        <v>63</v>
      </c>
      <c r="L66" s="306">
        <f ca="1">TblImps[[#This Row],[Real time]]</f>
        <v>45734.583333333183</v>
      </c>
      <c r="M66" s="61">
        <f>IF(ISERROR(TblImps[[#This Row],[algorithm]]),0,TblImps[[#This Row],[algorithm]]*1)</f>
        <v>0</v>
      </c>
      <c r="N66" s="96">
        <f ca="1">TblImps[[#This Row],[Land]]</f>
        <v>250</v>
      </c>
      <c r="O66" s="307" t="s">
        <v>2</v>
      </c>
      <c r="P66" s="308"/>
      <c r="Q66" s="307" t="s">
        <v>210</v>
      </c>
      <c r="R66" s="307" t="s">
        <v>7</v>
      </c>
      <c r="S66" s="308"/>
      <c r="T66" s="307" t="s">
        <v>210</v>
      </c>
      <c r="U66" s="307" t="s">
        <v>3</v>
      </c>
      <c r="V66" s="308"/>
      <c r="W66" s="307" t="s">
        <v>210</v>
      </c>
      <c r="X66" s="144"/>
      <c r="Y66" s="309">
        <f ca="1">science_cap*(1-EXP(-TblImps[[#This Row],[Σ Science]]/(science_param*(OFFSET(TblImps[[#This Row],[Land]],1,0)-OFFSET(TblExplore[[#This Row],[Land Bonus]],1,0)*20)+15000)))*(1+(mason_bonus*TblConstr[[#This Row],[Tot Mas]]/TblConstr[[#This Row],[Land (2)]]))</f>
        <v>0</v>
      </c>
      <c r="Z66" s="309">
        <f ca="1">keep_cap*(1-EXP(-TblImps[[#This Row],[Σ Keep]]/(keep_param*(OFFSET(TblImps[[#This Row],[Land]],1,0)-OFFSET(TblExplore[[#This Row],[Land Bonus]],1,0)*20)+15000)))*(1+(mason_bonus*TblConstr[[#This Row],[Tot Mas]]/TblConstr[[#This Row],[Land (2)]]))</f>
        <v>0</v>
      </c>
      <c r="AA66" s="309">
        <f ca="1">harbor_towers_cap*(1-EXP(-TblImps[[#This Row],[Σ Spires]]/(towers_param*(OFFSET(TblImps[[#This Row],[Land]],1,0)-OFFSET(TblExplore[[#This Row],[Land Bonus]],1,0)*20)+15000)))*(1+(mason_bonus*TblConstr[[#This Row],[Tot Mas]]/TblConstr[[#This Row],[Land (2)]]))</f>
        <v>0</v>
      </c>
      <c r="AB66" s="309">
        <f ca="1">walls_forges_cap*(1-EXP(-TblImps[[#This Row],[Σ Forges]]/(walls_forges_param*(OFFSET(TblImps[[#This Row],[Land]],1,0)-OFFSET(TblExplore[[#This Row],[Land Bonus]],1,0)*20)+15000)))*(1+(mason_bonus*TblConstr[[#This Row],[Tot Mas]]/TblConstr[[#This Row],[Land (2)]]))</f>
        <v>0</v>
      </c>
      <c r="AC66" s="309">
        <f ca="1">walls_forges_cap*(1-EXP(-TblImps[[#This Row],[Σ Walls]]/(walls_forges_param*(OFFSET(TblImps[[#This Row],[Land]],1,0)-OFFSET(TblExplore[[#This Row],[Land Bonus]],1,0)*20)+15000)))*(1+(mason_bonus*TblConstr[[#This Row],[Tot Mas]]/TblConstr[[#This Row],[Land (2)]]))</f>
        <v>0</v>
      </c>
      <c r="AD66" s="30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315">
        <f ca="1">OFFSET(TblImps[[#This Row],[Real time]],-1,0)+1/24</f>
        <v>45734.583333333183</v>
      </c>
      <c r="BZ66" s="316">
        <f ca="1">OFFSET(TblImps[[#This Row],[Servertime]],-1,0)+1/24</f>
        <v>45734.583333333183</v>
      </c>
      <c r="CA66" s="319"/>
      <c r="CB66" s="314"/>
      <c r="CC66" s="314"/>
    </row>
    <row r="67" spans="1:84" x14ac:dyDescent="0.2">
      <c r="A67" s="224">
        <f ca="1">TblConstr[[#This Row],[Land]]</f>
        <v>250</v>
      </c>
      <c r="B67" s="144"/>
      <c r="C67" s="96">
        <f ca="1">TblProd[[#This Row],[Platinum]]</f>
        <v>466496</v>
      </c>
      <c r="D67" s="96">
        <f ca="1">TblProd[[#This Row],[Lumber]]</f>
        <v>54871</v>
      </c>
      <c r="E67" s="96">
        <f ca="1">TblProd[[#This Row],[Ore]]</f>
        <v>0</v>
      </c>
      <c r="F67" s="96">
        <f ca="1">TblProd[[#This Row],[Gems]]</f>
        <v>0</v>
      </c>
      <c r="G67" s="156"/>
      <c r="H67" s="96">
        <f ca="1">TblMili[[#This Row],[Draftees]]</f>
        <v>626</v>
      </c>
      <c r="I67" s="182">
        <f ca="1">TblPop[[#This Row],[Employment]]</f>
        <v>1</v>
      </c>
      <c r="J67" s="182">
        <f ca="1">TblPop[[#This Row],[Total]]/TblPop[[#This Row],[Net max]]</f>
        <v>1</v>
      </c>
      <c r="K67" s="305">
        <f>TblRezone[[#This Row],[Hour]]</f>
        <v>64</v>
      </c>
      <c r="L67" s="306">
        <f ca="1">TblImps[[#This Row],[Real time]]</f>
        <v>45734.624999999847</v>
      </c>
      <c r="M67" s="61">
        <f>IF(ISERROR(TblImps[[#This Row],[algorithm]]),0,TblImps[[#This Row],[algorithm]]*1)</f>
        <v>0</v>
      </c>
      <c r="N67" s="96">
        <f ca="1">TblImps[[#This Row],[Land]]</f>
        <v>250</v>
      </c>
      <c r="O67" s="307" t="s">
        <v>4</v>
      </c>
      <c r="P67" s="308"/>
      <c r="Q67" s="307" t="s">
        <v>210</v>
      </c>
      <c r="R67" s="307" t="s">
        <v>7</v>
      </c>
      <c r="S67" s="308"/>
      <c r="T67" s="307" t="s">
        <v>210</v>
      </c>
      <c r="U67" s="307" t="s">
        <v>3</v>
      </c>
      <c r="V67" s="308"/>
      <c r="W67" s="307" t="s">
        <v>210</v>
      </c>
      <c r="X67" s="144"/>
      <c r="Y67" s="309">
        <f ca="1">science_cap*(1-EXP(-TblImps[[#This Row],[Σ Science]]/(science_param*(OFFSET(TblImps[[#This Row],[Land]],1,0)-OFFSET(TblExplore[[#This Row],[Land Bonus]],1,0)*20)+15000)))*(1+(mason_bonus*TblConstr[[#This Row],[Tot Mas]]/TblConstr[[#This Row],[Land (2)]]))</f>
        <v>0</v>
      </c>
      <c r="Z67" s="309">
        <f ca="1">keep_cap*(1-EXP(-TblImps[[#This Row],[Σ Keep]]/(keep_param*(OFFSET(TblImps[[#This Row],[Land]],1,0)-OFFSET(TblExplore[[#This Row],[Land Bonus]],1,0)*20)+15000)))*(1+(mason_bonus*TblConstr[[#This Row],[Tot Mas]]/TblConstr[[#This Row],[Land (2)]]))</f>
        <v>0</v>
      </c>
      <c r="AA67" s="309">
        <f ca="1">harbor_towers_cap*(1-EXP(-TblImps[[#This Row],[Σ Spires]]/(towers_param*(OFFSET(TblImps[[#This Row],[Land]],1,0)-OFFSET(TblExplore[[#This Row],[Land Bonus]],1,0)*20)+15000)))*(1+(mason_bonus*TblConstr[[#This Row],[Tot Mas]]/TblConstr[[#This Row],[Land (2)]]))</f>
        <v>0</v>
      </c>
      <c r="AB67" s="309">
        <f ca="1">walls_forges_cap*(1-EXP(-TblImps[[#This Row],[Σ Forges]]/(walls_forges_param*(OFFSET(TblImps[[#This Row],[Land]],1,0)-OFFSET(TblExplore[[#This Row],[Land Bonus]],1,0)*20)+15000)))*(1+(mason_bonus*TblConstr[[#This Row],[Tot Mas]]/TblConstr[[#This Row],[Land (2)]]))</f>
        <v>0</v>
      </c>
      <c r="AC67" s="309">
        <f ca="1">walls_forges_cap*(1-EXP(-TblImps[[#This Row],[Σ Walls]]/(walls_forges_param*(OFFSET(TblImps[[#This Row],[Land]],1,0)-OFFSET(TblExplore[[#This Row],[Land Bonus]],1,0)*20)+15000)))*(1+(mason_bonus*TblConstr[[#This Row],[Tot Mas]]/TblConstr[[#This Row],[Land (2)]]))</f>
        <v>0</v>
      </c>
      <c r="AD67" s="30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315">
        <f ca="1">OFFSET(TblImps[[#This Row],[Real time]],-1,0)+1/24</f>
        <v>45734.624999999847</v>
      </c>
      <c r="BZ67" s="316">
        <f ca="1">OFFSET(TblImps[[#This Row],[Servertime]],-1,0)+1/24</f>
        <v>45734.624999999847</v>
      </c>
      <c r="CA67" s="57"/>
      <c r="CB67" s="314"/>
      <c r="CC67" s="314"/>
    </row>
    <row r="68" spans="1:84" x14ac:dyDescent="0.2">
      <c r="A68" s="224">
        <f ca="1">TblConstr[[#This Row],[Land]]</f>
        <v>250</v>
      </c>
      <c r="B68" s="144"/>
      <c r="C68" s="96">
        <f ca="1">TblProd[[#This Row],[Platinum]]</f>
        <v>471982</v>
      </c>
      <c r="D68" s="96">
        <f ca="1">TblProd[[#This Row],[Lumber]]</f>
        <v>55322</v>
      </c>
      <c r="E68" s="96">
        <f ca="1">TblProd[[#This Row],[Ore]]</f>
        <v>0</v>
      </c>
      <c r="F68" s="96">
        <f ca="1">TblProd[[#This Row],[Gems]]</f>
        <v>0</v>
      </c>
      <c r="G68" s="156"/>
      <c r="H68" s="96">
        <f ca="1">TblMili[[#This Row],[Draftees]]</f>
        <v>626</v>
      </c>
      <c r="I68" s="182">
        <f ca="1">TblPop[[#This Row],[Employment]]</f>
        <v>1</v>
      </c>
      <c r="J68" s="182">
        <f ca="1">TblPop[[#This Row],[Total]]/TblPop[[#This Row],[Net max]]</f>
        <v>1</v>
      </c>
      <c r="K68" s="305">
        <f>TblRezone[[#This Row],[Hour]]</f>
        <v>65</v>
      </c>
      <c r="L68" s="306">
        <f ca="1">TblImps[[#This Row],[Real time]]</f>
        <v>45734.666666666511</v>
      </c>
      <c r="M68" s="61">
        <f>IF(ISERROR(TblImps[[#This Row],[algorithm]]),0,TblImps[[#This Row],[algorithm]]*1)</f>
        <v>0</v>
      </c>
      <c r="N68" s="96">
        <f ca="1">TblImps[[#This Row],[Land]]</f>
        <v>250</v>
      </c>
      <c r="O68" s="307" t="s">
        <v>4</v>
      </c>
      <c r="P68" s="308"/>
      <c r="Q68" s="307" t="s">
        <v>210</v>
      </c>
      <c r="R68" s="307" t="s">
        <v>7</v>
      </c>
      <c r="S68" s="308"/>
      <c r="T68" s="307" t="s">
        <v>210</v>
      </c>
      <c r="U68" s="307" t="s">
        <v>3</v>
      </c>
      <c r="V68" s="308"/>
      <c r="W68" s="307" t="s">
        <v>210</v>
      </c>
      <c r="X68" s="144"/>
      <c r="Y68" s="309">
        <f ca="1">science_cap*(1-EXP(-TblImps[[#This Row],[Σ Science]]/(science_param*(OFFSET(TblImps[[#This Row],[Land]],1,0)-OFFSET(TblExplore[[#This Row],[Land Bonus]],1,0)*20)+15000)))*(1+(mason_bonus*TblConstr[[#This Row],[Tot Mas]]/TblConstr[[#This Row],[Land (2)]]))</f>
        <v>0</v>
      </c>
      <c r="Z68" s="309">
        <f ca="1">keep_cap*(1-EXP(-TblImps[[#This Row],[Σ Keep]]/(keep_param*(OFFSET(TblImps[[#This Row],[Land]],1,0)-OFFSET(TblExplore[[#This Row],[Land Bonus]],1,0)*20)+15000)))*(1+(mason_bonus*TblConstr[[#This Row],[Tot Mas]]/TblConstr[[#This Row],[Land (2)]]))</f>
        <v>0</v>
      </c>
      <c r="AA68" s="309">
        <f ca="1">harbor_towers_cap*(1-EXP(-TblImps[[#This Row],[Σ Spires]]/(towers_param*(OFFSET(TblImps[[#This Row],[Land]],1,0)-OFFSET(TblExplore[[#This Row],[Land Bonus]],1,0)*20)+15000)))*(1+(mason_bonus*TblConstr[[#This Row],[Tot Mas]]/TblConstr[[#This Row],[Land (2)]]))</f>
        <v>0</v>
      </c>
      <c r="AB68" s="309">
        <f ca="1">walls_forges_cap*(1-EXP(-TblImps[[#This Row],[Σ Forges]]/(walls_forges_param*(OFFSET(TblImps[[#This Row],[Land]],1,0)-OFFSET(TblExplore[[#This Row],[Land Bonus]],1,0)*20)+15000)))*(1+(mason_bonus*TblConstr[[#This Row],[Tot Mas]]/TblConstr[[#This Row],[Land (2)]]))</f>
        <v>0</v>
      </c>
      <c r="AC68" s="309">
        <f ca="1">walls_forges_cap*(1-EXP(-TblImps[[#This Row],[Σ Walls]]/(walls_forges_param*(OFFSET(TblImps[[#This Row],[Land]],1,0)-OFFSET(TblExplore[[#This Row],[Land Bonus]],1,0)*20)+15000)))*(1+(mason_bonus*TblConstr[[#This Row],[Tot Mas]]/TblConstr[[#This Row],[Land (2)]]))</f>
        <v>0</v>
      </c>
      <c r="AD68" s="30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315">
        <f ca="1">OFFSET(TblImps[[#This Row],[Real time]],-1,0)+1/24</f>
        <v>45734.666666666511</v>
      </c>
      <c r="BZ68" s="316">
        <f ca="1">OFFSET(TblImps[[#This Row],[Servertime]],-1,0)+1/24</f>
        <v>45734.666666666511</v>
      </c>
      <c r="CA68" s="57"/>
      <c r="CB68" s="314"/>
      <c r="CC68" s="314"/>
    </row>
    <row r="69" spans="1:84" x14ac:dyDescent="0.2">
      <c r="A69" s="224">
        <f ca="1">TblConstr[[#This Row],[Land]]</f>
        <v>250</v>
      </c>
      <c r="B69" s="144"/>
      <c r="C69" s="96">
        <f ca="1">TblProd[[#This Row],[Platinum]]</f>
        <v>477468</v>
      </c>
      <c r="D69" s="96">
        <f ca="1">TblProd[[#This Row],[Lumber]]</f>
        <v>55769</v>
      </c>
      <c r="E69" s="96">
        <f ca="1">TblProd[[#This Row],[Ore]]</f>
        <v>0</v>
      </c>
      <c r="F69" s="96">
        <f ca="1">TblProd[[#This Row],[Gems]]</f>
        <v>0</v>
      </c>
      <c r="G69" s="156"/>
      <c r="H69" s="96">
        <f ca="1">TblMili[[#This Row],[Draftees]]</f>
        <v>626</v>
      </c>
      <c r="I69" s="182">
        <f ca="1">TblPop[[#This Row],[Employment]]</f>
        <v>1</v>
      </c>
      <c r="J69" s="182">
        <f ca="1">TblPop[[#This Row],[Total]]/TblPop[[#This Row],[Net max]]</f>
        <v>1</v>
      </c>
      <c r="K69" s="305">
        <f>TblRezone[[#This Row],[Hour]]</f>
        <v>66</v>
      </c>
      <c r="L69" s="306">
        <f ca="1">TblImps[[#This Row],[Real time]]</f>
        <v>45734.708333333176</v>
      </c>
      <c r="M69" s="61">
        <f>IF(ISERROR(TblImps[[#This Row],[algorithm]]),0,TblImps[[#This Row],[algorithm]]*1)</f>
        <v>0</v>
      </c>
      <c r="N69" s="96">
        <f ca="1">TblImps[[#This Row],[Land]]</f>
        <v>250</v>
      </c>
      <c r="O69" s="307" t="s">
        <v>4</v>
      </c>
      <c r="P69" s="308"/>
      <c r="Q69" s="307" t="s">
        <v>210</v>
      </c>
      <c r="R69" s="307" t="s">
        <v>7</v>
      </c>
      <c r="S69" s="308"/>
      <c r="T69" s="307" t="s">
        <v>210</v>
      </c>
      <c r="U69" s="307" t="s">
        <v>3</v>
      </c>
      <c r="V69" s="308"/>
      <c r="W69" s="307" t="s">
        <v>210</v>
      </c>
      <c r="X69" s="144"/>
      <c r="Y69" s="309">
        <f ca="1">science_cap*(1-EXP(-TblImps[[#This Row],[Σ Science]]/(science_param*(OFFSET(TblImps[[#This Row],[Land]],1,0)-OFFSET(TblExplore[[#This Row],[Land Bonus]],1,0)*20)+15000)))*(1+(mason_bonus*TblConstr[[#This Row],[Tot Mas]]/TblConstr[[#This Row],[Land (2)]]))</f>
        <v>0</v>
      </c>
      <c r="Z69" s="309">
        <f ca="1">keep_cap*(1-EXP(-TblImps[[#This Row],[Σ Keep]]/(keep_param*(OFFSET(TblImps[[#This Row],[Land]],1,0)-OFFSET(TblExplore[[#This Row],[Land Bonus]],1,0)*20)+15000)))*(1+(mason_bonus*TblConstr[[#This Row],[Tot Mas]]/TblConstr[[#This Row],[Land (2)]]))</f>
        <v>0</v>
      </c>
      <c r="AA69" s="309">
        <f ca="1">harbor_towers_cap*(1-EXP(-TblImps[[#This Row],[Σ Spires]]/(towers_param*(OFFSET(TblImps[[#This Row],[Land]],1,0)-OFFSET(TblExplore[[#This Row],[Land Bonus]],1,0)*20)+15000)))*(1+(mason_bonus*TblConstr[[#This Row],[Tot Mas]]/TblConstr[[#This Row],[Land (2)]]))</f>
        <v>0</v>
      </c>
      <c r="AB69" s="309">
        <f ca="1">walls_forges_cap*(1-EXP(-TblImps[[#This Row],[Σ Forges]]/(walls_forges_param*(OFFSET(TblImps[[#This Row],[Land]],1,0)-OFFSET(TblExplore[[#This Row],[Land Bonus]],1,0)*20)+15000)))*(1+(mason_bonus*TblConstr[[#This Row],[Tot Mas]]/TblConstr[[#This Row],[Land (2)]]))</f>
        <v>0</v>
      </c>
      <c r="AC69" s="309">
        <f ca="1">walls_forges_cap*(1-EXP(-TblImps[[#This Row],[Σ Walls]]/(walls_forges_param*(OFFSET(TblImps[[#This Row],[Land]],1,0)-OFFSET(TblExplore[[#This Row],[Land Bonus]],1,0)*20)+15000)))*(1+(mason_bonus*TblConstr[[#This Row],[Tot Mas]]/TblConstr[[#This Row],[Land (2)]]))</f>
        <v>0</v>
      </c>
      <c r="AD69" s="30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315">
        <f ca="1">OFFSET(TblImps[[#This Row],[Real time]],-1,0)+1/24</f>
        <v>45734.708333333176</v>
      </c>
      <c r="BZ69" s="316">
        <f ca="1">OFFSET(TblImps[[#This Row],[Servertime]],-1,0)+1/24</f>
        <v>45734.708333333176</v>
      </c>
      <c r="CA69" s="57"/>
      <c r="CB69" s="314"/>
      <c r="CC69" s="314"/>
    </row>
    <row r="70" spans="1:84" x14ac:dyDescent="0.2">
      <c r="A70" s="224">
        <f ca="1">TblConstr[[#This Row],[Land]]</f>
        <v>250</v>
      </c>
      <c r="B70" s="144"/>
      <c r="C70" s="96">
        <f ca="1">TblProd[[#This Row],[Platinum]]</f>
        <v>482954</v>
      </c>
      <c r="D70" s="96">
        <f ca="1">TblProd[[#This Row],[Lumber]]</f>
        <v>56211</v>
      </c>
      <c r="E70" s="96">
        <f ca="1">TblProd[[#This Row],[Ore]]</f>
        <v>0</v>
      </c>
      <c r="F70" s="96">
        <f ca="1">TblProd[[#This Row],[Gems]]</f>
        <v>0</v>
      </c>
      <c r="G70" s="156"/>
      <c r="H70" s="96">
        <f ca="1">TblMili[[#This Row],[Draftees]]</f>
        <v>626</v>
      </c>
      <c r="I70" s="182">
        <f ca="1">TblPop[[#This Row],[Employment]]</f>
        <v>1</v>
      </c>
      <c r="J70" s="182">
        <f ca="1">TblPop[[#This Row],[Total]]/TblPop[[#This Row],[Net max]]</f>
        <v>1</v>
      </c>
      <c r="K70" s="305">
        <f>TblRezone[[#This Row],[Hour]]</f>
        <v>67</v>
      </c>
      <c r="L70" s="306">
        <f ca="1">TblImps[[#This Row],[Real time]]</f>
        <v>45734.74999999984</v>
      </c>
      <c r="M70" s="61">
        <f>IF(ISERROR(TblImps[[#This Row],[algorithm]]),0,TblImps[[#This Row],[algorithm]]*1)</f>
        <v>0</v>
      </c>
      <c r="N70" s="96">
        <f ca="1">TblImps[[#This Row],[Land]]</f>
        <v>250</v>
      </c>
      <c r="O70" s="307" t="s">
        <v>4</v>
      </c>
      <c r="P70" s="308"/>
      <c r="Q70" s="307" t="s">
        <v>210</v>
      </c>
      <c r="R70" s="307" t="s">
        <v>7</v>
      </c>
      <c r="S70" s="308"/>
      <c r="T70" s="307" t="s">
        <v>210</v>
      </c>
      <c r="U70" s="307" t="s">
        <v>3</v>
      </c>
      <c r="V70" s="308"/>
      <c r="W70" s="307" t="s">
        <v>210</v>
      </c>
      <c r="X70" s="144"/>
      <c r="Y70" s="309">
        <f ca="1">science_cap*(1-EXP(-TblImps[[#This Row],[Σ Science]]/(science_param*(OFFSET(TblImps[[#This Row],[Land]],1,0)-OFFSET(TblExplore[[#This Row],[Land Bonus]],1,0)*20)+15000)))*(1+(mason_bonus*TblConstr[[#This Row],[Tot Mas]]/TblConstr[[#This Row],[Land (2)]]))</f>
        <v>0</v>
      </c>
      <c r="Z70" s="309">
        <f ca="1">keep_cap*(1-EXP(-TblImps[[#This Row],[Σ Keep]]/(keep_param*(OFFSET(TblImps[[#This Row],[Land]],1,0)-OFFSET(TblExplore[[#This Row],[Land Bonus]],1,0)*20)+15000)))*(1+(mason_bonus*TblConstr[[#This Row],[Tot Mas]]/TblConstr[[#This Row],[Land (2)]]))</f>
        <v>0</v>
      </c>
      <c r="AA70" s="309">
        <f ca="1">harbor_towers_cap*(1-EXP(-TblImps[[#This Row],[Σ Spires]]/(towers_param*(OFFSET(TblImps[[#This Row],[Land]],1,0)-OFFSET(TblExplore[[#This Row],[Land Bonus]],1,0)*20)+15000)))*(1+(mason_bonus*TblConstr[[#This Row],[Tot Mas]]/TblConstr[[#This Row],[Land (2)]]))</f>
        <v>0</v>
      </c>
      <c r="AB70" s="309">
        <f ca="1">walls_forges_cap*(1-EXP(-TblImps[[#This Row],[Σ Forges]]/(walls_forges_param*(OFFSET(TblImps[[#This Row],[Land]],1,0)-OFFSET(TblExplore[[#This Row],[Land Bonus]],1,0)*20)+15000)))*(1+(mason_bonus*TblConstr[[#This Row],[Tot Mas]]/TblConstr[[#This Row],[Land (2)]]))</f>
        <v>0</v>
      </c>
      <c r="AC70" s="309">
        <f ca="1">walls_forges_cap*(1-EXP(-TblImps[[#This Row],[Σ Walls]]/(walls_forges_param*(OFFSET(TblImps[[#This Row],[Land]],1,0)-OFFSET(TblExplore[[#This Row],[Land Bonus]],1,0)*20)+15000)))*(1+(mason_bonus*TblConstr[[#This Row],[Tot Mas]]/TblConstr[[#This Row],[Land (2)]]))</f>
        <v>0</v>
      </c>
      <c r="AD70" s="30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315">
        <f ca="1">OFFSET(TblImps[[#This Row],[Real time]],-1,0)+1/24</f>
        <v>45734.74999999984</v>
      </c>
      <c r="BZ70" s="316">
        <f ca="1">OFFSET(TblImps[[#This Row],[Servertime]],-1,0)+1/24</f>
        <v>45734.74999999984</v>
      </c>
      <c r="CA70" s="57"/>
      <c r="CB70" s="314"/>
      <c r="CC70" s="314"/>
    </row>
    <row r="71" spans="1:84" x14ac:dyDescent="0.2">
      <c r="A71" s="224">
        <f ca="1">TblConstr[[#This Row],[Land]]</f>
        <v>250</v>
      </c>
      <c r="B71" s="144"/>
      <c r="C71" s="96">
        <f ca="1">TblProd[[#This Row],[Platinum]]</f>
        <v>488440</v>
      </c>
      <c r="D71" s="96">
        <f ca="1">TblProd[[#This Row],[Lumber]]</f>
        <v>56649</v>
      </c>
      <c r="E71" s="96">
        <f ca="1">TblProd[[#This Row],[Ore]]</f>
        <v>0</v>
      </c>
      <c r="F71" s="96">
        <f ca="1">TblProd[[#This Row],[Gems]]</f>
        <v>0</v>
      </c>
      <c r="G71" s="156"/>
      <c r="H71" s="96">
        <f ca="1">TblMili[[#This Row],[Draftees]]</f>
        <v>626</v>
      </c>
      <c r="I71" s="182">
        <f ca="1">TblPop[[#This Row],[Employment]]</f>
        <v>1</v>
      </c>
      <c r="J71" s="182">
        <f ca="1">TblPop[[#This Row],[Total]]/TblPop[[#This Row],[Net max]]</f>
        <v>1</v>
      </c>
      <c r="K71" s="305">
        <f>TblRezone[[#This Row],[Hour]]</f>
        <v>68</v>
      </c>
      <c r="L71" s="306">
        <f ca="1">TblImps[[#This Row],[Real time]]</f>
        <v>45734.791666666504</v>
      </c>
      <c r="M71" s="61">
        <f>IF(ISERROR(TblImps[[#This Row],[algorithm]]),0,TblImps[[#This Row],[algorithm]]*1)</f>
        <v>0</v>
      </c>
      <c r="N71" s="96">
        <f ca="1">TblImps[[#This Row],[Land]]</f>
        <v>250</v>
      </c>
      <c r="O71" s="307" t="s">
        <v>4</v>
      </c>
      <c r="P71" s="308"/>
      <c r="Q71" s="307" t="s">
        <v>210</v>
      </c>
      <c r="R71" s="307" t="s">
        <v>7</v>
      </c>
      <c r="S71" s="308"/>
      <c r="T71" s="307" t="s">
        <v>210</v>
      </c>
      <c r="U71" s="307" t="s">
        <v>3</v>
      </c>
      <c r="V71" s="308"/>
      <c r="W71" s="307" t="s">
        <v>210</v>
      </c>
      <c r="X71" s="144"/>
      <c r="Y71" s="309">
        <f ca="1">science_cap*(1-EXP(-TblImps[[#This Row],[Σ Science]]/(science_param*(OFFSET(TblImps[[#This Row],[Land]],1,0)-OFFSET(TblExplore[[#This Row],[Land Bonus]],1,0)*20)+15000)))*(1+(mason_bonus*TblConstr[[#This Row],[Tot Mas]]/TblConstr[[#This Row],[Land (2)]]))</f>
        <v>0</v>
      </c>
      <c r="Z71" s="309">
        <f ca="1">keep_cap*(1-EXP(-TblImps[[#This Row],[Σ Keep]]/(keep_param*(OFFSET(TblImps[[#This Row],[Land]],1,0)-OFFSET(TblExplore[[#This Row],[Land Bonus]],1,0)*20)+15000)))*(1+(mason_bonus*TblConstr[[#This Row],[Tot Mas]]/TblConstr[[#This Row],[Land (2)]]))</f>
        <v>0</v>
      </c>
      <c r="AA71" s="309">
        <f ca="1">harbor_towers_cap*(1-EXP(-TblImps[[#This Row],[Σ Spires]]/(towers_param*(OFFSET(TblImps[[#This Row],[Land]],1,0)-OFFSET(TblExplore[[#This Row],[Land Bonus]],1,0)*20)+15000)))*(1+(mason_bonus*TblConstr[[#This Row],[Tot Mas]]/TblConstr[[#This Row],[Land (2)]]))</f>
        <v>0</v>
      </c>
      <c r="AB71" s="309">
        <f ca="1">walls_forges_cap*(1-EXP(-TblImps[[#This Row],[Σ Forges]]/(walls_forges_param*(OFFSET(TblImps[[#This Row],[Land]],1,0)-OFFSET(TblExplore[[#This Row],[Land Bonus]],1,0)*20)+15000)))*(1+(mason_bonus*TblConstr[[#This Row],[Tot Mas]]/TblConstr[[#This Row],[Land (2)]]))</f>
        <v>0</v>
      </c>
      <c r="AC71" s="309">
        <f ca="1">walls_forges_cap*(1-EXP(-TblImps[[#This Row],[Σ Walls]]/(walls_forges_param*(OFFSET(TblImps[[#This Row],[Land]],1,0)-OFFSET(TblExplore[[#This Row],[Land Bonus]],1,0)*20)+15000)))*(1+(mason_bonus*TblConstr[[#This Row],[Tot Mas]]/TblConstr[[#This Row],[Land (2)]]))</f>
        <v>0</v>
      </c>
      <c r="AD71" s="30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315">
        <f ca="1">OFFSET(TblImps[[#This Row],[Real time]],-1,0)+1/24</f>
        <v>45734.791666666504</v>
      </c>
      <c r="BZ71" s="316">
        <f ca="1">OFFSET(TblImps[[#This Row],[Servertime]],-1,0)+1/24</f>
        <v>45734.791666666504</v>
      </c>
      <c r="CA71" s="57"/>
      <c r="CB71" s="314"/>
      <c r="CC71" s="314"/>
    </row>
    <row r="72" spans="1:84" x14ac:dyDescent="0.2">
      <c r="A72" s="224">
        <f ca="1">TblConstr[[#This Row],[Land]]</f>
        <v>250</v>
      </c>
      <c r="B72" s="144"/>
      <c r="C72" s="96">
        <f ca="1">TblProd[[#This Row],[Platinum]]</f>
        <v>493926</v>
      </c>
      <c r="D72" s="96">
        <f ca="1">TblProd[[#This Row],[Lumber]]</f>
        <v>57083</v>
      </c>
      <c r="E72" s="96">
        <f ca="1">TblProd[[#This Row],[Ore]]</f>
        <v>0</v>
      </c>
      <c r="F72" s="96">
        <f ca="1">TblProd[[#This Row],[Gems]]</f>
        <v>0</v>
      </c>
      <c r="G72" s="156"/>
      <c r="H72" s="96">
        <f ca="1">TblMili[[#This Row],[Draftees]]</f>
        <v>626</v>
      </c>
      <c r="I72" s="182">
        <f ca="1">TblPop[[#This Row],[Employment]]</f>
        <v>1</v>
      </c>
      <c r="J72" s="182">
        <f ca="1">TblPop[[#This Row],[Total]]/TblPop[[#This Row],[Net max]]</f>
        <v>1</v>
      </c>
      <c r="K72" s="305">
        <f>TblRezone[[#This Row],[Hour]]</f>
        <v>69</v>
      </c>
      <c r="L72" s="306">
        <f ca="1">TblImps[[#This Row],[Real time]]</f>
        <v>45734.833333333168</v>
      </c>
      <c r="M72" s="61">
        <f>IF(ISERROR(TblImps[[#This Row],[algorithm]]),0,TblImps[[#This Row],[algorithm]]*1)</f>
        <v>0</v>
      </c>
      <c r="N72" s="96">
        <f ca="1">TblImps[[#This Row],[Land]]</f>
        <v>250</v>
      </c>
      <c r="O72" s="307" t="s">
        <v>4</v>
      </c>
      <c r="P72" s="308"/>
      <c r="Q72" s="307" t="s">
        <v>210</v>
      </c>
      <c r="R72" s="307" t="s">
        <v>7</v>
      </c>
      <c r="S72" s="308"/>
      <c r="T72" s="307" t="s">
        <v>210</v>
      </c>
      <c r="U72" s="307" t="s">
        <v>3</v>
      </c>
      <c r="V72" s="308"/>
      <c r="W72" s="307" t="s">
        <v>210</v>
      </c>
      <c r="X72" s="144"/>
      <c r="Y72" s="309">
        <f ca="1">science_cap*(1-EXP(-TblImps[[#This Row],[Σ Science]]/(science_param*(OFFSET(TblImps[[#This Row],[Land]],1,0)-OFFSET(TblExplore[[#This Row],[Land Bonus]],1,0)*20)+15000)))*(1+(mason_bonus*TblConstr[[#This Row],[Tot Mas]]/TblConstr[[#This Row],[Land (2)]]))</f>
        <v>0</v>
      </c>
      <c r="Z72" s="309">
        <f ca="1">keep_cap*(1-EXP(-TblImps[[#This Row],[Σ Keep]]/(keep_param*(OFFSET(TblImps[[#This Row],[Land]],1,0)-OFFSET(TblExplore[[#This Row],[Land Bonus]],1,0)*20)+15000)))*(1+(mason_bonus*TblConstr[[#This Row],[Tot Mas]]/TblConstr[[#This Row],[Land (2)]]))</f>
        <v>0</v>
      </c>
      <c r="AA72" s="309">
        <f ca="1">harbor_towers_cap*(1-EXP(-TblImps[[#This Row],[Σ Spires]]/(towers_param*(OFFSET(TblImps[[#This Row],[Land]],1,0)-OFFSET(TblExplore[[#This Row],[Land Bonus]],1,0)*20)+15000)))*(1+(mason_bonus*TblConstr[[#This Row],[Tot Mas]]/TblConstr[[#This Row],[Land (2)]]))</f>
        <v>0</v>
      </c>
      <c r="AB72" s="309">
        <f ca="1">walls_forges_cap*(1-EXP(-TblImps[[#This Row],[Σ Forges]]/(walls_forges_param*(OFFSET(TblImps[[#This Row],[Land]],1,0)-OFFSET(TblExplore[[#This Row],[Land Bonus]],1,0)*20)+15000)))*(1+(mason_bonus*TblConstr[[#This Row],[Tot Mas]]/TblConstr[[#This Row],[Land (2)]]))</f>
        <v>0</v>
      </c>
      <c r="AC72" s="309">
        <f ca="1">walls_forges_cap*(1-EXP(-TblImps[[#This Row],[Σ Walls]]/(walls_forges_param*(OFFSET(TblImps[[#This Row],[Land]],1,0)-OFFSET(TblExplore[[#This Row],[Land Bonus]],1,0)*20)+15000)))*(1+(mason_bonus*TblConstr[[#This Row],[Tot Mas]]/TblConstr[[#This Row],[Land (2)]]))</f>
        <v>0</v>
      </c>
      <c r="AD72" s="30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315">
        <f ca="1">OFFSET(TblImps[[#This Row],[Real time]],-1,0)+1/24</f>
        <v>45734.833333333168</v>
      </c>
      <c r="BZ72" s="316">
        <f ca="1">OFFSET(TblImps[[#This Row],[Servertime]],-1,0)+1/24</f>
        <v>45734.833333333168</v>
      </c>
      <c r="CA72" s="57"/>
      <c r="CB72" s="314"/>
      <c r="CC72" s="314"/>
    </row>
    <row r="73" spans="1:84" x14ac:dyDescent="0.2">
      <c r="A73" s="224">
        <f ca="1">TblConstr[[#This Row],[Land]]</f>
        <v>250</v>
      </c>
      <c r="B73" s="144"/>
      <c r="C73" s="96">
        <f ca="1">TblProd[[#This Row],[Platinum]]</f>
        <v>499412</v>
      </c>
      <c r="D73" s="96">
        <f ca="1">TblProd[[#This Row],[Lumber]]</f>
        <v>57512</v>
      </c>
      <c r="E73" s="96">
        <f ca="1">TblProd[[#This Row],[Ore]]</f>
        <v>0</v>
      </c>
      <c r="F73" s="96">
        <f ca="1">TblProd[[#This Row],[Gems]]</f>
        <v>0</v>
      </c>
      <c r="G73" s="156"/>
      <c r="H73" s="96">
        <f ca="1">TblMili[[#This Row],[Draftees]]</f>
        <v>626</v>
      </c>
      <c r="I73" s="182">
        <f ca="1">TblPop[[#This Row],[Employment]]</f>
        <v>1</v>
      </c>
      <c r="J73" s="182">
        <f ca="1">TblPop[[#This Row],[Total]]/TblPop[[#This Row],[Net max]]</f>
        <v>1</v>
      </c>
      <c r="K73" s="305">
        <f>TblRezone[[#This Row],[Hour]]</f>
        <v>70</v>
      </c>
      <c r="L73" s="306">
        <f ca="1">TblImps[[#This Row],[Real time]]</f>
        <v>45734.874999999833</v>
      </c>
      <c r="M73" s="61">
        <f>IF(ISERROR(TblImps[[#This Row],[algorithm]]),0,TblImps[[#This Row],[algorithm]]*1)</f>
        <v>0</v>
      </c>
      <c r="N73" s="96">
        <f ca="1">TblImps[[#This Row],[Land]]</f>
        <v>250</v>
      </c>
      <c r="O73" s="307" t="s">
        <v>4</v>
      </c>
      <c r="P73" s="308"/>
      <c r="Q73" s="307" t="s">
        <v>210</v>
      </c>
      <c r="R73" s="307" t="s">
        <v>7</v>
      </c>
      <c r="S73" s="308"/>
      <c r="T73" s="307" t="s">
        <v>210</v>
      </c>
      <c r="U73" s="307" t="s">
        <v>3</v>
      </c>
      <c r="V73" s="308"/>
      <c r="W73" s="307" t="s">
        <v>210</v>
      </c>
      <c r="X73" s="144"/>
      <c r="Y73" s="309">
        <f ca="1">science_cap*(1-EXP(-TblImps[[#This Row],[Σ Science]]/(science_param*(OFFSET(TblImps[[#This Row],[Land]],1,0)-OFFSET(TblExplore[[#This Row],[Land Bonus]],1,0)*20)+15000)))*(1+(mason_bonus*TblConstr[[#This Row],[Tot Mas]]/TblConstr[[#This Row],[Land (2)]]))</f>
        <v>0</v>
      </c>
      <c r="Z73" s="309">
        <f ca="1">keep_cap*(1-EXP(-TblImps[[#This Row],[Σ Keep]]/(keep_param*(OFFSET(TblImps[[#This Row],[Land]],1,0)-OFFSET(TblExplore[[#This Row],[Land Bonus]],1,0)*20)+15000)))*(1+(mason_bonus*TblConstr[[#This Row],[Tot Mas]]/TblConstr[[#This Row],[Land (2)]]))</f>
        <v>0</v>
      </c>
      <c r="AA73" s="309">
        <f ca="1">harbor_towers_cap*(1-EXP(-TblImps[[#This Row],[Σ Spires]]/(towers_param*(OFFSET(TblImps[[#This Row],[Land]],1,0)-OFFSET(TblExplore[[#This Row],[Land Bonus]],1,0)*20)+15000)))*(1+(mason_bonus*TblConstr[[#This Row],[Tot Mas]]/TblConstr[[#This Row],[Land (2)]]))</f>
        <v>0</v>
      </c>
      <c r="AB73" s="309">
        <f ca="1">walls_forges_cap*(1-EXP(-TblImps[[#This Row],[Σ Forges]]/(walls_forges_param*(OFFSET(TblImps[[#This Row],[Land]],1,0)-OFFSET(TblExplore[[#This Row],[Land Bonus]],1,0)*20)+15000)))*(1+(mason_bonus*TblConstr[[#This Row],[Tot Mas]]/TblConstr[[#This Row],[Land (2)]]))</f>
        <v>0</v>
      </c>
      <c r="AC73" s="309">
        <f ca="1">walls_forges_cap*(1-EXP(-TblImps[[#This Row],[Σ Walls]]/(walls_forges_param*(OFFSET(TblImps[[#This Row],[Land]],1,0)-OFFSET(TblExplore[[#This Row],[Land Bonus]],1,0)*20)+15000)))*(1+(mason_bonus*TblConstr[[#This Row],[Tot Mas]]/TblConstr[[#This Row],[Land (2)]]))</f>
        <v>0</v>
      </c>
      <c r="AD73" s="30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315">
        <f ca="1">OFFSET(TblImps[[#This Row],[Real time]],-1,0)+1/24</f>
        <v>45734.874999999833</v>
      </c>
      <c r="BZ73" s="316">
        <f ca="1">OFFSET(TblImps[[#This Row],[Servertime]],-1,0)+1/24</f>
        <v>45734.874999999833</v>
      </c>
      <c r="CA73" s="57"/>
      <c r="CB73" s="314"/>
      <c r="CC73" s="314"/>
    </row>
    <row r="74" spans="1:84" x14ac:dyDescent="0.2">
      <c r="A74" s="224">
        <f ca="1">TblConstr[[#This Row],[Land]]</f>
        <v>250</v>
      </c>
      <c r="B74" s="144"/>
      <c r="C74" s="96">
        <f ca="1">TblProd[[#This Row],[Platinum]]</f>
        <v>504898</v>
      </c>
      <c r="D74" s="96">
        <f ca="1">TblProd[[#This Row],[Lumber]]</f>
        <v>57937</v>
      </c>
      <c r="E74" s="96">
        <f ca="1">TblProd[[#This Row],[Ore]]</f>
        <v>0</v>
      </c>
      <c r="F74" s="96">
        <f ca="1">TblProd[[#This Row],[Gems]]</f>
        <v>0</v>
      </c>
      <c r="G74" s="156"/>
      <c r="H74" s="96">
        <f ca="1">TblMili[[#This Row],[Draftees]]</f>
        <v>626</v>
      </c>
      <c r="I74" s="182">
        <f ca="1">TblPop[[#This Row],[Employment]]</f>
        <v>1</v>
      </c>
      <c r="J74" s="182">
        <f ca="1">TblPop[[#This Row],[Total]]/TblPop[[#This Row],[Net max]]</f>
        <v>1</v>
      </c>
      <c r="K74" s="305">
        <f>TblRezone[[#This Row],[Hour]]</f>
        <v>71</v>
      </c>
      <c r="L74" s="306">
        <f ca="1">TblImps[[#This Row],[Real time]]</f>
        <v>45734.916666666497</v>
      </c>
      <c r="M74" s="61">
        <f>IF(ISERROR(TblImps[[#This Row],[algorithm]]),0,TblImps[[#This Row],[algorithm]]*1)</f>
        <v>0</v>
      </c>
      <c r="N74" s="96">
        <f ca="1">TblImps[[#This Row],[Land]]</f>
        <v>250</v>
      </c>
      <c r="O74" s="307" t="s">
        <v>4</v>
      </c>
      <c r="P74" s="308"/>
      <c r="Q74" s="307" t="s">
        <v>210</v>
      </c>
      <c r="R74" s="307" t="s">
        <v>7</v>
      </c>
      <c r="S74" s="308"/>
      <c r="T74" s="307" t="s">
        <v>210</v>
      </c>
      <c r="U74" s="307" t="s">
        <v>3</v>
      </c>
      <c r="V74" s="308"/>
      <c r="W74" s="307" t="s">
        <v>210</v>
      </c>
      <c r="X74" s="144"/>
      <c r="Y74" s="309">
        <f ca="1">science_cap*(1-EXP(-TblImps[[#This Row],[Σ Science]]/(science_param*(OFFSET(TblImps[[#This Row],[Land]],1,0)-OFFSET(TblExplore[[#This Row],[Land Bonus]],1,0)*20)+15000)))*(1+(mason_bonus*TblConstr[[#This Row],[Tot Mas]]/TblConstr[[#This Row],[Land (2)]]))</f>
        <v>0</v>
      </c>
      <c r="Z74" s="309">
        <f ca="1">keep_cap*(1-EXP(-TblImps[[#This Row],[Σ Keep]]/(keep_param*(OFFSET(TblImps[[#This Row],[Land]],1,0)-OFFSET(TblExplore[[#This Row],[Land Bonus]],1,0)*20)+15000)))*(1+(mason_bonus*TblConstr[[#This Row],[Tot Mas]]/TblConstr[[#This Row],[Land (2)]]))</f>
        <v>0</v>
      </c>
      <c r="AA74" s="309">
        <f ca="1">harbor_towers_cap*(1-EXP(-TblImps[[#This Row],[Σ Spires]]/(towers_param*(OFFSET(TblImps[[#This Row],[Land]],1,0)-OFFSET(TblExplore[[#This Row],[Land Bonus]],1,0)*20)+15000)))*(1+(mason_bonus*TblConstr[[#This Row],[Tot Mas]]/TblConstr[[#This Row],[Land (2)]]))</f>
        <v>0</v>
      </c>
      <c r="AB74" s="309">
        <f ca="1">walls_forges_cap*(1-EXP(-TblImps[[#This Row],[Σ Forges]]/(walls_forges_param*(OFFSET(TblImps[[#This Row],[Land]],1,0)-OFFSET(TblExplore[[#This Row],[Land Bonus]],1,0)*20)+15000)))*(1+(mason_bonus*TblConstr[[#This Row],[Tot Mas]]/TblConstr[[#This Row],[Land (2)]]))</f>
        <v>0</v>
      </c>
      <c r="AC74" s="309">
        <f ca="1">walls_forges_cap*(1-EXP(-TblImps[[#This Row],[Σ Walls]]/(walls_forges_param*(OFFSET(TblImps[[#This Row],[Land]],1,0)-OFFSET(TblExplore[[#This Row],[Land Bonus]],1,0)*20)+15000)))*(1+(mason_bonus*TblConstr[[#This Row],[Tot Mas]]/TblConstr[[#This Row],[Land (2)]]))</f>
        <v>0</v>
      </c>
      <c r="AD74" s="30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315">
        <f ca="1">OFFSET(TblImps[[#This Row],[Real time]],-1,0)+1/24</f>
        <v>45734.916666666497</v>
      </c>
      <c r="BZ74" s="316">
        <f ca="1">OFFSET(TblImps[[#This Row],[Servertime]],-1,0)+1/24</f>
        <v>45734.916666666497</v>
      </c>
      <c r="CA74" s="57"/>
      <c r="CB74" s="314"/>
      <c r="CC74" s="314"/>
    </row>
    <row r="75" spans="1:84" x14ac:dyDescent="0.2">
      <c r="A75" s="224">
        <f ca="1">TblConstr[[#This Row],[Land]]</f>
        <v>250</v>
      </c>
      <c r="B75" s="144"/>
      <c r="C75" s="96">
        <f ca="1">TblProd[[#This Row],[Platinum]]</f>
        <v>510384</v>
      </c>
      <c r="D75" s="96">
        <f ca="1">TblProd[[#This Row],[Lumber]]</f>
        <v>58358</v>
      </c>
      <c r="E75" s="96">
        <f ca="1">TblProd[[#This Row],[Ore]]</f>
        <v>0</v>
      </c>
      <c r="F75" s="96">
        <f ca="1">TblProd[[#This Row],[Gems]]</f>
        <v>0</v>
      </c>
      <c r="G75" s="156"/>
      <c r="H75" s="96">
        <f ca="1">TblMili[[#This Row],[Draftees]]</f>
        <v>626</v>
      </c>
      <c r="I75" s="182">
        <f ca="1">TblPop[[#This Row],[Employment]]</f>
        <v>1</v>
      </c>
      <c r="J75" s="182">
        <f ca="1">TblPop[[#This Row],[Total]]/TblPop[[#This Row],[Net max]]</f>
        <v>1</v>
      </c>
      <c r="K75" s="305">
        <f>TblRezone[[#This Row],[Hour]]</f>
        <v>72</v>
      </c>
      <c r="L75" s="306">
        <f ca="1">TblImps[[#This Row],[Real time]]</f>
        <v>45734.958333333161</v>
      </c>
      <c r="M75" s="61">
        <f>IF(ISERROR(TblImps[[#This Row],[algorithm]]),0,TblImps[[#This Row],[algorithm]]*1)</f>
        <v>0</v>
      </c>
      <c r="N75" s="96">
        <f ca="1">TblImps[[#This Row],[Land]]</f>
        <v>250</v>
      </c>
      <c r="O75" s="307" t="s">
        <v>4</v>
      </c>
      <c r="P75" s="308"/>
      <c r="Q75" s="307" t="s">
        <v>210</v>
      </c>
      <c r="R75" s="307" t="s">
        <v>7</v>
      </c>
      <c r="S75" s="308"/>
      <c r="T75" s="307" t="s">
        <v>210</v>
      </c>
      <c r="U75" s="307" t="s">
        <v>3</v>
      </c>
      <c r="V75" s="308"/>
      <c r="W75" s="307" t="s">
        <v>210</v>
      </c>
      <c r="X75" s="144"/>
      <c r="Y75" s="309">
        <f ca="1">science_cap*(1-EXP(-TblImps[[#This Row],[Σ Science]]/(science_param*(OFFSET(TblImps[[#This Row],[Land]],1,0)-OFFSET(TblExplore[[#This Row],[Land Bonus]],1,0)*20)+15000)))*(1+(mason_bonus*TblConstr[[#This Row],[Tot Mas]]/TblConstr[[#This Row],[Land (2)]]))</f>
        <v>0</v>
      </c>
      <c r="Z75" s="309">
        <f ca="1">keep_cap*(1-EXP(-TblImps[[#This Row],[Σ Keep]]/(keep_param*(OFFSET(TblImps[[#This Row],[Land]],1,0)-OFFSET(TblExplore[[#This Row],[Land Bonus]],1,0)*20)+15000)))*(1+(mason_bonus*TblConstr[[#This Row],[Tot Mas]]/TblConstr[[#This Row],[Land (2)]]))</f>
        <v>0</v>
      </c>
      <c r="AA75" s="309">
        <f ca="1">harbor_towers_cap*(1-EXP(-TblImps[[#This Row],[Σ Spires]]/(towers_param*(OFFSET(TblImps[[#This Row],[Land]],1,0)-OFFSET(TblExplore[[#This Row],[Land Bonus]],1,0)*20)+15000)))*(1+(mason_bonus*TblConstr[[#This Row],[Tot Mas]]/TblConstr[[#This Row],[Land (2)]]))</f>
        <v>0</v>
      </c>
      <c r="AB75" s="309">
        <f ca="1">walls_forges_cap*(1-EXP(-TblImps[[#This Row],[Σ Forges]]/(walls_forges_param*(OFFSET(TblImps[[#This Row],[Land]],1,0)-OFFSET(TblExplore[[#This Row],[Land Bonus]],1,0)*20)+15000)))*(1+(mason_bonus*TblConstr[[#This Row],[Tot Mas]]/TblConstr[[#This Row],[Land (2)]]))</f>
        <v>0</v>
      </c>
      <c r="AC75" s="309">
        <f ca="1">walls_forges_cap*(1-EXP(-TblImps[[#This Row],[Σ Walls]]/(walls_forges_param*(OFFSET(TblImps[[#This Row],[Land]],1,0)-OFFSET(TblExplore[[#This Row],[Land Bonus]],1,0)*20)+15000)))*(1+(mason_bonus*TblConstr[[#This Row],[Tot Mas]]/TblConstr[[#This Row],[Land (2)]]))</f>
        <v>0</v>
      </c>
      <c r="AD75" s="30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315">
        <f ca="1">OFFSET(TblImps[[#This Row],[Real time]],-1,0)+1/24</f>
        <v>45734.958333333161</v>
      </c>
      <c r="BZ75" s="316">
        <f ca="1">OFFSET(TblImps[[#This Row],[Servertime]],-1,0)+1/24</f>
        <v>45734.958333333161</v>
      </c>
      <c r="CA75" s="57"/>
      <c r="CB75" s="314"/>
      <c r="CC75" s="314"/>
    </row>
    <row r="76" spans="1:84" x14ac:dyDescent="0.2">
      <c r="A76" s="241">
        <f ca="1">TblConstr[[#This Row],[Land]]</f>
        <v>250</v>
      </c>
      <c r="B76" s="151"/>
      <c r="C76" s="209">
        <f ca="1">TblProd[[#This Row],[Platinum]]</f>
        <v>515870</v>
      </c>
      <c r="D76" s="209">
        <f ca="1">TblProd[[#This Row],[Lumber]]</f>
        <v>58774</v>
      </c>
      <c r="E76" s="209">
        <f ca="1">TblProd[[#This Row],[Ore]]</f>
        <v>0</v>
      </c>
      <c r="F76" s="209">
        <f ca="1">TblProd[[#This Row],[Gems]]</f>
        <v>0</v>
      </c>
      <c r="G76" s="164"/>
      <c r="H76" s="209">
        <f ca="1">TblMili[[#This Row],[Draftees]]</f>
        <v>626</v>
      </c>
      <c r="I76" s="208">
        <f ca="1">TblPop[[#This Row],[Employment]]</f>
        <v>1</v>
      </c>
      <c r="J76" s="208">
        <f ca="1">TblPop[[#This Row],[Total]]/TblPop[[#This Row],[Net max]]</f>
        <v>1</v>
      </c>
      <c r="K76" s="320">
        <f>TblRezone[[#This Row],[Hour]]</f>
        <v>73</v>
      </c>
      <c r="L76" s="321">
        <f ca="1">TblImps[[#This Row],[Real time]]</f>
        <v>45734.999999999825</v>
      </c>
      <c r="M76" s="199">
        <f>IF(ISERROR(TblImps[[#This Row],[algorithm]]),0,TblImps[[#This Row],[algorithm]]*1)</f>
        <v>0</v>
      </c>
      <c r="N76" s="209">
        <f ca="1">TblImps[[#This Row],[Land]]</f>
        <v>250</v>
      </c>
      <c r="O76" s="322" t="s">
        <v>4</v>
      </c>
      <c r="P76" s="323"/>
      <c r="Q76" s="322" t="s">
        <v>210</v>
      </c>
      <c r="R76" s="307" t="s">
        <v>7</v>
      </c>
      <c r="S76" s="323"/>
      <c r="T76" s="322" t="s">
        <v>210</v>
      </c>
      <c r="U76" s="322" t="s">
        <v>3</v>
      </c>
      <c r="V76" s="323"/>
      <c r="W76" s="322" t="s">
        <v>210</v>
      </c>
      <c r="X76" s="151"/>
      <c r="Y76" s="324">
        <f ca="1">science_cap*(1-EXP(-TblImps[[#This Row],[Σ Science]]/(science_param*(OFFSET(TblImps[[#This Row],[Land]],1,0)-OFFSET(TblExplore[[#This Row],[Land Bonus]],1,0)*20)+15000)))*(1+(mason_bonus*TblConstr[[#This Row],[Tot Mas]]/TblConstr[[#This Row],[Land (2)]]))</f>
        <v>0</v>
      </c>
      <c r="Z76" s="324">
        <f ca="1">keep_cap*(1-EXP(-TblImps[[#This Row],[Σ Keep]]/(keep_param*(OFFSET(TblImps[[#This Row],[Land]],1,0)-OFFSET(TblExplore[[#This Row],[Land Bonus]],1,0)*20)+15000)))*(1+(mason_bonus*TblConstr[[#This Row],[Tot Mas]]/TblConstr[[#This Row],[Land (2)]]))</f>
        <v>0</v>
      </c>
      <c r="AA76" s="324">
        <f ca="1">harbor_towers_cap*(1-EXP(-TblImps[[#This Row],[Σ Spires]]/(towers_param*(OFFSET(TblImps[[#This Row],[Land]],1,0)-OFFSET(TblExplore[[#This Row],[Land Bonus]],1,0)*20)+15000)))*(1+(mason_bonus*TblConstr[[#This Row],[Tot Mas]]/TblConstr[[#This Row],[Land (2)]]))</f>
        <v>0</v>
      </c>
      <c r="AB76" s="324">
        <f ca="1">walls_forges_cap*(1-EXP(-TblImps[[#This Row],[Σ Forges]]/(walls_forges_param*(OFFSET(TblImps[[#This Row],[Land]],1,0)-OFFSET(TblExplore[[#This Row],[Land Bonus]],1,0)*20)+15000)))*(1+(mason_bonus*TblConstr[[#This Row],[Tot Mas]]/TblConstr[[#This Row],[Land (2)]]))</f>
        <v>0</v>
      </c>
      <c r="AC76" s="324">
        <f ca="1">walls_forges_cap*(1-EXP(-TblImps[[#This Row],[Σ Walls]]/(walls_forges_param*(OFFSET(TblImps[[#This Row],[Land]],1,0)-OFFSET(TblExplore[[#This Row],[Land Bonus]],1,0)*20)+15000)))*(1+(mason_bonus*TblConstr[[#This Row],[Tot Mas]]/TblConstr[[#This Row],[Land (2)]]))</f>
        <v>0</v>
      </c>
      <c r="AD76" s="324">
        <f ca="1">harbor_towers_cap*(1-EXP(-TblImps[[#This Row],[Σ Harbor]]/(harbor_towers_param*(OFFSET(TblImps[[#This Row],[Land]],1,0)-OFFSET(TblExplore[[#This Row],[Land Bonus]],1,0)*20)+15000)))*(1+(mason_bonus*TblConstr[[#This Row],[Tot Mas]]/TblConstr[[#This Row],[Land (2)]]))</f>
        <v>0</v>
      </c>
      <c r="AE76" s="151"/>
      <c r="AF76" s="199">
        <f ca="1">(1+Overview!$I$28)*SUM(TblImps[[#This Row],[P2]:[G2]])+OFFSET(TblImps[[#This Row],[Σ Science]],-1,0)</f>
        <v>0</v>
      </c>
      <c r="AG76" s="199">
        <f ca="1">(1+Overview!$I$28)*SUM(TblImps[[#This Row],[P3]:[G3]])+OFFSET(TblImps[[#This Row],[Σ Keep]],-1,0)</f>
        <v>0</v>
      </c>
      <c r="AH76" s="199">
        <f ca="1">(1+Overview!$I$28 + tech_7_1*TblTech[[#This Row],[7-1]])*SUM(TblImps[[#This Row],[P4]:[G4]])+OFFSET(TblImps[[#This Row],[Σ Spires]],-1,0)</f>
        <v>0</v>
      </c>
      <c r="AI76" s="199">
        <f ca="1">(1+Overview!$I$28)*SUM(TblImps[[#This Row],[P5]:[G5]])+OFFSET(TblImps[[#This Row],[Σ Forges]],-1,0)</f>
        <v>0</v>
      </c>
      <c r="AJ76" s="199">
        <f ca="1">(1+Overview!$I$28)*SUM(TblImps[[#This Row],[P6]:[G6]])+OFFSET(TblImps[[#This Row],[Σ Walls]],-1,0)</f>
        <v>0</v>
      </c>
      <c r="AK76" s="199">
        <f ca="1">(1+Overview!$I$28 + tech_7_1*TblTech[[#This Row],[7-1]])*SUM(TblImps[[#This Row],[P7]:[G7]])+OFFSET(TblImps[[#This Row],[Σ Harbor]],-1,0)</f>
        <v>0</v>
      </c>
      <c r="AL76" s="151"/>
      <c r="AM76" s="211">
        <f>IF(AND(TblImps[[#This Row],[Resource]]=AM$2,TblImps[[#This Row],[Part]]&lt;&gt;""),TblImps[[#This Row],[Amount]]) + IF(AND(TblImps[[#This Row],[Resource 2]]=AM$2,TblImps[[#This Row],[Part 2]]&lt;&gt;""),TblImps[[#This Row],[Amount 2]]) + IF(AND(TblImps[[#This Row],[Resource 3]]=AM$2,TblImps[[#This Row],[Part 3]]&lt;&gt;""),TblImps[[#This Row],[Amount 3]])</f>
        <v>0</v>
      </c>
      <c r="AN76" s="211">
        <f>IF(AND(TblImps[[#This Row],[Resource]]=AN$2,TblImps[[#This Row],[Part]]&lt;&gt;""),TblImps[[#This Row],[Amount]]) + IF(AND(TblImps[[#This Row],[Resource 2]]=AN$2,TblImps[[#This Row],[Part 2]]&lt;&gt;""),TblImps[[#This Row],[Amount 2]]) + IF(AND(TblImps[[#This Row],[Resource 3]]=AN$2,TblImps[[#This Row],[Part 3]]&lt;&gt;""),TblImps[[#This Row],[Amount 3]])</f>
        <v>0</v>
      </c>
      <c r="AO76" s="211">
        <f>IF(AND(TblImps[[#This Row],[Resource]]=AO$2,TblImps[[#This Row],[Part]]&lt;&gt;""),TblImps[[#This Row],[Amount]]) + IF(AND(TblImps[[#This Row],[Resource 2]]=AO$2,TblImps[[#This Row],[Part 2]]&lt;&gt;""),TblImps[[#This Row],[Amount 2]]) + IF(AND(TblImps[[#This Row],[Resource 3]]=AO$2,TblImps[[#This Row],[Part 3]]&lt;&gt;""),TblImps[[#This Row],[Amount 3]])</f>
        <v>0</v>
      </c>
      <c r="AP76" s="211">
        <f>IF(AND(TblImps[[#This Row],[Resource]]=AP$2,TblImps[[#This Row],[Part]]&lt;&gt;""),TblImps[[#This Row],[Amount]]) + IF(AND(TblImps[[#This Row],[Resource 2]]=AP$2,TblImps[[#This Row],[Part 2]]&lt;&gt;""),TblImps[[#This Row],[Amount 2]]) + IF(AND(TblImps[[#This Row],[Resource 3]]=AP$2,TblImps[[#This Row],[Part 3]]&lt;&gt;""),TblImps[[#This Row],[Amount 3]])</f>
        <v>0</v>
      </c>
      <c r="AQ76" s="151"/>
      <c r="AR76" s="21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1"/>
      <c r="AW76" s="21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1"/>
      <c r="BB76" s="21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1"/>
      <c r="BG76" s="21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1"/>
      <c r="BL76" s="21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1"/>
      <c r="BQ76" s="21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1"/>
      <c r="BV76" s="21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199">
        <f>TblImps[[#This Row],[Login]]</f>
        <v>0</v>
      </c>
      <c r="BX76" s="146"/>
      <c r="BY76" s="325">
        <f ca="1">OFFSET(TblImps[[#This Row],[Real time]],-1,0)+1/24</f>
        <v>45734.999999999825</v>
      </c>
      <c r="BZ76" s="326">
        <f ca="1">OFFSET(TblImps[[#This Row],[Servertime]],-1,0)+1/24</f>
        <v>45734.999999999825</v>
      </c>
    </row>
    <row r="77" spans="1:84" x14ac:dyDescent="0.2">
      <c r="A77" s="224">
        <f ca="1">TblConstr[[#This Row],[Land]]</f>
        <v>250</v>
      </c>
      <c r="B77" s="144"/>
      <c r="C77" s="96">
        <f ca="1">TblProd[[#This Row],[Platinum]]</f>
        <v>521356</v>
      </c>
      <c r="D77" s="96">
        <f ca="1">TblProd[[#This Row],[Lumber]]</f>
        <v>59186</v>
      </c>
      <c r="E77" s="96">
        <f ca="1">TblProd[[#This Row],[Ore]]</f>
        <v>0</v>
      </c>
      <c r="F77" s="96">
        <f ca="1">TblProd[[#This Row],[Gems]]</f>
        <v>0</v>
      </c>
      <c r="G77" s="156"/>
      <c r="H77" s="96">
        <f ca="1">TblMili[[#This Row],[Draftees]]</f>
        <v>626</v>
      </c>
      <c r="I77" s="182">
        <f ca="1">TblPop[[#This Row],[Employment]]</f>
        <v>1</v>
      </c>
      <c r="J77" s="182">
        <f ca="1">TblPop[[#This Row],[Total]]/TblPop[[#This Row],[Net max]]</f>
        <v>1</v>
      </c>
      <c r="K77" s="305">
        <f>TblRezone[[#This Row],[Hour]]</f>
        <v>74</v>
      </c>
      <c r="L77" s="306">
        <f ca="1">TblImps[[#This Row],[Real time]]</f>
        <v>45735.04166666649</v>
      </c>
      <c r="M77" s="61">
        <f>IF(ISERROR(TblImps[[#This Row],[algorithm]]),0,TblImps[[#This Row],[algorithm]]*1)</f>
        <v>0</v>
      </c>
      <c r="N77" s="96">
        <f ca="1">TblImps[[#This Row],[Land]]</f>
        <v>250</v>
      </c>
      <c r="O77" s="307" t="s">
        <v>4</v>
      </c>
      <c r="P77" s="308"/>
      <c r="Q77" s="307" t="s">
        <v>210</v>
      </c>
      <c r="R77" s="307" t="s">
        <v>7</v>
      </c>
      <c r="S77" s="308"/>
      <c r="T77" s="307" t="s">
        <v>210</v>
      </c>
      <c r="U77" s="307" t="s">
        <v>3</v>
      </c>
      <c r="V77" s="308"/>
      <c r="W77" s="307" t="s">
        <v>210</v>
      </c>
      <c r="X77" s="144"/>
      <c r="Y77" s="309">
        <f ca="1">science_cap*(1-EXP(-TblImps[[#This Row],[Σ Science]]/(science_param*(OFFSET(TblImps[[#This Row],[Land]],1,0)-OFFSET(TblExplore[[#This Row],[Land Bonus]],1,0)*20)+15000)))*(1+(mason_bonus*TblConstr[[#This Row],[Tot Mas]]/TblConstr[[#This Row],[Land (2)]]))</f>
        <v>0</v>
      </c>
      <c r="Z77" s="309">
        <f ca="1">keep_cap*(1-EXP(-TblImps[[#This Row],[Σ Keep]]/(keep_param*(OFFSET(TblImps[[#This Row],[Land]],1,0)-OFFSET(TblExplore[[#This Row],[Land Bonus]],1,0)*20)+15000)))*(1+(mason_bonus*TblConstr[[#This Row],[Tot Mas]]/TblConstr[[#This Row],[Land (2)]]))</f>
        <v>0</v>
      </c>
      <c r="AA77" s="309">
        <f ca="1">harbor_towers_cap*(1-EXP(-TblImps[[#This Row],[Σ Spires]]/(towers_param*(OFFSET(TblImps[[#This Row],[Land]],1,0)-OFFSET(TblExplore[[#This Row],[Land Bonus]],1,0)*20)+15000)))*(1+(mason_bonus*TblConstr[[#This Row],[Tot Mas]]/TblConstr[[#This Row],[Land (2)]]))</f>
        <v>0</v>
      </c>
      <c r="AB77" s="309">
        <f ca="1">walls_forges_cap*(1-EXP(-TblImps[[#This Row],[Σ Forges]]/(walls_forges_param*(OFFSET(TblImps[[#This Row],[Land]],1,0)-OFFSET(TblExplore[[#This Row],[Land Bonus]],1,0)*20)+15000)))*(1+(mason_bonus*TblConstr[[#This Row],[Tot Mas]]/TblConstr[[#This Row],[Land (2)]]))</f>
        <v>0</v>
      </c>
      <c r="AC77" s="309">
        <f ca="1">walls_forges_cap*(1-EXP(-TblImps[[#This Row],[Σ Walls]]/(walls_forges_param*(OFFSET(TblImps[[#This Row],[Land]],1,0)-OFFSET(TblExplore[[#This Row],[Land Bonus]],1,0)*20)+15000)))*(1+(mason_bonus*TblConstr[[#This Row],[Tot Mas]]/TblConstr[[#This Row],[Land (2)]]))</f>
        <v>0</v>
      </c>
      <c r="AD77" s="30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315">
        <f ca="1">OFFSET(TblImps[[#This Row],[Real time]],-1,0)+1/24</f>
        <v>45735.04166666649</v>
      </c>
      <c r="BZ77" s="316">
        <f ca="1">OFFSET(TblImps[[#This Row],[Servertime]],-1,0)+1/24</f>
        <v>45735.04166666649</v>
      </c>
      <c r="CA77" s="57"/>
      <c r="CB77" s="314"/>
      <c r="CC77" s="314"/>
    </row>
    <row r="78" spans="1:84" x14ac:dyDescent="0.2">
      <c r="A78" s="224">
        <f ca="1">TblConstr[[#This Row],[Land]]</f>
        <v>250</v>
      </c>
      <c r="B78" s="144"/>
      <c r="C78" s="96">
        <f ca="1">TblProd[[#This Row],[Platinum]]</f>
        <v>526842</v>
      </c>
      <c r="D78" s="96">
        <f ca="1">TblProd[[#This Row],[Lumber]]</f>
        <v>59594</v>
      </c>
      <c r="E78" s="96">
        <f ca="1">TblProd[[#This Row],[Ore]]</f>
        <v>0</v>
      </c>
      <c r="F78" s="96">
        <f ca="1">TblProd[[#This Row],[Gems]]</f>
        <v>0</v>
      </c>
      <c r="G78" s="156"/>
      <c r="H78" s="96">
        <f ca="1">TblMili[[#This Row],[Draftees]]</f>
        <v>626</v>
      </c>
      <c r="I78" s="182">
        <f ca="1">TblPop[[#This Row],[Employment]]</f>
        <v>1</v>
      </c>
      <c r="J78" s="182">
        <f ca="1">TblPop[[#This Row],[Total]]/TblPop[[#This Row],[Net max]]</f>
        <v>1</v>
      </c>
      <c r="K78" s="305">
        <f>TblRezone[[#This Row],[Hour]]</f>
        <v>75</v>
      </c>
      <c r="L78" s="306">
        <f ca="1">TblImps[[#This Row],[Real time]]</f>
        <v>45735.083333333154</v>
      </c>
      <c r="M78" s="61">
        <f>IF(ISERROR(TblImps[[#This Row],[algorithm]]),0,TblImps[[#This Row],[algorithm]]*1)</f>
        <v>0</v>
      </c>
      <c r="N78" s="96">
        <f ca="1">TblImps[[#This Row],[Land]]</f>
        <v>250</v>
      </c>
      <c r="O78" s="307" t="s">
        <v>4</v>
      </c>
      <c r="P78" s="308"/>
      <c r="Q78" s="307" t="s">
        <v>210</v>
      </c>
      <c r="R78" s="307" t="s">
        <v>7</v>
      </c>
      <c r="S78" s="308"/>
      <c r="T78" s="307" t="s">
        <v>210</v>
      </c>
      <c r="U78" s="307" t="s">
        <v>3</v>
      </c>
      <c r="V78" s="308"/>
      <c r="W78" s="307" t="s">
        <v>210</v>
      </c>
      <c r="X78" s="144"/>
      <c r="Y78" s="309">
        <f ca="1">science_cap*(1-EXP(-TblImps[[#This Row],[Σ Science]]/(science_param*(OFFSET(TblImps[[#This Row],[Land]],1,0)-OFFSET(TblExplore[[#This Row],[Land Bonus]],1,0)*20)+15000)))*(1+(mason_bonus*TblConstr[[#This Row],[Tot Mas]]/TblConstr[[#This Row],[Land (2)]]))</f>
        <v>0</v>
      </c>
      <c r="Z78" s="309">
        <f ca="1">keep_cap*(1-EXP(-TblImps[[#This Row],[Σ Keep]]/(keep_param*(OFFSET(TblImps[[#This Row],[Land]],1,0)-OFFSET(TblExplore[[#This Row],[Land Bonus]],1,0)*20)+15000)))*(1+(mason_bonus*TblConstr[[#This Row],[Tot Mas]]/TblConstr[[#This Row],[Land (2)]]))</f>
        <v>0</v>
      </c>
      <c r="AA78" s="309">
        <f ca="1">harbor_towers_cap*(1-EXP(-TblImps[[#This Row],[Σ Spires]]/(towers_param*(OFFSET(TblImps[[#This Row],[Land]],1,0)-OFFSET(TblExplore[[#This Row],[Land Bonus]],1,0)*20)+15000)))*(1+(mason_bonus*TblConstr[[#This Row],[Tot Mas]]/TblConstr[[#This Row],[Land (2)]]))</f>
        <v>0</v>
      </c>
      <c r="AB78" s="309">
        <f ca="1">walls_forges_cap*(1-EXP(-TblImps[[#This Row],[Σ Forges]]/(walls_forges_param*(OFFSET(TblImps[[#This Row],[Land]],1,0)-OFFSET(TblExplore[[#This Row],[Land Bonus]],1,0)*20)+15000)))*(1+(mason_bonus*TblConstr[[#This Row],[Tot Mas]]/TblConstr[[#This Row],[Land (2)]]))</f>
        <v>0</v>
      </c>
      <c r="AC78" s="309">
        <f ca="1">walls_forges_cap*(1-EXP(-TblImps[[#This Row],[Σ Walls]]/(walls_forges_param*(OFFSET(TblImps[[#This Row],[Land]],1,0)-OFFSET(TblExplore[[#This Row],[Land Bonus]],1,0)*20)+15000)))*(1+(mason_bonus*TblConstr[[#This Row],[Tot Mas]]/TblConstr[[#This Row],[Land (2)]]))</f>
        <v>0</v>
      </c>
      <c r="AD78" s="30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315">
        <f ca="1">OFFSET(TblImps[[#This Row],[Real time]],-1,0)+1/24</f>
        <v>45735.083333333154</v>
      </c>
      <c r="BZ78" s="316">
        <f ca="1">OFFSET(TblImps[[#This Row],[Servertime]],-1,0)+1/24</f>
        <v>45735.083333333154</v>
      </c>
      <c r="CA78" s="57"/>
      <c r="CB78" s="314"/>
      <c r="CC78" s="314"/>
      <c r="CF78" s="317"/>
    </row>
    <row r="79" spans="1:84" x14ac:dyDescent="0.2">
      <c r="A79" s="224">
        <f ca="1">TblConstr[[#This Row],[Land]]</f>
        <v>250</v>
      </c>
      <c r="B79" s="144"/>
      <c r="C79" s="96">
        <f ca="1">TblProd[[#This Row],[Platinum]]</f>
        <v>532328</v>
      </c>
      <c r="D79" s="96">
        <f ca="1">TblProd[[#This Row],[Lumber]]</f>
        <v>59998</v>
      </c>
      <c r="E79" s="96">
        <f ca="1">TblProd[[#This Row],[Ore]]</f>
        <v>0</v>
      </c>
      <c r="F79" s="96">
        <f ca="1">TblProd[[#This Row],[Gems]]</f>
        <v>0</v>
      </c>
      <c r="G79" s="156"/>
      <c r="H79" s="96">
        <f ca="1">TblMili[[#This Row],[Draftees]]</f>
        <v>626</v>
      </c>
      <c r="I79" s="182">
        <f ca="1">TblPop[[#This Row],[Employment]]</f>
        <v>1</v>
      </c>
      <c r="J79" s="182">
        <f ca="1">TblPop[[#This Row],[Total]]/TblPop[[#This Row],[Net max]]</f>
        <v>1</v>
      </c>
      <c r="K79" s="305">
        <f>TblRezone[[#This Row],[Hour]]</f>
        <v>76</v>
      </c>
      <c r="L79" s="306">
        <f ca="1">TblImps[[#This Row],[Real time]]</f>
        <v>45735.124999999818</v>
      </c>
      <c r="M79" s="61">
        <f>IF(ISERROR(TblImps[[#This Row],[algorithm]]),0,TblImps[[#This Row],[algorithm]]*1)</f>
        <v>0</v>
      </c>
      <c r="N79" s="96">
        <f ca="1">TblImps[[#This Row],[Land]]</f>
        <v>250</v>
      </c>
      <c r="O79" s="307" t="s">
        <v>4</v>
      </c>
      <c r="P79" s="308"/>
      <c r="Q79" s="307" t="s">
        <v>210</v>
      </c>
      <c r="R79" s="307" t="s">
        <v>7</v>
      </c>
      <c r="S79" s="308"/>
      <c r="T79" s="307" t="s">
        <v>210</v>
      </c>
      <c r="U79" s="307" t="s">
        <v>3</v>
      </c>
      <c r="V79" s="308"/>
      <c r="W79" s="307" t="s">
        <v>210</v>
      </c>
      <c r="X79" s="144"/>
      <c r="Y79" s="309">
        <f ca="1">science_cap*(1-EXP(-TblImps[[#This Row],[Σ Science]]/(science_param*(OFFSET(TblImps[[#This Row],[Land]],1,0)-OFFSET(TblExplore[[#This Row],[Land Bonus]],1,0)*20)+15000)))*(1+(mason_bonus*TblConstr[[#This Row],[Tot Mas]]/TblConstr[[#This Row],[Land (2)]]))</f>
        <v>0</v>
      </c>
      <c r="Z79" s="309">
        <f ca="1">keep_cap*(1-EXP(-TblImps[[#This Row],[Σ Keep]]/(keep_param*(OFFSET(TblImps[[#This Row],[Land]],1,0)-OFFSET(TblExplore[[#This Row],[Land Bonus]],1,0)*20)+15000)))*(1+(mason_bonus*TblConstr[[#This Row],[Tot Mas]]/TblConstr[[#This Row],[Land (2)]]))</f>
        <v>0</v>
      </c>
      <c r="AA79" s="309">
        <f ca="1">harbor_towers_cap*(1-EXP(-TblImps[[#This Row],[Σ Spires]]/(towers_param*(OFFSET(TblImps[[#This Row],[Land]],1,0)-OFFSET(TblExplore[[#This Row],[Land Bonus]],1,0)*20)+15000)))*(1+(mason_bonus*TblConstr[[#This Row],[Tot Mas]]/TblConstr[[#This Row],[Land (2)]]))</f>
        <v>0</v>
      </c>
      <c r="AB79" s="309">
        <f ca="1">walls_forges_cap*(1-EXP(-TblImps[[#This Row],[Σ Forges]]/(walls_forges_param*(OFFSET(TblImps[[#This Row],[Land]],1,0)-OFFSET(TblExplore[[#This Row],[Land Bonus]],1,0)*20)+15000)))*(1+(mason_bonus*TblConstr[[#This Row],[Tot Mas]]/TblConstr[[#This Row],[Land (2)]]))</f>
        <v>0</v>
      </c>
      <c r="AC79" s="309">
        <f ca="1">walls_forges_cap*(1-EXP(-TblImps[[#This Row],[Σ Walls]]/(walls_forges_param*(OFFSET(TblImps[[#This Row],[Land]],1,0)-OFFSET(TblExplore[[#This Row],[Land Bonus]],1,0)*20)+15000)))*(1+(mason_bonus*TblConstr[[#This Row],[Tot Mas]]/TblConstr[[#This Row],[Land (2)]]))</f>
        <v>0</v>
      </c>
      <c r="AD79" s="30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315">
        <f ca="1">OFFSET(TblImps[[#This Row],[Real time]],-1,0)+1/24</f>
        <v>45735.124999999818</v>
      </c>
      <c r="BZ79" s="316">
        <f ca="1">OFFSET(TblImps[[#This Row],[Servertime]],-1,0)+1/24</f>
        <v>45735.124999999818</v>
      </c>
      <c r="CA79" s="57"/>
      <c r="CB79" s="314"/>
      <c r="CC79" s="314"/>
      <c r="CF79" s="318"/>
    </row>
    <row r="80" spans="1:84" x14ac:dyDescent="0.2">
      <c r="A80" s="224">
        <f ca="1">TblConstr[[#This Row],[Land]]</f>
        <v>250</v>
      </c>
      <c r="B80" s="144"/>
      <c r="C80" s="96">
        <f ca="1">TblProd[[#This Row],[Platinum]]</f>
        <v>537814</v>
      </c>
      <c r="D80" s="96">
        <f ca="1">TblProd[[#This Row],[Lumber]]</f>
        <v>60398</v>
      </c>
      <c r="E80" s="96">
        <f ca="1">TblProd[[#This Row],[Ore]]</f>
        <v>0</v>
      </c>
      <c r="F80" s="96">
        <f ca="1">TblProd[[#This Row],[Gems]]</f>
        <v>0</v>
      </c>
      <c r="G80" s="156"/>
      <c r="H80" s="96">
        <f ca="1">TblMili[[#This Row],[Draftees]]</f>
        <v>626</v>
      </c>
      <c r="I80" s="182">
        <f ca="1">TblPop[[#This Row],[Employment]]</f>
        <v>1</v>
      </c>
      <c r="J80" s="182">
        <f ca="1">TblPop[[#This Row],[Total]]/TblPop[[#This Row],[Net max]]</f>
        <v>1</v>
      </c>
      <c r="K80" s="305">
        <f>TblRezone[[#This Row],[Hour]]</f>
        <v>77</v>
      </c>
      <c r="L80" s="306">
        <f ca="1">TblImps[[#This Row],[Real time]]</f>
        <v>45735.166666666482</v>
      </c>
      <c r="M80" s="61">
        <f>IF(ISERROR(TblImps[[#This Row],[algorithm]]),0,TblImps[[#This Row],[algorithm]]*1)</f>
        <v>0</v>
      </c>
      <c r="N80" s="96">
        <f ca="1">TblImps[[#This Row],[Land]]</f>
        <v>250</v>
      </c>
      <c r="O80" s="307" t="s">
        <v>4</v>
      </c>
      <c r="P80" s="308"/>
      <c r="Q80" s="307" t="s">
        <v>210</v>
      </c>
      <c r="R80" s="307" t="s">
        <v>7</v>
      </c>
      <c r="S80" s="308"/>
      <c r="T80" s="307" t="s">
        <v>210</v>
      </c>
      <c r="U80" s="307" t="s">
        <v>3</v>
      </c>
      <c r="V80" s="308"/>
      <c r="W80" s="307" t="s">
        <v>210</v>
      </c>
      <c r="X80" s="144"/>
      <c r="Y80" s="309">
        <f ca="1">science_cap*(1-EXP(-TblImps[[#This Row],[Σ Science]]/(science_param*(OFFSET(TblImps[[#This Row],[Land]],1,0)-OFFSET(TblExplore[[#This Row],[Land Bonus]],1,0)*20)+15000)))*(1+(mason_bonus*TblConstr[[#This Row],[Tot Mas]]/TblConstr[[#This Row],[Land (2)]]))</f>
        <v>0</v>
      </c>
      <c r="Z80" s="309">
        <f ca="1">keep_cap*(1-EXP(-TblImps[[#This Row],[Σ Keep]]/(keep_param*(OFFSET(TblImps[[#This Row],[Land]],1,0)-OFFSET(TblExplore[[#This Row],[Land Bonus]],1,0)*20)+15000)))*(1+(mason_bonus*TblConstr[[#This Row],[Tot Mas]]/TblConstr[[#This Row],[Land (2)]]))</f>
        <v>0</v>
      </c>
      <c r="AA80" s="309">
        <f ca="1">harbor_towers_cap*(1-EXP(-TblImps[[#This Row],[Σ Spires]]/(towers_param*(OFFSET(TblImps[[#This Row],[Land]],1,0)-OFFSET(TblExplore[[#This Row],[Land Bonus]],1,0)*20)+15000)))*(1+(mason_bonus*TblConstr[[#This Row],[Tot Mas]]/TblConstr[[#This Row],[Land (2)]]))</f>
        <v>0</v>
      </c>
      <c r="AB80" s="309">
        <f ca="1">walls_forges_cap*(1-EXP(-TblImps[[#This Row],[Σ Forges]]/(walls_forges_param*(OFFSET(TblImps[[#This Row],[Land]],1,0)-OFFSET(TblExplore[[#This Row],[Land Bonus]],1,0)*20)+15000)))*(1+(mason_bonus*TblConstr[[#This Row],[Tot Mas]]/TblConstr[[#This Row],[Land (2)]]))</f>
        <v>0</v>
      </c>
      <c r="AC80" s="309">
        <f ca="1">walls_forges_cap*(1-EXP(-TblImps[[#This Row],[Σ Walls]]/(walls_forges_param*(OFFSET(TblImps[[#This Row],[Land]],1,0)-OFFSET(TblExplore[[#This Row],[Land Bonus]],1,0)*20)+15000)))*(1+(mason_bonus*TblConstr[[#This Row],[Tot Mas]]/TblConstr[[#This Row],[Land (2)]]))</f>
        <v>0</v>
      </c>
      <c r="AD80" s="30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315">
        <f ca="1">OFFSET(TblImps[[#This Row],[Real time]],-1,0)+1/24</f>
        <v>45735.166666666482</v>
      </c>
      <c r="BZ80" s="316">
        <f ca="1">OFFSET(TblImps[[#This Row],[Servertime]],-1,0)+1/24</f>
        <v>45735.166666666482</v>
      </c>
      <c r="CA80" s="57"/>
      <c r="CB80" s="314"/>
      <c r="CC80" s="314"/>
      <c r="CF80" s="317"/>
    </row>
    <row r="81" spans="1:84" x14ac:dyDescent="0.2">
      <c r="A81" s="224">
        <f ca="1">TblConstr[[#This Row],[Land]]</f>
        <v>250</v>
      </c>
      <c r="B81" s="144"/>
      <c r="C81" s="96">
        <f ca="1">TblProd[[#This Row],[Platinum]]</f>
        <v>543300</v>
      </c>
      <c r="D81" s="96">
        <f ca="1">TblProd[[#This Row],[Lumber]]</f>
        <v>60794</v>
      </c>
      <c r="E81" s="96">
        <f ca="1">TblProd[[#This Row],[Ore]]</f>
        <v>0</v>
      </c>
      <c r="F81" s="96">
        <f ca="1">TblProd[[#This Row],[Gems]]</f>
        <v>0</v>
      </c>
      <c r="G81" s="156"/>
      <c r="H81" s="96">
        <f ca="1">TblMili[[#This Row],[Draftees]]</f>
        <v>626</v>
      </c>
      <c r="I81" s="182">
        <f ca="1">TblPop[[#This Row],[Employment]]</f>
        <v>1</v>
      </c>
      <c r="J81" s="182">
        <f ca="1">TblPop[[#This Row],[Total]]/TblPop[[#This Row],[Net max]]</f>
        <v>1</v>
      </c>
      <c r="K81" s="305">
        <f>TblRezone[[#This Row],[Hour]]</f>
        <v>78</v>
      </c>
      <c r="L81" s="306">
        <f ca="1">TblImps[[#This Row],[Real time]]</f>
        <v>45735.208333333147</v>
      </c>
      <c r="M81" s="61">
        <f>IF(ISERROR(TblImps[[#This Row],[algorithm]]),0,TblImps[[#This Row],[algorithm]]*1)</f>
        <v>0</v>
      </c>
      <c r="N81" s="96">
        <f ca="1">TblImps[[#This Row],[Land]]</f>
        <v>250</v>
      </c>
      <c r="O81" s="307" t="s">
        <v>4</v>
      </c>
      <c r="P81" s="308"/>
      <c r="Q81" s="307" t="s">
        <v>210</v>
      </c>
      <c r="R81" s="307" t="s">
        <v>7</v>
      </c>
      <c r="S81" s="308"/>
      <c r="T81" s="307" t="s">
        <v>210</v>
      </c>
      <c r="U81" s="307" t="s">
        <v>3</v>
      </c>
      <c r="V81" s="308"/>
      <c r="W81" s="307" t="s">
        <v>210</v>
      </c>
      <c r="X81" s="144"/>
      <c r="Y81" s="309">
        <f ca="1">science_cap*(1-EXP(-TblImps[[#This Row],[Σ Science]]/(science_param*(OFFSET(TblImps[[#This Row],[Land]],1,0)-OFFSET(TblExplore[[#This Row],[Land Bonus]],1,0)*20)+15000)))*(1+(mason_bonus*TblConstr[[#This Row],[Tot Mas]]/TblConstr[[#This Row],[Land (2)]]))</f>
        <v>0</v>
      </c>
      <c r="Z81" s="309">
        <f ca="1">keep_cap*(1-EXP(-TblImps[[#This Row],[Σ Keep]]/(keep_param*(OFFSET(TblImps[[#This Row],[Land]],1,0)-OFFSET(TblExplore[[#This Row],[Land Bonus]],1,0)*20)+15000)))*(1+(mason_bonus*TblConstr[[#This Row],[Tot Mas]]/TblConstr[[#This Row],[Land (2)]]))</f>
        <v>0</v>
      </c>
      <c r="AA81" s="309">
        <f ca="1">harbor_towers_cap*(1-EXP(-TblImps[[#This Row],[Σ Spires]]/(towers_param*(OFFSET(TblImps[[#This Row],[Land]],1,0)-OFFSET(TblExplore[[#This Row],[Land Bonus]],1,0)*20)+15000)))*(1+(mason_bonus*TblConstr[[#This Row],[Tot Mas]]/TblConstr[[#This Row],[Land (2)]]))</f>
        <v>0</v>
      </c>
      <c r="AB81" s="309">
        <f ca="1">walls_forges_cap*(1-EXP(-TblImps[[#This Row],[Σ Forges]]/(walls_forges_param*(OFFSET(TblImps[[#This Row],[Land]],1,0)-OFFSET(TblExplore[[#This Row],[Land Bonus]],1,0)*20)+15000)))*(1+(mason_bonus*TblConstr[[#This Row],[Tot Mas]]/TblConstr[[#This Row],[Land (2)]]))</f>
        <v>0</v>
      </c>
      <c r="AC81" s="309">
        <f ca="1">walls_forges_cap*(1-EXP(-TblImps[[#This Row],[Σ Walls]]/(walls_forges_param*(OFFSET(TblImps[[#This Row],[Land]],1,0)-OFFSET(TblExplore[[#This Row],[Land Bonus]],1,0)*20)+15000)))*(1+(mason_bonus*TblConstr[[#This Row],[Tot Mas]]/TblConstr[[#This Row],[Land (2)]]))</f>
        <v>0</v>
      </c>
      <c r="AD81" s="30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315">
        <f ca="1">OFFSET(TblImps[[#This Row],[Real time]],-1,0)+1/24</f>
        <v>45735.208333333147</v>
      </c>
      <c r="BZ81" s="316">
        <f ca="1">OFFSET(TblImps[[#This Row],[Servertime]],-1,0)+1/24</f>
        <v>45735.208333333147</v>
      </c>
      <c r="CA81" s="57"/>
      <c r="CB81" s="314"/>
      <c r="CC81" s="314"/>
      <c r="CF81" s="317"/>
    </row>
    <row r="82" spans="1:84" x14ac:dyDescent="0.2">
      <c r="A82" s="224">
        <f ca="1">TblConstr[[#This Row],[Land]]</f>
        <v>250</v>
      </c>
      <c r="B82" s="144"/>
      <c r="C82" s="96">
        <f ca="1">TblProd[[#This Row],[Platinum]]</f>
        <v>548786</v>
      </c>
      <c r="D82" s="96">
        <f ca="1">TblProd[[#This Row],[Lumber]]</f>
        <v>61186</v>
      </c>
      <c r="E82" s="96">
        <f ca="1">TblProd[[#This Row],[Ore]]</f>
        <v>0</v>
      </c>
      <c r="F82" s="96">
        <f ca="1">TblProd[[#This Row],[Gems]]</f>
        <v>0</v>
      </c>
      <c r="G82" s="156"/>
      <c r="H82" s="96">
        <f ca="1">TblMili[[#This Row],[Draftees]]</f>
        <v>626</v>
      </c>
      <c r="I82" s="182">
        <f ca="1">TblPop[[#This Row],[Employment]]</f>
        <v>1</v>
      </c>
      <c r="J82" s="182">
        <f ca="1">TblPop[[#This Row],[Total]]/TblPop[[#This Row],[Net max]]</f>
        <v>1</v>
      </c>
      <c r="K82" s="305">
        <f>TblRezone[[#This Row],[Hour]]</f>
        <v>79</v>
      </c>
      <c r="L82" s="306">
        <f ca="1">TblImps[[#This Row],[Real time]]</f>
        <v>45735.249999999811</v>
      </c>
      <c r="M82" s="61">
        <f>IF(ISERROR(TblImps[[#This Row],[algorithm]]),0,TblImps[[#This Row],[algorithm]]*1)</f>
        <v>0</v>
      </c>
      <c r="N82" s="96">
        <f ca="1">TblImps[[#This Row],[Land]]</f>
        <v>250</v>
      </c>
      <c r="O82" s="307" t="s">
        <v>4</v>
      </c>
      <c r="P82" s="308"/>
      <c r="Q82" s="307" t="s">
        <v>210</v>
      </c>
      <c r="R82" s="307" t="s">
        <v>7</v>
      </c>
      <c r="S82" s="308"/>
      <c r="T82" s="307" t="s">
        <v>210</v>
      </c>
      <c r="U82" s="307" t="s">
        <v>3</v>
      </c>
      <c r="V82" s="308"/>
      <c r="W82" s="307" t="s">
        <v>210</v>
      </c>
      <c r="X82" s="144"/>
      <c r="Y82" s="309">
        <f ca="1">science_cap*(1-EXP(-TblImps[[#This Row],[Σ Science]]/(science_param*(OFFSET(TblImps[[#This Row],[Land]],1,0)-OFFSET(TblExplore[[#This Row],[Land Bonus]],1,0)*20)+15000)))*(1+(mason_bonus*TblConstr[[#This Row],[Tot Mas]]/TblConstr[[#This Row],[Land (2)]]))</f>
        <v>0</v>
      </c>
      <c r="Z82" s="309">
        <f ca="1">keep_cap*(1-EXP(-TblImps[[#This Row],[Σ Keep]]/(keep_param*(OFFSET(TblImps[[#This Row],[Land]],1,0)-OFFSET(TblExplore[[#This Row],[Land Bonus]],1,0)*20)+15000)))*(1+(mason_bonus*TblConstr[[#This Row],[Tot Mas]]/TblConstr[[#This Row],[Land (2)]]))</f>
        <v>0</v>
      </c>
      <c r="AA82" s="309">
        <f ca="1">harbor_towers_cap*(1-EXP(-TblImps[[#This Row],[Σ Spires]]/(towers_param*(OFFSET(TblImps[[#This Row],[Land]],1,0)-OFFSET(TblExplore[[#This Row],[Land Bonus]],1,0)*20)+15000)))*(1+(mason_bonus*TblConstr[[#This Row],[Tot Mas]]/TblConstr[[#This Row],[Land (2)]]))</f>
        <v>0</v>
      </c>
      <c r="AB82" s="309">
        <f ca="1">walls_forges_cap*(1-EXP(-TblImps[[#This Row],[Σ Forges]]/(walls_forges_param*(OFFSET(TblImps[[#This Row],[Land]],1,0)-OFFSET(TblExplore[[#This Row],[Land Bonus]],1,0)*20)+15000)))*(1+(mason_bonus*TblConstr[[#This Row],[Tot Mas]]/TblConstr[[#This Row],[Land (2)]]))</f>
        <v>0</v>
      </c>
      <c r="AC82" s="309">
        <f ca="1">walls_forges_cap*(1-EXP(-TblImps[[#This Row],[Σ Walls]]/(walls_forges_param*(OFFSET(TblImps[[#This Row],[Land]],1,0)-OFFSET(TblExplore[[#This Row],[Land Bonus]],1,0)*20)+15000)))*(1+(mason_bonus*TblConstr[[#This Row],[Tot Mas]]/TblConstr[[#This Row],[Land (2)]]))</f>
        <v>0</v>
      </c>
      <c r="AD82" s="30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315">
        <f ca="1">OFFSET(TblImps[[#This Row],[Real time]],-1,0)+1/24</f>
        <v>45735.249999999811</v>
      </c>
      <c r="BZ82" s="316">
        <f ca="1">OFFSET(TblImps[[#This Row],[Servertime]],-1,0)+1/24</f>
        <v>45735.249999999811</v>
      </c>
      <c r="CA82" s="57"/>
      <c r="CB82" s="314"/>
      <c r="CC82" s="314"/>
    </row>
    <row r="83" spans="1:84" x14ac:dyDescent="0.2">
      <c r="A83" s="224">
        <f ca="1">TblConstr[[#This Row],[Land]]</f>
        <v>250</v>
      </c>
      <c r="B83" s="144"/>
      <c r="C83" s="96">
        <f ca="1">TblProd[[#This Row],[Platinum]]</f>
        <v>554272</v>
      </c>
      <c r="D83" s="96">
        <f ca="1">TblProd[[#This Row],[Lumber]]</f>
        <v>61574</v>
      </c>
      <c r="E83" s="96">
        <f ca="1">TblProd[[#This Row],[Ore]]</f>
        <v>0</v>
      </c>
      <c r="F83" s="96">
        <f ca="1">TblProd[[#This Row],[Gems]]</f>
        <v>0</v>
      </c>
      <c r="G83" s="156"/>
      <c r="H83" s="96">
        <f ca="1">TblMili[[#This Row],[Draftees]]</f>
        <v>626</v>
      </c>
      <c r="I83" s="182">
        <f ca="1">TblPop[[#This Row],[Employment]]</f>
        <v>1</v>
      </c>
      <c r="J83" s="182">
        <f ca="1">TblPop[[#This Row],[Total]]/TblPop[[#This Row],[Net max]]</f>
        <v>1</v>
      </c>
      <c r="K83" s="305">
        <f>TblRezone[[#This Row],[Hour]]</f>
        <v>80</v>
      </c>
      <c r="L83" s="306">
        <f ca="1">TblImps[[#This Row],[Real time]]</f>
        <v>45735.291666666475</v>
      </c>
      <c r="M83" s="61">
        <f>IF(ISERROR(TblImps[[#This Row],[algorithm]]),0,TblImps[[#This Row],[algorithm]]*1)</f>
        <v>0</v>
      </c>
      <c r="N83" s="96">
        <f ca="1">TblImps[[#This Row],[Land]]</f>
        <v>250</v>
      </c>
      <c r="O83" s="307" t="s">
        <v>4</v>
      </c>
      <c r="P83" s="308"/>
      <c r="Q83" s="307" t="s">
        <v>210</v>
      </c>
      <c r="R83" s="307" t="s">
        <v>7</v>
      </c>
      <c r="S83" s="308"/>
      <c r="T83" s="307" t="s">
        <v>210</v>
      </c>
      <c r="U83" s="307" t="s">
        <v>3</v>
      </c>
      <c r="V83" s="308"/>
      <c r="W83" s="307" t="s">
        <v>210</v>
      </c>
      <c r="X83" s="144"/>
      <c r="Y83" s="309">
        <f ca="1">science_cap*(1-EXP(-TblImps[[#This Row],[Σ Science]]/(science_param*(OFFSET(TblImps[[#This Row],[Land]],1,0)-OFFSET(TblExplore[[#This Row],[Land Bonus]],1,0)*20)+15000)))*(1+(mason_bonus*TblConstr[[#This Row],[Tot Mas]]/TblConstr[[#This Row],[Land (2)]]))</f>
        <v>0</v>
      </c>
      <c r="Z83" s="309">
        <f ca="1">keep_cap*(1-EXP(-TblImps[[#This Row],[Σ Keep]]/(keep_param*(OFFSET(TblImps[[#This Row],[Land]],1,0)-OFFSET(TblExplore[[#This Row],[Land Bonus]],1,0)*20)+15000)))*(1+(mason_bonus*TblConstr[[#This Row],[Tot Mas]]/TblConstr[[#This Row],[Land (2)]]))</f>
        <v>0</v>
      </c>
      <c r="AA83" s="309">
        <f ca="1">harbor_towers_cap*(1-EXP(-TblImps[[#This Row],[Σ Spires]]/(towers_param*(OFFSET(TblImps[[#This Row],[Land]],1,0)-OFFSET(TblExplore[[#This Row],[Land Bonus]],1,0)*20)+15000)))*(1+(mason_bonus*TblConstr[[#This Row],[Tot Mas]]/TblConstr[[#This Row],[Land (2)]]))</f>
        <v>0</v>
      </c>
      <c r="AB83" s="309">
        <f ca="1">walls_forges_cap*(1-EXP(-TblImps[[#This Row],[Σ Forges]]/(walls_forges_param*(OFFSET(TblImps[[#This Row],[Land]],1,0)-OFFSET(TblExplore[[#This Row],[Land Bonus]],1,0)*20)+15000)))*(1+(mason_bonus*TblConstr[[#This Row],[Tot Mas]]/TblConstr[[#This Row],[Land (2)]]))</f>
        <v>0</v>
      </c>
      <c r="AC83" s="309">
        <f ca="1">walls_forges_cap*(1-EXP(-TblImps[[#This Row],[Σ Walls]]/(walls_forges_param*(OFFSET(TblImps[[#This Row],[Land]],1,0)-OFFSET(TblExplore[[#This Row],[Land Bonus]],1,0)*20)+15000)))*(1+(mason_bonus*TblConstr[[#This Row],[Tot Mas]]/TblConstr[[#This Row],[Land (2)]]))</f>
        <v>0</v>
      </c>
      <c r="AD83" s="30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315">
        <f ca="1">OFFSET(TblImps[[#This Row],[Real time]],-1,0)+1/24</f>
        <v>45735.291666666475</v>
      </c>
      <c r="BZ83" s="316">
        <f ca="1">OFFSET(TblImps[[#This Row],[Servertime]],-1,0)+1/24</f>
        <v>45735.291666666475</v>
      </c>
      <c r="CA83" s="57"/>
      <c r="CB83" s="314"/>
      <c r="CC83" s="314"/>
    </row>
    <row r="84" spans="1:84" x14ac:dyDescent="0.2">
      <c r="A84" s="224">
        <f ca="1">TblConstr[[#This Row],[Land]]</f>
        <v>250</v>
      </c>
      <c r="B84" s="144"/>
      <c r="C84" s="96">
        <f ca="1">TblProd[[#This Row],[Platinum]]</f>
        <v>559758</v>
      </c>
      <c r="D84" s="96">
        <f ca="1">TblProd[[#This Row],[Lumber]]</f>
        <v>61958</v>
      </c>
      <c r="E84" s="96">
        <f ca="1">TblProd[[#This Row],[Ore]]</f>
        <v>0</v>
      </c>
      <c r="F84" s="96">
        <f ca="1">TblProd[[#This Row],[Gems]]</f>
        <v>0</v>
      </c>
      <c r="G84" s="156"/>
      <c r="H84" s="96">
        <f ca="1">TblMili[[#This Row],[Draftees]]</f>
        <v>626</v>
      </c>
      <c r="I84" s="182">
        <f ca="1">TblPop[[#This Row],[Employment]]</f>
        <v>1</v>
      </c>
      <c r="J84" s="182">
        <f ca="1">TblPop[[#This Row],[Total]]/TblPop[[#This Row],[Net max]]</f>
        <v>1</v>
      </c>
      <c r="K84" s="305">
        <f>TblRezone[[#This Row],[Hour]]</f>
        <v>81</v>
      </c>
      <c r="L84" s="306">
        <f ca="1">TblImps[[#This Row],[Real time]]</f>
        <v>45735.333333333139</v>
      </c>
      <c r="M84" s="61">
        <f>IF(ISERROR(TblImps[[#This Row],[algorithm]]),0,TblImps[[#This Row],[algorithm]]*1)</f>
        <v>0</v>
      </c>
      <c r="N84" s="96">
        <f ca="1">TblImps[[#This Row],[Land]]</f>
        <v>250</v>
      </c>
      <c r="O84" s="307" t="s">
        <v>4</v>
      </c>
      <c r="P84" s="308"/>
      <c r="Q84" s="307" t="s">
        <v>210</v>
      </c>
      <c r="R84" s="307" t="s">
        <v>7</v>
      </c>
      <c r="S84" s="308"/>
      <c r="T84" s="307" t="s">
        <v>210</v>
      </c>
      <c r="U84" s="307" t="s">
        <v>3</v>
      </c>
      <c r="V84" s="308"/>
      <c r="W84" s="307" t="s">
        <v>210</v>
      </c>
      <c r="X84" s="144"/>
      <c r="Y84" s="309">
        <f ca="1">science_cap*(1-EXP(-TblImps[[#This Row],[Σ Science]]/(science_param*(OFFSET(TblImps[[#This Row],[Land]],1,0)-OFFSET(TblExplore[[#This Row],[Land Bonus]],1,0)*20)+15000)))*(1+(mason_bonus*TblConstr[[#This Row],[Tot Mas]]/TblConstr[[#This Row],[Land (2)]]))</f>
        <v>0</v>
      </c>
      <c r="Z84" s="309">
        <f ca="1">keep_cap*(1-EXP(-TblImps[[#This Row],[Σ Keep]]/(keep_param*(OFFSET(TblImps[[#This Row],[Land]],1,0)-OFFSET(TblExplore[[#This Row],[Land Bonus]],1,0)*20)+15000)))*(1+(mason_bonus*TblConstr[[#This Row],[Tot Mas]]/TblConstr[[#This Row],[Land (2)]]))</f>
        <v>0</v>
      </c>
      <c r="AA84" s="309">
        <f ca="1">harbor_towers_cap*(1-EXP(-TblImps[[#This Row],[Σ Spires]]/(towers_param*(OFFSET(TblImps[[#This Row],[Land]],1,0)-OFFSET(TblExplore[[#This Row],[Land Bonus]],1,0)*20)+15000)))*(1+(mason_bonus*TblConstr[[#This Row],[Tot Mas]]/TblConstr[[#This Row],[Land (2)]]))</f>
        <v>0</v>
      </c>
      <c r="AB84" s="309">
        <f ca="1">walls_forges_cap*(1-EXP(-TblImps[[#This Row],[Σ Forges]]/(walls_forges_param*(OFFSET(TblImps[[#This Row],[Land]],1,0)-OFFSET(TblExplore[[#This Row],[Land Bonus]],1,0)*20)+15000)))*(1+(mason_bonus*TblConstr[[#This Row],[Tot Mas]]/TblConstr[[#This Row],[Land (2)]]))</f>
        <v>0</v>
      </c>
      <c r="AC84" s="309">
        <f ca="1">walls_forges_cap*(1-EXP(-TblImps[[#This Row],[Σ Walls]]/(walls_forges_param*(OFFSET(TblImps[[#This Row],[Land]],1,0)-OFFSET(TblExplore[[#This Row],[Land Bonus]],1,0)*20)+15000)))*(1+(mason_bonus*TblConstr[[#This Row],[Tot Mas]]/TblConstr[[#This Row],[Land (2)]]))</f>
        <v>0</v>
      </c>
      <c r="AD84" s="30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315">
        <f ca="1">OFFSET(TblImps[[#This Row],[Real time]],-1,0)+1/24</f>
        <v>45735.333333333139</v>
      </c>
      <c r="BZ84" s="316">
        <f ca="1">OFFSET(TblImps[[#This Row],[Servertime]],-1,0)+1/24</f>
        <v>45735.333333333139</v>
      </c>
      <c r="CA84" s="57"/>
      <c r="CB84" s="314"/>
      <c r="CC84" s="314"/>
    </row>
    <row r="85" spans="1:84" x14ac:dyDescent="0.2">
      <c r="A85" s="224">
        <f ca="1">TblConstr[[#This Row],[Land]]</f>
        <v>250</v>
      </c>
      <c r="B85" s="144"/>
      <c r="C85" s="96">
        <f ca="1">TblProd[[#This Row],[Platinum]]</f>
        <v>565244</v>
      </c>
      <c r="D85" s="96">
        <f ca="1">TblProd[[#This Row],[Lumber]]</f>
        <v>62338</v>
      </c>
      <c r="E85" s="96">
        <f ca="1">TblProd[[#This Row],[Ore]]</f>
        <v>0</v>
      </c>
      <c r="F85" s="96">
        <f ca="1">TblProd[[#This Row],[Gems]]</f>
        <v>0</v>
      </c>
      <c r="G85" s="156"/>
      <c r="H85" s="96">
        <f ca="1">TblMili[[#This Row],[Draftees]]</f>
        <v>626</v>
      </c>
      <c r="I85" s="182">
        <f ca="1">TblPop[[#This Row],[Employment]]</f>
        <v>1</v>
      </c>
      <c r="J85" s="182">
        <f ca="1">TblPop[[#This Row],[Total]]/TblPop[[#This Row],[Net max]]</f>
        <v>1</v>
      </c>
      <c r="K85" s="305">
        <f>TblRezone[[#This Row],[Hour]]</f>
        <v>82</v>
      </c>
      <c r="L85" s="306">
        <f ca="1">TblImps[[#This Row],[Real time]]</f>
        <v>45735.374999999804</v>
      </c>
      <c r="M85" s="61">
        <f>IF(ISERROR(TblImps[[#This Row],[algorithm]]),0,TblImps[[#This Row],[algorithm]]*1)</f>
        <v>0</v>
      </c>
      <c r="N85" s="96">
        <f ca="1">TblImps[[#This Row],[Land]]</f>
        <v>250</v>
      </c>
      <c r="O85" s="307" t="s">
        <v>4</v>
      </c>
      <c r="P85" s="308"/>
      <c r="Q85" s="307" t="s">
        <v>210</v>
      </c>
      <c r="R85" s="307" t="s">
        <v>7</v>
      </c>
      <c r="S85" s="308"/>
      <c r="T85" s="307" t="s">
        <v>210</v>
      </c>
      <c r="U85" s="307" t="s">
        <v>3</v>
      </c>
      <c r="V85" s="308"/>
      <c r="W85" s="307" t="s">
        <v>210</v>
      </c>
      <c r="X85" s="144"/>
      <c r="Y85" s="309">
        <f ca="1">science_cap*(1-EXP(-TblImps[[#This Row],[Σ Science]]/(science_param*(OFFSET(TblImps[[#This Row],[Land]],1,0)-OFFSET(TblExplore[[#This Row],[Land Bonus]],1,0)*20)+15000)))*(1+(mason_bonus*TblConstr[[#This Row],[Tot Mas]]/TblConstr[[#This Row],[Land (2)]]))</f>
        <v>0</v>
      </c>
      <c r="Z85" s="309">
        <f ca="1">keep_cap*(1-EXP(-TblImps[[#This Row],[Σ Keep]]/(keep_param*(OFFSET(TblImps[[#This Row],[Land]],1,0)-OFFSET(TblExplore[[#This Row],[Land Bonus]],1,0)*20)+15000)))*(1+(mason_bonus*TblConstr[[#This Row],[Tot Mas]]/TblConstr[[#This Row],[Land (2)]]))</f>
        <v>0</v>
      </c>
      <c r="AA85" s="309">
        <f ca="1">harbor_towers_cap*(1-EXP(-TblImps[[#This Row],[Σ Spires]]/(towers_param*(OFFSET(TblImps[[#This Row],[Land]],1,0)-OFFSET(TblExplore[[#This Row],[Land Bonus]],1,0)*20)+15000)))*(1+(mason_bonus*TblConstr[[#This Row],[Tot Mas]]/TblConstr[[#This Row],[Land (2)]]))</f>
        <v>0</v>
      </c>
      <c r="AB85" s="309">
        <f ca="1">walls_forges_cap*(1-EXP(-TblImps[[#This Row],[Σ Forges]]/(walls_forges_param*(OFFSET(TblImps[[#This Row],[Land]],1,0)-OFFSET(TblExplore[[#This Row],[Land Bonus]],1,0)*20)+15000)))*(1+(mason_bonus*TblConstr[[#This Row],[Tot Mas]]/TblConstr[[#This Row],[Land (2)]]))</f>
        <v>0</v>
      </c>
      <c r="AC85" s="309">
        <f ca="1">walls_forges_cap*(1-EXP(-TblImps[[#This Row],[Σ Walls]]/(walls_forges_param*(OFFSET(TblImps[[#This Row],[Land]],1,0)-OFFSET(TblExplore[[#This Row],[Land Bonus]],1,0)*20)+15000)))*(1+(mason_bonus*TblConstr[[#This Row],[Tot Mas]]/TblConstr[[#This Row],[Land (2)]]))</f>
        <v>0</v>
      </c>
      <c r="AD85" s="30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315">
        <f ca="1">OFFSET(TblImps[[#This Row],[Real time]],-1,0)+1/24</f>
        <v>45735.374999999804</v>
      </c>
      <c r="BZ85" s="316">
        <f ca="1">OFFSET(TblImps[[#This Row],[Servertime]],-1,0)+1/24</f>
        <v>45735.374999999804</v>
      </c>
      <c r="CA85" s="57"/>
      <c r="CB85" s="314"/>
      <c r="CC85" s="314"/>
    </row>
    <row r="86" spans="1:84" x14ac:dyDescent="0.2">
      <c r="A86" s="224">
        <f ca="1">TblConstr[[#This Row],[Land]]</f>
        <v>250</v>
      </c>
      <c r="B86" s="144"/>
      <c r="C86" s="96">
        <f ca="1">TblProd[[#This Row],[Platinum]]</f>
        <v>570730</v>
      </c>
      <c r="D86" s="96">
        <f ca="1">TblProd[[#This Row],[Lumber]]</f>
        <v>62715</v>
      </c>
      <c r="E86" s="96">
        <f ca="1">TblProd[[#This Row],[Ore]]</f>
        <v>0</v>
      </c>
      <c r="F86" s="96">
        <f ca="1">TblProd[[#This Row],[Gems]]</f>
        <v>0</v>
      </c>
      <c r="G86" s="156"/>
      <c r="H86" s="96">
        <f ca="1">TblMili[[#This Row],[Draftees]]</f>
        <v>626</v>
      </c>
      <c r="I86" s="182">
        <f ca="1">TblPop[[#This Row],[Employment]]</f>
        <v>1</v>
      </c>
      <c r="J86" s="182">
        <f ca="1">TblPop[[#This Row],[Total]]/TblPop[[#This Row],[Net max]]</f>
        <v>1</v>
      </c>
      <c r="K86" s="305">
        <f>TblRezone[[#This Row],[Hour]]</f>
        <v>83</v>
      </c>
      <c r="L86" s="306">
        <f ca="1">TblImps[[#This Row],[Real time]]</f>
        <v>45735.416666666468</v>
      </c>
      <c r="M86" s="61">
        <f>IF(ISERROR(TblImps[[#This Row],[algorithm]]),0,TblImps[[#This Row],[algorithm]]*1)</f>
        <v>0</v>
      </c>
      <c r="N86" s="96">
        <f ca="1">TblImps[[#This Row],[Land]]</f>
        <v>250</v>
      </c>
      <c r="O86" s="307" t="s">
        <v>4</v>
      </c>
      <c r="P86" s="308"/>
      <c r="Q86" s="307" t="s">
        <v>210</v>
      </c>
      <c r="R86" s="307" t="s">
        <v>7</v>
      </c>
      <c r="S86" s="308"/>
      <c r="T86" s="307" t="s">
        <v>210</v>
      </c>
      <c r="U86" s="307" t="s">
        <v>3</v>
      </c>
      <c r="V86" s="308"/>
      <c r="W86" s="307" t="s">
        <v>210</v>
      </c>
      <c r="X86" s="144"/>
      <c r="Y86" s="309">
        <f ca="1">science_cap*(1-EXP(-TblImps[[#This Row],[Σ Science]]/(science_param*(OFFSET(TblImps[[#This Row],[Land]],1,0)-OFFSET(TblExplore[[#This Row],[Land Bonus]],1,0)*20)+15000)))*(1+(mason_bonus*TblConstr[[#This Row],[Tot Mas]]/TblConstr[[#This Row],[Land (2)]]))</f>
        <v>0</v>
      </c>
      <c r="Z86" s="309">
        <f ca="1">keep_cap*(1-EXP(-TblImps[[#This Row],[Σ Keep]]/(keep_param*(OFFSET(TblImps[[#This Row],[Land]],1,0)-OFFSET(TblExplore[[#This Row],[Land Bonus]],1,0)*20)+15000)))*(1+(mason_bonus*TblConstr[[#This Row],[Tot Mas]]/TblConstr[[#This Row],[Land (2)]]))</f>
        <v>0</v>
      </c>
      <c r="AA86" s="309">
        <f ca="1">harbor_towers_cap*(1-EXP(-TblImps[[#This Row],[Σ Spires]]/(towers_param*(OFFSET(TblImps[[#This Row],[Land]],1,0)-OFFSET(TblExplore[[#This Row],[Land Bonus]],1,0)*20)+15000)))*(1+(mason_bonus*TblConstr[[#This Row],[Tot Mas]]/TblConstr[[#This Row],[Land (2)]]))</f>
        <v>0</v>
      </c>
      <c r="AB86" s="309">
        <f ca="1">walls_forges_cap*(1-EXP(-TblImps[[#This Row],[Σ Forges]]/(walls_forges_param*(OFFSET(TblImps[[#This Row],[Land]],1,0)-OFFSET(TblExplore[[#This Row],[Land Bonus]],1,0)*20)+15000)))*(1+(mason_bonus*TblConstr[[#This Row],[Tot Mas]]/TblConstr[[#This Row],[Land (2)]]))</f>
        <v>0</v>
      </c>
      <c r="AC86" s="309">
        <f ca="1">walls_forges_cap*(1-EXP(-TblImps[[#This Row],[Σ Walls]]/(walls_forges_param*(OFFSET(TblImps[[#This Row],[Land]],1,0)-OFFSET(TblExplore[[#This Row],[Land Bonus]],1,0)*20)+15000)))*(1+(mason_bonus*TblConstr[[#This Row],[Tot Mas]]/TblConstr[[#This Row],[Land (2)]]))</f>
        <v>0</v>
      </c>
      <c r="AD86" s="30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315">
        <f ca="1">OFFSET(TblImps[[#This Row],[Real time]],-1,0)+1/24</f>
        <v>45735.416666666468</v>
      </c>
      <c r="BZ86" s="316">
        <f ca="1">OFFSET(TblImps[[#This Row],[Servertime]],-1,0)+1/24</f>
        <v>45735.416666666468</v>
      </c>
      <c r="CA86" s="57"/>
      <c r="CB86" s="314"/>
      <c r="CC86" s="314"/>
    </row>
    <row r="87" spans="1:84" x14ac:dyDescent="0.2">
      <c r="A87" s="224">
        <f ca="1">TblConstr[[#This Row],[Land]]</f>
        <v>250</v>
      </c>
      <c r="B87" s="144"/>
      <c r="C87" s="96">
        <f ca="1">TblProd[[#This Row],[Platinum]]</f>
        <v>576216</v>
      </c>
      <c r="D87" s="96">
        <f ca="1">TblProd[[#This Row],[Lumber]]</f>
        <v>63088</v>
      </c>
      <c r="E87" s="96">
        <f ca="1">TblProd[[#This Row],[Ore]]</f>
        <v>0</v>
      </c>
      <c r="F87" s="96">
        <f ca="1">TblProd[[#This Row],[Gems]]</f>
        <v>0</v>
      </c>
      <c r="G87" s="156"/>
      <c r="H87" s="96">
        <f ca="1">TblMili[[#This Row],[Draftees]]</f>
        <v>626</v>
      </c>
      <c r="I87" s="182">
        <f ca="1">TblPop[[#This Row],[Employment]]</f>
        <v>1</v>
      </c>
      <c r="J87" s="182">
        <f ca="1">TblPop[[#This Row],[Total]]/TblPop[[#This Row],[Net max]]</f>
        <v>1</v>
      </c>
      <c r="K87" s="305">
        <f>TblRezone[[#This Row],[Hour]]</f>
        <v>84</v>
      </c>
      <c r="L87" s="306">
        <f ca="1">TblImps[[#This Row],[Real time]]</f>
        <v>45735.458333333132</v>
      </c>
      <c r="M87" s="61">
        <f>IF(ISERROR(TblImps[[#This Row],[algorithm]]),0,TblImps[[#This Row],[algorithm]]*1)</f>
        <v>0</v>
      </c>
      <c r="N87" s="96">
        <f ca="1">TblImps[[#This Row],[Land]]</f>
        <v>250</v>
      </c>
      <c r="O87" s="307" t="s">
        <v>4</v>
      </c>
      <c r="P87" s="308"/>
      <c r="Q87" s="307" t="s">
        <v>210</v>
      </c>
      <c r="R87" s="307" t="s">
        <v>7</v>
      </c>
      <c r="S87" s="308"/>
      <c r="T87" s="307" t="s">
        <v>210</v>
      </c>
      <c r="U87" s="307" t="s">
        <v>3</v>
      </c>
      <c r="V87" s="308"/>
      <c r="W87" s="307" t="s">
        <v>210</v>
      </c>
      <c r="X87" s="144"/>
      <c r="Y87" s="309">
        <f ca="1">science_cap*(1-EXP(-TblImps[[#This Row],[Σ Science]]/(science_param*(OFFSET(TblImps[[#This Row],[Land]],1,0)-OFFSET(TblExplore[[#This Row],[Land Bonus]],1,0)*20)+15000)))*(1+(mason_bonus*TblConstr[[#This Row],[Tot Mas]]/TblConstr[[#This Row],[Land (2)]]))</f>
        <v>0</v>
      </c>
      <c r="Z87" s="309">
        <f ca="1">keep_cap*(1-EXP(-TblImps[[#This Row],[Σ Keep]]/(keep_param*(OFFSET(TblImps[[#This Row],[Land]],1,0)-OFFSET(TblExplore[[#This Row],[Land Bonus]],1,0)*20)+15000)))*(1+(mason_bonus*TblConstr[[#This Row],[Tot Mas]]/TblConstr[[#This Row],[Land (2)]]))</f>
        <v>0</v>
      </c>
      <c r="AA87" s="309">
        <f ca="1">harbor_towers_cap*(1-EXP(-TblImps[[#This Row],[Σ Spires]]/(towers_param*(OFFSET(TblImps[[#This Row],[Land]],1,0)-OFFSET(TblExplore[[#This Row],[Land Bonus]],1,0)*20)+15000)))*(1+(mason_bonus*TblConstr[[#This Row],[Tot Mas]]/TblConstr[[#This Row],[Land (2)]]))</f>
        <v>0</v>
      </c>
      <c r="AB87" s="309">
        <f ca="1">walls_forges_cap*(1-EXP(-TblImps[[#This Row],[Σ Forges]]/(walls_forges_param*(OFFSET(TblImps[[#This Row],[Land]],1,0)-OFFSET(TblExplore[[#This Row],[Land Bonus]],1,0)*20)+15000)))*(1+(mason_bonus*TblConstr[[#This Row],[Tot Mas]]/TblConstr[[#This Row],[Land (2)]]))</f>
        <v>0</v>
      </c>
      <c r="AC87" s="309">
        <f ca="1">walls_forges_cap*(1-EXP(-TblImps[[#This Row],[Σ Walls]]/(walls_forges_param*(OFFSET(TblImps[[#This Row],[Land]],1,0)-OFFSET(TblExplore[[#This Row],[Land Bonus]],1,0)*20)+15000)))*(1+(mason_bonus*TblConstr[[#This Row],[Tot Mas]]/TblConstr[[#This Row],[Land (2)]]))</f>
        <v>0</v>
      </c>
      <c r="AD87" s="30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315">
        <f ca="1">OFFSET(TblImps[[#This Row],[Real time]],-1,0)+1/24</f>
        <v>45735.458333333132</v>
      </c>
      <c r="BZ87" s="316">
        <f ca="1">OFFSET(TblImps[[#This Row],[Servertime]],-1,0)+1/24</f>
        <v>45735.458333333132</v>
      </c>
      <c r="CA87" s="57"/>
      <c r="CB87" s="314"/>
      <c r="CC87" s="314"/>
    </row>
    <row r="88" spans="1:84" x14ac:dyDescent="0.2">
      <c r="A88" s="224">
        <f ca="1">TblConstr[[#This Row],[Land]]</f>
        <v>250</v>
      </c>
      <c r="B88" s="144"/>
      <c r="C88" s="96">
        <f ca="1">TblProd[[#This Row],[Platinum]]</f>
        <v>581702</v>
      </c>
      <c r="D88" s="96">
        <f ca="1">TblProd[[#This Row],[Lumber]]</f>
        <v>63457</v>
      </c>
      <c r="E88" s="96">
        <f ca="1">TblProd[[#This Row],[Ore]]</f>
        <v>0</v>
      </c>
      <c r="F88" s="96">
        <f ca="1">TblProd[[#This Row],[Gems]]</f>
        <v>0</v>
      </c>
      <c r="G88" s="156"/>
      <c r="H88" s="96">
        <f ca="1">TblMili[[#This Row],[Draftees]]</f>
        <v>626</v>
      </c>
      <c r="I88" s="182">
        <f ca="1">TblPop[[#This Row],[Employment]]</f>
        <v>1</v>
      </c>
      <c r="J88" s="182">
        <f ca="1">TblPop[[#This Row],[Total]]/TblPop[[#This Row],[Net max]]</f>
        <v>1</v>
      </c>
      <c r="K88" s="305">
        <f>TblRezone[[#This Row],[Hour]]</f>
        <v>85</v>
      </c>
      <c r="L88" s="306">
        <f ca="1">TblImps[[#This Row],[Real time]]</f>
        <v>45735.499999999796</v>
      </c>
      <c r="M88" s="61">
        <f>IF(ISERROR(TblImps[[#This Row],[algorithm]]),0,TblImps[[#This Row],[algorithm]]*1)</f>
        <v>0</v>
      </c>
      <c r="N88" s="96">
        <f ca="1">TblImps[[#This Row],[Land]]</f>
        <v>250</v>
      </c>
      <c r="O88" s="307" t="s">
        <v>4</v>
      </c>
      <c r="P88" s="308"/>
      <c r="Q88" s="307" t="s">
        <v>210</v>
      </c>
      <c r="R88" s="307" t="s">
        <v>7</v>
      </c>
      <c r="S88" s="308"/>
      <c r="T88" s="307" t="s">
        <v>210</v>
      </c>
      <c r="U88" s="307" t="s">
        <v>3</v>
      </c>
      <c r="V88" s="308"/>
      <c r="W88" s="307" t="s">
        <v>210</v>
      </c>
      <c r="X88" s="144"/>
      <c r="Y88" s="309">
        <f ca="1">science_cap*(1-EXP(-TblImps[[#This Row],[Σ Science]]/(science_param*(OFFSET(TblImps[[#This Row],[Land]],1,0)-OFFSET(TblExplore[[#This Row],[Land Bonus]],1,0)*20)+15000)))*(1+(mason_bonus*TblConstr[[#This Row],[Tot Mas]]/TblConstr[[#This Row],[Land (2)]]))</f>
        <v>0</v>
      </c>
      <c r="Z88" s="309">
        <f ca="1">keep_cap*(1-EXP(-TblImps[[#This Row],[Σ Keep]]/(keep_param*(OFFSET(TblImps[[#This Row],[Land]],1,0)-OFFSET(TblExplore[[#This Row],[Land Bonus]],1,0)*20)+15000)))*(1+(mason_bonus*TblConstr[[#This Row],[Tot Mas]]/TblConstr[[#This Row],[Land (2)]]))</f>
        <v>0</v>
      </c>
      <c r="AA88" s="309">
        <f ca="1">harbor_towers_cap*(1-EXP(-TblImps[[#This Row],[Σ Spires]]/(towers_param*(OFFSET(TblImps[[#This Row],[Land]],1,0)-OFFSET(TblExplore[[#This Row],[Land Bonus]],1,0)*20)+15000)))*(1+(mason_bonus*TblConstr[[#This Row],[Tot Mas]]/TblConstr[[#This Row],[Land (2)]]))</f>
        <v>0</v>
      </c>
      <c r="AB88" s="309">
        <f ca="1">walls_forges_cap*(1-EXP(-TblImps[[#This Row],[Σ Forges]]/(walls_forges_param*(OFFSET(TblImps[[#This Row],[Land]],1,0)-OFFSET(TblExplore[[#This Row],[Land Bonus]],1,0)*20)+15000)))*(1+(mason_bonus*TblConstr[[#This Row],[Tot Mas]]/TblConstr[[#This Row],[Land (2)]]))</f>
        <v>0</v>
      </c>
      <c r="AC88" s="309">
        <f ca="1">walls_forges_cap*(1-EXP(-TblImps[[#This Row],[Σ Walls]]/(walls_forges_param*(OFFSET(TblImps[[#This Row],[Land]],1,0)-OFFSET(TblExplore[[#This Row],[Land Bonus]],1,0)*20)+15000)))*(1+(mason_bonus*TblConstr[[#This Row],[Tot Mas]]/TblConstr[[#This Row],[Land (2)]]))</f>
        <v>0</v>
      </c>
      <c r="AD88" s="30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315">
        <f ca="1">OFFSET(TblImps[[#This Row],[Real time]],-1,0)+1/24</f>
        <v>45735.499999999796</v>
      </c>
      <c r="BZ88" s="316">
        <f ca="1">OFFSET(TblImps[[#This Row],[Servertime]],-1,0)+1/24</f>
        <v>45735.499999999796</v>
      </c>
      <c r="CA88" s="57"/>
      <c r="CB88" s="314"/>
      <c r="CC88" s="314"/>
    </row>
    <row r="89" spans="1:84" x14ac:dyDescent="0.2">
      <c r="A89" s="224">
        <f ca="1">TblConstr[[#This Row],[Land]]</f>
        <v>250</v>
      </c>
      <c r="B89" s="144"/>
      <c r="C89" s="96">
        <f ca="1">TblProd[[#This Row],[Platinum]]</f>
        <v>587188</v>
      </c>
      <c r="D89" s="96">
        <f ca="1">TblProd[[#This Row],[Lumber]]</f>
        <v>63822</v>
      </c>
      <c r="E89" s="96">
        <f ca="1">TblProd[[#This Row],[Ore]]</f>
        <v>0</v>
      </c>
      <c r="F89" s="96">
        <f ca="1">TblProd[[#This Row],[Gems]]</f>
        <v>0</v>
      </c>
      <c r="G89" s="156"/>
      <c r="H89" s="96">
        <f ca="1">TblMili[[#This Row],[Draftees]]</f>
        <v>626</v>
      </c>
      <c r="I89" s="182">
        <f ca="1">TblPop[[#This Row],[Employment]]</f>
        <v>1</v>
      </c>
      <c r="J89" s="182">
        <f ca="1">TblPop[[#This Row],[Total]]/TblPop[[#This Row],[Net max]]</f>
        <v>1</v>
      </c>
      <c r="K89" s="305">
        <f>TblRezone[[#This Row],[Hour]]</f>
        <v>86</v>
      </c>
      <c r="L89" s="306">
        <f ca="1">TblImps[[#This Row],[Real time]]</f>
        <v>45735.541666666461</v>
      </c>
      <c r="M89" s="61">
        <f>IF(ISERROR(TblImps[[#This Row],[algorithm]]),0,TblImps[[#This Row],[algorithm]]*1)</f>
        <v>0</v>
      </c>
      <c r="N89" s="96">
        <f ca="1">TblImps[[#This Row],[Land]]</f>
        <v>250</v>
      </c>
      <c r="O89" s="307" t="s">
        <v>2</v>
      </c>
      <c r="P89" s="308"/>
      <c r="Q89" s="307" t="s">
        <v>210</v>
      </c>
      <c r="R89" s="307" t="s">
        <v>7</v>
      </c>
      <c r="S89" s="308"/>
      <c r="T89" s="307" t="s">
        <v>210</v>
      </c>
      <c r="U89" s="307" t="s">
        <v>3</v>
      </c>
      <c r="V89" s="308"/>
      <c r="W89" s="307" t="s">
        <v>210</v>
      </c>
      <c r="X89" s="144"/>
      <c r="Y89" s="309">
        <f ca="1">science_cap*(1-EXP(-TblImps[[#This Row],[Σ Science]]/(science_param*(OFFSET(TblImps[[#This Row],[Land]],1,0)-OFFSET(TblExplore[[#This Row],[Land Bonus]],1,0)*20)+15000)))*(1+(mason_bonus*TblConstr[[#This Row],[Tot Mas]]/TblConstr[[#This Row],[Land (2)]]))</f>
        <v>0</v>
      </c>
      <c r="Z89" s="309">
        <f ca="1">keep_cap*(1-EXP(-TblImps[[#This Row],[Σ Keep]]/(keep_param*(OFFSET(TblImps[[#This Row],[Land]],1,0)-OFFSET(TblExplore[[#This Row],[Land Bonus]],1,0)*20)+15000)))*(1+(mason_bonus*TblConstr[[#This Row],[Tot Mas]]/TblConstr[[#This Row],[Land (2)]]))</f>
        <v>0</v>
      </c>
      <c r="AA89" s="309">
        <f ca="1">harbor_towers_cap*(1-EXP(-TblImps[[#This Row],[Σ Spires]]/(towers_param*(OFFSET(TblImps[[#This Row],[Land]],1,0)-OFFSET(TblExplore[[#This Row],[Land Bonus]],1,0)*20)+15000)))*(1+(mason_bonus*TblConstr[[#This Row],[Tot Mas]]/TblConstr[[#This Row],[Land (2)]]))</f>
        <v>0</v>
      </c>
      <c r="AB89" s="309">
        <f ca="1">walls_forges_cap*(1-EXP(-TblImps[[#This Row],[Σ Forges]]/(walls_forges_param*(OFFSET(TblImps[[#This Row],[Land]],1,0)-OFFSET(TblExplore[[#This Row],[Land Bonus]],1,0)*20)+15000)))*(1+(mason_bonus*TblConstr[[#This Row],[Tot Mas]]/TblConstr[[#This Row],[Land (2)]]))</f>
        <v>0</v>
      </c>
      <c r="AC89" s="309">
        <f ca="1">walls_forges_cap*(1-EXP(-TblImps[[#This Row],[Σ Walls]]/(walls_forges_param*(OFFSET(TblImps[[#This Row],[Land]],1,0)-OFFSET(TblExplore[[#This Row],[Land Bonus]],1,0)*20)+15000)))*(1+(mason_bonus*TblConstr[[#This Row],[Tot Mas]]/TblConstr[[#This Row],[Land (2)]]))</f>
        <v>0</v>
      </c>
      <c r="AD89" s="30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315">
        <f ca="1">OFFSET(TblImps[[#This Row],[Real time]],-1,0)+1/24</f>
        <v>45735.541666666461</v>
      </c>
      <c r="BZ89" s="316">
        <f ca="1">OFFSET(TblImps[[#This Row],[Servertime]],-1,0)+1/24</f>
        <v>45735.541666666461</v>
      </c>
      <c r="CA89" s="57"/>
      <c r="CB89" s="314"/>
      <c r="CC89" s="314"/>
      <c r="CD89" s="161"/>
    </row>
    <row r="90" spans="1:84" x14ac:dyDescent="0.2">
      <c r="A90" s="224">
        <f ca="1">TblConstr[[#This Row],[Land]]</f>
        <v>250</v>
      </c>
      <c r="B90" s="144"/>
      <c r="C90" s="96">
        <f ca="1">TblProd[[#This Row],[Platinum]]</f>
        <v>592674</v>
      </c>
      <c r="D90" s="96">
        <f ca="1">TblProd[[#This Row],[Lumber]]</f>
        <v>64184</v>
      </c>
      <c r="E90" s="96">
        <f ca="1">TblProd[[#This Row],[Ore]]</f>
        <v>0</v>
      </c>
      <c r="F90" s="96">
        <f ca="1">TblProd[[#This Row],[Gems]]</f>
        <v>0</v>
      </c>
      <c r="G90" s="156"/>
      <c r="H90" s="96">
        <f ca="1">TblMili[[#This Row],[Draftees]]</f>
        <v>626</v>
      </c>
      <c r="I90" s="182">
        <f ca="1">TblPop[[#This Row],[Employment]]</f>
        <v>1</v>
      </c>
      <c r="J90" s="182">
        <f ca="1">TblPop[[#This Row],[Total]]/TblPop[[#This Row],[Net max]]</f>
        <v>1</v>
      </c>
      <c r="K90" s="305">
        <f>TblRezone[[#This Row],[Hour]]</f>
        <v>87</v>
      </c>
      <c r="L90" s="306">
        <f ca="1">TblImps[[#This Row],[Real time]]</f>
        <v>45735.583333333125</v>
      </c>
      <c r="M90" s="61">
        <f>IF(ISERROR(TblImps[[#This Row],[algorithm]]),0,TblImps[[#This Row],[algorithm]]*1)</f>
        <v>0</v>
      </c>
      <c r="N90" s="96">
        <f ca="1">TblImps[[#This Row],[Land]]</f>
        <v>250</v>
      </c>
      <c r="O90" s="307" t="s">
        <v>4</v>
      </c>
      <c r="P90" s="308"/>
      <c r="Q90" s="307" t="s">
        <v>210</v>
      </c>
      <c r="R90" s="307" t="s">
        <v>7</v>
      </c>
      <c r="S90" s="308"/>
      <c r="T90" s="307" t="s">
        <v>210</v>
      </c>
      <c r="U90" s="307" t="s">
        <v>3</v>
      </c>
      <c r="V90" s="308"/>
      <c r="W90" s="307" t="s">
        <v>210</v>
      </c>
      <c r="X90" s="144"/>
      <c r="Y90" s="309">
        <f ca="1">science_cap*(1-EXP(-TblImps[[#This Row],[Σ Science]]/(science_param*(OFFSET(TblImps[[#This Row],[Land]],1,0)-OFFSET(TblExplore[[#This Row],[Land Bonus]],1,0)*20)+15000)))*(1+(mason_bonus*TblConstr[[#This Row],[Tot Mas]]/TblConstr[[#This Row],[Land (2)]]))</f>
        <v>0</v>
      </c>
      <c r="Z90" s="309">
        <f ca="1">keep_cap*(1-EXP(-TblImps[[#This Row],[Σ Keep]]/(keep_param*(OFFSET(TblImps[[#This Row],[Land]],1,0)-OFFSET(TblExplore[[#This Row],[Land Bonus]],1,0)*20)+15000)))*(1+(mason_bonus*TblConstr[[#This Row],[Tot Mas]]/TblConstr[[#This Row],[Land (2)]]))</f>
        <v>0</v>
      </c>
      <c r="AA90" s="309">
        <f ca="1">harbor_towers_cap*(1-EXP(-TblImps[[#This Row],[Σ Spires]]/(towers_param*(OFFSET(TblImps[[#This Row],[Land]],1,0)-OFFSET(TblExplore[[#This Row],[Land Bonus]],1,0)*20)+15000)))*(1+(mason_bonus*TblConstr[[#This Row],[Tot Mas]]/TblConstr[[#This Row],[Land (2)]]))</f>
        <v>0</v>
      </c>
      <c r="AB90" s="309">
        <f ca="1">walls_forges_cap*(1-EXP(-TblImps[[#This Row],[Σ Forges]]/(walls_forges_param*(OFFSET(TblImps[[#This Row],[Land]],1,0)-OFFSET(TblExplore[[#This Row],[Land Bonus]],1,0)*20)+15000)))*(1+(mason_bonus*TblConstr[[#This Row],[Tot Mas]]/TblConstr[[#This Row],[Land (2)]]))</f>
        <v>0</v>
      </c>
      <c r="AC90" s="309">
        <f ca="1">walls_forges_cap*(1-EXP(-TblImps[[#This Row],[Σ Walls]]/(walls_forges_param*(OFFSET(TblImps[[#This Row],[Land]],1,0)-OFFSET(TblExplore[[#This Row],[Land Bonus]],1,0)*20)+15000)))*(1+(mason_bonus*TblConstr[[#This Row],[Tot Mas]]/TblConstr[[#This Row],[Land (2)]]))</f>
        <v>0</v>
      </c>
      <c r="AD90" s="30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315">
        <f ca="1">OFFSET(TblImps[[#This Row],[Real time]],-1,0)+1/24</f>
        <v>45735.583333333125</v>
      </c>
      <c r="BZ90" s="316">
        <f ca="1">OFFSET(TblImps[[#This Row],[Servertime]],-1,0)+1/24</f>
        <v>45735.583333333125</v>
      </c>
      <c r="CA90" s="319"/>
      <c r="CB90" s="314"/>
      <c r="CC90" s="314"/>
      <c r="CF90" s="317"/>
    </row>
    <row r="91" spans="1:84" x14ac:dyDescent="0.2">
      <c r="A91" s="224">
        <f ca="1">TblConstr[[#This Row],[Land]]</f>
        <v>250</v>
      </c>
      <c r="B91" s="144"/>
      <c r="C91" s="96">
        <f ca="1">TblProd[[#This Row],[Platinum]]</f>
        <v>598160</v>
      </c>
      <c r="D91" s="96">
        <f ca="1">TblProd[[#This Row],[Lumber]]</f>
        <v>64542</v>
      </c>
      <c r="E91" s="96">
        <f ca="1">TblProd[[#This Row],[Ore]]</f>
        <v>0</v>
      </c>
      <c r="F91" s="96">
        <f ca="1">TblProd[[#This Row],[Gems]]</f>
        <v>0</v>
      </c>
      <c r="G91" s="156"/>
      <c r="H91" s="96">
        <f ca="1">TblMili[[#This Row],[Draftees]]</f>
        <v>626</v>
      </c>
      <c r="I91" s="182">
        <f ca="1">TblPop[[#This Row],[Employment]]</f>
        <v>1</v>
      </c>
      <c r="J91" s="182">
        <f ca="1">TblPop[[#This Row],[Total]]/TblPop[[#This Row],[Net max]]</f>
        <v>1</v>
      </c>
      <c r="K91" s="305">
        <f>TblRezone[[#This Row],[Hour]]</f>
        <v>88</v>
      </c>
      <c r="L91" s="306">
        <f ca="1">TblImps[[#This Row],[Real time]]</f>
        <v>45735.624999999789</v>
      </c>
      <c r="M91" s="61">
        <f>IF(ISERROR(TblImps[[#This Row],[algorithm]]),0,TblImps[[#This Row],[algorithm]]*1)</f>
        <v>0</v>
      </c>
      <c r="N91" s="96">
        <f ca="1">TblImps[[#This Row],[Land]]</f>
        <v>250</v>
      </c>
      <c r="O91" s="307" t="s">
        <v>4</v>
      </c>
      <c r="P91" s="308"/>
      <c r="Q91" s="307" t="s">
        <v>210</v>
      </c>
      <c r="R91" s="307" t="s">
        <v>7</v>
      </c>
      <c r="S91" s="308"/>
      <c r="T91" s="307" t="s">
        <v>210</v>
      </c>
      <c r="U91" s="307" t="s">
        <v>3</v>
      </c>
      <c r="V91" s="308"/>
      <c r="W91" s="307" t="s">
        <v>210</v>
      </c>
      <c r="X91" s="144"/>
      <c r="Y91" s="309">
        <f ca="1">science_cap*(1-EXP(-TblImps[[#This Row],[Σ Science]]/(science_param*(OFFSET(TblImps[[#This Row],[Land]],1,0)-OFFSET(TblExplore[[#This Row],[Land Bonus]],1,0)*20)+15000)))*(1+(mason_bonus*TblConstr[[#This Row],[Tot Mas]]/TblConstr[[#This Row],[Land (2)]]))</f>
        <v>0</v>
      </c>
      <c r="Z91" s="309">
        <f ca="1">keep_cap*(1-EXP(-TblImps[[#This Row],[Σ Keep]]/(keep_param*(OFFSET(TblImps[[#This Row],[Land]],1,0)-OFFSET(TblExplore[[#This Row],[Land Bonus]],1,0)*20)+15000)))*(1+(mason_bonus*TblConstr[[#This Row],[Tot Mas]]/TblConstr[[#This Row],[Land (2)]]))</f>
        <v>0</v>
      </c>
      <c r="AA91" s="309">
        <f ca="1">harbor_towers_cap*(1-EXP(-TblImps[[#This Row],[Σ Spires]]/(towers_param*(OFFSET(TblImps[[#This Row],[Land]],1,0)-OFFSET(TblExplore[[#This Row],[Land Bonus]],1,0)*20)+15000)))*(1+(mason_bonus*TblConstr[[#This Row],[Tot Mas]]/TblConstr[[#This Row],[Land (2)]]))</f>
        <v>0</v>
      </c>
      <c r="AB91" s="309">
        <f ca="1">walls_forges_cap*(1-EXP(-TblImps[[#This Row],[Σ Forges]]/(walls_forges_param*(OFFSET(TblImps[[#This Row],[Land]],1,0)-OFFSET(TblExplore[[#This Row],[Land Bonus]],1,0)*20)+15000)))*(1+(mason_bonus*TblConstr[[#This Row],[Tot Mas]]/TblConstr[[#This Row],[Land (2)]]))</f>
        <v>0</v>
      </c>
      <c r="AC91" s="309">
        <f ca="1">walls_forges_cap*(1-EXP(-TblImps[[#This Row],[Σ Walls]]/(walls_forges_param*(OFFSET(TblImps[[#This Row],[Land]],1,0)-OFFSET(TblExplore[[#This Row],[Land Bonus]],1,0)*20)+15000)))*(1+(mason_bonus*TblConstr[[#This Row],[Tot Mas]]/TblConstr[[#This Row],[Land (2)]]))</f>
        <v>0</v>
      </c>
      <c r="AD91" s="30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315">
        <f ca="1">OFFSET(TblImps[[#This Row],[Real time]],-1,0)+1/24</f>
        <v>45735.624999999789</v>
      </c>
      <c r="BZ91" s="316">
        <f ca="1">OFFSET(TblImps[[#This Row],[Servertime]],-1,0)+1/24</f>
        <v>45735.624999999789</v>
      </c>
      <c r="CA91" s="57"/>
      <c r="CB91" s="314"/>
      <c r="CC91" s="314"/>
      <c r="CF91" s="318"/>
    </row>
    <row r="92" spans="1:84" x14ac:dyDescent="0.2">
      <c r="A92" s="224">
        <f ca="1">TblConstr[[#This Row],[Land]]</f>
        <v>250</v>
      </c>
      <c r="B92" s="144"/>
      <c r="C92" s="96">
        <f ca="1">TblProd[[#This Row],[Platinum]]</f>
        <v>603646</v>
      </c>
      <c r="D92" s="96">
        <f ca="1">TblProd[[#This Row],[Lumber]]</f>
        <v>64897</v>
      </c>
      <c r="E92" s="96">
        <f ca="1">TblProd[[#This Row],[Ore]]</f>
        <v>0</v>
      </c>
      <c r="F92" s="96">
        <f ca="1">TblProd[[#This Row],[Gems]]</f>
        <v>0</v>
      </c>
      <c r="G92" s="156"/>
      <c r="H92" s="96">
        <f ca="1">TblMili[[#This Row],[Draftees]]</f>
        <v>626</v>
      </c>
      <c r="I92" s="182">
        <f ca="1">TblPop[[#This Row],[Employment]]</f>
        <v>1</v>
      </c>
      <c r="J92" s="182">
        <f ca="1">TblPop[[#This Row],[Total]]/TblPop[[#This Row],[Net max]]</f>
        <v>1</v>
      </c>
      <c r="K92" s="305">
        <f>TblRezone[[#This Row],[Hour]]</f>
        <v>89</v>
      </c>
      <c r="L92" s="306">
        <f ca="1">TblImps[[#This Row],[Real time]]</f>
        <v>45735.666666666453</v>
      </c>
      <c r="M92" s="61">
        <f>IF(ISERROR(TblImps[[#This Row],[algorithm]]),0,TblImps[[#This Row],[algorithm]]*1)</f>
        <v>0</v>
      </c>
      <c r="N92" s="96">
        <f ca="1">TblImps[[#This Row],[Land]]</f>
        <v>250</v>
      </c>
      <c r="O92" s="307" t="s">
        <v>4</v>
      </c>
      <c r="P92" s="308"/>
      <c r="Q92" s="307" t="s">
        <v>210</v>
      </c>
      <c r="R92" s="307" t="s">
        <v>7</v>
      </c>
      <c r="S92" s="308"/>
      <c r="T92" s="307" t="s">
        <v>210</v>
      </c>
      <c r="U92" s="307" t="s">
        <v>3</v>
      </c>
      <c r="V92" s="308"/>
      <c r="W92" s="307" t="s">
        <v>210</v>
      </c>
      <c r="X92" s="144"/>
      <c r="Y92" s="309">
        <f ca="1">science_cap*(1-EXP(-TblImps[[#This Row],[Σ Science]]/(science_param*(OFFSET(TblImps[[#This Row],[Land]],1,0)-OFFSET(TblExplore[[#This Row],[Land Bonus]],1,0)*20)+15000)))*(1+(mason_bonus*TblConstr[[#This Row],[Tot Mas]]/TblConstr[[#This Row],[Land (2)]]))</f>
        <v>0</v>
      </c>
      <c r="Z92" s="309">
        <f ca="1">keep_cap*(1-EXP(-TblImps[[#This Row],[Σ Keep]]/(keep_param*(OFFSET(TblImps[[#This Row],[Land]],1,0)-OFFSET(TblExplore[[#This Row],[Land Bonus]],1,0)*20)+15000)))*(1+(mason_bonus*TblConstr[[#This Row],[Tot Mas]]/TblConstr[[#This Row],[Land (2)]]))</f>
        <v>0</v>
      </c>
      <c r="AA92" s="309">
        <f ca="1">harbor_towers_cap*(1-EXP(-TblImps[[#This Row],[Σ Spires]]/(towers_param*(OFFSET(TblImps[[#This Row],[Land]],1,0)-OFFSET(TblExplore[[#This Row],[Land Bonus]],1,0)*20)+15000)))*(1+(mason_bonus*TblConstr[[#This Row],[Tot Mas]]/TblConstr[[#This Row],[Land (2)]]))</f>
        <v>0</v>
      </c>
      <c r="AB92" s="309">
        <f ca="1">walls_forges_cap*(1-EXP(-TblImps[[#This Row],[Σ Forges]]/(walls_forges_param*(OFFSET(TblImps[[#This Row],[Land]],1,0)-OFFSET(TblExplore[[#This Row],[Land Bonus]],1,0)*20)+15000)))*(1+(mason_bonus*TblConstr[[#This Row],[Tot Mas]]/TblConstr[[#This Row],[Land (2)]]))</f>
        <v>0</v>
      </c>
      <c r="AC92" s="309">
        <f ca="1">walls_forges_cap*(1-EXP(-TblImps[[#This Row],[Σ Walls]]/(walls_forges_param*(OFFSET(TblImps[[#This Row],[Land]],1,0)-OFFSET(TblExplore[[#This Row],[Land Bonus]],1,0)*20)+15000)))*(1+(mason_bonus*TblConstr[[#This Row],[Tot Mas]]/TblConstr[[#This Row],[Land (2)]]))</f>
        <v>0</v>
      </c>
      <c r="AD92" s="30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315">
        <f ca="1">OFFSET(TblImps[[#This Row],[Real time]],-1,0)+1/24</f>
        <v>45735.666666666453</v>
      </c>
      <c r="BZ92" s="316">
        <f ca="1">OFFSET(TblImps[[#This Row],[Servertime]],-1,0)+1/24</f>
        <v>45735.666666666453</v>
      </c>
      <c r="CA92" s="57"/>
      <c r="CB92" s="314"/>
      <c r="CC92" s="314"/>
      <c r="CF92" s="317"/>
    </row>
    <row r="93" spans="1:84" x14ac:dyDescent="0.2">
      <c r="A93" s="224">
        <f ca="1">TblConstr[[#This Row],[Land]]</f>
        <v>250</v>
      </c>
      <c r="B93" s="144"/>
      <c r="C93" s="96">
        <f ca="1">TblProd[[#This Row],[Platinum]]</f>
        <v>609132</v>
      </c>
      <c r="D93" s="96">
        <f ca="1">TblProd[[#This Row],[Lumber]]</f>
        <v>65248</v>
      </c>
      <c r="E93" s="96">
        <f ca="1">TblProd[[#This Row],[Ore]]</f>
        <v>0</v>
      </c>
      <c r="F93" s="96">
        <f ca="1">TblProd[[#This Row],[Gems]]</f>
        <v>0</v>
      </c>
      <c r="G93" s="156"/>
      <c r="H93" s="96">
        <f ca="1">TblMili[[#This Row],[Draftees]]</f>
        <v>626</v>
      </c>
      <c r="I93" s="182">
        <f ca="1">TblPop[[#This Row],[Employment]]</f>
        <v>1</v>
      </c>
      <c r="J93" s="182">
        <f ca="1">TblPop[[#This Row],[Total]]/TblPop[[#This Row],[Net max]]</f>
        <v>1</v>
      </c>
      <c r="K93" s="305">
        <f>TblRezone[[#This Row],[Hour]]</f>
        <v>90</v>
      </c>
      <c r="L93" s="306">
        <f ca="1">TblImps[[#This Row],[Real time]]</f>
        <v>45735.708333333117</v>
      </c>
      <c r="M93" s="61">
        <f>IF(ISERROR(TblImps[[#This Row],[algorithm]]),0,TblImps[[#This Row],[algorithm]]*1)</f>
        <v>0</v>
      </c>
      <c r="N93" s="96">
        <f ca="1">TblImps[[#This Row],[Land]]</f>
        <v>250</v>
      </c>
      <c r="O93" s="307" t="s">
        <v>4</v>
      </c>
      <c r="P93" s="308"/>
      <c r="Q93" s="307" t="s">
        <v>210</v>
      </c>
      <c r="R93" s="307" t="s">
        <v>7</v>
      </c>
      <c r="S93" s="308"/>
      <c r="T93" s="307" t="s">
        <v>210</v>
      </c>
      <c r="U93" s="307" t="s">
        <v>3</v>
      </c>
      <c r="V93" s="308"/>
      <c r="W93" s="307" t="s">
        <v>210</v>
      </c>
      <c r="X93" s="144"/>
      <c r="Y93" s="309">
        <f ca="1">science_cap*(1-EXP(-TblImps[[#This Row],[Σ Science]]/(science_param*(OFFSET(TblImps[[#This Row],[Land]],1,0)-OFFSET(TblExplore[[#This Row],[Land Bonus]],1,0)*20)+15000)))*(1+(mason_bonus*TblConstr[[#This Row],[Tot Mas]]/TblConstr[[#This Row],[Land (2)]]))</f>
        <v>0</v>
      </c>
      <c r="Z93" s="309">
        <f ca="1">keep_cap*(1-EXP(-TblImps[[#This Row],[Σ Keep]]/(keep_param*(OFFSET(TblImps[[#This Row],[Land]],1,0)-OFFSET(TblExplore[[#This Row],[Land Bonus]],1,0)*20)+15000)))*(1+(mason_bonus*TblConstr[[#This Row],[Tot Mas]]/TblConstr[[#This Row],[Land (2)]]))</f>
        <v>0</v>
      </c>
      <c r="AA93" s="309">
        <f ca="1">harbor_towers_cap*(1-EXP(-TblImps[[#This Row],[Σ Spires]]/(towers_param*(OFFSET(TblImps[[#This Row],[Land]],1,0)-OFFSET(TblExplore[[#This Row],[Land Bonus]],1,0)*20)+15000)))*(1+(mason_bonus*TblConstr[[#This Row],[Tot Mas]]/TblConstr[[#This Row],[Land (2)]]))</f>
        <v>0</v>
      </c>
      <c r="AB93" s="309">
        <f ca="1">walls_forges_cap*(1-EXP(-TblImps[[#This Row],[Σ Forges]]/(walls_forges_param*(OFFSET(TblImps[[#This Row],[Land]],1,0)-OFFSET(TblExplore[[#This Row],[Land Bonus]],1,0)*20)+15000)))*(1+(mason_bonus*TblConstr[[#This Row],[Tot Mas]]/TblConstr[[#This Row],[Land (2)]]))</f>
        <v>0</v>
      </c>
      <c r="AC93" s="309">
        <f ca="1">walls_forges_cap*(1-EXP(-TblImps[[#This Row],[Σ Walls]]/(walls_forges_param*(OFFSET(TblImps[[#This Row],[Land]],1,0)-OFFSET(TblExplore[[#This Row],[Land Bonus]],1,0)*20)+15000)))*(1+(mason_bonus*TblConstr[[#This Row],[Tot Mas]]/TblConstr[[#This Row],[Land (2)]]))</f>
        <v>0</v>
      </c>
      <c r="AD93" s="30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315">
        <f ca="1">OFFSET(TblImps[[#This Row],[Real time]],-1,0)+1/24</f>
        <v>45735.708333333117</v>
      </c>
      <c r="BZ93" s="316">
        <f ca="1">OFFSET(TblImps[[#This Row],[Servertime]],-1,0)+1/24</f>
        <v>45735.708333333117</v>
      </c>
      <c r="CA93" s="57"/>
      <c r="CB93" s="314"/>
      <c r="CC93" s="314"/>
      <c r="CF93" s="317"/>
    </row>
    <row r="94" spans="1:84" x14ac:dyDescent="0.2">
      <c r="A94" s="224">
        <f ca="1">TblConstr[[#This Row],[Land]]</f>
        <v>250</v>
      </c>
      <c r="B94" s="144"/>
      <c r="C94" s="96">
        <f ca="1">TblProd[[#This Row],[Platinum]]</f>
        <v>614618</v>
      </c>
      <c r="D94" s="96">
        <f ca="1">TblProd[[#This Row],[Lumber]]</f>
        <v>65596</v>
      </c>
      <c r="E94" s="96">
        <f ca="1">TblProd[[#This Row],[Ore]]</f>
        <v>0</v>
      </c>
      <c r="F94" s="96">
        <f ca="1">TblProd[[#This Row],[Gems]]</f>
        <v>0</v>
      </c>
      <c r="G94" s="156"/>
      <c r="H94" s="96">
        <f ca="1">TblMili[[#This Row],[Draftees]]</f>
        <v>626</v>
      </c>
      <c r="I94" s="182">
        <f ca="1">TblPop[[#This Row],[Employment]]</f>
        <v>1</v>
      </c>
      <c r="J94" s="182">
        <f ca="1">TblPop[[#This Row],[Total]]/TblPop[[#This Row],[Net max]]</f>
        <v>1</v>
      </c>
      <c r="K94" s="305">
        <f>TblRezone[[#This Row],[Hour]]</f>
        <v>91</v>
      </c>
      <c r="L94" s="306">
        <f ca="1">TblImps[[#This Row],[Real time]]</f>
        <v>45735.749999999782</v>
      </c>
      <c r="M94" s="61">
        <f>IF(ISERROR(TblImps[[#This Row],[algorithm]]),0,TblImps[[#This Row],[algorithm]]*1)</f>
        <v>0</v>
      </c>
      <c r="N94" s="96">
        <f ca="1">TblImps[[#This Row],[Land]]</f>
        <v>250</v>
      </c>
      <c r="O94" s="307" t="s">
        <v>4</v>
      </c>
      <c r="P94" s="308"/>
      <c r="Q94" s="307" t="s">
        <v>210</v>
      </c>
      <c r="R94" s="307" t="s">
        <v>7</v>
      </c>
      <c r="S94" s="308"/>
      <c r="T94" s="307" t="s">
        <v>210</v>
      </c>
      <c r="U94" s="307" t="s">
        <v>3</v>
      </c>
      <c r="V94" s="308"/>
      <c r="W94" s="307" t="s">
        <v>210</v>
      </c>
      <c r="X94" s="144"/>
      <c r="Y94" s="309">
        <f ca="1">science_cap*(1-EXP(-TblImps[[#This Row],[Σ Science]]/(science_param*(OFFSET(TblImps[[#This Row],[Land]],1,0)-OFFSET(TblExplore[[#This Row],[Land Bonus]],1,0)*20)+15000)))*(1+(mason_bonus*TblConstr[[#This Row],[Tot Mas]]/TblConstr[[#This Row],[Land (2)]]))</f>
        <v>0</v>
      </c>
      <c r="Z94" s="309">
        <f ca="1">keep_cap*(1-EXP(-TblImps[[#This Row],[Σ Keep]]/(keep_param*(OFFSET(TblImps[[#This Row],[Land]],1,0)-OFFSET(TblExplore[[#This Row],[Land Bonus]],1,0)*20)+15000)))*(1+(mason_bonus*TblConstr[[#This Row],[Tot Mas]]/TblConstr[[#This Row],[Land (2)]]))</f>
        <v>0</v>
      </c>
      <c r="AA94" s="309">
        <f ca="1">harbor_towers_cap*(1-EXP(-TblImps[[#This Row],[Σ Spires]]/(towers_param*(OFFSET(TblImps[[#This Row],[Land]],1,0)-OFFSET(TblExplore[[#This Row],[Land Bonus]],1,0)*20)+15000)))*(1+(mason_bonus*TblConstr[[#This Row],[Tot Mas]]/TblConstr[[#This Row],[Land (2)]]))</f>
        <v>0</v>
      </c>
      <c r="AB94" s="309">
        <f ca="1">walls_forges_cap*(1-EXP(-TblImps[[#This Row],[Σ Forges]]/(walls_forges_param*(OFFSET(TblImps[[#This Row],[Land]],1,0)-OFFSET(TblExplore[[#This Row],[Land Bonus]],1,0)*20)+15000)))*(1+(mason_bonus*TblConstr[[#This Row],[Tot Mas]]/TblConstr[[#This Row],[Land (2)]]))</f>
        <v>0</v>
      </c>
      <c r="AC94" s="309">
        <f ca="1">walls_forges_cap*(1-EXP(-TblImps[[#This Row],[Σ Walls]]/(walls_forges_param*(OFFSET(TblImps[[#This Row],[Land]],1,0)-OFFSET(TblExplore[[#This Row],[Land Bonus]],1,0)*20)+15000)))*(1+(mason_bonus*TblConstr[[#This Row],[Tot Mas]]/TblConstr[[#This Row],[Land (2)]]))</f>
        <v>0</v>
      </c>
      <c r="AD94" s="30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315">
        <f ca="1">OFFSET(TblImps[[#This Row],[Real time]],-1,0)+1/24</f>
        <v>45735.749999999782</v>
      </c>
      <c r="BZ94" s="316">
        <f ca="1">OFFSET(TblImps[[#This Row],[Servertime]],-1,0)+1/24</f>
        <v>45735.749999999782</v>
      </c>
      <c r="CA94" s="57"/>
      <c r="CB94" s="314"/>
      <c r="CC94" s="314"/>
    </row>
    <row r="95" spans="1:84" x14ac:dyDescent="0.2">
      <c r="A95" s="224">
        <f ca="1">TblConstr[[#This Row],[Land]]</f>
        <v>250</v>
      </c>
      <c r="B95" s="144"/>
      <c r="C95" s="96">
        <f ca="1">TblProd[[#This Row],[Platinum]]</f>
        <v>620104</v>
      </c>
      <c r="D95" s="96">
        <f ca="1">TblProd[[#This Row],[Lumber]]</f>
        <v>65940</v>
      </c>
      <c r="E95" s="96">
        <f ca="1">TblProd[[#This Row],[Ore]]</f>
        <v>0</v>
      </c>
      <c r="F95" s="96">
        <f ca="1">TblProd[[#This Row],[Gems]]</f>
        <v>0</v>
      </c>
      <c r="G95" s="156"/>
      <c r="H95" s="96">
        <f ca="1">TblMili[[#This Row],[Draftees]]</f>
        <v>626</v>
      </c>
      <c r="I95" s="182">
        <f ca="1">TblPop[[#This Row],[Employment]]</f>
        <v>1</v>
      </c>
      <c r="J95" s="182">
        <f ca="1">TblPop[[#This Row],[Total]]/TblPop[[#This Row],[Net max]]</f>
        <v>1</v>
      </c>
      <c r="K95" s="305">
        <f>TblRezone[[#This Row],[Hour]]</f>
        <v>92</v>
      </c>
      <c r="L95" s="306">
        <f ca="1">TblImps[[#This Row],[Real time]]</f>
        <v>45735.791666666446</v>
      </c>
      <c r="M95" s="61">
        <f>IF(ISERROR(TblImps[[#This Row],[algorithm]]),0,TblImps[[#This Row],[algorithm]]*1)</f>
        <v>0</v>
      </c>
      <c r="N95" s="96">
        <f ca="1">TblImps[[#This Row],[Land]]</f>
        <v>250</v>
      </c>
      <c r="O95" s="307" t="s">
        <v>4</v>
      </c>
      <c r="P95" s="308"/>
      <c r="Q95" s="307" t="s">
        <v>210</v>
      </c>
      <c r="R95" s="307" t="s">
        <v>7</v>
      </c>
      <c r="S95" s="308"/>
      <c r="T95" s="307" t="s">
        <v>210</v>
      </c>
      <c r="U95" s="307" t="s">
        <v>3</v>
      </c>
      <c r="V95" s="308"/>
      <c r="W95" s="307" t="s">
        <v>210</v>
      </c>
      <c r="X95" s="144"/>
      <c r="Y95" s="309">
        <f ca="1">science_cap*(1-EXP(-TblImps[[#This Row],[Σ Science]]/(science_param*(OFFSET(TblImps[[#This Row],[Land]],1,0)-OFFSET(TblExplore[[#This Row],[Land Bonus]],1,0)*20)+15000)))*(1+(mason_bonus*TblConstr[[#This Row],[Tot Mas]]/TblConstr[[#This Row],[Land (2)]]))</f>
        <v>0</v>
      </c>
      <c r="Z95" s="309">
        <f ca="1">keep_cap*(1-EXP(-TblImps[[#This Row],[Σ Keep]]/(keep_param*(OFFSET(TblImps[[#This Row],[Land]],1,0)-OFFSET(TblExplore[[#This Row],[Land Bonus]],1,0)*20)+15000)))*(1+(mason_bonus*TblConstr[[#This Row],[Tot Mas]]/TblConstr[[#This Row],[Land (2)]]))</f>
        <v>0</v>
      </c>
      <c r="AA95" s="309">
        <f ca="1">harbor_towers_cap*(1-EXP(-TblImps[[#This Row],[Σ Spires]]/(towers_param*(OFFSET(TblImps[[#This Row],[Land]],1,0)-OFFSET(TblExplore[[#This Row],[Land Bonus]],1,0)*20)+15000)))*(1+(mason_bonus*TblConstr[[#This Row],[Tot Mas]]/TblConstr[[#This Row],[Land (2)]]))</f>
        <v>0</v>
      </c>
      <c r="AB95" s="309">
        <f ca="1">walls_forges_cap*(1-EXP(-TblImps[[#This Row],[Σ Forges]]/(walls_forges_param*(OFFSET(TblImps[[#This Row],[Land]],1,0)-OFFSET(TblExplore[[#This Row],[Land Bonus]],1,0)*20)+15000)))*(1+(mason_bonus*TblConstr[[#This Row],[Tot Mas]]/TblConstr[[#This Row],[Land (2)]]))</f>
        <v>0</v>
      </c>
      <c r="AC95" s="309">
        <f ca="1">walls_forges_cap*(1-EXP(-TblImps[[#This Row],[Σ Walls]]/(walls_forges_param*(OFFSET(TblImps[[#This Row],[Land]],1,0)-OFFSET(TblExplore[[#This Row],[Land Bonus]],1,0)*20)+15000)))*(1+(mason_bonus*TblConstr[[#This Row],[Tot Mas]]/TblConstr[[#This Row],[Land (2)]]))</f>
        <v>0</v>
      </c>
      <c r="AD95" s="30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315">
        <f ca="1">OFFSET(TblImps[[#This Row],[Real time]],-1,0)+1/24</f>
        <v>45735.791666666446</v>
      </c>
      <c r="BZ95" s="316">
        <f ca="1">OFFSET(TblImps[[#This Row],[Servertime]],-1,0)+1/24</f>
        <v>45735.791666666446</v>
      </c>
      <c r="CA95" s="57"/>
      <c r="CB95" s="314"/>
      <c r="CC95" s="314"/>
    </row>
    <row r="96" spans="1:84" x14ac:dyDescent="0.2">
      <c r="A96" s="224">
        <f ca="1">TblConstr[[#This Row],[Land]]</f>
        <v>250</v>
      </c>
      <c r="B96" s="144"/>
      <c r="C96" s="96">
        <f ca="1">TblProd[[#This Row],[Platinum]]</f>
        <v>625590</v>
      </c>
      <c r="D96" s="96">
        <f ca="1">TblProd[[#This Row],[Lumber]]</f>
        <v>66281</v>
      </c>
      <c r="E96" s="96">
        <f ca="1">TblProd[[#This Row],[Ore]]</f>
        <v>0</v>
      </c>
      <c r="F96" s="96">
        <f ca="1">TblProd[[#This Row],[Gems]]</f>
        <v>0</v>
      </c>
      <c r="G96" s="156"/>
      <c r="H96" s="96">
        <f ca="1">TblMili[[#This Row],[Draftees]]</f>
        <v>626</v>
      </c>
      <c r="I96" s="182">
        <f ca="1">TblPop[[#This Row],[Employment]]</f>
        <v>1</v>
      </c>
      <c r="J96" s="182">
        <f ca="1">TblPop[[#This Row],[Total]]/TblPop[[#This Row],[Net max]]</f>
        <v>1</v>
      </c>
      <c r="K96" s="305">
        <f>TblRezone[[#This Row],[Hour]]</f>
        <v>93</v>
      </c>
      <c r="L96" s="306">
        <f ca="1">TblImps[[#This Row],[Real time]]</f>
        <v>45735.83333333311</v>
      </c>
      <c r="M96" s="61">
        <f>IF(ISERROR(TblImps[[#This Row],[algorithm]]),0,TblImps[[#This Row],[algorithm]]*1)</f>
        <v>0</v>
      </c>
      <c r="N96" s="96">
        <f ca="1">TblImps[[#This Row],[Land]]</f>
        <v>250</v>
      </c>
      <c r="O96" s="307" t="s">
        <v>4</v>
      </c>
      <c r="P96" s="308"/>
      <c r="Q96" s="307" t="s">
        <v>210</v>
      </c>
      <c r="R96" s="307" t="s">
        <v>7</v>
      </c>
      <c r="S96" s="308"/>
      <c r="T96" s="307" t="s">
        <v>210</v>
      </c>
      <c r="U96" s="307" t="s">
        <v>3</v>
      </c>
      <c r="V96" s="308"/>
      <c r="W96" s="307" t="s">
        <v>210</v>
      </c>
      <c r="X96" s="144"/>
      <c r="Y96" s="309">
        <f ca="1">science_cap*(1-EXP(-TblImps[[#This Row],[Σ Science]]/(science_param*(OFFSET(TblImps[[#This Row],[Land]],1,0)-OFFSET(TblExplore[[#This Row],[Land Bonus]],1,0)*20)+15000)))*(1+(mason_bonus*TblConstr[[#This Row],[Tot Mas]]/TblConstr[[#This Row],[Land (2)]]))</f>
        <v>0</v>
      </c>
      <c r="Z96" s="309">
        <f ca="1">keep_cap*(1-EXP(-TblImps[[#This Row],[Σ Keep]]/(keep_param*(OFFSET(TblImps[[#This Row],[Land]],1,0)-OFFSET(TblExplore[[#This Row],[Land Bonus]],1,0)*20)+15000)))*(1+(mason_bonus*TblConstr[[#This Row],[Tot Mas]]/TblConstr[[#This Row],[Land (2)]]))</f>
        <v>0</v>
      </c>
      <c r="AA96" s="309">
        <f ca="1">harbor_towers_cap*(1-EXP(-TblImps[[#This Row],[Σ Spires]]/(towers_param*(OFFSET(TblImps[[#This Row],[Land]],1,0)-OFFSET(TblExplore[[#This Row],[Land Bonus]],1,0)*20)+15000)))*(1+(mason_bonus*TblConstr[[#This Row],[Tot Mas]]/TblConstr[[#This Row],[Land (2)]]))</f>
        <v>0</v>
      </c>
      <c r="AB96" s="309">
        <f ca="1">walls_forges_cap*(1-EXP(-TblImps[[#This Row],[Σ Forges]]/(walls_forges_param*(OFFSET(TblImps[[#This Row],[Land]],1,0)-OFFSET(TblExplore[[#This Row],[Land Bonus]],1,0)*20)+15000)))*(1+(mason_bonus*TblConstr[[#This Row],[Tot Mas]]/TblConstr[[#This Row],[Land (2)]]))</f>
        <v>0</v>
      </c>
      <c r="AC96" s="309">
        <f ca="1">walls_forges_cap*(1-EXP(-TblImps[[#This Row],[Σ Walls]]/(walls_forges_param*(OFFSET(TblImps[[#This Row],[Land]],1,0)-OFFSET(TblExplore[[#This Row],[Land Bonus]],1,0)*20)+15000)))*(1+(mason_bonus*TblConstr[[#This Row],[Tot Mas]]/TblConstr[[#This Row],[Land (2)]]))</f>
        <v>0</v>
      </c>
      <c r="AD96" s="30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315">
        <f ca="1">OFFSET(TblImps[[#This Row],[Real time]],-1,0)+1/24</f>
        <v>45735.83333333311</v>
      </c>
      <c r="BZ96" s="316">
        <f ca="1">OFFSET(TblImps[[#This Row],[Servertime]],-1,0)+1/24</f>
        <v>45735.83333333311</v>
      </c>
      <c r="CA96" s="57"/>
      <c r="CB96" s="314"/>
      <c r="CC96" s="314"/>
    </row>
    <row r="97" spans="1:82" x14ac:dyDescent="0.2">
      <c r="A97" s="224">
        <f ca="1">TblConstr[[#This Row],[Land]]</f>
        <v>250</v>
      </c>
      <c r="B97" s="144"/>
      <c r="C97" s="96">
        <f ca="1">TblProd[[#This Row],[Platinum]]</f>
        <v>631076</v>
      </c>
      <c r="D97" s="96">
        <f ca="1">TblProd[[#This Row],[Lumber]]</f>
        <v>66618</v>
      </c>
      <c r="E97" s="96">
        <f ca="1">TblProd[[#This Row],[Ore]]</f>
        <v>0</v>
      </c>
      <c r="F97" s="96">
        <f ca="1">TblProd[[#This Row],[Gems]]</f>
        <v>0</v>
      </c>
      <c r="G97" s="156"/>
      <c r="H97" s="96">
        <f ca="1">TblMili[[#This Row],[Draftees]]</f>
        <v>626</v>
      </c>
      <c r="I97" s="182">
        <f ca="1">TblPop[[#This Row],[Employment]]</f>
        <v>1</v>
      </c>
      <c r="J97" s="182">
        <f ca="1">TblPop[[#This Row],[Total]]/TblPop[[#This Row],[Net max]]</f>
        <v>1</v>
      </c>
      <c r="K97" s="305">
        <f>TblRezone[[#This Row],[Hour]]</f>
        <v>94</v>
      </c>
      <c r="L97" s="306">
        <f ca="1">TblImps[[#This Row],[Real time]]</f>
        <v>45735.874999999774</v>
      </c>
      <c r="M97" s="61">
        <f>IF(ISERROR(TblImps[[#This Row],[algorithm]]),0,TblImps[[#This Row],[algorithm]]*1)</f>
        <v>0</v>
      </c>
      <c r="N97" s="96">
        <f ca="1">TblImps[[#This Row],[Land]]</f>
        <v>250</v>
      </c>
      <c r="O97" s="307" t="s">
        <v>4</v>
      </c>
      <c r="P97" s="308"/>
      <c r="Q97" s="307" t="s">
        <v>210</v>
      </c>
      <c r="R97" s="307" t="s">
        <v>7</v>
      </c>
      <c r="S97" s="308"/>
      <c r="T97" s="307" t="s">
        <v>210</v>
      </c>
      <c r="U97" s="307" t="s">
        <v>3</v>
      </c>
      <c r="V97" s="308"/>
      <c r="W97" s="307" t="s">
        <v>210</v>
      </c>
      <c r="X97" s="144"/>
      <c r="Y97" s="309">
        <f ca="1">science_cap*(1-EXP(-TblImps[[#This Row],[Σ Science]]/(science_param*(OFFSET(TblImps[[#This Row],[Land]],1,0)-OFFSET(TblExplore[[#This Row],[Land Bonus]],1,0)*20)+15000)))*(1+(mason_bonus*TblConstr[[#This Row],[Tot Mas]]/TblConstr[[#This Row],[Land (2)]]))</f>
        <v>0</v>
      </c>
      <c r="Z97" s="309">
        <f ca="1">keep_cap*(1-EXP(-TblImps[[#This Row],[Σ Keep]]/(keep_param*(OFFSET(TblImps[[#This Row],[Land]],1,0)-OFFSET(TblExplore[[#This Row],[Land Bonus]],1,0)*20)+15000)))*(1+(mason_bonus*TblConstr[[#This Row],[Tot Mas]]/TblConstr[[#This Row],[Land (2)]]))</f>
        <v>0</v>
      </c>
      <c r="AA97" s="309">
        <f ca="1">harbor_towers_cap*(1-EXP(-TblImps[[#This Row],[Σ Spires]]/(towers_param*(OFFSET(TblImps[[#This Row],[Land]],1,0)-OFFSET(TblExplore[[#This Row],[Land Bonus]],1,0)*20)+15000)))*(1+(mason_bonus*TblConstr[[#This Row],[Tot Mas]]/TblConstr[[#This Row],[Land (2)]]))</f>
        <v>0</v>
      </c>
      <c r="AB97" s="309">
        <f ca="1">walls_forges_cap*(1-EXP(-TblImps[[#This Row],[Σ Forges]]/(walls_forges_param*(OFFSET(TblImps[[#This Row],[Land]],1,0)-OFFSET(TblExplore[[#This Row],[Land Bonus]],1,0)*20)+15000)))*(1+(mason_bonus*TblConstr[[#This Row],[Tot Mas]]/TblConstr[[#This Row],[Land (2)]]))</f>
        <v>0</v>
      </c>
      <c r="AC97" s="309">
        <f ca="1">walls_forges_cap*(1-EXP(-TblImps[[#This Row],[Σ Walls]]/(walls_forges_param*(OFFSET(TblImps[[#This Row],[Land]],1,0)-OFFSET(TblExplore[[#This Row],[Land Bonus]],1,0)*20)+15000)))*(1+(mason_bonus*TblConstr[[#This Row],[Tot Mas]]/TblConstr[[#This Row],[Land (2)]]))</f>
        <v>0</v>
      </c>
      <c r="AD97" s="30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315">
        <f ca="1">OFFSET(TblImps[[#This Row],[Real time]],-1,0)+1/24</f>
        <v>45735.874999999774</v>
      </c>
      <c r="BZ97" s="316">
        <f ca="1">OFFSET(TblImps[[#This Row],[Servertime]],-1,0)+1/24</f>
        <v>45735.874999999774</v>
      </c>
      <c r="CA97" s="57"/>
      <c r="CB97" s="314"/>
      <c r="CC97" s="314"/>
    </row>
    <row r="98" spans="1:82" x14ac:dyDescent="0.2">
      <c r="A98" s="224">
        <f ca="1">TblConstr[[#This Row],[Land]]</f>
        <v>250</v>
      </c>
      <c r="B98" s="144"/>
      <c r="C98" s="96">
        <f ca="1">TblProd[[#This Row],[Platinum]]</f>
        <v>636562</v>
      </c>
      <c r="D98" s="96">
        <f ca="1">TblProd[[#This Row],[Lumber]]</f>
        <v>66952</v>
      </c>
      <c r="E98" s="96">
        <f ca="1">TblProd[[#This Row],[Ore]]</f>
        <v>0</v>
      </c>
      <c r="F98" s="96">
        <f ca="1">TblProd[[#This Row],[Gems]]</f>
        <v>0</v>
      </c>
      <c r="G98" s="156"/>
      <c r="H98" s="96">
        <f ca="1">TblMili[[#This Row],[Draftees]]</f>
        <v>626</v>
      </c>
      <c r="I98" s="182">
        <f ca="1">TblPop[[#This Row],[Employment]]</f>
        <v>1</v>
      </c>
      <c r="J98" s="182">
        <f ca="1">TblPop[[#This Row],[Total]]/TblPop[[#This Row],[Net max]]</f>
        <v>1</v>
      </c>
      <c r="K98" s="305">
        <f>TblRezone[[#This Row],[Hour]]</f>
        <v>95</v>
      </c>
      <c r="L98" s="306">
        <f ca="1">TblImps[[#This Row],[Real time]]</f>
        <v>45735.916666666439</v>
      </c>
      <c r="M98" s="61">
        <f>IF(ISERROR(TblImps[[#This Row],[algorithm]]),0,TblImps[[#This Row],[algorithm]]*1)</f>
        <v>0</v>
      </c>
      <c r="N98" s="96">
        <f ca="1">TblImps[[#This Row],[Land]]</f>
        <v>250</v>
      </c>
      <c r="O98" s="307" t="s">
        <v>4</v>
      </c>
      <c r="P98" s="308"/>
      <c r="Q98" s="307" t="s">
        <v>210</v>
      </c>
      <c r="R98" s="307" t="s">
        <v>7</v>
      </c>
      <c r="S98" s="308"/>
      <c r="T98" s="307" t="s">
        <v>210</v>
      </c>
      <c r="U98" s="307" t="s">
        <v>3</v>
      </c>
      <c r="V98" s="308"/>
      <c r="W98" s="307" t="s">
        <v>210</v>
      </c>
      <c r="X98" s="144"/>
      <c r="Y98" s="309">
        <f ca="1">science_cap*(1-EXP(-TblImps[[#This Row],[Σ Science]]/(science_param*(OFFSET(TblImps[[#This Row],[Land]],1,0)-OFFSET(TblExplore[[#This Row],[Land Bonus]],1,0)*20)+15000)))*(1+(mason_bonus*TblConstr[[#This Row],[Tot Mas]]/TblConstr[[#This Row],[Land (2)]]))</f>
        <v>0</v>
      </c>
      <c r="Z98" s="309">
        <f ca="1">keep_cap*(1-EXP(-TblImps[[#This Row],[Σ Keep]]/(keep_param*(OFFSET(TblImps[[#This Row],[Land]],1,0)-OFFSET(TblExplore[[#This Row],[Land Bonus]],1,0)*20)+15000)))*(1+(mason_bonus*TblConstr[[#This Row],[Tot Mas]]/TblConstr[[#This Row],[Land (2)]]))</f>
        <v>0</v>
      </c>
      <c r="AA98" s="309">
        <f ca="1">harbor_towers_cap*(1-EXP(-TblImps[[#This Row],[Σ Spires]]/(towers_param*(OFFSET(TblImps[[#This Row],[Land]],1,0)-OFFSET(TblExplore[[#This Row],[Land Bonus]],1,0)*20)+15000)))*(1+(mason_bonus*TblConstr[[#This Row],[Tot Mas]]/TblConstr[[#This Row],[Land (2)]]))</f>
        <v>0</v>
      </c>
      <c r="AB98" s="309">
        <f ca="1">walls_forges_cap*(1-EXP(-TblImps[[#This Row],[Σ Forges]]/(walls_forges_param*(OFFSET(TblImps[[#This Row],[Land]],1,0)-OFFSET(TblExplore[[#This Row],[Land Bonus]],1,0)*20)+15000)))*(1+(mason_bonus*TblConstr[[#This Row],[Tot Mas]]/TblConstr[[#This Row],[Land (2)]]))</f>
        <v>0</v>
      </c>
      <c r="AC98" s="309">
        <f ca="1">walls_forges_cap*(1-EXP(-TblImps[[#This Row],[Σ Walls]]/(walls_forges_param*(OFFSET(TblImps[[#This Row],[Land]],1,0)-OFFSET(TblExplore[[#This Row],[Land Bonus]],1,0)*20)+15000)))*(1+(mason_bonus*TblConstr[[#This Row],[Tot Mas]]/TblConstr[[#This Row],[Land (2)]]))</f>
        <v>0</v>
      </c>
      <c r="AD98" s="30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315">
        <f ca="1">OFFSET(TblImps[[#This Row],[Real time]],-1,0)+1/24</f>
        <v>45735.916666666439</v>
      </c>
      <c r="BZ98" s="316">
        <f ca="1">OFFSET(TblImps[[#This Row],[Servertime]],-1,0)+1/24</f>
        <v>45735.916666666439</v>
      </c>
      <c r="CA98" s="57"/>
      <c r="CB98" s="314"/>
      <c r="CC98" s="314"/>
    </row>
    <row r="99" spans="1:82" x14ac:dyDescent="0.2">
      <c r="A99" s="224">
        <f ca="1">TblConstr[[#This Row],[Land]]</f>
        <v>250</v>
      </c>
      <c r="B99" s="144"/>
      <c r="C99" s="96">
        <f ca="1">TblProd[[#This Row],[Platinum]]</f>
        <v>642048</v>
      </c>
      <c r="D99" s="96">
        <f ca="1">TblProd[[#This Row],[Lumber]]</f>
        <v>67282</v>
      </c>
      <c r="E99" s="96">
        <f ca="1">TblProd[[#This Row],[Ore]]</f>
        <v>0</v>
      </c>
      <c r="F99" s="96">
        <f ca="1">TblProd[[#This Row],[Gems]]</f>
        <v>0</v>
      </c>
      <c r="G99" s="156"/>
      <c r="H99" s="96">
        <f ca="1">TblMili[[#This Row],[Draftees]]</f>
        <v>626</v>
      </c>
      <c r="I99" s="182">
        <f ca="1">TblPop[[#This Row],[Employment]]</f>
        <v>1</v>
      </c>
      <c r="J99" s="182">
        <f ca="1">TblPop[[#This Row],[Total]]/TblPop[[#This Row],[Net max]]</f>
        <v>1</v>
      </c>
      <c r="K99" s="305">
        <f>TblRezone[[#This Row],[Hour]]</f>
        <v>96</v>
      </c>
      <c r="L99" s="306">
        <f ca="1">TblImps[[#This Row],[Real time]]</f>
        <v>45735.958333333103</v>
      </c>
      <c r="M99" s="61">
        <f>IF(ISERROR(TblImps[[#This Row],[algorithm]]),0,TblImps[[#This Row],[algorithm]]*1)</f>
        <v>0</v>
      </c>
      <c r="N99" s="96">
        <f ca="1">TblImps[[#This Row],[Land]]</f>
        <v>250</v>
      </c>
      <c r="O99" s="307" t="s">
        <v>4</v>
      </c>
      <c r="P99" s="308"/>
      <c r="Q99" s="307" t="s">
        <v>210</v>
      </c>
      <c r="R99" s="307" t="s">
        <v>7</v>
      </c>
      <c r="S99" s="308"/>
      <c r="T99" s="307" t="s">
        <v>210</v>
      </c>
      <c r="U99" s="307" t="s">
        <v>3</v>
      </c>
      <c r="V99" s="308"/>
      <c r="W99" s="307" t="s">
        <v>210</v>
      </c>
      <c r="X99" s="144"/>
      <c r="Y99" s="309">
        <f ca="1">science_cap*(1-EXP(-TblImps[[#This Row],[Σ Science]]/(science_param*(OFFSET(TblImps[[#This Row],[Land]],1,0)-OFFSET(TblExplore[[#This Row],[Land Bonus]],1,0)*20)+15000)))*(1+(mason_bonus*TblConstr[[#This Row],[Tot Mas]]/TblConstr[[#This Row],[Land (2)]]))</f>
        <v>0</v>
      </c>
      <c r="Z99" s="309">
        <f ca="1">keep_cap*(1-EXP(-TblImps[[#This Row],[Σ Keep]]/(keep_param*(OFFSET(TblImps[[#This Row],[Land]],1,0)-OFFSET(TblExplore[[#This Row],[Land Bonus]],1,0)*20)+15000)))*(1+(mason_bonus*TblConstr[[#This Row],[Tot Mas]]/TblConstr[[#This Row],[Land (2)]]))</f>
        <v>0</v>
      </c>
      <c r="AA99" s="309">
        <f ca="1">harbor_towers_cap*(1-EXP(-TblImps[[#This Row],[Σ Spires]]/(towers_param*(OFFSET(TblImps[[#This Row],[Land]],1,0)-OFFSET(TblExplore[[#This Row],[Land Bonus]],1,0)*20)+15000)))*(1+(mason_bonus*TblConstr[[#This Row],[Tot Mas]]/TblConstr[[#This Row],[Land (2)]]))</f>
        <v>0</v>
      </c>
      <c r="AB99" s="309">
        <f ca="1">walls_forges_cap*(1-EXP(-TblImps[[#This Row],[Σ Forges]]/(walls_forges_param*(OFFSET(TblImps[[#This Row],[Land]],1,0)-OFFSET(TblExplore[[#This Row],[Land Bonus]],1,0)*20)+15000)))*(1+(mason_bonus*TblConstr[[#This Row],[Tot Mas]]/TblConstr[[#This Row],[Land (2)]]))</f>
        <v>0</v>
      </c>
      <c r="AC99" s="309">
        <f ca="1">walls_forges_cap*(1-EXP(-TblImps[[#This Row],[Σ Walls]]/(walls_forges_param*(OFFSET(TblImps[[#This Row],[Land]],1,0)-OFFSET(TblExplore[[#This Row],[Land Bonus]],1,0)*20)+15000)))*(1+(mason_bonus*TblConstr[[#This Row],[Tot Mas]]/TblConstr[[#This Row],[Land (2)]]))</f>
        <v>0</v>
      </c>
      <c r="AD99" s="30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315">
        <f ca="1">OFFSET(TblImps[[#This Row],[Real time]],-1,0)+1/24</f>
        <v>45735.958333333103</v>
      </c>
      <c r="BZ99" s="316">
        <f ca="1">OFFSET(TblImps[[#This Row],[Servertime]],-1,0)+1/24</f>
        <v>45735.958333333103</v>
      </c>
      <c r="CA99" s="57"/>
      <c r="CB99" s="314"/>
      <c r="CC99" s="314"/>
    </row>
    <row r="100" spans="1:82" x14ac:dyDescent="0.2">
      <c r="A100" s="224">
        <f ca="1">TblConstr[[#This Row],[Land]]</f>
        <v>250</v>
      </c>
      <c r="B100" s="144"/>
      <c r="C100" s="96">
        <f ca="1">TblProd[[#This Row],[Platinum]]</f>
        <v>647534</v>
      </c>
      <c r="D100" s="96">
        <f ca="1">TblProd[[#This Row],[Lumber]]</f>
        <v>67609</v>
      </c>
      <c r="E100" s="96">
        <f ca="1">TblProd[[#This Row],[Ore]]</f>
        <v>0</v>
      </c>
      <c r="F100" s="96">
        <f ca="1">TblProd[[#This Row],[Gems]]</f>
        <v>0</v>
      </c>
      <c r="G100" s="156"/>
      <c r="H100" s="96">
        <f ca="1">TblMili[[#This Row],[Draftees]]</f>
        <v>626</v>
      </c>
      <c r="I100" s="182">
        <f ca="1">TblPop[[#This Row],[Employment]]</f>
        <v>1</v>
      </c>
      <c r="J100" s="182">
        <f ca="1">TblPop[[#This Row],[Total]]/TblPop[[#This Row],[Net max]]</f>
        <v>1</v>
      </c>
      <c r="K100" s="305">
        <f>TblRezone[[#This Row],[Hour]]</f>
        <v>97</v>
      </c>
      <c r="L100" s="306">
        <f ca="1">TblImps[[#This Row],[Real time]]</f>
        <v>45735.999999999767</v>
      </c>
      <c r="M100" s="61">
        <f>IF(ISERROR(TblImps[[#This Row],[algorithm]]),0,TblImps[[#This Row],[algorithm]]*1)</f>
        <v>0</v>
      </c>
      <c r="N100" s="96">
        <f ca="1">TblImps[[#This Row],[Land]]</f>
        <v>250</v>
      </c>
      <c r="O100" s="307" t="s">
        <v>4</v>
      </c>
      <c r="P100" s="308"/>
      <c r="Q100" s="307" t="s">
        <v>210</v>
      </c>
      <c r="R100" s="307" t="s">
        <v>7</v>
      </c>
      <c r="S100" s="308"/>
      <c r="T100" s="307" t="s">
        <v>210</v>
      </c>
      <c r="U100" s="307" t="s">
        <v>3</v>
      </c>
      <c r="V100" s="308"/>
      <c r="W100" s="307" t="s">
        <v>210</v>
      </c>
      <c r="X100" s="144"/>
      <c r="Y100" s="309">
        <f ca="1">science_cap*(1-EXP(-TblImps[[#This Row],[Σ Science]]/(science_param*(OFFSET(TblImps[[#This Row],[Land]],1,0)-OFFSET(TblExplore[[#This Row],[Land Bonus]],1,0)*20)+15000)))*(1+(mason_bonus*TblConstr[[#This Row],[Tot Mas]]/TblConstr[[#This Row],[Land (2)]]))</f>
        <v>0</v>
      </c>
      <c r="Z100" s="309">
        <f ca="1">keep_cap*(1-EXP(-TblImps[[#This Row],[Σ Keep]]/(keep_param*(OFFSET(TblImps[[#This Row],[Land]],1,0)-OFFSET(TblExplore[[#This Row],[Land Bonus]],1,0)*20)+15000)))*(1+(mason_bonus*TblConstr[[#This Row],[Tot Mas]]/TblConstr[[#This Row],[Land (2)]]))</f>
        <v>0</v>
      </c>
      <c r="AA100" s="309">
        <f ca="1">harbor_towers_cap*(1-EXP(-TblImps[[#This Row],[Σ Spires]]/(towers_param*(OFFSET(TblImps[[#This Row],[Land]],1,0)-OFFSET(TblExplore[[#This Row],[Land Bonus]],1,0)*20)+15000)))*(1+(mason_bonus*TblConstr[[#This Row],[Tot Mas]]/TblConstr[[#This Row],[Land (2)]]))</f>
        <v>0</v>
      </c>
      <c r="AB100" s="309">
        <f ca="1">walls_forges_cap*(1-EXP(-TblImps[[#This Row],[Σ Forges]]/(walls_forges_param*(OFFSET(TblImps[[#This Row],[Land]],1,0)-OFFSET(TblExplore[[#This Row],[Land Bonus]],1,0)*20)+15000)))*(1+(mason_bonus*TblConstr[[#This Row],[Tot Mas]]/TblConstr[[#This Row],[Land (2)]]))</f>
        <v>0</v>
      </c>
      <c r="AC100" s="309">
        <f ca="1">walls_forges_cap*(1-EXP(-TblImps[[#This Row],[Σ Walls]]/(walls_forges_param*(OFFSET(TblImps[[#This Row],[Land]],1,0)-OFFSET(TblExplore[[#This Row],[Land Bonus]],1,0)*20)+15000)))*(1+(mason_bonus*TblConstr[[#This Row],[Tot Mas]]/TblConstr[[#This Row],[Land (2)]]))</f>
        <v>0</v>
      </c>
      <c r="AD100" s="30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315">
        <f ca="1">OFFSET(TblImps[[#This Row],[Real time]],-1,0)+1/24</f>
        <v>45735.999999999767</v>
      </c>
      <c r="BZ100" s="316">
        <f ca="1">OFFSET(TblImps[[#This Row],[Servertime]],-1,0)+1/24</f>
        <v>45735.999999999767</v>
      </c>
      <c r="CA100" s="57"/>
      <c r="CB100" s="314"/>
      <c r="CC100" s="314"/>
    </row>
    <row r="101" spans="1:82" x14ac:dyDescent="0.2">
      <c r="A101" s="224">
        <f ca="1">TblConstr[[#This Row],[Land]]</f>
        <v>250</v>
      </c>
      <c r="B101" s="144"/>
      <c r="C101" s="96">
        <f ca="1">TblProd[[#This Row],[Platinum]]</f>
        <v>653020</v>
      </c>
      <c r="D101" s="96">
        <f ca="1">TblProd[[#This Row],[Lumber]]</f>
        <v>67933</v>
      </c>
      <c r="E101" s="96">
        <f ca="1">TblProd[[#This Row],[Ore]]</f>
        <v>0</v>
      </c>
      <c r="F101" s="96">
        <f ca="1">TblProd[[#This Row],[Gems]]</f>
        <v>0</v>
      </c>
      <c r="G101" s="156"/>
      <c r="H101" s="96">
        <f ca="1">TblMili[[#This Row],[Draftees]]</f>
        <v>626</v>
      </c>
      <c r="I101" s="182">
        <f ca="1">TblPop[[#This Row],[Employment]]</f>
        <v>1</v>
      </c>
      <c r="J101" s="182">
        <f ca="1">TblPop[[#This Row],[Total]]/TblPop[[#This Row],[Net max]]</f>
        <v>1</v>
      </c>
      <c r="K101" s="305">
        <f>TblRezone[[#This Row],[Hour]]</f>
        <v>98</v>
      </c>
      <c r="L101" s="306">
        <f ca="1">TblImps[[#This Row],[Real time]]</f>
        <v>45736.041666666431</v>
      </c>
      <c r="M101" s="61">
        <f>IF(ISERROR(TblImps[[#This Row],[algorithm]]),0,TblImps[[#This Row],[algorithm]]*1)</f>
        <v>0</v>
      </c>
      <c r="N101" s="96">
        <f ca="1">TblImps[[#This Row],[Land]]</f>
        <v>250</v>
      </c>
      <c r="O101" s="307" t="s">
        <v>4</v>
      </c>
      <c r="P101" s="308"/>
      <c r="Q101" s="307" t="s">
        <v>210</v>
      </c>
      <c r="R101" s="307" t="s">
        <v>7</v>
      </c>
      <c r="S101" s="308"/>
      <c r="T101" s="307" t="s">
        <v>210</v>
      </c>
      <c r="U101" s="307" t="s">
        <v>3</v>
      </c>
      <c r="V101" s="308"/>
      <c r="W101" s="307" t="s">
        <v>210</v>
      </c>
      <c r="X101" s="144"/>
      <c r="Y101" s="309">
        <f ca="1">science_cap*(1-EXP(-TblImps[[#This Row],[Σ Science]]/(science_param*(OFFSET(TblImps[[#This Row],[Land]],1,0)-OFFSET(TblExplore[[#This Row],[Land Bonus]],1,0)*20)+15000)))*(1+(mason_bonus*TblConstr[[#This Row],[Tot Mas]]/TblConstr[[#This Row],[Land (2)]]))</f>
        <v>0</v>
      </c>
      <c r="Z101" s="309">
        <f ca="1">keep_cap*(1-EXP(-TblImps[[#This Row],[Σ Keep]]/(keep_param*(OFFSET(TblImps[[#This Row],[Land]],1,0)-OFFSET(TblExplore[[#This Row],[Land Bonus]],1,0)*20)+15000)))*(1+(mason_bonus*TblConstr[[#This Row],[Tot Mas]]/TblConstr[[#This Row],[Land (2)]]))</f>
        <v>0</v>
      </c>
      <c r="AA101" s="309">
        <f ca="1">harbor_towers_cap*(1-EXP(-TblImps[[#This Row],[Σ Spires]]/(towers_param*(OFFSET(TblImps[[#This Row],[Land]],1,0)-OFFSET(TblExplore[[#This Row],[Land Bonus]],1,0)*20)+15000)))*(1+(mason_bonus*TblConstr[[#This Row],[Tot Mas]]/TblConstr[[#This Row],[Land (2)]]))</f>
        <v>0</v>
      </c>
      <c r="AB101" s="309">
        <f ca="1">walls_forges_cap*(1-EXP(-TblImps[[#This Row],[Σ Forges]]/(walls_forges_param*(OFFSET(TblImps[[#This Row],[Land]],1,0)-OFFSET(TblExplore[[#This Row],[Land Bonus]],1,0)*20)+15000)))*(1+(mason_bonus*TblConstr[[#This Row],[Tot Mas]]/TblConstr[[#This Row],[Land (2)]]))</f>
        <v>0</v>
      </c>
      <c r="AC101" s="309">
        <f ca="1">walls_forges_cap*(1-EXP(-TblImps[[#This Row],[Σ Walls]]/(walls_forges_param*(OFFSET(TblImps[[#This Row],[Land]],1,0)-OFFSET(TblExplore[[#This Row],[Land Bonus]],1,0)*20)+15000)))*(1+(mason_bonus*TblConstr[[#This Row],[Tot Mas]]/TblConstr[[#This Row],[Land (2)]]))</f>
        <v>0</v>
      </c>
      <c r="AD101" s="30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315">
        <f ca="1">OFFSET(TblImps[[#This Row],[Real time]],-1,0)+1/24</f>
        <v>45736.041666666431</v>
      </c>
      <c r="BZ101" s="316">
        <f ca="1">OFFSET(TblImps[[#This Row],[Servertime]],-1,0)+1/24</f>
        <v>45736.041666666431</v>
      </c>
      <c r="CA101" s="57"/>
      <c r="CB101" s="314"/>
      <c r="CC101" s="314"/>
    </row>
    <row r="102" spans="1:82" x14ac:dyDescent="0.2">
      <c r="A102" s="224">
        <f ca="1">TblConstr[[#This Row],[Land]]</f>
        <v>250</v>
      </c>
      <c r="B102" s="144"/>
      <c r="C102" s="96">
        <f ca="1">TblProd[[#This Row],[Platinum]]</f>
        <v>658506</v>
      </c>
      <c r="D102" s="96">
        <f ca="1">TblProd[[#This Row],[Lumber]]</f>
        <v>68254</v>
      </c>
      <c r="E102" s="96">
        <f ca="1">TblProd[[#This Row],[Ore]]</f>
        <v>0</v>
      </c>
      <c r="F102" s="96">
        <f ca="1">TblProd[[#This Row],[Gems]]</f>
        <v>0</v>
      </c>
      <c r="G102" s="156"/>
      <c r="H102" s="96">
        <f ca="1">TblMili[[#This Row],[Draftees]]</f>
        <v>626</v>
      </c>
      <c r="I102" s="182">
        <f ca="1">TblPop[[#This Row],[Employment]]</f>
        <v>1</v>
      </c>
      <c r="J102" s="182">
        <f ca="1">TblPop[[#This Row],[Total]]/TblPop[[#This Row],[Net max]]</f>
        <v>1</v>
      </c>
      <c r="K102" s="305">
        <f>TblRezone[[#This Row],[Hour]]</f>
        <v>99</v>
      </c>
      <c r="L102" s="306">
        <f ca="1">TblImps[[#This Row],[Real time]]</f>
        <v>45736.083333333096</v>
      </c>
      <c r="M102" s="61">
        <f>IF(ISERROR(TblImps[[#This Row],[algorithm]]),0,TblImps[[#This Row],[algorithm]]*1)</f>
        <v>0</v>
      </c>
      <c r="N102" s="96">
        <f ca="1">TblImps[[#This Row],[Land]]</f>
        <v>250</v>
      </c>
      <c r="O102" s="307" t="s">
        <v>4</v>
      </c>
      <c r="P102" s="308"/>
      <c r="Q102" s="307" t="s">
        <v>210</v>
      </c>
      <c r="R102" s="307" t="s">
        <v>7</v>
      </c>
      <c r="S102" s="308"/>
      <c r="T102" s="307" t="s">
        <v>210</v>
      </c>
      <c r="U102" s="307" t="s">
        <v>3</v>
      </c>
      <c r="V102" s="308"/>
      <c r="W102" s="307" t="s">
        <v>210</v>
      </c>
      <c r="X102" s="144"/>
      <c r="Y102" s="309">
        <f ca="1">science_cap*(1-EXP(-TblImps[[#This Row],[Σ Science]]/(science_param*(OFFSET(TblImps[[#This Row],[Land]],1,0)-OFFSET(TblExplore[[#This Row],[Land Bonus]],1,0)*20)+15000)))*(1+(mason_bonus*TblConstr[[#This Row],[Tot Mas]]/TblConstr[[#This Row],[Land (2)]]))</f>
        <v>0</v>
      </c>
      <c r="Z102" s="309">
        <f ca="1">keep_cap*(1-EXP(-TblImps[[#This Row],[Σ Keep]]/(keep_param*(OFFSET(TblImps[[#This Row],[Land]],1,0)-OFFSET(TblExplore[[#This Row],[Land Bonus]],1,0)*20)+15000)))*(1+(mason_bonus*TblConstr[[#This Row],[Tot Mas]]/TblConstr[[#This Row],[Land (2)]]))</f>
        <v>0</v>
      </c>
      <c r="AA102" s="309">
        <f ca="1">harbor_towers_cap*(1-EXP(-TblImps[[#This Row],[Σ Spires]]/(towers_param*(OFFSET(TblImps[[#This Row],[Land]],1,0)-OFFSET(TblExplore[[#This Row],[Land Bonus]],1,0)*20)+15000)))*(1+(mason_bonus*TblConstr[[#This Row],[Tot Mas]]/TblConstr[[#This Row],[Land (2)]]))</f>
        <v>0</v>
      </c>
      <c r="AB102" s="309">
        <f ca="1">walls_forges_cap*(1-EXP(-TblImps[[#This Row],[Σ Forges]]/(walls_forges_param*(OFFSET(TblImps[[#This Row],[Land]],1,0)-OFFSET(TblExplore[[#This Row],[Land Bonus]],1,0)*20)+15000)))*(1+(mason_bonus*TblConstr[[#This Row],[Tot Mas]]/TblConstr[[#This Row],[Land (2)]]))</f>
        <v>0</v>
      </c>
      <c r="AC102" s="309">
        <f ca="1">walls_forges_cap*(1-EXP(-TblImps[[#This Row],[Σ Walls]]/(walls_forges_param*(OFFSET(TblImps[[#This Row],[Land]],1,0)-OFFSET(TblExplore[[#This Row],[Land Bonus]],1,0)*20)+15000)))*(1+(mason_bonus*TblConstr[[#This Row],[Tot Mas]]/TblConstr[[#This Row],[Land (2)]]))</f>
        <v>0</v>
      </c>
      <c r="AD102" s="30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315">
        <f ca="1">OFFSET(TblImps[[#This Row],[Real time]],-1,0)+1/24</f>
        <v>45736.083333333096</v>
      </c>
      <c r="BZ102" s="316">
        <f ca="1">OFFSET(TblImps[[#This Row],[Servertime]],-1,0)+1/24</f>
        <v>45736.083333333096</v>
      </c>
      <c r="CA102" s="57"/>
      <c r="CB102" s="314"/>
      <c r="CC102" s="314"/>
      <c r="CD102" s="45" t="s">
        <v>4</v>
      </c>
    </row>
    <row r="103" spans="1:82" x14ac:dyDescent="0.2">
      <c r="A103" s="224">
        <f ca="1">TblConstr[[#This Row],[Land]]</f>
        <v>250</v>
      </c>
      <c r="B103" s="144"/>
      <c r="C103" s="96">
        <f ca="1">TblProd[[#This Row],[Platinum]]</f>
        <v>663992</v>
      </c>
      <c r="D103" s="96">
        <f ca="1">TblProd[[#This Row],[Lumber]]</f>
        <v>68571</v>
      </c>
      <c r="E103" s="96">
        <f ca="1">TblProd[[#This Row],[Ore]]</f>
        <v>0</v>
      </c>
      <c r="F103" s="96">
        <f ca="1">TblProd[[#This Row],[Gems]]</f>
        <v>0</v>
      </c>
      <c r="G103" s="156"/>
      <c r="H103" s="96">
        <f ca="1">TblMili[[#This Row],[Draftees]]</f>
        <v>626</v>
      </c>
      <c r="I103" s="182">
        <f ca="1">TblPop[[#This Row],[Employment]]</f>
        <v>1</v>
      </c>
      <c r="J103" s="182">
        <f ca="1">TblPop[[#This Row],[Total]]/TblPop[[#This Row],[Net max]]</f>
        <v>1</v>
      </c>
      <c r="K103" s="305">
        <f>TblRezone[[#This Row],[Hour]]</f>
        <v>100</v>
      </c>
      <c r="L103" s="306">
        <f ca="1">TblImps[[#This Row],[Real time]]</f>
        <v>45736.12499999976</v>
      </c>
      <c r="M103" s="61">
        <f>IF(ISERROR(TblImps[[#This Row],[algorithm]]),0,TblImps[[#This Row],[algorithm]]*1)</f>
        <v>0</v>
      </c>
      <c r="N103" s="96">
        <f ca="1">TblImps[[#This Row],[Land]]</f>
        <v>250</v>
      </c>
      <c r="O103" s="307" t="s">
        <v>4</v>
      </c>
      <c r="P103" s="308"/>
      <c r="Q103" s="307" t="s">
        <v>210</v>
      </c>
      <c r="R103" s="307" t="s">
        <v>7</v>
      </c>
      <c r="S103" s="308"/>
      <c r="T103" s="307" t="s">
        <v>210</v>
      </c>
      <c r="U103" s="307" t="s">
        <v>3</v>
      </c>
      <c r="V103" s="308"/>
      <c r="W103" s="307" t="s">
        <v>210</v>
      </c>
      <c r="X103" s="144"/>
      <c r="Y103" s="309">
        <f ca="1">science_cap*(1-EXP(-TblImps[[#This Row],[Σ Science]]/(science_param*(OFFSET(TblImps[[#This Row],[Land]],1,0)-OFFSET(TblExplore[[#This Row],[Land Bonus]],1,0)*20)+15000)))*(1+(mason_bonus*TblConstr[[#This Row],[Tot Mas]]/TblConstr[[#This Row],[Land (2)]]))</f>
        <v>0</v>
      </c>
      <c r="Z103" s="309">
        <f ca="1">keep_cap*(1-EXP(-TblImps[[#This Row],[Σ Keep]]/(keep_param*(OFFSET(TblImps[[#This Row],[Land]],1,0)-OFFSET(TblExplore[[#This Row],[Land Bonus]],1,0)*20)+15000)))*(1+(mason_bonus*TblConstr[[#This Row],[Tot Mas]]/TblConstr[[#This Row],[Land (2)]]))</f>
        <v>0</v>
      </c>
      <c r="AA103" s="309">
        <f ca="1">harbor_towers_cap*(1-EXP(-TblImps[[#This Row],[Σ Spires]]/(towers_param*(OFFSET(TblImps[[#This Row],[Land]],1,0)-OFFSET(TblExplore[[#This Row],[Land Bonus]],1,0)*20)+15000)))*(1+(mason_bonus*TblConstr[[#This Row],[Tot Mas]]/TblConstr[[#This Row],[Land (2)]]))</f>
        <v>0</v>
      </c>
      <c r="AB103" s="309">
        <f ca="1">walls_forges_cap*(1-EXP(-TblImps[[#This Row],[Σ Forges]]/(walls_forges_param*(OFFSET(TblImps[[#This Row],[Land]],1,0)-OFFSET(TblExplore[[#This Row],[Land Bonus]],1,0)*20)+15000)))*(1+(mason_bonus*TblConstr[[#This Row],[Tot Mas]]/TblConstr[[#This Row],[Land (2)]]))</f>
        <v>0</v>
      </c>
      <c r="AC103" s="309">
        <f ca="1">walls_forges_cap*(1-EXP(-TblImps[[#This Row],[Σ Walls]]/(walls_forges_param*(OFFSET(TblImps[[#This Row],[Land]],1,0)-OFFSET(TblExplore[[#This Row],[Land Bonus]],1,0)*20)+15000)))*(1+(mason_bonus*TblConstr[[#This Row],[Tot Mas]]/TblConstr[[#This Row],[Land (2)]]))</f>
        <v>0</v>
      </c>
      <c r="AD103" s="30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315">
        <f ca="1">OFFSET(TblImps[[#This Row],[Real time]],-1,0)+1/24</f>
        <v>45736.12499999976</v>
      </c>
      <c r="BZ103" s="316">
        <f ca="1">OFFSET(TblImps[[#This Row],[Servertime]],-1,0)+1/24</f>
        <v>45736.12499999976</v>
      </c>
      <c r="CA103" s="57"/>
      <c r="CB103" s="314"/>
      <c r="CC103" s="314"/>
      <c r="CD103" s="45" t="s">
        <v>7</v>
      </c>
    </row>
    <row r="104" spans="1:82" x14ac:dyDescent="0.2">
      <c r="A104" s="224">
        <f ca="1">TblConstr[[#This Row],[Land]]</f>
        <v>250</v>
      </c>
      <c r="B104" s="144"/>
      <c r="C104" s="96">
        <f ca="1">TblProd[[#This Row],[Platinum]]</f>
        <v>669478</v>
      </c>
      <c r="D104" s="96">
        <f ca="1">TblProd[[#This Row],[Lumber]]</f>
        <v>68885</v>
      </c>
      <c r="E104" s="96">
        <f ca="1">TblProd[[#This Row],[Ore]]</f>
        <v>0</v>
      </c>
      <c r="F104" s="96">
        <f ca="1">TblProd[[#This Row],[Gems]]</f>
        <v>0</v>
      </c>
      <c r="G104" s="156"/>
      <c r="H104" s="96">
        <f ca="1">TblMili[[#This Row],[Draftees]]</f>
        <v>626</v>
      </c>
      <c r="I104" s="182">
        <f ca="1">TblPop[[#This Row],[Employment]]</f>
        <v>1</v>
      </c>
      <c r="J104" s="182">
        <f ca="1">TblPop[[#This Row],[Total]]/TblPop[[#This Row],[Net max]]</f>
        <v>1</v>
      </c>
      <c r="K104" s="305">
        <f>TblRezone[[#This Row],[Hour]]</f>
        <v>101</v>
      </c>
      <c r="L104" s="306">
        <f ca="1">TblImps[[#This Row],[Real time]]</f>
        <v>45736.166666666424</v>
      </c>
      <c r="M104" s="61">
        <f>IF(ISERROR(TblImps[[#This Row],[algorithm]]),0,TblImps[[#This Row],[algorithm]]*1)</f>
        <v>0</v>
      </c>
      <c r="N104" s="96">
        <f ca="1">TblImps[[#This Row],[Land]]</f>
        <v>250</v>
      </c>
      <c r="O104" s="307" t="s">
        <v>4</v>
      </c>
      <c r="P104" s="308"/>
      <c r="Q104" s="307" t="s">
        <v>210</v>
      </c>
      <c r="R104" s="307" t="s">
        <v>7</v>
      </c>
      <c r="S104" s="308"/>
      <c r="T104" s="307" t="s">
        <v>210</v>
      </c>
      <c r="U104" s="307" t="s">
        <v>3</v>
      </c>
      <c r="V104" s="308"/>
      <c r="W104" s="307" t="s">
        <v>210</v>
      </c>
      <c r="X104" s="144"/>
      <c r="Y104" s="309">
        <f ca="1">science_cap*(1-EXP(-TblImps[[#This Row],[Σ Science]]/(science_param*(OFFSET(TblImps[[#This Row],[Land]],1,0)-OFFSET(TblExplore[[#This Row],[Land Bonus]],1,0)*20)+15000)))*(1+(mason_bonus*TblConstr[[#This Row],[Tot Mas]]/TblConstr[[#This Row],[Land (2)]]))</f>
        <v>0</v>
      </c>
      <c r="Z104" s="309">
        <f ca="1">keep_cap*(1-EXP(-TblImps[[#This Row],[Σ Keep]]/(keep_param*(OFFSET(TblImps[[#This Row],[Land]],1,0)-OFFSET(TblExplore[[#This Row],[Land Bonus]],1,0)*20)+15000)))*(1+(mason_bonus*TblConstr[[#This Row],[Tot Mas]]/TblConstr[[#This Row],[Land (2)]]))</f>
        <v>0</v>
      </c>
      <c r="AA104" s="309">
        <f ca="1">harbor_towers_cap*(1-EXP(-TblImps[[#This Row],[Σ Spires]]/(towers_param*(OFFSET(TblImps[[#This Row],[Land]],1,0)-OFFSET(TblExplore[[#This Row],[Land Bonus]],1,0)*20)+15000)))*(1+(mason_bonus*TblConstr[[#This Row],[Tot Mas]]/TblConstr[[#This Row],[Land (2)]]))</f>
        <v>0</v>
      </c>
      <c r="AB104" s="309">
        <f ca="1">walls_forges_cap*(1-EXP(-TblImps[[#This Row],[Σ Forges]]/(walls_forges_param*(OFFSET(TblImps[[#This Row],[Land]],1,0)-OFFSET(TblExplore[[#This Row],[Land Bonus]],1,0)*20)+15000)))*(1+(mason_bonus*TblConstr[[#This Row],[Tot Mas]]/TblConstr[[#This Row],[Land (2)]]))</f>
        <v>0</v>
      </c>
      <c r="AC104" s="309">
        <f ca="1">walls_forges_cap*(1-EXP(-TblImps[[#This Row],[Σ Walls]]/(walls_forges_param*(OFFSET(TblImps[[#This Row],[Land]],1,0)-OFFSET(TblExplore[[#This Row],[Land Bonus]],1,0)*20)+15000)))*(1+(mason_bonus*TblConstr[[#This Row],[Tot Mas]]/TblConstr[[#This Row],[Land (2)]]))</f>
        <v>0</v>
      </c>
      <c r="AD104" s="30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315">
        <f ca="1">OFFSET(TblImps[[#This Row],[Real time]],-1,0)+1/24</f>
        <v>45736.166666666424</v>
      </c>
      <c r="BZ104" s="316">
        <f ca="1">OFFSET(TblImps[[#This Row],[Servertime]],-1,0)+1/24</f>
        <v>45736.166666666424</v>
      </c>
      <c r="CA104" s="57"/>
      <c r="CB104" s="314"/>
      <c r="CC104" s="314"/>
      <c r="CD104" s="45" t="s">
        <v>3</v>
      </c>
    </row>
    <row r="105" spans="1:82" x14ac:dyDescent="0.2">
      <c r="A105" s="224">
        <f ca="1">TblConstr[[#This Row],[Land]]</f>
        <v>250</v>
      </c>
      <c r="B105" s="144"/>
      <c r="C105" s="96">
        <f ca="1">TblProd[[#This Row],[Platinum]]</f>
        <v>674964</v>
      </c>
      <c r="D105" s="96">
        <f ca="1">TblProd[[#This Row],[Lumber]]</f>
        <v>69196</v>
      </c>
      <c r="E105" s="96">
        <f ca="1">TblProd[[#This Row],[Ore]]</f>
        <v>0</v>
      </c>
      <c r="F105" s="96">
        <f ca="1">TblProd[[#This Row],[Gems]]</f>
        <v>0</v>
      </c>
      <c r="G105" s="156"/>
      <c r="H105" s="96">
        <f ca="1">TblMili[[#This Row],[Draftees]]</f>
        <v>626</v>
      </c>
      <c r="I105" s="182">
        <f ca="1">TblPop[[#This Row],[Employment]]</f>
        <v>1</v>
      </c>
      <c r="J105" s="182">
        <f ca="1">TblPop[[#This Row],[Total]]/TblPop[[#This Row],[Net max]]</f>
        <v>1</v>
      </c>
      <c r="K105" s="305">
        <f>TblRezone[[#This Row],[Hour]]</f>
        <v>102</v>
      </c>
      <c r="L105" s="306">
        <f ca="1">TblImps[[#This Row],[Real time]]</f>
        <v>45736.208333333088</v>
      </c>
      <c r="M105" s="61">
        <f>IF(ISERROR(TblImps[[#This Row],[algorithm]]),0,TblImps[[#This Row],[algorithm]]*1)</f>
        <v>0</v>
      </c>
      <c r="N105" s="96">
        <f ca="1">TblImps[[#This Row],[Land]]</f>
        <v>250</v>
      </c>
      <c r="O105" s="307" t="s">
        <v>4</v>
      </c>
      <c r="P105" s="308"/>
      <c r="Q105" s="307" t="s">
        <v>210</v>
      </c>
      <c r="R105" s="307" t="s">
        <v>7</v>
      </c>
      <c r="S105" s="308"/>
      <c r="T105" s="307" t="s">
        <v>210</v>
      </c>
      <c r="U105" s="307" t="s">
        <v>3</v>
      </c>
      <c r="V105" s="308"/>
      <c r="W105" s="307" t="s">
        <v>210</v>
      </c>
      <c r="X105" s="144"/>
      <c r="Y105" s="309">
        <f ca="1">science_cap*(1-EXP(-TblImps[[#This Row],[Σ Science]]/(science_param*(OFFSET(TblImps[[#This Row],[Land]],1,0)-OFFSET(TblExplore[[#This Row],[Land Bonus]],1,0)*20)+15000)))*(1+(mason_bonus*TblConstr[[#This Row],[Tot Mas]]/TblConstr[[#This Row],[Land (2)]]))</f>
        <v>0</v>
      </c>
      <c r="Z105" s="309">
        <f ca="1">keep_cap*(1-EXP(-TblImps[[#This Row],[Σ Keep]]/(keep_param*(OFFSET(TblImps[[#This Row],[Land]],1,0)-OFFSET(TblExplore[[#This Row],[Land Bonus]],1,0)*20)+15000)))*(1+(mason_bonus*TblConstr[[#This Row],[Tot Mas]]/TblConstr[[#This Row],[Land (2)]]))</f>
        <v>0</v>
      </c>
      <c r="AA105" s="309">
        <f ca="1">harbor_towers_cap*(1-EXP(-TblImps[[#This Row],[Σ Spires]]/(towers_param*(OFFSET(TblImps[[#This Row],[Land]],1,0)-OFFSET(TblExplore[[#This Row],[Land Bonus]],1,0)*20)+15000)))*(1+(mason_bonus*TblConstr[[#This Row],[Tot Mas]]/TblConstr[[#This Row],[Land (2)]]))</f>
        <v>0</v>
      </c>
      <c r="AB105" s="309">
        <f ca="1">walls_forges_cap*(1-EXP(-TblImps[[#This Row],[Σ Forges]]/(walls_forges_param*(OFFSET(TblImps[[#This Row],[Land]],1,0)-OFFSET(TblExplore[[#This Row],[Land Bonus]],1,0)*20)+15000)))*(1+(mason_bonus*TblConstr[[#This Row],[Tot Mas]]/TblConstr[[#This Row],[Land (2)]]))</f>
        <v>0</v>
      </c>
      <c r="AC105" s="309">
        <f ca="1">walls_forges_cap*(1-EXP(-TblImps[[#This Row],[Σ Walls]]/(walls_forges_param*(OFFSET(TblImps[[#This Row],[Land]],1,0)-OFFSET(TblExplore[[#This Row],[Land Bonus]],1,0)*20)+15000)))*(1+(mason_bonus*TblConstr[[#This Row],[Tot Mas]]/TblConstr[[#This Row],[Land (2)]]))</f>
        <v>0</v>
      </c>
      <c r="AD105" s="30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315">
        <f ca="1">OFFSET(TblImps[[#This Row],[Real time]],-1,0)+1/24</f>
        <v>45736.208333333088</v>
      </c>
      <c r="BZ105" s="316">
        <f ca="1">OFFSET(TblImps[[#This Row],[Servertime]],-1,0)+1/24</f>
        <v>45736.208333333088</v>
      </c>
      <c r="CA105" s="57"/>
      <c r="CB105" s="314"/>
      <c r="CC105" s="314"/>
      <c r="CD105" s="45" t="s">
        <v>2</v>
      </c>
    </row>
    <row r="106" spans="1:82" x14ac:dyDescent="0.2">
      <c r="A106" s="224">
        <f ca="1">TblConstr[[#This Row],[Land]]</f>
        <v>250</v>
      </c>
      <c r="B106" s="144"/>
      <c r="C106" s="96">
        <f ca="1">TblProd[[#This Row],[Platinum]]</f>
        <v>680450</v>
      </c>
      <c r="D106" s="96">
        <f ca="1">TblProd[[#This Row],[Lumber]]</f>
        <v>69504</v>
      </c>
      <c r="E106" s="96">
        <f ca="1">TblProd[[#This Row],[Ore]]</f>
        <v>0</v>
      </c>
      <c r="F106" s="96">
        <f ca="1">TblProd[[#This Row],[Gems]]</f>
        <v>0</v>
      </c>
      <c r="G106" s="156"/>
      <c r="H106" s="96">
        <f ca="1">TblMili[[#This Row],[Draftees]]</f>
        <v>626</v>
      </c>
      <c r="I106" s="182">
        <f ca="1">TblPop[[#This Row],[Employment]]</f>
        <v>1</v>
      </c>
      <c r="J106" s="182">
        <f ca="1">TblPop[[#This Row],[Total]]/TblPop[[#This Row],[Net max]]</f>
        <v>1</v>
      </c>
      <c r="K106" s="305">
        <f>TblRezone[[#This Row],[Hour]]</f>
        <v>103</v>
      </c>
      <c r="L106" s="306">
        <f ca="1">TblImps[[#This Row],[Real time]]</f>
        <v>45736.249999999753</v>
      </c>
      <c r="M106" s="61">
        <f>IF(ISERROR(TblImps[[#This Row],[algorithm]]),0,TblImps[[#This Row],[algorithm]]*1)</f>
        <v>0</v>
      </c>
      <c r="N106" s="96">
        <f ca="1">TblImps[[#This Row],[Land]]</f>
        <v>250</v>
      </c>
      <c r="O106" s="307" t="s">
        <v>4</v>
      </c>
      <c r="P106" s="308"/>
      <c r="Q106" s="307" t="s">
        <v>210</v>
      </c>
      <c r="R106" s="307" t="s">
        <v>7</v>
      </c>
      <c r="S106" s="308"/>
      <c r="T106" s="307" t="s">
        <v>210</v>
      </c>
      <c r="U106" s="307" t="s">
        <v>3</v>
      </c>
      <c r="V106" s="308"/>
      <c r="W106" s="307" t="s">
        <v>210</v>
      </c>
      <c r="X106" s="144"/>
      <c r="Y106" s="309">
        <f ca="1">science_cap*(1-EXP(-TblImps[[#This Row],[Σ Science]]/(science_param*(OFFSET(TblImps[[#This Row],[Land]],1,0)-OFFSET(TblExplore[[#This Row],[Land Bonus]],1,0)*20)+15000)))*(1+(mason_bonus*TblConstr[[#This Row],[Tot Mas]]/TblConstr[[#This Row],[Land (2)]]))</f>
        <v>0</v>
      </c>
      <c r="Z106" s="309">
        <f ca="1">keep_cap*(1-EXP(-TblImps[[#This Row],[Σ Keep]]/(keep_param*(OFFSET(TblImps[[#This Row],[Land]],1,0)-OFFSET(TblExplore[[#This Row],[Land Bonus]],1,0)*20)+15000)))*(1+(mason_bonus*TblConstr[[#This Row],[Tot Mas]]/TblConstr[[#This Row],[Land (2)]]))</f>
        <v>0</v>
      </c>
      <c r="AA106" s="309">
        <f ca="1">harbor_towers_cap*(1-EXP(-TblImps[[#This Row],[Σ Spires]]/(towers_param*(OFFSET(TblImps[[#This Row],[Land]],1,0)-OFFSET(TblExplore[[#This Row],[Land Bonus]],1,0)*20)+15000)))*(1+(mason_bonus*TblConstr[[#This Row],[Tot Mas]]/TblConstr[[#This Row],[Land (2)]]))</f>
        <v>0</v>
      </c>
      <c r="AB106" s="309">
        <f ca="1">walls_forges_cap*(1-EXP(-TblImps[[#This Row],[Σ Forges]]/(walls_forges_param*(OFFSET(TblImps[[#This Row],[Land]],1,0)-OFFSET(TblExplore[[#This Row],[Land Bonus]],1,0)*20)+15000)))*(1+(mason_bonus*TblConstr[[#This Row],[Tot Mas]]/TblConstr[[#This Row],[Land (2)]]))</f>
        <v>0</v>
      </c>
      <c r="AC106" s="309">
        <f ca="1">walls_forges_cap*(1-EXP(-TblImps[[#This Row],[Σ Walls]]/(walls_forges_param*(OFFSET(TblImps[[#This Row],[Land]],1,0)-OFFSET(TblExplore[[#This Row],[Land Bonus]],1,0)*20)+15000)))*(1+(mason_bonus*TblConstr[[#This Row],[Tot Mas]]/TblConstr[[#This Row],[Land (2)]]))</f>
        <v>0</v>
      </c>
      <c r="AD106" s="30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315">
        <f ca="1">OFFSET(TblImps[[#This Row],[Real time]],-1,0)+1/24</f>
        <v>45736.249999999753</v>
      </c>
      <c r="BZ106" s="316">
        <f ca="1">OFFSET(TblImps[[#This Row],[Servertime]],-1,0)+1/24</f>
        <v>45736.249999999753</v>
      </c>
      <c r="CA106" s="57"/>
      <c r="CB106" s="314"/>
      <c r="CC106" s="314"/>
    </row>
    <row r="107" spans="1:82" x14ac:dyDescent="0.2">
      <c r="A107" s="224">
        <f ca="1">TblConstr[[#This Row],[Land]]</f>
        <v>250</v>
      </c>
      <c r="B107" s="144"/>
      <c r="C107" s="96">
        <f ca="1">TblProd[[#This Row],[Platinum]]</f>
        <v>685936</v>
      </c>
      <c r="D107" s="96">
        <f ca="1">TblProd[[#This Row],[Lumber]]</f>
        <v>69809</v>
      </c>
      <c r="E107" s="96">
        <f ca="1">TblProd[[#This Row],[Ore]]</f>
        <v>0</v>
      </c>
      <c r="F107" s="96">
        <f ca="1">TblProd[[#This Row],[Gems]]</f>
        <v>0</v>
      </c>
      <c r="G107" s="156"/>
      <c r="H107" s="96">
        <f ca="1">TblMili[[#This Row],[Draftees]]</f>
        <v>626</v>
      </c>
      <c r="I107" s="182">
        <f ca="1">TblPop[[#This Row],[Employment]]</f>
        <v>1</v>
      </c>
      <c r="J107" s="182">
        <f ca="1">TblPop[[#This Row],[Total]]/TblPop[[#This Row],[Net max]]</f>
        <v>1</v>
      </c>
      <c r="K107" s="305">
        <f>TblRezone[[#This Row],[Hour]]</f>
        <v>104</v>
      </c>
      <c r="L107" s="306">
        <f ca="1">TblImps[[#This Row],[Real time]]</f>
        <v>45736.291666666417</v>
      </c>
      <c r="M107" s="61">
        <f>IF(ISERROR(TblImps[[#This Row],[algorithm]]),0,TblImps[[#This Row],[algorithm]]*1)</f>
        <v>0</v>
      </c>
      <c r="N107" s="96">
        <f ca="1">TblImps[[#This Row],[Land]]</f>
        <v>250</v>
      </c>
      <c r="O107" s="307" t="s">
        <v>4</v>
      </c>
      <c r="P107" s="308"/>
      <c r="Q107" s="307" t="s">
        <v>210</v>
      </c>
      <c r="R107" s="307" t="s">
        <v>7</v>
      </c>
      <c r="S107" s="308"/>
      <c r="T107" s="307" t="s">
        <v>210</v>
      </c>
      <c r="U107" s="307" t="s">
        <v>3</v>
      </c>
      <c r="V107" s="308"/>
      <c r="W107" s="307" t="s">
        <v>210</v>
      </c>
      <c r="X107" s="144"/>
      <c r="Y107" s="309">
        <f ca="1">science_cap*(1-EXP(-TblImps[[#This Row],[Σ Science]]/(science_param*(OFFSET(TblImps[[#This Row],[Land]],1,0)-OFFSET(TblExplore[[#This Row],[Land Bonus]],1,0)*20)+15000)))*(1+(mason_bonus*TblConstr[[#This Row],[Tot Mas]]/TblConstr[[#This Row],[Land (2)]]))</f>
        <v>0</v>
      </c>
      <c r="Z107" s="309">
        <f ca="1">keep_cap*(1-EXP(-TblImps[[#This Row],[Σ Keep]]/(keep_param*(OFFSET(TblImps[[#This Row],[Land]],1,0)-OFFSET(TblExplore[[#This Row],[Land Bonus]],1,0)*20)+15000)))*(1+(mason_bonus*TblConstr[[#This Row],[Tot Mas]]/TblConstr[[#This Row],[Land (2)]]))</f>
        <v>0</v>
      </c>
      <c r="AA107" s="309">
        <f ca="1">harbor_towers_cap*(1-EXP(-TblImps[[#This Row],[Σ Spires]]/(towers_param*(OFFSET(TblImps[[#This Row],[Land]],1,0)-OFFSET(TblExplore[[#This Row],[Land Bonus]],1,0)*20)+15000)))*(1+(mason_bonus*TblConstr[[#This Row],[Tot Mas]]/TblConstr[[#This Row],[Land (2)]]))</f>
        <v>0</v>
      </c>
      <c r="AB107" s="309">
        <f ca="1">walls_forges_cap*(1-EXP(-TblImps[[#This Row],[Σ Forges]]/(walls_forges_param*(OFFSET(TblImps[[#This Row],[Land]],1,0)-OFFSET(TblExplore[[#This Row],[Land Bonus]],1,0)*20)+15000)))*(1+(mason_bonus*TblConstr[[#This Row],[Tot Mas]]/TblConstr[[#This Row],[Land (2)]]))</f>
        <v>0</v>
      </c>
      <c r="AC107" s="309">
        <f ca="1">walls_forges_cap*(1-EXP(-TblImps[[#This Row],[Σ Walls]]/(walls_forges_param*(OFFSET(TblImps[[#This Row],[Land]],1,0)-OFFSET(TblExplore[[#This Row],[Land Bonus]],1,0)*20)+15000)))*(1+(mason_bonus*TblConstr[[#This Row],[Tot Mas]]/TblConstr[[#This Row],[Land (2)]]))</f>
        <v>0</v>
      </c>
      <c r="AD107" s="30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315">
        <f ca="1">OFFSET(TblImps[[#This Row],[Real time]],-1,0)+1/24</f>
        <v>45736.291666666417</v>
      </c>
      <c r="BZ107" s="316">
        <f ca="1">OFFSET(TblImps[[#This Row],[Servertime]],-1,0)+1/24</f>
        <v>45736.291666666417</v>
      </c>
      <c r="CA107" s="57"/>
      <c r="CB107" s="314"/>
      <c r="CC107" s="314"/>
      <c r="CD107" s="45" t="s">
        <v>208</v>
      </c>
    </row>
    <row r="108" spans="1:82" x14ac:dyDescent="0.2">
      <c r="A108" s="224">
        <f ca="1">TblConstr[[#This Row],[Land]]</f>
        <v>250</v>
      </c>
      <c r="B108" s="144"/>
      <c r="C108" s="96">
        <f ca="1">TblProd[[#This Row],[Platinum]]</f>
        <v>691422</v>
      </c>
      <c r="D108" s="96">
        <f ca="1">TblProd[[#This Row],[Lumber]]</f>
        <v>70111</v>
      </c>
      <c r="E108" s="96">
        <f ca="1">TblProd[[#This Row],[Ore]]</f>
        <v>0</v>
      </c>
      <c r="F108" s="96">
        <f ca="1">TblProd[[#This Row],[Gems]]</f>
        <v>0</v>
      </c>
      <c r="G108" s="156"/>
      <c r="H108" s="96">
        <f ca="1">TblMili[[#This Row],[Draftees]]</f>
        <v>626</v>
      </c>
      <c r="I108" s="182">
        <f ca="1">TblPop[[#This Row],[Employment]]</f>
        <v>1</v>
      </c>
      <c r="J108" s="182">
        <f ca="1">TblPop[[#This Row],[Total]]/TblPop[[#This Row],[Net max]]</f>
        <v>1</v>
      </c>
      <c r="K108" s="305">
        <f>TblRezone[[#This Row],[Hour]]</f>
        <v>105</v>
      </c>
      <c r="L108" s="306">
        <f ca="1">TblImps[[#This Row],[Real time]]</f>
        <v>45736.333333333081</v>
      </c>
      <c r="M108" s="61">
        <f>IF(ISERROR(TblImps[[#This Row],[algorithm]]),0,TblImps[[#This Row],[algorithm]]*1)</f>
        <v>0</v>
      </c>
      <c r="N108" s="96">
        <f ca="1">TblImps[[#This Row],[Land]]</f>
        <v>250</v>
      </c>
      <c r="O108" s="307" t="s">
        <v>4</v>
      </c>
      <c r="P108" s="308"/>
      <c r="Q108" s="307" t="s">
        <v>210</v>
      </c>
      <c r="R108" s="307" t="s">
        <v>7</v>
      </c>
      <c r="S108" s="308"/>
      <c r="T108" s="307" t="s">
        <v>210</v>
      </c>
      <c r="U108" s="307" t="s">
        <v>3</v>
      </c>
      <c r="V108" s="308"/>
      <c r="W108" s="307" t="s">
        <v>210</v>
      </c>
      <c r="X108" s="144"/>
      <c r="Y108" s="309">
        <f ca="1">science_cap*(1-EXP(-TblImps[[#This Row],[Σ Science]]/(science_param*(OFFSET(TblImps[[#This Row],[Land]],1,0)-OFFSET(TblExplore[[#This Row],[Land Bonus]],1,0)*20)+15000)))*(1+(mason_bonus*TblConstr[[#This Row],[Tot Mas]]/TblConstr[[#This Row],[Land (2)]]))</f>
        <v>0</v>
      </c>
      <c r="Z108" s="309">
        <f ca="1">keep_cap*(1-EXP(-TblImps[[#This Row],[Σ Keep]]/(keep_param*(OFFSET(TblImps[[#This Row],[Land]],1,0)-OFFSET(TblExplore[[#This Row],[Land Bonus]],1,0)*20)+15000)))*(1+(mason_bonus*TblConstr[[#This Row],[Tot Mas]]/TblConstr[[#This Row],[Land (2)]]))</f>
        <v>0</v>
      </c>
      <c r="AA108" s="309">
        <f ca="1">harbor_towers_cap*(1-EXP(-TblImps[[#This Row],[Σ Spires]]/(towers_param*(OFFSET(TblImps[[#This Row],[Land]],1,0)-OFFSET(TblExplore[[#This Row],[Land Bonus]],1,0)*20)+15000)))*(1+(mason_bonus*TblConstr[[#This Row],[Tot Mas]]/TblConstr[[#This Row],[Land (2)]]))</f>
        <v>0</v>
      </c>
      <c r="AB108" s="309">
        <f ca="1">walls_forges_cap*(1-EXP(-TblImps[[#This Row],[Σ Forges]]/(walls_forges_param*(OFFSET(TblImps[[#This Row],[Land]],1,0)-OFFSET(TblExplore[[#This Row],[Land Bonus]],1,0)*20)+15000)))*(1+(mason_bonus*TblConstr[[#This Row],[Tot Mas]]/TblConstr[[#This Row],[Land (2)]]))</f>
        <v>0</v>
      </c>
      <c r="AC108" s="309">
        <f ca="1">walls_forges_cap*(1-EXP(-TblImps[[#This Row],[Σ Walls]]/(walls_forges_param*(OFFSET(TblImps[[#This Row],[Land]],1,0)-OFFSET(TblExplore[[#This Row],[Land Bonus]],1,0)*20)+15000)))*(1+(mason_bonus*TblConstr[[#This Row],[Tot Mas]]/TblConstr[[#This Row],[Land (2)]]))</f>
        <v>0</v>
      </c>
      <c r="AD108" s="30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315">
        <f ca="1">OFFSET(TblImps[[#This Row],[Real time]],-1,0)+1/24</f>
        <v>45736.333333333081</v>
      </c>
      <c r="BZ108" s="316">
        <f ca="1">OFFSET(TblImps[[#This Row],[Servertime]],-1,0)+1/24</f>
        <v>45736.333333333081</v>
      </c>
      <c r="CA108" s="57"/>
      <c r="CB108" s="314"/>
      <c r="CC108" s="314"/>
      <c r="CD108" s="45" t="s">
        <v>210</v>
      </c>
    </row>
    <row r="109" spans="1:82" x14ac:dyDescent="0.2">
      <c r="A109" s="224">
        <f ca="1">TblConstr[[#This Row],[Land]]</f>
        <v>250</v>
      </c>
      <c r="B109" s="144"/>
      <c r="C109" s="96">
        <f ca="1">TblProd[[#This Row],[Platinum]]</f>
        <v>696908</v>
      </c>
      <c r="D109" s="96">
        <f ca="1">TblProd[[#This Row],[Lumber]]</f>
        <v>70410</v>
      </c>
      <c r="E109" s="96">
        <f ca="1">TblProd[[#This Row],[Ore]]</f>
        <v>0</v>
      </c>
      <c r="F109" s="96">
        <f ca="1">TblProd[[#This Row],[Gems]]</f>
        <v>0</v>
      </c>
      <c r="G109" s="156"/>
      <c r="H109" s="96">
        <f ca="1">TblMili[[#This Row],[Draftees]]</f>
        <v>626</v>
      </c>
      <c r="I109" s="182">
        <f ca="1">TblPop[[#This Row],[Employment]]</f>
        <v>1</v>
      </c>
      <c r="J109" s="182">
        <f ca="1">TblPop[[#This Row],[Total]]/TblPop[[#This Row],[Net max]]</f>
        <v>1</v>
      </c>
      <c r="K109" s="305">
        <f>TblRezone[[#This Row],[Hour]]</f>
        <v>106</v>
      </c>
      <c r="L109" s="306">
        <f ca="1">TblImps[[#This Row],[Real time]]</f>
        <v>45736.374999999745</v>
      </c>
      <c r="M109" s="61">
        <f>IF(ISERROR(TblImps[[#This Row],[algorithm]]),0,TblImps[[#This Row],[algorithm]]*1)</f>
        <v>0</v>
      </c>
      <c r="N109" s="96">
        <f ca="1">TblImps[[#This Row],[Land]]</f>
        <v>250</v>
      </c>
      <c r="O109" s="307" t="s">
        <v>4</v>
      </c>
      <c r="P109" s="308"/>
      <c r="Q109" s="307" t="s">
        <v>210</v>
      </c>
      <c r="R109" s="307" t="s">
        <v>7</v>
      </c>
      <c r="S109" s="308"/>
      <c r="T109" s="307" t="s">
        <v>210</v>
      </c>
      <c r="U109" s="307" t="s">
        <v>3</v>
      </c>
      <c r="V109" s="308"/>
      <c r="W109" s="307" t="s">
        <v>210</v>
      </c>
      <c r="X109" s="144"/>
      <c r="Y109" s="309">
        <f ca="1">science_cap*(1-EXP(-TblImps[[#This Row],[Σ Science]]/(science_param*(OFFSET(TblImps[[#This Row],[Land]],1,0)-OFFSET(TblExplore[[#This Row],[Land Bonus]],1,0)*20)+15000)))*(1+(mason_bonus*TblConstr[[#This Row],[Tot Mas]]/TblConstr[[#This Row],[Land (2)]]))</f>
        <v>0</v>
      </c>
      <c r="Z109" s="309">
        <f ca="1">keep_cap*(1-EXP(-TblImps[[#This Row],[Σ Keep]]/(keep_param*(OFFSET(TblImps[[#This Row],[Land]],1,0)-OFFSET(TblExplore[[#This Row],[Land Bonus]],1,0)*20)+15000)))*(1+(mason_bonus*TblConstr[[#This Row],[Tot Mas]]/TblConstr[[#This Row],[Land (2)]]))</f>
        <v>0</v>
      </c>
      <c r="AA109" s="309">
        <f ca="1">harbor_towers_cap*(1-EXP(-TblImps[[#This Row],[Σ Spires]]/(towers_param*(OFFSET(TblImps[[#This Row],[Land]],1,0)-OFFSET(TblExplore[[#This Row],[Land Bonus]],1,0)*20)+15000)))*(1+(mason_bonus*TblConstr[[#This Row],[Tot Mas]]/TblConstr[[#This Row],[Land (2)]]))</f>
        <v>0</v>
      </c>
      <c r="AB109" s="309">
        <f ca="1">walls_forges_cap*(1-EXP(-TblImps[[#This Row],[Σ Forges]]/(walls_forges_param*(OFFSET(TblImps[[#This Row],[Land]],1,0)-OFFSET(TblExplore[[#This Row],[Land Bonus]],1,0)*20)+15000)))*(1+(mason_bonus*TblConstr[[#This Row],[Tot Mas]]/TblConstr[[#This Row],[Land (2)]]))</f>
        <v>0</v>
      </c>
      <c r="AC109" s="309">
        <f ca="1">walls_forges_cap*(1-EXP(-TblImps[[#This Row],[Σ Walls]]/(walls_forges_param*(OFFSET(TblImps[[#This Row],[Land]],1,0)-OFFSET(TblExplore[[#This Row],[Land Bonus]],1,0)*20)+15000)))*(1+(mason_bonus*TblConstr[[#This Row],[Tot Mas]]/TblConstr[[#This Row],[Land (2)]]))</f>
        <v>0</v>
      </c>
      <c r="AD109" s="30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315">
        <f ca="1">OFFSET(TblImps[[#This Row],[Real time]],-1,0)+1/24</f>
        <v>45736.374999999745</v>
      </c>
      <c r="BZ109" s="316">
        <f ca="1">OFFSET(TblImps[[#This Row],[Servertime]],-1,0)+1/24</f>
        <v>45736.374999999745</v>
      </c>
      <c r="CA109" s="57"/>
      <c r="CB109" s="314"/>
      <c r="CC109" s="314"/>
      <c r="CD109" s="45" t="s">
        <v>211</v>
      </c>
    </row>
    <row r="110" spans="1:82" x14ac:dyDescent="0.2">
      <c r="A110" s="224">
        <f ca="1">TblConstr[[#This Row],[Land]]</f>
        <v>250</v>
      </c>
      <c r="B110" s="144"/>
      <c r="C110" s="96">
        <f ca="1">TblProd[[#This Row],[Platinum]]</f>
        <v>702394</v>
      </c>
      <c r="D110" s="96">
        <f ca="1">TblProd[[#This Row],[Lumber]]</f>
        <v>70706</v>
      </c>
      <c r="E110" s="96">
        <f ca="1">TblProd[[#This Row],[Ore]]</f>
        <v>0</v>
      </c>
      <c r="F110" s="96">
        <f ca="1">TblProd[[#This Row],[Gems]]</f>
        <v>0</v>
      </c>
      <c r="G110" s="156"/>
      <c r="H110" s="96">
        <f ca="1">TblMili[[#This Row],[Draftees]]</f>
        <v>626</v>
      </c>
      <c r="I110" s="182">
        <f ca="1">TblPop[[#This Row],[Employment]]</f>
        <v>1</v>
      </c>
      <c r="J110" s="182">
        <f ca="1">TblPop[[#This Row],[Total]]/TblPop[[#This Row],[Net max]]</f>
        <v>1</v>
      </c>
      <c r="K110" s="305">
        <f>TblRezone[[#This Row],[Hour]]</f>
        <v>107</v>
      </c>
      <c r="L110" s="306">
        <f ca="1">TblImps[[#This Row],[Real time]]</f>
        <v>45736.41666666641</v>
      </c>
      <c r="M110" s="61">
        <f>IF(ISERROR(TblImps[[#This Row],[algorithm]]),0,TblImps[[#This Row],[algorithm]]*1)</f>
        <v>0</v>
      </c>
      <c r="N110" s="96">
        <f ca="1">TblImps[[#This Row],[Land]]</f>
        <v>250</v>
      </c>
      <c r="O110" s="307" t="s">
        <v>4</v>
      </c>
      <c r="P110" s="308"/>
      <c r="Q110" s="307" t="s">
        <v>210</v>
      </c>
      <c r="R110" s="307" t="s">
        <v>7</v>
      </c>
      <c r="S110" s="308"/>
      <c r="T110" s="307" t="s">
        <v>210</v>
      </c>
      <c r="U110" s="307" t="s">
        <v>3</v>
      </c>
      <c r="V110" s="308"/>
      <c r="W110" s="307" t="s">
        <v>210</v>
      </c>
      <c r="X110" s="144"/>
      <c r="Y110" s="309">
        <f ca="1">science_cap*(1-EXP(-TblImps[[#This Row],[Σ Science]]/(science_param*(OFFSET(TblImps[[#This Row],[Land]],1,0)-OFFSET(TblExplore[[#This Row],[Land Bonus]],1,0)*20)+15000)))*(1+(mason_bonus*TblConstr[[#This Row],[Tot Mas]]/TblConstr[[#This Row],[Land (2)]]))</f>
        <v>0</v>
      </c>
      <c r="Z110" s="309">
        <f ca="1">keep_cap*(1-EXP(-TblImps[[#This Row],[Σ Keep]]/(keep_param*(OFFSET(TblImps[[#This Row],[Land]],1,0)-OFFSET(TblExplore[[#This Row],[Land Bonus]],1,0)*20)+15000)))*(1+(mason_bonus*TblConstr[[#This Row],[Tot Mas]]/TblConstr[[#This Row],[Land (2)]]))</f>
        <v>0</v>
      </c>
      <c r="AA110" s="309">
        <f ca="1">harbor_towers_cap*(1-EXP(-TblImps[[#This Row],[Σ Spires]]/(towers_param*(OFFSET(TblImps[[#This Row],[Land]],1,0)-OFFSET(TblExplore[[#This Row],[Land Bonus]],1,0)*20)+15000)))*(1+(mason_bonus*TblConstr[[#This Row],[Tot Mas]]/TblConstr[[#This Row],[Land (2)]]))</f>
        <v>0</v>
      </c>
      <c r="AB110" s="309">
        <f ca="1">walls_forges_cap*(1-EXP(-TblImps[[#This Row],[Σ Forges]]/(walls_forges_param*(OFFSET(TblImps[[#This Row],[Land]],1,0)-OFFSET(TblExplore[[#This Row],[Land Bonus]],1,0)*20)+15000)))*(1+(mason_bonus*TblConstr[[#This Row],[Tot Mas]]/TblConstr[[#This Row],[Land (2)]]))</f>
        <v>0</v>
      </c>
      <c r="AC110" s="309">
        <f ca="1">walls_forges_cap*(1-EXP(-TblImps[[#This Row],[Σ Walls]]/(walls_forges_param*(OFFSET(TblImps[[#This Row],[Land]],1,0)-OFFSET(TblExplore[[#This Row],[Land Bonus]],1,0)*20)+15000)))*(1+(mason_bonus*TblConstr[[#This Row],[Tot Mas]]/TblConstr[[#This Row],[Land (2)]]))</f>
        <v>0</v>
      </c>
      <c r="AD110" s="30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315">
        <f ca="1">OFFSET(TblImps[[#This Row],[Real time]],-1,0)+1/24</f>
        <v>45736.41666666641</v>
      </c>
      <c r="BZ110" s="316">
        <f ca="1">OFFSET(TblImps[[#This Row],[Servertime]],-1,0)+1/24</f>
        <v>45736.41666666641</v>
      </c>
      <c r="CA110" s="57"/>
      <c r="CB110" s="314"/>
      <c r="CC110" s="314"/>
      <c r="CD110" s="45" t="s">
        <v>212</v>
      </c>
    </row>
    <row r="111" spans="1:82" x14ac:dyDescent="0.2">
      <c r="A111" s="224">
        <f ca="1">TblConstr[[#This Row],[Land]]</f>
        <v>250</v>
      </c>
      <c r="B111" s="144"/>
      <c r="C111" s="96">
        <f ca="1">TblProd[[#This Row],[Platinum]]</f>
        <v>707880</v>
      </c>
      <c r="D111" s="96">
        <f ca="1">TblProd[[#This Row],[Lumber]]</f>
        <v>70999</v>
      </c>
      <c r="E111" s="96">
        <f ca="1">TblProd[[#This Row],[Ore]]</f>
        <v>0</v>
      </c>
      <c r="F111" s="96">
        <f ca="1">TblProd[[#This Row],[Gems]]</f>
        <v>0</v>
      </c>
      <c r="G111" s="156"/>
      <c r="H111" s="96">
        <f ca="1">TblMili[[#This Row],[Draftees]]</f>
        <v>626</v>
      </c>
      <c r="I111" s="182">
        <f ca="1">TblPop[[#This Row],[Employment]]</f>
        <v>1</v>
      </c>
      <c r="J111" s="182">
        <f ca="1">TblPop[[#This Row],[Total]]/TblPop[[#This Row],[Net max]]</f>
        <v>1</v>
      </c>
      <c r="K111" s="305">
        <f>TblRezone[[#This Row],[Hour]]</f>
        <v>108</v>
      </c>
      <c r="L111" s="306">
        <f ca="1">TblImps[[#This Row],[Real time]]</f>
        <v>45736.458333333074</v>
      </c>
      <c r="M111" s="61">
        <f>IF(ISERROR(TblImps[[#This Row],[algorithm]]),0,TblImps[[#This Row],[algorithm]]*1)</f>
        <v>0</v>
      </c>
      <c r="N111" s="96">
        <f ca="1">TblImps[[#This Row],[Land]]</f>
        <v>250</v>
      </c>
      <c r="O111" s="307" t="s">
        <v>4</v>
      </c>
      <c r="P111" s="308"/>
      <c r="Q111" s="307" t="s">
        <v>210</v>
      </c>
      <c r="R111" s="307" t="s">
        <v>7</v>
      </c>
      <c r="S111" s="308"/>
      <c r="T111" s="307" t="s">
        <v>210</v>
      </c>
      <c r="U111" s="307" t="s">
        <v>3</v>
      </c>
      <c r="V111" s="308"/>
      <c r="W111" s="307" t="s">
        <v>210</v>
      </c>
      <c r="X111" s="144"/>
      <c r="Y111" s="309">
        <f ca="1">science_cap*(1-EXP(-TblImps[[#This Row],[Σ Science]]/(science_param*(OFFSET(TblImps[[#This Row],[Land]],1,0)-OFFSET(TblExplore[[#This Row],[Land Bonus]],1,0)*20)+15000)))*(1+(mason_bonus*TblConstr[[#This Row],[Tot Mas]]/TblConstr[[#This Row],[Land (2)]]))</f>
        <v>0</v>
      </c>
      <c r="Z111" s="309">
        <f ca="1">keep_cap*(1-EXP(-TblImps[[#This Row],[Σ Keep]]/(keep_param*(OFFSET(TblImps[[#This Row],[Land]],1,0)-OFFSET(TblExplore[[#This Row],[Land Bonus]],1,0)*20)+15000)))*(1+(mason_bonus*TblConstr[[#This Row],[Tot Mas]]/TblConstr[[#This Row],[Land (2)]]))</f>
        <v>0</v>
      </c>
      <c r="AA111" s="309">
        <f ca="1">harbor_towers_cap*(1-EXP(-TblImps[[#This Row],[Σ Spires]]/(towers_param*(OFFSET(TblImps[[#This Row],[Land]],1,0)-OFFSET(TblExplore[[#This Row],[Land Bonus]],1,0)*20)+15000)))*(1+(mason_bonus*TblConstr[[#This Row],[Tot Mas]]/TblConstr[[#This Row],[Land (2)]]))</f>
        <v>0</v>
      </c>
      <c r="AB111" s="309">
        <f ca="1">walls_forges_cap*(1-EXP(-TblImps[[#This Row],[Σ Forges]]/(walls_forges_param*(OFFSET(TblImps[[#This Row],[Land]],1,0)-OFFSET(TblExplore[[#This Row],[Land Bonus]],1,0)*20)+15000)))*(1+(mason_bonus*TblConstr[[#This Row],[Tot Mas]]/TblConstr[[#This Row],[Land (2)]]))</f>
        <v>0</v>
      </c>
      <c r="AC111" s="309">
        <f ca="1">walls_forges_cap*(1-EXP(-TblImps[[#This Row],[Σ Walls]]/(walls_forges_param*(OFFSET(TblImps[[#This Row],[Land]],1,0)-OFFSET(TblExplore[[#This Row],[Land Bonus]],1,0)*20)+15000)))*(1+(mason_bonus*TblConstr[[#This Row],[Tot Mas]]/TblConstr[[#This Row],[Land (2)]]))</f>
        <v>0</v>
      </c>
      <c r="AD111" s="30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315">
        <f ca="1">OFFSET(TblImps[[#This Row],[Real time]],-1,0)+1/24</f>
        <v>45736.458333333074</v>
      </c>
      <c r="BZ111" s="316">
        <f ca="1">OFFSET(TblImps[[#This Row],[Servertime]],-1,0)+1/24</f>
        <v>45736.458333333074</v>
      </c>
      <c r="CA111" s="57"/>
      <c r="CB111" s="314"/>
      <c r="CC111" s="314"/>
      <c r="CD111" s="45" t="s">
        <v>213</v>
      </c>
    </row>
    <row r="112" spans="1:82" x14ac:dyDescent="0.2">
      <c r="A112" s="224">
        <f ca="1">TblConstr[[#This Row],[Land]]</f>
        <v>250</v>
      </c>
      <c r="B112" s="144"/>
      <c r="C112" s="96">
        <f ca="1">TblProd[[#This Row],[Platinum]]</f>
        <v>713366</v>
      </c>
      <c r="D112" s="96">
        <f ca="1">TblProd[[#This Row],[Lumber]]</f>
        <v>71289</v>
      </c>
      <c r="E112" s="96">
        <f ca="1">TblProd[[#This Row],[Ore]]</f>
        <v>0</v>
      </c>
      <c r="F112" s="96">
        <f ca="1">TblProd[[#This Row],[Gems]]</f>
        <v>0</v>
      </c>
      <c r="G112" s="156"/>
      <c r="H112" s="96">
        <f ca="1">TblMili[[#This Row],[Draftees]]</f>
        <v>626</v>
      </c>
      <c r="I112" s="182">
        <f ca="1">TblPop[[#This Row],[Employment]]</f>
        <v>1</v>
      </c>
      <c r="J112" s="182">
        <f ca="1">TblPop[[#This Row],[Total]]/TblPop[[#This Row],[Net max]]</f>
        <v>1</v>
      </c>
      <c r="K112" s="305">
        <f>TblRezone[[#This Row],[Hour]]</f>
        <v>109</v>
      </c>
      <c r="L112" s="306">
        <f ca="1">TblImps[[#This Row],[Real time]]</f>
        <v>45736.499999999738</v>
      </c>
      <c r="M112" s="61">
        <f>IF(ISERROR(TblImps[[#This Row],[algorithm]]),0,TblImps[[#This Row],[algorithm]]*1)</f>
        <v>0</v>
      </c>
      <c r="N112" s="96">
        <f ca="1">TblImps[[#This Row],[Land]]</f>
        <v>250</v>
      </c>
      <c r="O112" s="307" t="s">
        <v>4</v>
      </c>
      <c r="P112" s="308"/>
      <c r="Q112" s="307" t="s">
        <v>210</v>
      </c>
      <c r="R112" s="307" t="s">
        <v>7</v>
      </c>
      <c r="S112" s="308"/>
      <c r="T112" s="307" t="s">
        <v>210</v>
      </c>
      <c r="U112" s="307" t="s">
        <v>3</v>
      </c>
      <c r="V112" s="308"/>
      <c r="W112" s="307" t="s">
        <v>210</v>
      </c>
      <c r="X112" s="144"/>
      <c r="Y112" s="309">
        <f ca="1">science_cap*(1-EXP(-TblImps[[#This Row],[Σ Science]]/(science_param*(OFFSET(TblImps[[#This Row],[Land]],1,0)-OFFSET(TblExplore[[#This Row],[Land Bonus]],1,0)*20)+15000)))*(1+(mason_bonus*TblConstr[[#This Row],[Tot Mas]]/TblConstr[[#This Row],[Land (2)]]))</f>
        <v>0</v>
      </c>
      <c r="Z112" s="309">
        <f ca="1">keep_cap*(1-EXP(-TblImps[[#This Row],[Σ Keep]]/(keep_param*(OFFSET(TblImps[[#This Row],[Land]],1,0)-OFFSET(TblExplore[[#This Row],[Land Bonus]],1,0)*20)+15000)))*(1+(mason_bonus*TblConstr[[#This Row],[Tot Mas]]/TblConstr[[#This Row],[Land (2)]]))</f>
        <v>0</v>
      </c>
      <c r="AA112" s="309">
        <f ca="1">harbor_towers_cap*(1-EXP(-TblImps[[#This Row],[Σ Spires]]/(towers_param*(OFFSET(TblImps[[#This Row],[Land]],1,0)-OFFSET(TblExplore[[#This Row],[Land Bonus]],1,0)*20)+15000)))*(1+(mason_bonus*TblConstr[[#This Row],[Tot Mas]]/TblConstr[[#This Row],[Land (2)]]))</f>
        <v>0</v>
      </c>
      <c r="AB112" s="309">
        <f ca="1">walls_forges_cap*(1-EXP(-TblImps[[#This Row],[Σ Forges]]/(walls_forges_param*(OFFSET(TblImps[[#This Row],[Land]],1,0)-OFFSET(TblExplore[[#This Row],[Land Bonus]],1,0)*20)+15000)))*(1+(mason_bonus*TblConstr[[#This Row],[Tot Mas]]/TblConstr[[#This Row],[Land (2)]]))</f>
        <v>0</v>
      </c>
      <c r="AC112" s="309">
        <f ca="1">walls_forges_cap*(1-EXP(-TblImps[[#This Row],[Σ Walls]]/(walls_forges_param*(OFFSET(TblImps[[#This Row],[Land]],1,0)-OFFSET(TblExplore[[#This Row],[Land Bonus]],1,0)*20)+15000)))*(1+(mason_bonus*TblConstr[[#This Row],[Tot Mas]]/TblConstr[[#This Row],[Land (2)]]))</f>
        <v>0</v>
      </c>
      <c r="AD112" s="30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315">
        <f ca="1">OFFSET(TblImps[[#This Row],[Real time]],-1,0)+1/24</f>
        <v>45736.499999999738</v>
      </c>
      <c r="BZ112" s="316">
        <f ca="1">OFFSET(TblImps[[#This Row],[Servertime]],-1,0)+1/24</f>
        <v>45736.499999999738</v>
      </c>
      <c r="CA112" s="57"/>
      <c r="CB112" s="314"/>
      <c r="CC112" s="314"/>
      <c r="CD112" s="45" t="s">
        <v>214</v>
      </c>
    </row>
    <row r="113" spans="1:81" x14ac:dyDescent="0.2">
      <c r="A113" s="224">
        <f ca="1">TblConstr[[#This Row],[Land]]</f>
        <v>250</v>
      </c>
      <c r="B113" s="144"/>
      <c r="C113" s="96">
        <f ca="1">TblProd[[#This Row],[Platinum]]</f>
        <v>718852</v>
      </c>
      <c r="D113" s="96">
        <f ca="1">TblProd[[#This Row],[Lumber]]</f>
        <v>71576</v>
      </c>
      <c r="E113" s="96">
        <f ca="1">TblProd[[#This Row],[Ore]]</f>
        <v>0</v>
      </c>
      <c r="F113" s="96">
        <f ca="1">TblProd[[#This Row],[Gems]]</f>
        <v>0</v>
      </c>
      <c r="G113" s="156"/>
      <c r="H113" s="96">
        <f ca="1">TblMili[[#This Row],[Draftees]]</f>
        <v>626</v>
      </c>
      <c r="I113" s="182">
        <f ca="1">TblPop[[#This Row],[Employment]]</f>
        <v>1</v>
      </c>
      <c r="J113" s="182">
        <f ca="1">TblPop[[#This Row],[Total]]/TblPop[[#This Row],[Net max]]</f>
        <v>1</v>
      </c>
      <c r="K113" s="305">
        <f>TblRezone[[#This Row],[Hour]]</f>
        <v>110</v>
      </c>
      <c r="L113" s="306">
        <f ca="1">TblImps[[#This Row],[Real time]]</f>
        <v>45736.541666666402</v>
      </c>
      <c r="M113" s="61">
        <f>IF(ISERROR(TblImps[[#This Row],[algorithm]]),0,TblImps[[#This Row],[algorithm]]*1)</f>
        <v>0</v>
      </c>
      <c r="N113" s="96">
        <f ca="1">TblImps[[#This Row],[Land]]</f>
        <v>250</v>
      </c>
      <c r="O113" s="307" t="s">
        <v>4</v>
      </c>
      <c r="P113" s="308"/>
      <c r="Q113" s="307" t="s">
        <v>210</v>
      </c>
      <c r="R113" s="307" t="s">
        <v>7</v>
      </c>
      <c r="S113" s="308"/>
      <c r="T113" s="307" t="s">
        <v>210</v>
      </c>
      <c r="U113" s="307" t="s">
        <v>3</v>
      </c>
      <c r="V113" s="308"/>
      <c r="W113" s="307" t="s">
        <v>210</v>
      </c>
      <c r="X113" s="144"/>
      <c r="Y113" s="309">
        <f ca="1">science_cap*(1-EXP(-TblImps[[#This Row],[Σ Science]]/(science_param*(OFFSET(TblImps[[#This Row],[Land]],1,0)-OFFSET(TblExplore[[#This Row],[Land Bonus]],1,0)*20)+15000)))*(1+(mason_bonus*TblConstr[[#This Row],[Tot Mas]]/TblConstr[[#This Row],[Land (2)]]))</f>
        <v>0</v>
      </c>
      <c r="Z113" s="309">
        <f ca="1">keep_cap*(1-EXP(-TblImps[[#This Row],[Σ Keep]]/(keep_param*(OFFSET(TblImps[[#This Row],[Land]],1,0)-OFFSET(TblExplore[[#This Row],[Land Bonus]],1,0)*20)+15000)))*(1+(mason_bonus*TblConstr[[#This Row],[Tot Mas]]/TblConstr[[#This Row],[Land (2)]]))</f>
        <v>0</v>
      </c>
      <c r="AA113" s="309">
        <f ca="1">harbor_towers_cap*(1-EXP(-TblImps[[#This Row],[Σ Spires]]/(towers_param*(OFFSET(TblImps[[#This Row],[Land]],1,0)-OFFSET(TblExplore[[#This Row],[Land Bonus]],1,0)*20)+15000)))*(1+(mason_bonus*TblConstr[[#This Row],[Tot Mas]]/TblConstr[[#This Row],[Land (2)]]))</f>
        <v>0</v>
      </c>
      <c r="AB113" s="309">
        <f ca="1">walls_forges_cap*(1-EXP(-TblImps[[#This Row],[Σ Forges]]/(walls_forges_param*(OFFSET(TblImps[[#This Row],[Land]],1,0)-OFFSET(TblExplore[[#This Row],[Land Bonus]],1,0)*20)+15000)))*(1+(mason_bonus*TblConstr[[#This Row],[Tot Mas]]/TblConstr[[#This Row],[Land (2)]]))</f>
        <v>0</v>
      </c>
      <c r="AC113" s="309">
        <f ca="1">walls_forges_cap*(1-EXP(-TblImps[[#This Row],[Σ Walls]]/(walls_forges_param*(OFFSET(TblImps[[#This Row],[Land]],1,0)-OFFSET(TblExplore[[#This Row],[Land Bonus]],1,0)*20)+15000)))*(1+(mason_bonus*TblConstr[[#This Row],[Tot Mas]]/TblConstr[[#This Row],[Land (2)]]))</f>
        <v>0</v>
      </c>
      <c r="AD113" s="30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315">
        <f ca="1">OFFSET(TblImps[[#This Row],[Real time]],-1,0)+1/24</f>
        <v>45736.541666666402</v>
      </c>
      <c r="BZ113" s="316">
        <f ca="1">OFFSET(TblImps[[#This Row],[Servertime]],-1,0)+1/24</f>
        <v>45736.541666666402</v>
      </c>
      <c r="CA113" s="57"/>
      <c r="CB113" s="314"/>
      <c r="CC113" s="314"/>
    </row>
    <row r="114" spans="1:81" x14ac:dyDescent="0.2">
      <c r="A114" s="224">
        <f ca="1">TblConstr[[#This Row],[Land]]</f>
        <v>250</v>
      </c>
      <c r="B114" s="144"/>
      <c r="C114" s="96">
        <f ca="1">TblProd[[#This Row],[Platinum]]</f>
        <v>724338</v>
      </c>
      <c r="D114" s="96">
        <f ca="1">TblProd[[#This Row],[Lumber]]</f>
        <v>71860</v>
      </c>
      <c r="E114" s="96">
        <f ca="1">TblProd[[#This Row],[Ore]]</f>
        <v>0</v>
      </c>
      <c r="F114" s="96">
        <f ca="1">TblProd[[#This Row],[Gems]]</f>
        <v>0</v>
      </c>
      <c r="G114" s="156"/>
      <c r="H114" s="96">
        <f ca="1">TblMili[[#This Row],[Draftees]]</f>
        <v>626</v>
      </c>
      <c r="I114" s="182">
        <f ca="1">TblPop[[#This Row],[Employment]]</f>
        <v>1</v>
      </c>
      <c r="J114" s="182">
        <f ca="1">TblPop[[#This Row],[Total]]/TblPop[[#This Row],[Net max]]</f>
        <v>1</v>
      </c>
      <c r="K114" s="305">
        <f>TblRezone[[#This Row],[Hour]]</f>
        <v>111</v>
      </c>
      <c r="L114" s="306">
        <f ca="1">TblImps[[#This Row],[Real time]]</f>
        <v>45736.583333333067</v>
      </c>
      <c r="M114" s="61">
        <f>IF(ISERROR(TblImps[[#This Row],[algorithm]]),0,TblImps[[#This Row],[algorithm]]*1)</f>
        <v>0</v>
      </c>
      <c r="N114" s="96">
        <f ca="1">TblImps[[#This Row],[Land]]</f>
        <v>250</v>
      </c>
      <c r="O114" s="307" t="s">
        <v>4</v>
      </c>
      <c r="P114" s="308"/>
      <c r="Q114" s="307" t="s">
        <v>210</v>
      </c>
      <c r="R114" s="307" t="s">
        <v>7</v>
      </c>
      <c r="S114" s="308"/>
      <c r="T114" s="307" t="s">
        <v>210</v>
      </c>
      <c r="U114" s="307" t="s">
        <v>3</v>
      </c>
      <c r="V114" s="308"/>
      <c r="W114" s="307" t="s">
        <v>210</v>
      </c>
      <c r="X114" s="144"/>
      <c r="Y114" s="309">
        <f ca="1">science_cap*(1-EXP(-TblImps[[#This Row],[Σ Science]]/(science_param*(OFFSET(TblImps[[#This Row],[Land]],1,0)-OFFSET(TblExplore[[#This Row],[Land Bonus]],1,0)*20)+15000)))*(1+(mason_bonus*TblConstr[[#This Row],[Tot Mas]]/TblConstr[[#This Row],[Land (2)]]))</f>
        <v>0</v>
      </c>
      <c r="Z114" s="309">
        <f ca="1">keep_cap*(1-EXP(-TblImps[[#This Row],[Σ Keep]]/(keep_param*(OFFSET(TblImps[[#This Row],[Land]],1,0)-OFFSET(TblExplore[[#This Row],[Land Bonus]],1,0)*20)+15000)))*(1+(mason_bonus*TblConstr[[#This Row],[Tot Mas]]/TblConstr[[#This Row],[Land (2)]]))</f>
        <v>0</v>
      </c>
      <c r="AA114" s="309">
        <f ca="1">harbor_towers_cap*(1-EXP(-TblImps[[#This Row],[Σ Spires]]/(towers_param*(OFFSET(TblImps[[#This Row],[Land]],1,0)-OFFSET(TblExplore[[#This Row],[Land Bonus]],1,0)*20)+15000)))*(1+(mason_bonus*TblConstr[[#This Row],[Tot Mas]]/TblConstr[[#This Row],[Land (2)]]))</f>
        <v>0</v>
      </c>
      <c r="AB114" s="309">
        <f ca="1">walls_forges_cap*(1-EXP(-TblImps[[#This Row],[Σ Forges]]/(walls_forges_param*(OFFSET(TblImps[[#This Row],[Land]],1,0)-OFFSET(TblExplore[[#This Row],[Land Bonus]],1,0)*20)+15000)))*(1+(mason_bonus*TblConstr[[#This Row],[Tot Mas]]/TblConstr[[#This Row],[Land (2)]]))</f>
        <v>0</v>
      </c>
      <c r="AC114" s="309">
        <f ca="1">walls_forges_cap*(1-EXP(-TblImps[[#This Row],[Σ Walls]]/(walls_forges_param*(OFFSET(TblImps[[#This Row],[Land]],1,0)-OFFSET(TblExplore[[#This Row],[Land Bonus]],1,0)*20)+15000)))*(1+(mason_bonus*TblConstr[[#This Row],[Tot Mas]]/TblConstr[[#This Row],[Land (2)]]))</f>
        <v>0</v>
      </c>
      <c r="AD114" s="30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315">
        <f ca="1">OFFSET(TblImps[[#This Row],[Real time]],-1,0)+1/24</f>
        <v>45736.583333333067</v>
      </c>
      <c r="BZ114" s="316">
        <f ca="1">OFFSET(TblImps[[#This Row],[Servertime]],-1,0)+1/24</f>
        <v>45736.583333333067</v>
      </c>
      <c r="CA114" s="319"/>
      <c r="CB114" s="314"/>
      <c r="CC114" s="314"/>
    </row>
    <row r="115" spans="1:81" x14ac:dyDescent="0.2">
      <c r="A115" s="224">
        <f ca="1">TblConstr[[#This Row],[Land]]</f>
        <v>250</v>
      </c>
      <c r="B115" s="144"/>
      <c r="C115" s="96">
        <f ca="1">TblProd[[#This Row],[Platinum]]</f>
        <v>729824</v>
      </c>
      <c r="D115" s="96">
        <f ca="1">TblProd[[#This Row],[Lumber]]</f>
        <v>72141</v>
      </c>
      <c r="E115" s="96">
        <f ca="1">TblProd[[#This Row],[Ore]]</f>
        <v>0</v>
      </c>
      <c r="F115" s="96">
        <f ca="1">TblProd[[#This Row],[Gems]]</f>
        <v>0</v>
      </c>
      <c r="G115" s="156"/>
      <c r="H115" s="96">
        <f ca="1">TblMili[[#This Row],[Draftees]]</f>
        <v>626</v>
      </c>
      <c r="I115" s="182">
        <f ca="1">TblPop[[#This Row],[Employment]]</f>
        <v>1</v>
      </c>
      <c r="J115" s="182">
        <f ca="1">TblPop[[#This Row],[Total]]/TblPop[[#This Row],[Net max]]</f>
        <v>1</v>
      </c>
      <c r="K115" s="305">
        <f>TblRezone[[#This Row],[Hour]]</f>
        <v>112</v>
      </c>
      <c r="L115" s="306">
        <f ca="1">TblImps[[#This Row],[Real time]]</f>
        <v>45736.624999999731</v>
      </c>
      <c r="M115" s="61">
        <f>IF(ISERROR(TblImps[[#This Row],[algorithm]]),0,TblImps[[#This Row],[algorithm]]*1)</f>
        <v>0</v>
      </c>
      <c r="N115" s="96">
        <f ca="1">TblImps[[#This Row],[Land]]</f>
        <v>250</v>
      </c>
      <c r="O115" s="307" t="s">
        <v>4</v>
      </c>
      <c r="P115" s="308"/>
      <c r="Q115" s="307" t="s">
        <v>210</v>
      </c>
      <c r="R115" s="307" t="s">
        <v>7</v>
      </c>
      <c r="S115" s="308"/>
      <c r="T115" s="307" t="s">
        <v>210</v>
      </c>
      <c r="U115" s="307" t="s">
        <v>3</v>
      </c>
      <c r="V115" s="308"/>
      <c r="W115" s="307" t="s">
        <v>210</v>
      </c>
      <c r="X115" s="144"/>
      <c r="Y115" s="309">
        <f ca="1">science_cap*(1-EXP(-TblImps[[#This Row],[Σ Science]]/(science_param*(OFFSET(TblImps[[#This Row],[Land]],1,0)-OFFSET(TblExplore[[#This Row],[Land Bonus]],1,0)*20)+15000)))*(1+(mason_bonus*TblConstr[[#This Row],[Tot Mas]]/TblConstr[[#This Row],[Land (2)]]))</f>
        <v>0</v>
      </c>
      <c r="Z115" s="309">
        <f ca="1">keep_cap*(1-EXP(-TblImps[[#This Row],[Σ Keep]]/(keep_param*(OFFSET(TblImps[[#This Row],[Land]],1,0)-OFFSET(TblExplore[[#This Row],[Land Bonus]],1,0)*20)+15000)))*(1+(mason_bonus*TblConstr[[#This Row],[Tot Mas]]/TblConstr[[#This Row],[Land (2)]]))</f>
        <v>0</v>
      </c>
      <c r="AA115" s="309">
        <f ca="1">harbor_towers_cap*(1-EXP(-TblImps[[#This Row],[Σ Spires]]/(towers_param*(OFFSET(TblImps[[#This Row],[Land]],1,0)-OFFSET(TblExplore[[#This Row],[Land Bonus]],1,0)*20)+15000)))*(1+(mason_bonus*TblConstr[[#This Row],[Tot Mas]]/TblConstr[[#This Row],[Land (2)]]))</f>
        <v>0</v>
      </c>
      <c r="AB115" s="309">
        <f ca="1">walls_forges_cap*(1-EXP(-TblImps[[#This Row],[Σ Forges]]/(walls_forges_param*(OFFSET(TblImps[[#This Row],[Land]],1,0)-OFFSET(TblExplore[[#This Row],[Land Bonus]],1,0)*20)+15000)))*(1+(mason_bonus*TblConstr[[#This Row],[Tot Mas]]/TblConstr[[#This Row],[Land (2)]]))</f>
        <v>0</v>
      </c>
      <c r="AC115" s="309">
        <f ca="1">walls_forges_cap*(1-EXP(-TblImps[[#This Row],[Σ Walls]]/(walls_forges_param*(OFFSET(TblImps[[#This Row],[Land]],1,0)-OFFSET(TblExplore[[#This Row],[Land Bonus]],1,0)*20)+15000)))*(1+(mason_bonus*TblConstr[[#This Row],[Tot Mas]]/TblConstr[[#This Row],[Land (2)]]))</f>
        <v>0</v>
      </c>
      <c r="AD115" s="30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315">
        <f ca="1">OFFSET(TblImps[[#This Row],[Real time]],-1,0)+1/24</f>
        <v>45736.624999999731</v>
      </c>
      <c r="BZ115" s="316">
        <f ca="1">OFFSET(TblImps[[#This Row],[Servertime]],-1,0)+1/24</f>
        <v>45736.624999999731</v>
      </c>
      <c r="CA115" s="57"/>
      <c r="CB115" s="314"/>
      <c r="CC115" s="314"/>
    </row>
    <row r="116" spans="1:81" x14ac:dyDescent="0.2">
      <c r="A116" s="224">
        <f ca="1">TblConstr[[#This Row],[Land]]</f>
        <v>250</v>
      </c>
      <c r="B116" s="144"/>
      <c r="C116" s="96">
        <f ca="1">TblProd[[#This Row],[Platinum]]</f>
        <v>735310</v>
      </c>
      <c r="D116" s="96">
        <f ca="1">TblProd[[#This Row],[Lumber]]</f>
        <v>72420</v>
      </c>
      <c r="E116" s="96">
        <f ca="1">TblProd[[#This Row],[Ore]]</f>
        <v>0</v>
      </c>
      <c r="F116" s="96">
        <f ca="1">TblProd[[#This Row],[Gems]]</f>
        <v>0</v>
      </c>
      <c r="G116" s="156"/>
      <c r="H116" s="96">
        <f ca="1">TblMili[[#This Row],[Draftees]]</f>
        <v>626</v>
      </c>
      <c r="I116" s="182">
        <f ca="1">TblPop[[#This Row],[Employment]]</f>
        <v>1</v>
      </c>
      <c r="J116" s="182">
        <f ca="1">TblPop[[#This Row],[Total]]/TblPop[[#This Row],[Net max]]</f>
        <v>1</v>
      </c>
      <c r="K116" s="305">
        <f>TblRezone[[#This Row],[Hour]]</f>
        <v>113</v>
      </c>
      <c r="L116" s="306">
        <f ca="1">TblImps[[#This Row],[Real time]]</f>
        <v>45736.666666666395</v>
      </c>
      <c r="M116" s="61">
        <f>IF(ISERROR(TblImps[[#This Row],[algorithm]]),0,TblImps[[#This Row],[algorithm]]*1)</f>
        <v>0</v>
      </c>
      <c r="N116" s="96">
        <f ca="1">TblImps[[#This Row],[Land]]</f>
        <v>250</v>
      </c>
      <c r="O116" s="307" t="s">
        <v>4</v>
      </c>
      <c r="P116" s="308"/>
      <c r="Q116" s="307" t="s">
        <v>210</v>
      </c>
      <c r="R116" s="307" t="s">
        <v>7</v>
      </c>
      <c r="S116" s="308"/>
      <c r="T116" s="307" t="s">
        <v>210</v>
      </c>
      <c r="U116" s="307" t="s">
        <v>3</v>
      </c>
      <c r="V116" s="308"/>
      <c r="W116" s="307" t="s">
        <v>210</v>
      </c>
      <c r="X116" s="144"/>
      <c r="Y116" s="309">
        <f ca="1">science_cap*(1-EXP(-TblImps[[#This Row],[Σ Science]]/(science_param*(OFFSET(TblImps[[#This Row],[Land]],1,0)-OFFSET(TblExplore[[#This Row],[Land Bonus]],1,0)*20)+15000)))*(1+(mason_bonus*TblConstr[[#This Row],[Tot Mas]]/TblConstr[[#This Row],[Land (2)]]))</f>
        <v>0</v>
      </c>
      <c r="Z116" s="309">
        <f ca="1">keep_cap*(1-EXP(-TblImps[[#This Row],[Σ Keep]]/(keep_param*(OFFSET(TblImps[[#This Row],[Land]],1,0)-OFFSET(TblExplore[[#This Row],[Land Bonus]],1,0)*20)+15000)))*(1+(mason_bonus*TblConstr[[#This Row],[Tot Mas]]/TblConstr[[#This Row],[Land (2)]]))</f>
        <v>0</v>
      </c>
      <c r="AA116" s="309">
        <f ca="1">harbor_towers_cap*(1-EXP(-TblImps[[#This Row],[Σ Spires]]/(towers_param*(OFFSET(TblImps[[#This Row],[Land]],1,0)-OFFSET(TblExplore[[#This Row],[Land Bonus]],1,0)*20)+15000)))*(1+(mason_bonus*TblConstr[[#This Row],[Tot Mas]]/TblConstr[[#This Row],[Land (2)]]))</f>
        <v>0</v>
      </c>
      <c r="AB116" s="309">
        <f ca="1">walls_forges_cap*(1-EXP(-TblImps[[#This Row],[Σ Forges]]/(walls_forges_param*(OFFSET(TblImps[[#This Row],[Land]],1,0)-OFFSET(TblExplore[[#This Row],[Land Bonus]],1,0)*20)+15000)))*(1+(mason_bonus*TblConstr[[#This Row],[Tot Mas]]/TblConstr[[#This Row],[Land (2)]]))</f>
        <v>0</v>
      </c>
      <c r="AC116" s="309">
        <f ca="1">walls_forges_cap*(1-EXP(-TblImps[[#This Row],[Σ Walls]]/(walls_forges_param*(OFFSET(TblImps[[#This Row],[Land]],1,0)-OFFSET(TblExplore[[#This Row],[Land Bonus]],1,0)*20)+15000)))*(1+(mason_bonus*TblConstr[[#This Row],[Tot Mas]]/TblConstr[[#This Row],[Land (2)]]))</f>
        <v>0</v>
      </c>
      <c r="AD116" s="30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315">
        <f ca="1">OFFSET(TblImps[[#This Row],[Real time]],-1,0)+1/24</f>
        <v>45736.666666666395</v>
      </c>
      <c r="BZ116" s="316">
        <f ca="1">OFFSET(TblImps[[#This Row],[Servertime]],-1,0)+1/24</f>
        <v>45736.666666666395</v>
      </c>
      <c r="CA116" s="57"/>
      <c r="CB116" s="314"/>
      <c r="CC116" s="314"/>
    </row>
    <row r="117" spans="1:81" x14ac:dyDescent="0.2">
      <c r="A117" s="224">
        <f ca="1">TblConstr[[#This Row],[Land]]</f>
        <v>250</v>
      </c>
      <c r="B117" s="144"/>
      <c r="C117" s="96">
        <f ca="1">TblProd[[#This Row],[Platinum]]</f>
        <v>740796</v>
      </c>
      <c r="D117" s="96">
        <f ca="1">TblProd[[#This Row],[Lumber]]</f>
        <v>72696</v>
      </c>
      <c r="E117" s="96">
        <f ca="1">TblProd[[#This Row],[Ore]]</f>
        <v>0</v>
      </c>
      <c r="F117" s="96">
        <f ca="1">TblProd[[#This Row],[Gems]]</f>
        <v>0</v>
      </c>
      <c r="G117" s="156"/>
      <c r="H117" s="96">
        <f ca="1">TblMili[[#This Row],[Draftees]]</f>
        <v>626</v>
      </c>
      <c r="I117" s="182">
        <f ca="1">TblPop[[#This Row],[Employment]]</f>
        <v>1</v>
      </c>
      <c r="J117" s="182">
        <f ca="1">TblPop[[#This Row],[Total]]/TblPop[[#This Row],[Net max]]</f>
        <v>1</v>
      </c>
      <c r="K117" s="305">
        <f>TblRezone[[#This Row],[Hour]]</f>
        <v>114</v>
      </c>
      <c r="L117" s="306">
        <f ca="1">TblImps[[#This Row],[Real time]]</f>
        <v>45736.708333333059</v>
      </c>
      <c r="M117" s="61">
        <f>IF(ISERROR(TblImps[[#This Row],[algorithm]]),0,TblImps[[#This Row],[algorithm]]*1)</f>
        <v>0</v>
      </c>
      <c r="N117" s="96">
        <f ca="1">TblImps[[#This Row],[Land]]</f>
        <v>250</v>
      </c>
      <c r="O117" s="307" t="s">
        <v>4</v>
      </c>
      <c r="P117" s="308"/>
      <c r="Q117" s="307" t="s">
        <v>210</v>
      </c>
      <c r="R117" s="307" t="s">
        <v>7</v>
      </c>
      <c r="S117" s="308"/>
      <c r="T117" s="307" t="s">
        <v>210</v>
      </c>
      <c r="U117" s="307" t="s">
        <v>3</v>
      </c>
      <c r="V117" s="308"/>
      <c r="W117" s="307" t="s">
        <v>210</v>
      </c>
      <c r="X117" s="144"/>
      <c r="Y117" s="309">
        <f ca="1">science_cap*(1-EXP(-TblImps[[#This Row],[Σ Science]]/(science_param*(OFFSET(TblImps[[#This Row],[Land]],1,0)-OFFSET(TblExplore[[#This Row],[Land Bonus]],1,0)*20)+15000)))*(1+(mason_bonus*TblConstr[[#This Row],[Tot Mas]]/TblConstr[[#This Row],[Land (2)]]))</f>
        <v>0</v>
      </c>
      <c r="Z117" s="309">
        <f ca="1">keep_cap*(1-EXP(-TblImps[[#This Row],[Σ Keep]]/(keep_param*(OFFSET(TblImps[[#This Row],[Land]],1,0)-OFFSET(TblExplore[[#This Row],[Land Bonus]],1,0)*20)+15000)))*(1+(mason_bonus*TblConstr[[#This Row],[Tot Mas]]/TblConstr[[#This Row],[Land (2)]]))</f>
        <v>0</v>
      </c>
      <c r="AA117" s="309">
        <f ca="1">harbor_towers_cap*(1-EXP(-TblImps[[#This Row],[Σ Spires]]/(towers_param*(OFFSET(TblImps[[#This Row],[Land]],1,0)-OFFSET(TblExplore[[#This Row],[Land Bonus]],1,0)*20)+15000)))*(1+(mason_bonus*TblConstr[[#This Row],[Tot Mas]]/TblConstr[[#This Row],[Land (2)]]))</f>
        <v>0</v>
      </c>
      <c r="AB117" s="309">
        <f ca="1">walls_forges_cap*(1-EXP(-TblImps[[#This Row],[Σ Forges]]/(walls_forges_param*(OFFSET(TblImps[[#This Row],[Land]],1,0)-OFFSET(TblExplore[[#This Row],[Land Bonus]],1,0)*20)+15000)))*(1+(mason_bonus*TblConstr[[#This Row],[Tot Mas]]/TblConstr[[#This Row],[Land (2)]]))</f>
        <v>0</v>
      </c>
      <c r="AC117" s="309">
        <f ca="1">walls_forges_cap*(1-EXP(-TblImps[[#This Row],[Σ Walls]]/(walls_forges_param*(OFFSET(TblImps[[#This Row],[Land]],1,0)-OFFSET(TblExplore[[#This Row],[Land Bonus]],1,0)*20)+15000)))*(1+(mason_bonus*TblConstr[[#This Row],[Tot Mas]]/TblConstr[[#This Row],[Land (2)]]))</f>
        <v>0</v>
      </c>
      <c r="AD117" s="30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315">
        <f ca="1">OFFSET(TblImps[[#This Row],[Real time]],-1,0)+1/24</f>
        <v>45736.708333333059</v>
      </c>
      <c r="BZ117" s="316">
        <f ca="1">OFFSET(TblImps[[#This Row],[Servertime]],-1,0)+1/24</f>
        <v>45736.708333333059</v>
      </c>
      <c r="CA117" s="57"/>
      <c r="CB117" s="314"/>
      <c r="CC117" s="314"/>
    </row>
    <row r="118" spans="1:81" x14ac:dyDescent="0.2">
      <c r="A118" s="224">
        <f ca="1">TblConstr[[#This Row],[Land]]</f>
        <v>250</v>
      </c>
      <c r="B118" s="144"/>
      <c r="C118" s="96">
        <f ca="1">TblProd[[#This Row],[Platinum]]</f>
        <v>746282</v>
      </c>
      <c r="D118" s="96">
        <f ca="1">TblProd[[#This Row],[Lumber]]</f>
        <v>72969</v>
      </c>
      <c r="E118" s="96">
        <f ca="1">TblProd[[#This Row],[Ore]]</f>
        <v>0</v>
      </c>
      <c r="F118" s="96">
        <f ca="1">TblProd[[#This Row],[Gems]]</f>
        <v>0</v>
      </c>
      <c r="G118" s="156"/>
      <c r="H118" s="96">
        <f ca="1">TblMili[[#This Row],[Draftees]]</f>
        <v>626</v>
      </c>
      <c r="I118" s="182">
        <f ca="1">TblPop[[#This Row],[Employment]]</f>
        <v>1</v>
      </c>
      <c r="J118" s="182">
        <f ca="1">TblPop[[#This Row],[Total]]/TblPop[[#This Row],[Net max]]</f>
        <v>1</v>
      </c>
      <c r="K118" s="305">
        <f>TblRezone[[#This Row],[Hour]]</f>
        <v>115</v>
      </c>
      <c r="L118" s="306">
        <f ca="1">TblImps[[#This Row],[Real time]]</f>
        <v>45736.749999999724</v>
      </c>
      <c r="M118" s="61">
        <f>IF(ISERROR(TblImps[[#This Row],[algorithm]]),0,TblImps[[#This Row],[algorithm]]*1)</f>
        <v>0</v>
      </c>
      <c r="N118" s="96">
        <f ca="1">TblImps[[#This Row],[Land]]</f>
        <v>250</v>
      </c>
      <c r="O118" s="307" t="s">
        <v>4</v>
      </c>
      <c r="P118" s="308"/>
      <c r="Q118" s="307" t="s">
        <v>210</v>
      </c>
      <c r="R118" s="307" t="s">
        <v>7</v>
      </c>
      <c r="S118" s="308"/>
      <c r="T118" s="307" t="s">
        <v>210</v>
      </c>
      <c r="U118" s="307" t="s">
        <v>3</v>
      </c>
      <c r="V118" s="308"/>
      <c r="W118" s="307" t="s">
        <v>210</v>
      </c>
      <c r="X118" s="144"/>
      <c r="Y118" s="309">
        <f ca="1">science_cap*(1-EXP(-TblImps[[#This Row],[Σ Science]]/(science_param*(OFFSET(TblImps[[#This Row],[Land]],1,0)-OFFSET(TblExplore[[#This Row],[Land Bonus]],1,0)*20)+15000)))*(1+(mason_bonus*TblConstr[[#This Row],[Tot Mas]]/TblConstr[[#This Row],[Land (2)]]))</f>
        <v>0</v>
      </c>
      <c r="Z118" s="309">
        <f ca="1">keep_cap*(1-EXP(-TblImps[[#This Row],[Σ Keep]]/(keep_param*(OFFSET(TblImps[[#This Row],[Land]],1,0)-OFFSET(TblExplore[[#This Row],[Land Bonus]],1,0)*20)+15000)))*(1+(mason_bonus*TblConstr[[#This Row],[Tot Mas]]/TblConstr[[#This Row],[Land (2)]]))</f>
        <v>0</v>
      </c>
      <c r="AA118" s="309">
        <f ca="1">harbor_towers_cap*(1-EXP(-TblImps[[#This Row],[Σ Spires]]/(towers_param*(OFFSET(TblImps[[#This Row],[Land]],1,0)-OFFSET(TblExplore[[#This Row],[Land Bonus]],1,0)*20)+15000)))*(1+(mason_bonus*TblConstr[[#This Row],[Tot Mas]]/TblConstr[[#This Row],[Land (2)]]))</f>
        <v>0</v>
      </c>
      <c r="AB118" s="309">
        <f ca="1">walls_forges_cap*(1-EXP(-TblImps[[#This Row],[Σ Forges]]/(walls_forges_param*(OFFSET(TblImps[[#This Row],[Land]],1,0)-OFFSET(TblExplore[[#This Row],[Land Bonus]],1,0)*20)+15000)))*(1+(mason_bonus*TblConstr[[#This Row],[Tot Mas]]/TblConstr[[#This Row],[Land (2)]]))</f>
        <v>0</v>
      </c>
      <c r="AC118" s="309">
        <f ca="1">walls_forges_cap*(1-EXP(-TblImps[[#This Row],[Σ Walls]]/(walls_forges_param*(OFFSET(TblImps[[#This Row],[Land]],1,0)-OFFSET(TblExplore[[#This Row],[Land Bonus]],1,0)*20)+15000)))*(1+(mason_bonus*TblConstr[[#This Row],[Tot Mas]]/TblConstr[[#This Row],[Land (2)]]))</f>
        <v>0</v>
      </c>
      <c r="AD118" s="30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315">
        <f ca="1">OFFSET(TblImps[[#This Row],[Real time]],-1,0)+1/24</f>
        <v>45736.749999999724</v>
      </c>
      <c r="BZ118" s="316">
        <f ca="1">OFFSET(TblImps[[#This Row],[Servertime]],-1,0)+1/24</f>
        <v>45736.749999999724</v>
      </c>
      <c r="CA118" s="57"/>
      <c r="CB118" s="314"/>
      <c r="CC118" s="314"/>
    </row>
    <row r="119" spans="1:81" x14ac:dyDescent="0.2">
      <c r="A119" s="224">
        <f ca="1">TblConstr[[#This Row],[Land]]</f>
        <v>250</v>
      </c>
      <c r="B119" s="144"/>
      <c r="C119" s="96">
        <f ca="1">TblProd[[#This Row],[Platinum]]</f>
        <v>751768</v>
      </c>
      <c r="D119" s="96">
        <f ca="1">TblProd[[#This Row],[Lumber]]</f>
        <v>73239</v>
      </c>
      <c r="E119" s="96">
        <f ca="1">TblProd[[#This Row],[Ore]]</f>
        <v>0</v>
      </c>
      <c r="F119" s="96">
        <f ca="1">TblProd[[#This Row],[Gems]]</f>
        <v>0</v>
      </c>
      <c r="G119" s="156"/>
      <c r="H119" s="96">
        <f ca="1">TblMili[[#This Row],[Draftees]]</f>
        <v>626</v>
      </c>
      <c r="I119" s="182">
        <f ca="1">TblPop[[#This Row],[Employment]]</f>
        <v>1</v>
      </c>
      <c r="J119" s="182">
        <f ca="1">TblPop[[#This Row],[Total]]/TblPop[[#This Row],[Net max]]</f>
        <v>1</v>
      </c>
      <c r="K119" s="305">
        <f>TblRezone[[#This Row],[Hour]]</f>
        <v>116</v>
      </c>
      <c r="L119" s="306">
        <f ca="1">TblImps[[#This Row],[Real time]]</f>
        <v>45736.791666666388</v>
      </c>
      <c r="M119" s="61">
        <f>IF(ISERROR(TblImps[[#This Row],[algorithm]]),0,TblImps[[#This Row],[algorithm]]*1)</f>
        <v>0</v>
      </c>
      <c r="N119" s="96">
        <f ca="1">TblImps[[#This Row],[Land]]</f>
        <v>250</v>
      </c>
      <c r="O119" s="307" t="s">
        <v>4</v>
      </c>
      <c r="P119" s="308"/>
      <c r="Q119" s="307" t="s">
        <v>210</v>
      </c>
      <c r="R119" s="307" t="s">
        <v>7</v>
      </c>
      <c r="S119" s="308"/>
      <c r="T119" s="307" t="s">
        <v>210</v>
      </c>
      <c r="U119" s="307" t="s">
        <v>3</v>
      </c>
      <c r="V119" s="308"/>
      <c r="W119" s="307" t="s">
        <v>210</v>
      </c>
      <c r="X119" s="144"/>
      <c r="Y119" s="309">
        <f ca="1">science_cap*(1-EXP(-TblImps[[#This Row],[Σ Science]]/(science_param*(OFFSET(TblImps[[#This Row],[Land]],1,0)-OFFSET(TblExplore[[#This Row],[Land Bonus]],1,0)*20)+15000)))*(1+(mason_bonus*TblConstr[[#This Row],[Tot Mas]]/TblConstr[[#This Row],[Land (2)]]))</f>
        <v>0</v>
      </c>
      <c r="Z119" s="309">
        <f ca="1">keep_cap*(1-EXP(-TblImps[[#This Row],[Σ Keep]]/(keep_param*(OFFSET(TblImps[[#This Row],[Land]],1,0)-OFFSET(TblExplore[[#This Row],[Land Bonus]],1,0)*20)+15000)))*(1+(mason_bonus*TblConstr[[#This Row],[Tot Mas]]/TblConstr[[#This Row],[Land (2)]]))</f>
        <v>0</v>
      </c>
      <c r="AA119" s="309">
        <f ca="1">harbor_towers_cap*(1-EXP(-TblImps[[#This Row],[Σ Spires]]/(towers_param*(OFFSET(TblImps[[#This Row],[Land]],1,0)-OFFSET(TblExplore[[#This Row],[Land Bonus]],1,0)*20)+15000)))*(1+(mason_bonus*TblConstr[[#This Row],[Tot Mas]]/TblConstr[[#This Row],[Land (2)]]))</f>
        <v>0</v>
      </c>
      <c r="AB119" s="309">
        <f ca="1">walls_forges_cap*(1-EXP(-TblImps[[#This Row],[Σ Forges]]/(walls_forges_param*(OFFSET(TblImps[[#This Row],[Land]],1,0)-OFFSET(TblExplore[[#This Row],[Land Bonus]],1,0)*20)+15000)))*(1+(mason_bonus*TblConstr[[#This Row],[Tot Mas]]/TblConstr[[#This Row],[Land (2)]]))</f>
        <v>0</v>
      </c>
      <c r="AC119" s="309">
        <f ca="1">walls_forges_cap*(1-EXP(-TblImps[[#This Row],[Σ Walls]]/(walls_forges_param*(OFFSET(TblImps[[#This Row],[Land]],1,0)-OFFSET(TblExplore[[#This Row],[Land Bonus]],1,0)*20)+15000)))*(1+(mason_bonus*TblConstr[[#This Row],[Tot Mas]]/TblConstr[[#This Row],[Land (2)]]))</f>
        <v>0</v>
      </c>
      <c r="AD119" s="30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315">
        <f ca="1">OFFSET(TblImps[[#This Row],[Real time]],-1,0)+1/24</f>
        <v>45736.791666666388</v>
      </c>
      <c r="BZ119" s="316">
        <f ca="1">OFFSET(TblImps[[#This Row],[Servertime]],-1,0)+1/24</f>
        <v>45736.791666666388</v>
      </c>
      <c r="CA119" s="57"/>
      <c r="CB119" s="314"/>
      <c r="CC119" s="314"/>
    </row>
    <row r="120" spans="1:81" x14ac:dyDescent="0.2">
      <c r="A120" s="224">
        <f ca="1">TblConstr[[#This Row],[Land]]</f>
        <v>250</v>
      </c>
      <c r="B120" s="144"/>
      <c r="C120" s="96">
        <f ca="1">TblProd[[#This Row],[Platinum]]</f>
        <v>757254</v>
      </c>
      <c r="D120" s="96">
        <f ca="1">TblProd[[#This Row],[Lumber]]</f>
        <v>73507</v>
      </c>
      <c r="E120" s="96">
        <f ca="1">TblProd[[#This Row],[Ore]]</f>
        <v>0</v>
      </c>
      <c r="F120" s="96">
        <f ca="1">TblProd[[#This Row],[Gems]]</f>
        <v>0</v>
      </c>
      <c r="G120" s="156"/>
      <c r="H120" s="96">
        <f ca="1">TblMili[[#This Row],[Draftees]]</f>
        <v>626</v>
      </c>
      <c r="I120" s="182">
        <f ca="1">TblPop[[#This Row],[Employment]]</f>
        <v>1</v>
      </c>
      <c r="J120" s="182">
        <f ca="1">TblPop[[#This Row],[Total]]/TblPop[[#This Row],[Net max]]</f>
        <v>1</v>
      </c>
      <c r="K120" s="305">
        <f>TblRezone[[#This Row],[Hour]]</f>
        <v>117</v>
      </c>
      <c r="L120" s="306">
        <f ca="1">TblImps[[#This Row],[Real time]]</f>
        <v>45736.833333333052</v>
      </c>
      <c r="M120" s="61">
        <f>IF(ISERROR(TblImps[[#This Row],[algorithm]]),0,TblImps[[#This Row],[algorithm]]*1)</f>
        <v>0</v>
      </c>
      <c r="N120" s="96">
        <f ca="1">TblImps[[#This Row],[Land]]</f>
        <v>250</v>
      </c>
      <c r="O120" s="307" t="s">
        <v>4</v>
      </c>
      <c r="P120" s="308"/>
      <c r="Q120" s="307" t="s">
        <v>210</v>
      </c>
      <c r="R120" s="307" t="s">
        <v>7</v>
      </c>
      <c r="S120" s="308"/>
      <c r="T120" s="307" t="s">
        <v>210</v>
      </c>
      <c r="U120" s="307" t="s">
        <v>3</v>
      </c>
      <c r="V120" s="308"/>
      <c r="W120" s="307" t="s">
        <v>210</v>
      </c>
      <c r="X120" s="144"/>
      <c r="Y120" s="309">
        <f ca="1">science_cap*(1-EXP(-TblImps[[#This Row],[Σ Science]]/(science_param*(OFFSET(TblImps[[#This Row],[Land]],1,0)-OFFSET(TblExplore[[#This Row],[Land Bonus]],1,0)*20)+15000)))*(1+(mason_bonus*TblConstr[[#This Row],[Tot Mas]]/TblConstr[[#This Row],[Land (2)]]))</f>
        <v>0</v>
      </c>
      <c r="Z120" s="309">
        <f ca="1">keep_cap*(1-EXP(-TblImps[[#This Row],[Σ Keep]]/(keep_param*(OFFSET(TblImps[[#This Row],[Land]],1,0)-OFFSET(TblExplore[[#This Row],[Land Bonus]],1,0)*20)+15000)))*(1+(mason_bonus*TblConstr[[#This Row],[Tot Mas]]/TblConstr[[#This Row],[Land (2)]]))</f>
        <v>0</v>
      </c>
      <c r="AA120" s="309">
        <f ca="1">harbor_towers_cap*(1-EXP(-TblImps[[#This Row],[Σ Spires]]/(towers_param*(OFFSET(TblImps[[#This Row],[Land]],1,0)-OFFSET(TblExplore[[#This Row],[Land Bonus]],1,0)*20)+15000)))*(1+(mason_bonus*TblConstr[[#This Row],[Tot Mas]]/TblConstr[[#This Row],[Land (2)]]))</f>
        <v>0</v>
      </c>
      <c r="AB120" s="309">
        <f ca="1">walls_forges_cap*(1-EXP(-TblImps[[#This Row],[Σ Forges]]/(walls_forges_param*(OFFSET(TblImps[[#This Row],[Land]],1,0)-OFFSET(TblExplore[[#This Row],[Land Bonus]],1,0)*20)+15000)))*(1+(mason_bonus*TblConstr[[#This Row],[Tot Mas]]/TblConstr[[#This Row],[Land (2)]]))</f>
        <v>0</v>
      </c>
      <c r="AC120" s="309">
        <f ca="1">walls_forges_cap*(1-EXP(-TblImps[[#This Row],[Σ Walls]]/(walls_forges_param*(OFFSET(TblImps[[#This Row],[Land]],1,0)-OFFSET(TblExplore[[#This Row],[Land Bonus]],1,0)*20)+15000)))*(1+(mason_bonus*TblConstr[[#This Row],[Tot Mas]]/TblConstr[[#This Row],[Land (2)]]))</f>
        <v>0</v>
      </c>
      <c r="AD120" s="30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315">
        <f ca="1">OFFSET(TblImps[[#This Row],[Real time]],-1,0)+1/24</f>
        <v>45736.833333333052</v>
      </c>
      <c r="BZ120" s="316">
        <f ca="1">OFFSET(TblImps[[#This Row],[Servertime]],-1,0)+1/24</f>
        <v>45736.833333333052</v>
      </c>
      <c r="CA120" s="57"/>
      <c r="CB120" s="314"/>
      <c r="CC120" s="314"/>
    </row>
    <row r="121" spans="1:81" x14ac:dyDescent="0.2">
      <c r="A121" s="224">
        <f ca="1">TblConstr[[#This Row],[Land]]</f>
        <v>250</v>
      </c>
      <c r="B121" s="144"/>
      <c r="C121" s="96">
        <f ca="1">TblProd[[#This Row],[Platinum]]</f>
        <v>762740</v>
      </c>
      <c r="D121" s="96">
        <f ca="1">TblProd[[#This Row],[Lumber]]</f>
        <v>73772</v>
      </c>
      <c r="E121" s="96">
        <f ca="1">TblProd[[#This Row],[Ore]]</f>
        <v>0</v>
      </c>
      <c r="F121" s="96">
        <f ca="1">TblProd[[#This Row],[Gems]]</f>
        <v>0</v>
      </c>
      <c r="G121" s="156"/>
      <c r="H121" s="96">
        <f ca="1">TblMili[[#This Row],[Draftees]]</f>
        <v>626</v>
      </c>
      <c r="I121" s="182">
        <f ca="1">TblPop[[#This Row],[Employment]]</f>
        <v>1</v>
      </c>
      <c r="J121" s="182">
        <f ca="1">TblPop[[#This Row],[Total]]/TblPop[[#This Row],[Net max]]</f>
        <v>1</v>
      </c>
      <c r="K121" s="305">
        <f>TblRezone[[#This Row],[Hour]]</f>
        <v>118</v>
      </c>
      <c r="L121" s="306">
        <f ca="1">TblImps[[#This Row],[Real time]]</f>
        <v>45736.874999999716</v>
      </c>
      <c r="M121" s="61">
        <f>IF(ISERROR(TblImps[[#This Row],[algorithm]]),0,TblImps[[#This Row],[algorithm]]*1)</f>
        <v>0</v>
      </c>
      <c r="N121" s="96">
        <f ca="1">TblImps[[#This Row],[Land]]</f>
        <v>250</v>
      </c>
      <c r="O121" s="307" t="s">
        <v>4</v>
      </c>
      <c r="P121" s="308"/>
      <c r="Q121" s="307" t="s">
        <v>210</v>
      </c>
      <c r="R121" s="307" t="s">
        <v>7</v>
      </c>
      <c r="S121" s="308"/>
      <c r="T121" s="307" t="s">
        <v>210</v>
      </c>
      <c r="U121" s="307" t="s">
        <v>3</v>
      </c>
      <c r="V121" s="308"/>
      <c r="W121" s="307" t="s">
        <v>210</v>
      </c>
      <c r="X121" s="144"/>
      <c r="Y121" s="309">
        <f ca="1">science_cap*(1-EXP(-TblImps[[#This Row],[Σ Science]]/(science_param*(OFFSET(TblImps[[#This Row],[Land]],1,0)-OFFSET(TblExplore[[#This Row],[Land Bonus]],1,0)*20)+15000)))*(1+(mason_bonus*TblConstr[[#This Row],[Tot Mas]]/TblConstr[[#This Row],[Land (2)]]))</f>
        <v>0</v>
      </c>
      <c r="Z121" s="309">
        <f ca="1">keep_cap*(1-EXP(-TblImps[[#This Row],[Σ Keep]]/(keep_param*(OFFSET(TblImps[[#This Row],[Land]],1,0)-OFFSET(TblExplore[[#This Row],[Land Bonus]],1,0)*20)+15000)))*(1+(mason_bonus*TblConstr[[#This Row],[Tot Mas]]/TblConstr[[#This Row],[Land (2)]]))</f>
        <v>0</v>
      </c>
      <c r="AA121" s="309">
        <f ca="1">harbor_towers_cap*(1-EXP(-TblImps[[#This Row],[Σ Spires]]/(towers_param*(OFFSET(TblImps[[#This Row],[Land]],1,0)-OFFSET(TblExplore[[#This Row],[Land Bonus]],1,0)*20)+15000)))*(1+(mason_bonus*TblConstr[[#This Row],[Tot Mas]]/TblConstr[[#This Row],[Land (2)]]))</f>
        <v>0</v>
      </c>
      <c r="AB121" s="309">
        <f ca="1">walls_forges_cap*(1-EXP(-TblImps[[#This Row],[Σ Forges]]/(walls_forges_param*(OFFSET(TblImps[[#This Row],[Land]],1,0)-OFFSET(TblExplore[[#This Row],[Land Bonus]],1,0)*20)+15000)))*(1+(mason_bonus*TblConstr[[#This Row],[Tot Mas]]/TblConstr[[#This Row],[Land (2)]]))</f>
        <v>0</v>
      </c>
      <c r="AC121" s="309">
        <f ca="1">walls_forges_cap*(1-EXP(-TblImps[[#This Row],[Σ Walls]]/(walls_forges_param*(OFFSET(TblImps[[#This Row],[Land]],1,0)-OFFSET(TblExplore[[#This Row],[Land Bonus]],1,0)*20)+15000)))*(1+(mason_bonus*TblConstr[[#This Row],[Tot Mas]]/TblConstr[[#This Row],[Land (2)]]))</f>
        <v>0</v>
      </c>
      <c r="AD121" s="30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315">
        <f ca="1">OFFSET(TblImps[[#This Row],[Real time]],-1,0)+1/24</f>
        <v>45736.874999999716</v>
      </c>
      <c r="BZ121" s="316">
        <f ca="1">OFFSET(TblImps[[#This Row],[Servertime]],-1,0)+1/24</f>
        <v>45736.874999999716</v>
      </c>
      <c r="CA121" s="57"/>
      <c r="CB121" s="314"/>
      <c r="CC121" s="314"/>
    </row>
    <row r="122" spans="1:81" x14ac:dyDescent="0.2">
      <c r="A122" s="224">
        <f ca="1">TblConstr[[#This Row],[Land]]</f>
        <v>250</v>
      </c>
      <c r="B122" s="144"/>
      <c r="C122" s="96">
        <f ca="1">TblProd[[#This Row],[Platinum]]</f>
        <v>768226</v>
      </c>
      <c r="D122" s="96">
        <f ca="1">TblProd[[#This Row],[Lumber]]</f>
        <v>74034</v>
      </c>
      <c r="E122" s="96">
        <f ca="1">TblProd[[#This Row],[Ore]]</f>
        <v>0</v>
      </c>
      <c r="F122" s="96">
        <f ca="1">TblProd[[#This Row],[Gems]]</f>
        <v>0</v>
      </c>
      <c r="G122" s="156"/>
      <c r="H122" s="96">
        <f ca="1">TblMili[[#This Row],[Draftees]]</f>
        <v>626</v>
      </c>
      <c r="I122" s="182">
        <f ca="1">TblPop[[#This Row],[Employment]]</f>
        <v>1</v>
      </c>
      <c r="J122" s="182">
        <f ca="1">TblPop[[#This Row],[Total]]/TblPop[[#This Row],[Net max]]</f>
        <v>1</v>
      </c>
      <c r="K122" s="305">
        <f>TblRezone[[#This Row],[Hour]]</f>
        <v>119</v>
      </c>
      <c r="L122" s="306">
        <f ca="1">TblImps[[#This Row],[Real time]]</f>
        <v>45736.91666666638</v>
      </c>
      <c r="M122" s="61">
        <f>IF(ISERROR(TblImps[[#This Row],[algorithm]]),0,TblImps[[#This Row],[algorithm]]*1)</f>
        <v>0</v>
      </c>
      <c r="N122" s="96">
        <f ca="1">TblImps[[#This Row],[Land]]</f>
        <v>250</v>
      </c>
      <c r="O122" s="307" t="s">
        <v>4</v>
      </c>
      <c r="P122" s="308"/>
      <c r="Q122" s="307" t="s">
        <v>210</v>
      </c>
      <c r="R122" s="307" t="s">
        <v>7</v>
      </c>
      <c r="S122" s="308"/>
      <c r="T122" s="307" t="s">
        <v>210</v>
      </c>
      <c r="U122" s="307" t="s">
        <v>3</v>
      </c>
      <c r="V122" s="308"/>
      <c r="W122" s="307" t="s">
        <v>210</v>
      </c>
      <c r="X122" s="144"/>
      <c r="Y122" s="309">
        <f ca="1">science_cap*(1-EXP(-TblImps[[#This Row],[Σ Science]]/(science_param*(OFFSET(TblImps[[#This Row],[Land]],1,0)-OFFSET(TblExplore[[#This Row],[Land Bonus]],1,0)*20)+15000)))*(1+(mason_bonus*TblConstr[[#This Row],[Tot Mas]]/TblConstr[[#This Row],[Land (2)]]))</f>
        <v>0</v>
      </c>
      <c r="Z122" s="309">
        <f ca="1">keep_cap*(1-EXP(-TblImps[[#This Row],[Σ Keep]]/(keep_param*(OFFSET(TblImps[[#This Row],[Land]],1,0)-OFFSET(TblExplore[[#This Row],[Land Bonus]],1,0)*20)+15000)))*(1+(mason_bonus*TblConstr[[#This Row],[Tot Mas]]/TblConstr[[#This Row],[Land (2)]]))</f>
        <v>0</v>
      </c>
      <c r="AA122" s="309">
        <f ca="1">harbor_towers_cap*(1-EXP(-TblImps[[#This Row],[Σ Spires]]/(towers_param*(OFFSET(TblImps[[#This Row],[Land]],1,0)-OFFSET(TblExplore[[#This Row],[Land Bonus]],1,0)*20)+15000)))*(1+(mason_bonus*TblConstr[[#This Row],[Tot Mas]]/TblConstr[[#This Row],[Land (2)]]))</f>
        <v>0</v>
      </c>
      <c r="AB122" s="309">
        <f ca="1">walls_forges_cap*(1-EXP(-TblImps[[#This Row],[Σ Forges]]/(walls_forges_param*(OFFSET(TblImps[[#This Row],[Land]],1,0)-OFFSET(TblExplore[[#This Row],[Land Bonus]],1,0)*20)+15000)))*(1+(mason_bonus*TblConstr[[#This Row],[Tot Mas]]/TblConstr[[#This Row],[Land (2)]]))</f>
        <v>0</v>
      </c>
      <c r="AC122" s="309">
        <f ca="1">walls_forges_cap*(1-EXP(-TblImps[[#This Row],[Σ Walls]]/(walls_forges_param*(OFFSET(TblImps[[#This Row],[Land]],1,0)-OFFSET(TblExplore[[#This Row],[Land Bonus]],1,0)*20)+15000)))*(1+(mason_bonus*TblConstr[[#This Row],[Tot Mas]]/TblConstr[[#This Row],[Land (2)]]))</f>
        <v>0</v>
      </c>
      <c r="AD122" s="30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315">
        <f ca="1">OFFSET(TblImps[[#This Row],[Real time]],-1,0)+1/24</f>
        <v>45736.91666666638</v>
      </c>
      <c r="BZ122" s="316">
        <f ca="1">OFFSET(TblImps[[#This Row],[Servertime]],-1,0)+1/24</f>
        <v>45736.91666666638</v>
      </c>
      <c r="CA122" s="57"/>
      <c r="CB122" s="314"/>
      <c r="CC122" s="314"/>
    </row>
    <row r="123" spans="1:81" x14ac:dyDescent="0.2">
      <c r="A123" s="224">
        <f ca="1">TblConstr[[#This Row],[Land]]</f>
        <v>250</v>
      </c>
      <c r="B123" s="144"/>
      <c r="C123" s="96">
        <f ca="1">TblProd[[#This Row],[Platinum]]</f>
        <v>773712</v>
      </c>
      <c r="D123" s="96">
        <f ca="1">TblProd[[#This Row],[Lumber]]</f>
        <v>74294</v>
      </c>
      <c r="E123" s="96">
        <f ca="1">TblProd[[#This Row],[Ore]]</f>
        <v>0</v>
      </c>
      <c r="F123" s="96">
        <f ca="1">TblProd[[#This Row],[Gems]]</f>
        <v>0</v>
      </c>
      <c r="G123" s="156"/>
      <c r="H123" s="96">
        <f ca="1">TblMili[[#This Row],[Draftees]]</f>
        <v>626</v>
      </c>
      <c r="I123" s="182">
        <f ca="1">TblPop[[#This Row],[Employment]]</f>
        <v>1</v>
      </c>
      <c r="J123" s="182">
        <f ca="1">TblPop[[#This Row],[Total]]/TblPop[[#This Row],[Net max]]</f>
        <v>1</v>
      </c>
      <c r="K123" s="305">
        <f>TblRezone[[#This Row],[Hour]]</f>
        <v>120</v>
      </c>
      <c r="L123" s="306">
        <f ca="1">TblImps[[#This Row],[Real time]]</f>
        <v>45736.958333333045</v>
      </c>
      <c r="M123" s="61">
        <f>IF(ISERROR(TblImps[[#This Row],[algorithm]]),0,TblImps[[#This Row],[algorithm]]*1)</f>
        <v>0</v>
      </c>
      <c r="N123" s="96">
        <f ca="1">TblImps[[#This Row],[Land]]</f>
        <v>250</v>
      </c>
      <c r="O123" s="307" t="s">
        <v>4</v>
      </c>
      <c r="P123" s="308"/>
      <c r="Q123" s="307" t="s">
        <v>210</v>
      </c>
      <c r="R123" s="307" t="s">
        <v>7</v>
      </c>
      <c r="S123" s="308"/>
      <c r="T123" s="307" t="s">
        <v>210</v>
      </c>
      <c r="U123" s="307" t="s">
        <v>3</v>
      </c>
      <c r="V123" s="308"/>
      <c r="W123" s="307" t="s">
        <v>210</v>
      </c>
      <c r="X123" s="144"/>
      <c r="Y123" s="309">
        <f ca="1">science_cap*(1-EXP(-TblImps[[#This Row],[Σ Science]]/(science_param*(OFFSET(TblImps[[#This Row],[Land]],1,0)-OFFSET(TblExplore[[#This Row],[Land Bonus]],1,0)*20)+15000)))*(1+(mason_bonus*TblConstr[[#This Row],[Tot Mas]]/TblConstr[[#This Row],[Land (2)]]))</f>
        <v>0</v>
      </c>
      <c r="Z123" s="309">
        <f ca="1">keep_cap*(1-EXP(-TblImps[[#This Row],[Σ Keep]]/(keep_param*(OFFSET(TblImps[[#This Row],[Land]],1,0)-OFFSET(TblExplore[[#This Row],[Land Bonus]],1,0)*20)+15000)))*(1+(mason_bonus*TblConstr[[#This Row],[Tot Mas]]/TblConstr[[#This Row],[Land (2)]]))</f>
        <v>0</v>
      </c>
      <c r="AA123" s="309">
        <f ca="1">harbor_towers_cap*(1-EXP(-TblImps[[#This Row],[Σ Spires]]/(towers_param*(OFFSET(TblImps[[#This Row],[Land]],1,0)-OFFSET(TblExplore[[#This Row],[Land Bonus]],1,0)*20)+15000)))*(1+(mason_bonus*TblConstr[[#This Row],[Tot Mas]]/TblConstr[[#This Row],[Land (2)]]))</f>
        <v>0</v>
      </c>
      <c r="AB123" s="309">
        <f ca="1">walls_forges_cap*(1-EXP(-TblImps[[#This Row],[Σ Forges]]/(walls_forges_param*(OFFSET(TblImps[[#This Row],[Land]],1,0)-OFFSET(TblExplore[[#This Row],[Land Bonus]],1,0)*20)+15000)))*(1+(mason_bonus*TblConstr[[#This Row],[Tot Mas]]/TblConstr[[#This Row],[Land (2)]]))</f>
        <v>0</v>
      </c>
      <c r="AC123" s="309">
        <f ca="1">walls_forges_cap*(1-EXP(-TblImps[[#This Row],[Σ Walls]]/(walls_forges_param*(OFFSET(TblImps[[#This Row],[Land]],1,0)-OFFSET(TblExplore[[#This Row],[Land Bonus]],1,0)*20)+15000)))*(1+(mason_bonus*TblConstr[[#This Row],[Tot Mas]]/TblConstr[[#This Row],[Land (2)]]))</f>
        <v>0</v>
      </c>
      <c r="AD123" s="30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315">
        <f ca="1">OFFSET(TblImps[[#This Row],[Real time]],-1,0)+1/24</f>
        <v>45736.958333333045</v>
      </c>
      <c r="BZ123" s="316">
        <f ca="1">OFFSET(TblImps[[#This Row],[Servertime]],-1,0)+1/24</f>
        <v>45736.958333333045</v>
      </c>
      <c r="CA123" s="57"/>
      <c r="CB123" s="314"/>
      <c r="CC123" s="314"/>
    </row>
    <row r="124" spans="1:81" x14ac:dyDescent="0.2">
      <c r="A124" s="224">
        <f ca="1">TblConstr[[#This Row],[Land]]</f>
        <v>250</v>
      </c>
      <c r="B124" s="144"/>
      <c r="C124" s="96">
        <f ca="1">TblProd[[#This Row],[Platinum]]</f>
        <v>779198</v>
      </c>
      <c r="D124" s="96">
        <f ca="1">TblProd[[#This Row],[Lumber]]</f>
        <v>74551</v>
      </c>
      <c r="E124" s="96">
        <f ca="1">TblProd[[#This Row],[Ore]]</f>
        <v>0</v>
      </c>
      <c r="F124" s="96">
        <f ca="1">TblProd[[#This Row],[Gems]]</f>
        <v>0</v>
      </c>
      <c r="G124" s="156"/>
      <c r="H124" s="96">
        <f ca="1">TblMili[[#This Row],[Draftees]]</f>
        <v>626</v>
      </c>
      <c r="I124" s="182">
        <f ca="1">TblPop[[#This Row],[Employment]]</f>
        <v>1</v>
      </c>
      <c r="J124" s="182">
        <f ca="1">TblPop[[#This Row],[Total]]/TblPop[[#This Row],[Net max]]</f>
        <v>1</v>
      </c>
      <c r="K124" s="305">
        <f>TblRezone[[#This Row],[Hour]]</f>
        <v>121</v>
      </c>
      <c r="L124" s="306">
        <f ca="1">TblImps[[#This Row],[Real time]]</f>
        <v>45736.999999999709</v>
      </c>
      <c r="M124" s="61">
        <f>IF(ISERROR(TblImps[[#This Row],[algorithm]]),0,TblImps[[#This Row],[algorithm]]*1)</f>
        <v>0</v>
      </c>
      <c r="N124" s="96">
        <f ca="1">TblImps[[#This Row],[Land]]</f>
        <v>250</v>
      </c>
      <c r="O124" s="307" t="s">
        <v>4</v>
      </c>
      <c r="P124" s="308"/>
      <c r="Q124" s="307" t="s">
        <v>210</v>
      </c>
      <c r="R124" s="307" t="s">
        <v>7</v>
      </c>
      <c r="S124" s="308"/>
      <c r="T124" s="307" t="s">
        <v>210</v>
      </c>
      <c r="U124" s="307" t="s">
        <v>3</v>
      </c>
      <c r="V124" s="308"/>
      <c r="W124" s="307" t="s">
        <v>210</v>
      </c>
      <c r="X124" s="144"/>
      <c r="Y124" s="309">
        <f ca="1">science_cap*(1-EXP(-TblImps[[#This Row],[Σ Science]]/(science_param*(OFFSET(TblImps[[#This Row],[Land]],1,0)-OFFSET(TblExplore[[#This Row],[Land Bonus]],1,0)*20)+15000)))*(1+(mason_bonus*TblConstr[[#This Row],[Tot Mas]]/TblConstr[[#This Row],[Land (2)]]))</f>
        <v>0</v>
      </c>
      <c r="Z124" s="309">
        <f ca="1">keep_cap*(1-EXP(-TblImps[[#This Row],[Σ Keep]]/(keep_param*(OFFSET(TblImps[[#This Row],[Land]],1,0)-OFFSET(TblExplore[[#This Row],[Land Bonus]],1,0)*20)+15000)))*(1+(mason_bonus*TblConstr[[#This Row],[Tot Mas]]/TblConstr[[#This Row],[Land (2)]]))</f>
        <v>0</v>
      </c>
      <c r="AA124" s="309">
        <f ca="1">harbor_towers_cap*(1-EXP(-TblImps[[#This Row],[Σ Spires]]/(towers_param*(OFFSET(TblImps[[#This Row],[Land]],1,0)-OFFSET(TblExplore[[#This Row],[Land Bonus]],1,0)*20)+15000)))*(1+(mason_bonus*TblConstr[[#This Row],[Tot Mas]]/TblConstr[[#This Row],[Land (2)]]))</f>
        <v>0</v>
      </c>
      <c r="AB124" s="309">
        <f ca="1">walls_forges_cap*(1-EXP(-TblImps[[#This Row],[Σ Forges]]/(walls_forges_param*(OFFSET(TblImps[[#This Row],[Land]],1,0)-OFFSET(TblExplore[[#This Row],[Land Bonus]],1,0)*20)+15000)))*(1+(mason_bonus*TblConstr[[#This Row],[Tot Mas]]/TblConstr[[#This Row],[Land (2)]]))</f>
        <v>0</v>
      </c>
      <c r="AC124" s="309">
        <f ca="1">walls_forges_cap*(1-EXP(-TblImps[[#This Row],[Σ Walls]]/(walls_forges_param*(OFFSET(TblImps[[#This Row],[Land]],1,0)-OFFSET(TblExplore[[#This Row],[Land Bonus]],1,0)*20)+15000)))*(1+(mason_bonus*TblConstr[[#This Row],[Tot Mas]]/TblConstr[[#This Row],[Land (2)]]))</f>
        <v>0</v>
      </c>
      <c r="AD124" s="30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315">
        <f ca="1">OFFSET(TblImps[[#This Row],[Real time]],-1,0)+1/24</f>
        <v>45736.999999999709</v>
      </c>
      <c r="BZ124" s="316">
        <f ca="1">OFFSET(TblImps[[#This Row],[Servertime]],-1,0)+1/24</f>
        <v>45736.999999999709</v>
      </c>
      <c r="CA124" s="57"/>
      <c r="CB124" s="314"/>
      <c r="CC124" s="314"/>
    </row>
    <row r="125" spans="1:81" x14ac:dyDescent="0.2">
      <c r="A125" s="224">
        <f ca="1">TblConstr[[#This Row],[Land]]</f>
        <v>250</v>
      </c>
      <c r="B125" s="144"/>
      <c r="C125" s="96">
        <f ca="1">TblProd[[#This Row],[Platinum]]</f>
        <v>784684</v>
      </c>
      <c r="D125" s="96">
        <f ca="1">TblProd[[#This Row],[Lumber]]</f>
        <v>74805</v>
      </c>
      <c r="E125" s="96">
        <f ca="1">TblProd[[#This Row],[Ore]]</f>
        <v>0</v>
      </c>
      <c r="F125" s="96">
        <f ca="1">TblProd[[#This Row],[Gems]]</f>
        <v>0</v>
      </c>
      <c r="G125" s="156"/>
      <c r="H125" s="96">
        <f ca="1">TblMili[[#This Row],[Draftees]]</f>
        <v>626</v>
      </c>
      <c r="I125" s="182">
        <f ca="1">TblPop[[#This Row],[Employment]]</f>
        <v>1</v>
      </c>
      <c r="J125" s="182">
        <f ca="1">TblPop[[#This Row],[Total]]/TblPop[[#This Row],[Net max]]</f>
        <v>1</v>
      </c>
      <c r="K125" s="305">
        <f>TblRezone[[#This Row],[Hour]]</f>
        <v>122</v>
      </c>
      <c r="L125" s="306">
        <f ca="1">TblImps[[#This Row],[Real time]]</f>
        <v>45737.041666666373</v>
      </c>
      <c r="M125" s="61">
        <f>IF(ISERROR(TblImps[[#This Row],[algorithm]]),0,TblImps[[#This Row],[algorithm]]*1)</f>
        <v>0</v>
      </c>
      <c r="N125" s="96">
        <f ca="1">TblImps[[#This Row],[Land]]</f>
        <v>250</v>
      </c>
      <c r="O125" s="307" t="s">
        <v>4</v>
      </c>
      <c r="P125" s="308"/>
      <c r="Q125" s="307" t="s">
        <v>210</v>
      </c>
      <c r="R125" s="307" t="s">
        <v>7</v>
      </c>
      <c r="S125" s="308"/>
      <c r="T125" s="307" t="s">
        <v>210</v>
      </c>
      <c r="U125" s="307" t="s">
        <v>3</v>
      </c>
      <c r="V125" s="308"/>
      <c r="W125" s="307" t="s">
        <v>210</v>
      </c>
      <c r="X125" s="144"/>
      <c r="Y125" s="309">
        <f ca="1">science_cap*(1-EXP(-TblImps[[#This Row],[Σ Science]]/(science_param*(OFFSET(TblImps[[#This Row],[Land]],1,0)-OFFSET(TblExplore[[#This Row],[Land Bonus]],1,0)*20)+15000)))*(1+(mason_bonus*TblConstr[[#This Row],[Tot Mas]]/TblConstr[[#This Row],[Land (2)]]))</f>
        <v>0</v>
      </c>
      <c r="Z125" s="309">
        <f ca="1">keep_cap*(1-EXP(-TblImps[[#This Row],[Σ Keep]]/(keep_param*(OFFSET(TblImps[[#This Row],[Land]],1,0)-OFFSET(TblExplore[[#This Row],[Land Bonus]],1,0)*20)+15000)))*(1+(mason_bonus*TblConstr[[#This Row],[Tot Mas]]/TblConstr[[#This Row],[Land (2)]]))</f>
        <v>0</v>
      </c>
      <c r="AA125" s="309">
        <f ca="1">harbor_towers_cap*(1-EXP(-TblImps[[#This Row],[Σ Spires]]/(towers_param*(OFFSET(TblImps[[#This Row],[Land]],1,0)-OFFSET(TblExplore[[#This Row],[Land Bonus]],1,0)*20)+15000)))*(1+(mason_bonus*TblConstr[[#This Row],[Tot Mas]]/TblConstr[[#This Row],[Land (2)]]))</f>
        <v>0</v>
      </c>
      <c r="AB125" s="309">
        <f ca="1">walls_forges_cap*(1-EXP(-TblImps[[#This Row],[Σ Forges]]/(walls_forges_param*(OFFSET(TblImps[[#This Row],[Land]],1,0)-OFFSET(TblExplore[[#This Row],[Land Bonus]],1,0)*20)+15000)))*(1+(mason_bonus*TblConstr[[#This Row],[Tot Mas]]/TblConstr[[#This Row],[Land (2)]]))</f>
        <v>0</v>
      </c>
      <c r="AC125" s="309">
        <f ca="1">walls_forges_cap*(1-EXP(-TblImps[[#This Row],[Σ Walls]]/(walls_forges_param*(OFFSET(TblImps[[#This Row],[Land]],1,0)-OFFSET(TblExplore[[#This Row],[Land Bonus]],1,0)*20)+15000)))*(1+(mason_bonus*TblConstr[[#This Row],[Tot Mas]]/TblConstr[[#This Row],[Land (2)]]))</f>
        <v>0</v>
      </c>
      <c r="AD125" s="30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315">
        <f ca="1">OFFSET(TblImps[[#This Row],[Real time]],-1,0)+1/24</f>
        <v>45737.041666666373</v>
      </c>
      <c r="BZ125" s="316">
        <f ca="1">OFFSET(TblImps[[#This Row],[Servertime]],-1,0)+1/24</f>
        <v>45737.041666666373</v>
      </c>
      <c r="CA125" s="57"/>
      <c r="CB125" s="314"/>
      <c r="CC125" s="314"/>
    </row>
    <row r="126" spans="1:81" x14ac:dyDescent="0.2">
      <c r="A126" s="224">
        <f ca="1">TblConstr[[#This Row],[Land]]</f>
        <v>250</v>
      </c>
      <c r="B126" s="144"/>
      <c r="C126" s="96">
        <f ca="1">TblProd[[#This Row],[Platinum]]</f>
        <v>790170</v>
      </c>
      <c r="D126" s="96">
        <f ca="1">TblProd[[#This Row],[Lumber]]</f>
        <v>75057</v>
      </c>
      <c r="E126" s="96">
        <f ca="1">TblProd[[#This Row],[Ore]]</f>
        <v>0</v>
      </c>
      <c r="F126" s="96">
        <f ca="1">TblProd[[#This Row],[Gems]]</f>
        <v>0</v>
      </c>
      <c r="G126" s="156"/>
      <c r="H126" s="96">
        <f ca="1">TblMili[[#This Row],[Draftees]]</f>
        <v>626</v>
      </c>
      <c r="I126" s="182">
        <f ca="1">TblPop[[#This Row],[Employment]]</f>
        <v>1</v>
      </c>
      <c r="J126" s="182">
        <f ca="1">TblPop[[#This Row],[Total]]/TblPop[[#This Row],[Net max]]</f>
        <v>1</v>
      </c>
      <c r="K126" s="305">
        <f>TblRezone[[#This Row],[Hour]]</f>
        <v>123</v>
      </c>
      <c r="L126" s="306">
        <f ca="1">TblImps[[#This Row],[Real time]]</f>
        <v>45737.083333333037</v>
      </c>
      <c r="M126" s="61">
        <f>IF(ISERROR(TblImps[[#This Row],[algorithm]]),0,TblImps[[#This Row],[algorithm]]*1)</f>
        <v>0</v>
      </c>
      <c r="N126" s="96">
        <f ca="1">TblImps[[#This Row],[Land]]</f>
        <v>250</v>
      </c>
      <c r="O126" s="307" t="s">
        <v>4</v>
      </c>
      <c r="P126" s="308"/>
      <c r="Q126" s="307" t="s">
        <v>210</v>
      </c>
      <c r="R126" s="307" t="s">
        <v>7</v>
      </c>
      <c r="S126" s="308"/>
      <c r="T126" s="307" t="s">
        <v>210</v>
      </c>
      <c r="U126" s="307" t="s">
        <v>3</v>
      </c>
      <c r="V126" s="308"/>
      <c r="W126" s="307" t="s">
        <v>210</v>
      </c>
      <c r="X126" s="144"/>
      <c r="Y126" s="309">
        <f ca="1">science_cap*(1-EXP(-TblImps[[#This Row],[Σ Science]]/(science_param*(OFFSET(TblImps[[#This Row],[Land]],1,0)-OFFSET(TblExplore[[#This Row],[Land Bonus]],1,0)*20)+15000)))*(1+(mason_bonus*TblConstr[[#This Row],[Tot Mas]]/TblConstr[[#This Row],[Land (2)]]))</f>
        <v>0</v>
      </c>
      <c r="Z126" s="309">
        <f ca="1">keep_cap*(1-EXP(-TblImps[[#This Row],[Σ Keep]]/(keep_param*(OFFSET(TblImps[[#This Row],[Land]],1,0)-OFFSET(TblExplore[[#This Row],[Land Bonus]],1,0)*20)+15000)))*(1+(mason_bonus*TblConstr[[#This Row],[Tot Mas]]/TblConstr[[#This Row],[Land (2)]]))</f>
        <v>0</v>
      </c>
      <c r="AA126" s="309">
        <f ca="1">harbor_towers_cap*(1-EXP(-TblImps[[#This Row],[Σ Spires]]/(towers_param*(OFFSET(TblImps[[#This Row],[Land]],1,0)-OFFSET(TblExplore[[#This Row],[Land Bonus]],1,0)*20)+15000)))*(1+(mason_bonus*TblConstr[[#This Row],[Tot Mas]]/TblConstr[[#This Row],[Land (2)]]))</f>
        <v>0</v>
      </c>
      <c r="AB126" s="309">
        <f ca="1">walls_forges_cap*(1-EXP(-TblImps[[#This Row],[Σ Forges]]/(walls_forges_param*(OFFSET(TblImps[[#This Row],[Land]],1,0)-OFFSET(TblExplore[[#This Row],[Land Bonus]],1,0)*20)+15000)))*(1+(mason_bonus*TblConstr[[#This Row],[Tot Mas]]/TblConstr[[#This Row],[Land (2)]]))</f>
        <v>0</v>
      </c>
      <c r="AC126" s="309">
        <f ca="1">walls_forges_cap*(1-EXP(-TblImps[[#This Row],[Σ Walls]]/(walls_forges_param*(OFFSET(TblImps[[#This Row],[Land]],1,0)-OFFSET(TblExplore[[#This Row],[Land Bonus]],1,0)*20)+15000)))*(1+(mason_bonus*TblConstr[[#This Row],[Tot Mas]]/TblConstr[[#This Row],[Land (2)]]))</f>
        <v>0</v>
      </c>
      <c r="AD126" s="30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315">
        <f ca="1">OFFSET(TblImps[[#This Row],[Real time]],-1,0)+1/24</f>
        <v>45737.083333333037</v>
      </c>
      <c r="BZ126" s="316">
        <f ca="1">OFFSET(TblImps[[#This Row],[Servertime]],-1,0)+1/24</f>
        <v>45737.083333333037</v>
      </c>
      <c r="CA126" s="57"/>
      <c r="CB126" s="314"/>
      <c r="CC126" s="314"/>
    </row>
    <row r="127" spans="1:81" x14ac:dyDescent="0.2">
      <c r="A127" s="224">
        <f ca="1">TblConstr[[#This Row],[Land]]</f>
        <v>250</v>
      </c>
      <c r="B127" s="144"/>
      <c r="C127" s="96">
        <f ca="1">TblProd[[#This Row],[Platinum]]</f>
        <v>795656</v>
      </c>
      <c r="D127" s="96">
        <f ca="1">TblProd[[#This Row],[Lumber]]</f>
        <v>75306</v>
      </c>
      <c r="E127" s="96">
        <f ca="1">TblProd[[#This Row],[Ore]]</f>
        <v>0</v>
      </c>
      <c r="F127" s="96">
        <f ca="1">TblProd[[#This Row],[Gems]]</f>
        <v>0</v>
      </c>
      <c r="G127" s="156"/>
      <c r="H127" s="96">
        <f ca="1">TblMili[[#This Row],[Draftees]]</f>
        <v>626</v>
      </c>
      <c r="I127" s="182">
        <f ca="1">TblPop[[#This Row],[Employment]]</f>
        <v>1</v>
      </c>
      <c r="J127" s="182">
        <f ca="1">TblPop[[#This Row],[Total]]/TblPop[[#This Row],[Net max]]</f>
        <v>1</v>
      </c>
      <c r="K127" s="305">
        <f>TblRezone[[#This Row],[Hour]]</f>
        <v>124</v>
      </c>
      <c r="L127" s="306">
        <f ca="1">TblImps[[#This Row],[Real time]]</f>
        <v>45737.124999999702</v>
      </c>
      <c r="M127" s="61">
        <f>IF(ISERROR(TblImps[[#This Row],[algorithm]]),0,TblImps[[#This Row],[algorithm]]*1)</f>
        <v>0</v>
      </c>
      <c r="N127" s="96">
        <f ca="1">TblImps[[#This Row],[Land]]</f>
        <v>250</v>
      </c>
      <c r="O127" s="307" t="s">
        <v>4</v>
      </c>
      <c r="P127" s="308"/>
      <c r="Q127" s="307" t="s">
        <v>210</v>
      </c>
      <c r="R127" s="307" t="s">
        <v>7</v>
      </c>
      <c r="S127" s="308"/>
      <c r="T127" s="307" t="s">
        <v>210</v>
      </c>
      <c r="U127" s="307" t="s">
        <v>3</v>
      </c>
      <c r="V127" s="308"/>
      <c r="W127" s="307" t="s">
        <v>210</v>
      </c>
      <c r="X127" s="144"/>
      <c r="Y127" s="309">
        <f ca="1">science_cap*(1-EXP(-TblImps[[#This Row],[Σ Science]]/(science_param*(OFFSET(TblImps[[#This Row],[Land]],1,0)-OFFSET(TblExplore[[#This Row],[Land Bonus]],1,0)*20)+15000)))*(1+(mason_bonus*TblConstr[[#This Row],[Tot Mas]]/TblConstr[[#This Row],[Land (2)]]))</f>
        <v>0</v>
      </c>
      <c r="Z127" s="309">
        <f ca="1">keep_cap*(1-EXP(-TblImps[[#This Row],[Σ Keep]]/(keep_param*(OFFSET(TblImps[[#This Row],[Land]],1,0)-OFFSET(TblExplore[[#This Row],[Land Bonus]],1,0)*20)+15000)))*(1+(mason_bonus*TblConstr[[#This Row],[Tot Mas]]/TblConstr[[#This Row],[Land (2)]]))</f>
        <v>0</v>
      </c>
      <c r="AA127" s="309">
        <f ca="1">harbor_towers_cap*(1-EXP(-TblImps[[#This Row],[Σ Spires]]/(towers_param*(OFFSET(TblImps[[#This Row],[Land]],1,0)-OFFSET(TblExplore[[#This Row],[Land Bonus]],1,0)*20)+15000)))*(1+(mason_bonus*TblConstr[[#This Row],[Tot Mas]]/TblConstr[[#This Row],[Land (2)]]))</f>
        <v>0</v>
      </c>
      <c r="AB127" s="309">
        <f ca="1">walls_forges_cap*(1-EXP(-TblImps[[#This Row],[Σ Forges]]/(walls_forges_param*(OFFSET(TblImps[[#This Row],[Land]],1,0)-OFFSET(TblExplore[[#This Row],[Land Bonus]],1,0)*20)+15000)))*(1+(mason_bonus*TblConstr[[#This Row],[Tot Mas]]/TblConstr[[#This Row],[Land (2)]]))</f>
        <v>0</v>
      </c>
      <c r="AC127" s="309">
        <f ca="1">walls_forges_cap*(1-EXP(-TblImps[[#This Row],[Σ Walls]]/(walls_forges_param*(OFFSET(TblImps[[#This Row],[Land]],1,0)-OFFSET(TblExplore[[#This Row],[Land Bonus]],1,0)*20)+15000)))*(1+(mason_bonus*TblConstr[[#This Row],[Tot Mas]]/TblConstr[[#This Row],[Land (2)]]))</f>
        <v>0</v>
      </c>
      <c r="AD127" s="30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315">
        <f ca="1">OFFSET(TblImps[[#This Row],[Real time]],-1,0)+1/24</f>
        <v>45737.124999999702</v>
      </c>
      <c r="BZ127" s="316">
        <f ca="1">OFFSET(TblImps[[#This Row],[Servertime]],-1,0)+1/24</f>
        <v>45737.124999999702</v>
      </c>
      <c r="CA127" s="57"/>
      <c r="CB127" s="314"/>
      <c r="CC127" s="314"/>
    </row>
    <row r="128" spans="1:81" x14ac:dyDescent="0.2">
      <c r="A128" s="224">
        <f ca="1">TblConstr[[#This Row],[Land]]</f>
        <v>250</v>
      </c>
      <c r="B128" s="144"/>
      <c r="C128" s="96">
        <f ca="1">TblProd[[#This Row],[Platinum]]</f>
        <v>801142</v>
      </c>
      <c r="D128" s="96">
        <f ca="1">TblProd[[#This Row],[Lumber]]</f>
        <v>75553</v>
      </c>
      <c r="E128" s="96">
        <f ca="1">TblProd[[#This Row],[Ore]]</f>
        <v>0</v>
      </c>
      <c r="F128" s="96">
        <f ca="1">TblProd[[#This Row],[Gems]]</f>
        <v>0</v>
      </c>
      <c r="G128" s="156"/>
      <c r="H128" s="96">
        <f ca="1">TblMili[[#This Row],[Draftees]]</f>
        <v>626</v>
      </c>
      <c r="I128" s="182">
        <f ca="1">TblPop[[#This Row],[Employment]]</f>
        <v>1</v>
      </c>
      <c r="J128" s="182">
        <f ca="1">TblPop[[#This Row],[Total]]/TblPop[[#This Row],[Net max]]</f>
        <v>1</v>
      </c>
      <c r="K128" s="305">
        <f>TblRezone[[#This Row],[Hour]]</f>
        <v>125</v>
      </c>
      <c r="L128" s="306">
        <f ca="1">TblImps[[#This Row],[Real time]]</f>
        <v>45737.166666666366</v>
      </c>
      <c r="M128" s="61">
        <f>IF(ISERROR(TblImps[[#This Row],[algorithm]]),0,TblImps[[#This Row],[algorithm]]*1)</f>
        <v>0</v>
      </c>
      <c r="N128" s="96">
        <f ca="1">TblImps[[#This Row],[Land]]</f>
        <v>250</v>
      </c>
      <c r="O128" s="307" t="s">
        <v>4</v>
      </c>
      <c r="P128" s="308"/>
      <c r="Q128" s="307" t="s">
        <v>210</v>
      </c>
      <c r="R128" s="307" t="s">
        <v>7</v>
      </c>
      <c r="S128" s="308"/>
      <c r="T128" s="307" t="s">
        <v>210</v>
      </c>
      <c r="U128" s="307" t="s">
        <v>3</v>
      </c>
      <c r="V128" s="308"/>
      <c r="W128" s="307" t="s">
        <v>210</v>
      </c>
      <c r="X128" s="144"/>
      <c r="Y128" s="309">
        <f ca="1">science_cap*(1-EXP(-TblImps[[#This Row],[Σ Science]]/(science_param*(OFFSET(TblImps[[#This Row],[Land]],1,0)-OFFSET(TblExplore[[#This Row],[Land Bonus]],1,0)*20)+15000)))*(1+(mason_bonus*TblConstr[[#This Row],[Tot Mas]]/TblConstr[[#This Row],[Land (2)]]))</f>
        <v>0</v>
      </c>
      <c r="Z128" s="309">
        <f ca="1">keep_cap*(1-EXP(-TblImps[[#This Row],[Σ Keep]]/(keep_param*(OFFSET(TblImps[[#This Row],[Land]],1,0)-OFFSET(TblExplore[[#This Row],[Land Bonus]],1,0)*20)+15000)))*(1+(mason_bonus*TblConstr[[#This Row],[Tot Mas]]/TblConstr[[#This Row],[Land (2)]]))</f>
        <v>0</v>
      </c>
      <c r="AA128" s="309">
        <f ca="1">harbor_towers_cap*(1-EXP(-TblImps[[#This Row],[Σ Spires]]/(towers_param*(OFFSET(TblImps[[#This Row],[Land]],1,0)-OFFSET(TblExplore[[#This Row],[Land Bonus]],1,0)*20)+15000)))*(1+(mason_bonus*TblConstr[[#This Row],[Tot Mas]]/TblConstr[[#This Row],[Land (2)]]))</f>
        <v>0</v>
      </c>
      <c r="AB128" s="309">
        <f ca="1">walls_forges_cap*(1-EXP(-TblImps[[#This Row],[Σ Forges]]/(walls_forges_param*(OFFSET(TblImps[[#This Row],[Land]],1,0)-OFFSET(TblExplore[[#This Row],[Land Bonus]],1,0)*20)+15000)))*(1+(mason_bonus*TblConstr[[#This Row],[Tot Mas]]/TblConstr[[#This Row],[Land (2)]]))</f>
        <v>0</v>
      </c>
      <c r="AC128" s="309">
        <f ca="1">walls_forges_cap*(1-EXP(-TblImps[[#This Row],[Σ Walls]]/(walls_forges_param*(OFFSET(TblImps[[#This Row],[Land]],1,0)-OFFSET(TblExplore[[#This Row],[Land Bonus]],1,0)*20)+15000)))*(1+(mason_bonus*TblConstr[[#This Row],[Tot Mas]]/TblConstr[[#This Row],[Land (2)]]))</f>
        <v>0</v>
      </c>
      <c r="AD128" s="30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315">
        <f ca="1">OFFSET(TblImps[[#This Row],[Real time]],-1,0)+1/24</f>
        <v>45737.166666666366</v>
      </c>
      <c r="BZ128" s="316">
        <f ca="1">OFFSET(TblImps[[#This Row],[Servertime]],-1,0)+1/24</f>
        <v>45737.166666666366</v>
      </c>
      <c r="CA128" s="57"/>
      <c r="CB128" s="314"/>
      <c r="CC128" s="314"/>
    </row>
    <row r="129" spans="1:81" x14ac:dyDescent="0.2">
      <c r="A129" s="224">
        <f ca="1">TblConstr[[#This Row],[Land]]</f>
        <v>250</v>
      </c>
      <c r="B129" s="144"/>
      <c r="C129" s="96">
        <f ca="1">TblProd[[#This Row],[Platinum]]</f>
        <v>806628</v>
      </c>
      <c r="D129" s="96">
        <f ca="1">TblProd[[#This Row],[Lumber]]</f>
        <v>75797</v>
      </c>
      <c r="E129" s="96">
        <f ca="1">TblProd[[#This Row],[Ore]]</f>
        <v>0</v>
      </c>
      <c r="F129" s="96">
        <f ca="1">TblProd[[#This Row],[Gems]]</f>
        <v>0</v>
      </c>
      <c r="G129" s="156"/>
      <c r="H129" s="96">
        <f ca="1">TblMili[[#This Row],[Draftees]]</f>
        <v>626</v>
      </c>
      <c r="I129" s="182">
        <f ca="1">TblPop[[#This Row],[Employment]]</f>
        <v>1</v>
      </c>
      <c r="J129" s="182">
        <f ca="1">TblPop[[#This Row],[Total]]/TblPop[[#This Row],[Net max]]</f>
        <v>1</v>
      </c>
      <c r="K129" s="305">
        <f>TblRezone[[#This Row],[Hour]]</f>
        <v>126</v>
      </c>
      <c r="L129" s="306">
        <f ca="1">TblImps[[#This Row],[Real time]]</f>
        <v>45737.20833333303</v>
      </c>
      <c r="M129" s="61">
        <f>IF(ISERROR(TblImps[[#This Row],[algorithm]]),0,TblImps[[#This Row],[algorithm]]*1)</f>
        <v>0</v>
      </c>
      <c r="N129" s="96">
        <f ca="1">TblImps[[#This Row],[Land]]</f>
        <v>250</v>
      </c>
      <c r="O129" s="307" t="s">
        <v>4</v>
      </c>
      <c r="P129" s="308"/>
      <c r="Q129" s="307" t="s">
        <v>210</v>
      </c>
      <c r="R129" s="307" t="s">
        <v>7</v>
      </c>
      <c r="S129" s="308"/>
      <c r="T129" s="307" t="s">
        <v>210</v>
      </c>
      <c r="U129" s="307" t="s">
        <v>3</v>
      </c>
      <c r="V129" s="308"/>
      <c r="W129" s="307" t="s">
        <v>210</v>
      </c>
      <c r="X129" s="144"/>
      <c r="Y129" s="309">
        <f ca="1">science_cap*(1-EXP(-TblImps[[#This Row],[Σ Science]]/(science_param*(OFFSET(TblImps[[#This Row],[Land]],1,0)-OFFSET(TblExplore[[#This Row],[Land Bonus]],1,0)*20)+15000)))*(1+(mason_bonus*TblConstr[[#This Row],[Tot Mas]]/TblConstr[[#This Row],[Land (2)]]))</f>
        <v>0</v>
      </c>
      <c r="Z129" s="309">
        <f ca="1">keep_cap*(1-EXP(-TblImps[[#This Row],[Σ Keep]]/(keep_param*(OFFSET(TblImps[[#This Row],[Land]],1,0)-OFFSET(TblExplore[[#This Row],[Land Bonus]],1,0)*20)+15000)))*(1+(mason_bonus*TblConstr[[#This Row],[Tot Mas]]/TblConstr[[#This Row],[Land (2)]]))</f>
        <v>0</v>
      </c>
      <c r="AA129" s="309">
        <f ca="1">harbor_towers_cap*(1-EXP(-TblImps[[#This Row],[Σ Spires]]/(towers_param*(OFFSET(TblImps[[#This Row],[Land]],1,0)-OFFSET(TblExplore[[#This Row],[Land Bonus]],1,0)*20)+15000)))*(1+(mason_bonus*TblConstr[[#This Row],[Tot Mas]]/TblConstr[[#This Row],[Land (2)]]))</f>
        <v>0</v>
      </c>
      <c r="AB129" s="309">
        <f ca="1">walls_forges_cap*(1-EXP(-TblImps[[#This Row],[Σ Forges]]/(walls_forges_param*(OFFSET(TblImps[[#This Row],[Land]],1,0)-OFFSET(TblExplore[[#This Row],[Land Bonus]],1,0)*20)+15000)))*(1+(mason_bonus*TblConstr[[#This Row],[Tot Mas]]/TblConstr[[#This Row],[Land (2)]]))</f>
        <v>0</v>
      </c>
      <c r="AC129" s="309">
        <f ca="1">walls_forges_cap*(1-EXP(-TblImps[[#This Row],[Σ Walls]]/(walls_forges_param*(OFFSET(TblImps[[#This Row],[Land]],1,0)-OFFSET(TblExplore[[#This Row],[Land Bonus]],1,0)*20)+15000)))*(1+(mason_bonus*TblConstr[[#This Row],[Tot Mas]]/TblConstr[[#This Row],[Land (2)]]))</f>
        <v>0</v>
      </c>
      <c r="AD129" s="30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315">
        <f ca="1">OFFSET(TblImps[[#This Row],[Real time]],-1,0)+1/24</f>
        <v>45737.20833333303</v>
      </c>
      <c r="BZ129" s="316">
        <f ca="1">OFFSET(TblImps[[#This Row],[Servertime]],-1,0)+1/24</f>
        <v>45737.20833333303</v>
      </c>
      <c r="CA129" s="57"/>
      <c r="CB129" s="314"/>
      <c r="CC129" s="314"/>
    </row>
    <row r="130" spans="1:81" x14ac:dyDescent="0.2">
      <c r="A130" s="224">
        <f ca="1">TblConstr[[#This Row],[Land]]</f>
        <v>250</v>
      </c>
      <c r="B130" s="144"/>
      <c r="C130" s="96">
        <f ca="1">TblProd[[#This Row],[Platinum]]</f>
        <v>812114</v>
      </c>
      <c r="D130" s="96">
        <f ca="1">TblProd[[#This Row],[Lumber]]</f>
        <v>76039</v>
      </c>
      <c r="E130" s="96">
        <f ca="1">TblProd[[#This Row],[Ore]]</f>
        <v>0</v>
      </c>
      <c r="F130" s="96">
        <f ca="1">TblProd[[#This Row],[Gems]]</f>
        <v>0</v>
      </c>
      <c r="G130" s="156"/>
      <c r="H130" s="96">
        <f ca="1">TblMili[[#This Row],[Draftees]]</f>
        <v>626</v>
      </c>
      <c r="I130" s="182">
        <f ca="1">TblPop[[#This Row],[Employment]]</f>
        <v>1</v>
      </c>
      <c r="J130" s="182">
        <f ca="1">TblPop[[#This Row],[Total]]/TblPop[[#This Row],[Net max]]</f>
        <v>1</v>
      </c>
      <c r="K130" s="305">
        <f>TblRezone[[#This Row],[Hour]]</f>
        <v>127</v>
      </c>
      <c r="L130" s="306">
        <f ca="1">TblImps[[#This Row],[Real time]]</f>
        <v>45737.249999999694</v>
      </c>
      <c r="M130" s="61">
        <f>IF(ISERROR(TblImps[[#This Row],[algorithm]]),0,TblImps[[#This Row],[algorithm]]*1)</f>
        <v>0</v>
      </c>
      <c r="N130" s="96">
        <f ca="1">TblImps[[#This Row],[Land]]</f>
        <v>250</v>
      </c>
      <c r="O130" s="307" t="s">
        <v>4</v>
      </c>
      <c r="P130" s="308"/>
      <c r="Q130" s="307" t="s">
        <v>210</v>
      </c>
      <c r="R130" s="307" t="s">
        <v>7</v>
      </c>
      <c r="S130" s="308"/>
      <c r="T130" s="307" t="s">
        <v>210</v>
      </c>
      <c r="U130" s="307" t="s">
        <v>3</v>
      </c>
      <c r="V130" s="308"/>
      <c r="W130" s="307" t="s">
        <v>210</v>
      </c>
      <c r="X130" s="144"/>
      <c r="Y130" s="309">
        <f ca="1">science_cap*(1-EXP(-TblImps[[#This Row],[Σ Science]]/(science_param*(OFFSET(TblImps[[#This Row],[Land]],1,0)-OFFSET(TblExplore[[#This Row],[Land Bonus]],1,0)*20)+15000)))*(1+(mason_bonus*TblConstr[[#This Row],[Tot Mas]]/TblConstr[[#This Row],[Land (2)]]))</f>
        <v>0</v>
      </c>
      <c r="Z130" s="309">
        <f ca="1">keep_cap*(1-EXP(-TblImps[[#This Row],[Σ Keep]]/(keep_param*(OFFSET(TblImps[[#This Row],[Land]],1,0)-OFFSET(TblExplore[[#This Row],[Land Bonus]],1,0)*20)+15000)))*(1+(mason_bonus*TblConstr[[#This Row],[Tot Mas]]/TblConstr[[#This Row],[Land (2)]]))</f>
        <v>0</v>
      </c>
      <c r="AA130" s="309">
        <f ca="1">harbor_towers_cap*(1-EXP(-TblImps[[#This Row],[Σ Spires]]/(towers_param*(OFFSET(TblImps[[#This Row],[Land]],1,0)-OFFSET(TblExplore[[#This Row],[Land Bonus]],1,0)*20)+15000)))*(1+(mason_bonus*TblConstr[[#This Row],[Tot Mas]]/TblConstr[[#This Row],[Land (2)]]))</f>
        <v>0</v>
      </c>
      <c r="AB130" s="309">
        <f ca="1">walls_forges_cap*(1-EXP(-TblImps[[#This Row],[Σ Forges]]/(walls_forges_param*(OFFSET(TblImps[[#This Row],[Land]],1,0)-OFFSET(TblExplore[[#This Row],[Land Bonus]],1,0)*20)+15000)))*(1+(mason_bonus*TblConstr[[#This Row],[Tot Mas]]/TblConstr[[#This Row],[Land (2)]]))</f>
        <v>0</v>
      </c>
      <c r="AC130" s="309">
        <f ca="1">walls_forges_cap*(1-EXP(-TblImps[[#This Row],[Σ Walls]]/(walls_forges_param*(OFFSET(TblImps[[#This Row],[Land]],1,0)-OFFSET(TblExplore[[#This Row],[Land Bonus]],1,0)*20)+15000)))*(1+(mason_bonus*TblConstr[[#This Row],[Tot Mas]]/TblConstr[[#This Row],[Land (2)]]))</f>
        <v>0</v>
      </c>
      <c r="AD130" s="30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315">
        <f ca="1">OFFSET(TblImps[[#This Row],[Real time]],-1,0)+1/24</f>
        <v>45737.249999999694</v>
      </c>
      <c r="BZ130" s="316">
        <f ca="1">OFFSET(TblImps[[#This Row],[Servertime]],-1,0)+1/24</f>
        <v>45737.249999999694</v>
      </c>
      <c r="CA130" s="57"/>
      <c r="CB130" s="314"/>
      <c r="CC130" s="314"/>
    </row>
    <row r="131" spans="1:81" x14ac:dyDescent="0.2">
      <c r="A131" s="224">
        <f ca="1">TblConstr[[#This Row],[Land]]</f>
        <v>250</v>
      </c>
      <c r="B131" s="144"/>
      <c r="C131" s="96">
        <f ca="1">TblProd[[#This Row],[Platinum]]</f>
        <v>817600</v>
      </c>
      <c r="D131" s="96">
        <f ca="1">TblProd[[#This Row],[Lumber]]</f>
        <v>76279</v>
      </c>
      <c r="E131" s="96">
        <f ca="1">TblProd[[#This Row],[Ore]]</f>
        <v>0</v>
      </c>
      <c r="F131" s="96">
        <f ca="1">TblProd[[#This Row],[Gems]]</f>
        <v>0</v>
      </c>
      <c r="G131" s="156"/>
      <c r="H131" s="96">
        <f ca="1">TblMili[[#This Row],[Draftees]]</f>
        <v>626</v>
      </c>
      <c r="I131" s="182">
        <f ca="1">TblPop[[#This Row],[Employment]]</f>
        <v>1</v>
      </c>
      <c r="J131" s="182">
        <f ca="1">TblPop[[#This Row],[Total]]/TblPop[[#This Row],[Net max]]</f>
        <v>1</v>
      </c>
      <c r="K131" s="305">
        <f>TblRezone[[#This Row],[Hour]]</f>
        <v>128</v>
      </c>
      <c r="L131" s="306">
        <f ca="1">TblImps[[#This Row],[Real time]]</f>
        <v>45737.291666666359</v>
      </c>
      <c r="M131" s="61">
        <f>IF(ISERROR(TblImps[[#This Row],[algorithm]]),0,TblImps[[#This Row],[algorithm]]*1)</f>
        <v>0</v>
      </c>
      <c r="N131" s="96">
        <f ca="1">TblImps[[#This Row],[Land]]</f>
        <v>250</v>
      </c>
      <c r="O131" s="307" t="s">
        <v>4</v>
      </c>
      <c r="P131" s="308"/>
      <c r="Q131" s="307" t="s">
        <v>210</v>
      </c>
      <c r="R131" s="307" t="s">
        <v>7</v>
      </c>
      <c r="S131" s="308"/>
      <c r="T131" s="307" t="s">
        <v>210</v>
      </c>
      <c r="U131" s="307" t="s">
        <v>3</v>
      </c>
      <c r="V131" s="308"/>
      <c r="W131" s="307" t="s">
        <v>210</v>
      </c>
      <c r="X131" s="144"/>
      <c r="Y131" s="309">
        <f ca="1">science_cap*(1-EXP(-TblImps[[#This Row],[Σ Science]]/(science_param*(OFFSET(TblImps[[#This Row],[Land]],1,0)-OFFSET(TblExplore[[#This Row],[Land Bonus]],1,0)*20)+15000)))*(1+(mason_bonus*TblConstr[[#This Row],[Tot Mas]]/TblConstr[[#This Row],[Land (2)]]))</f>
        <v>0</v>
      </c>
      <c r="Z131" s="309">
        <f ca="1">keep_cap*(1-EXP(-TblImps[[#This Row],[Σ Keep]]/(keep_param*(OFFSET(TblImps[[#This Row],[Land]],1,0)-OFFSET(TblExplore[[#This Row],[Land Bonus]],1,0)*20)+15000)))*(1+(mason_bonus*TblConstr[[#This Row],[Tot Mas]]/TblConstr[[#This Row],[Land (2)]]))</f>
        <v>0</v>
      </c>
      <c r="AA131" s="309">
        <f ca="1">harbor_towers_cap*(1-EXP(-TblImps[[#This Row],[Σ Spires]]/(towers_param*(OFFSET(TblImps[[#This Row],[Land]],1,0)-OFFSET(TblExplore[[#This Row],[Land Bonus]],1,0)*20)+15000)))*(1+(mason_bonus*TblConstr[[#This Row],[Tot Mas]]/TblConstr[[#This Row],[Land (2)]]))</f>
        <v>0</v>
      </c>
      <c r="AB131" s="309">
        <f ca="1">walls_forges_cap*(1-EXP(-TblImps[[#This Row],[Σ Forges]]/(walls_forges_param*(OFFSET(TblImps[[#This Row],[Land]],1,0)-OFFSET(TblExplore[[#This Row],[Land Bonus]],1,0)*20)+15000)))*(1+(mason_bonus*TblConstr[[#This Row],[Tot Mas]]/TblConstr[[#This Row],[Land (2)]]))</f>
        <v>0</v>
      </c>
      <c r="AC131" s="309">
        <f ca="1">walls_forges_cap*(1-EXP(-TblImps[[#This Row],[Σ Walls]]/(walls_forges_param*(OFFSET(TblImps[[#This Row],[Land]],1,0)-OFFSET(TblExplore[[#This Row],[Land Bonus]],1,0)*20)+15000)))*(1+(mason_bonus*TblConstr[[#This Row],[Tot Mas]]/TblConstr[[#This Row],[Land (2)]]))</f>
        <v>0</v>
      </c>
      <c r="AD131" s="30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315">
        <f ca="1">OFFSET(TblImps[[#This Row],[Real time]],-1,0)+1/24</f>
        <v>45737.291666666359</v>
      </c>
      <c r="BZ131" s="316">
        <f ca="1">OFFSET(TblImps[[#This Row],[Servertime]],-1,0)+1/24</f>
        <v>45737.291666666359</v>
      </c>
      <c r="CA131" s="57"/>
      <c r="CB131" s="314"/>
      <c r="CC131" s="314"/>
    </row>
    <row r="132" spans="1:81" x14ac:dyDescent="0.2">
      <c r="A132" s="224">
        <f ca="1">TblConstr[[#This Row],[Land]]</f>
        <v>250</v>
      </c>
      <c r="B132" s="144"/>
      <c r="C132" s="96">
        <f ca="1">TblProd[[#This Row],[Platinum]]</f>
        <v>823086</v>
      </c>
      <c r="D132" s="96">
        <f ca="1">TblProd[[#This Row],[Lumber]]</f>
        <v>76516</v>
      </c>
      <c r="E132" s="96">
        <f ca="1">TblProd[[#This Row],[Ore]]</f>
        <v>0</v>
      </c>
      <c r="F132" s="96">
        <f ca="1">TblProd[[#This Row],[Gems]]</f>
        <v>0</v>
      </c>
      <c r="G132" s="156"/>
      <c r="H132" s="96">
        <f ca="1">TblMili[[#This Row],[Draftees]]</f>
        <v>626</v>
      </c>
      <c r="I132" s="182">
        <f ca="1">TblPop[[#This Row],[Employment]]</f>
        <v>1</v>
      </c>
      <c r="J132" s="182">
        <f ca="1">TblPop[[#This Row],[Total]]/TblPop[[#This Row],[Net max]]</f>
        <v>1</v>
      </c>
      <c r="K132" s="305">
        <f>TblRezone[[#This Row],[Hour]]</f>
        <v>129</v>
      </c>
      <c r="L132" s="306">
        <f ca="1">TblImps[[#This Row],[Real time]]</f>
        <v>45737.333333333023</v>
      </c>
      <c r="M132" s="61">
        <f>IF(ISERROR(TblImps[[#This Row],[algorithm]]),0,TblImps[[#This Row],[algorithm]]*1)</f>
        <v>0</v>
      </c>
      <c r="N132" s="96">
        <f ca="1">TblImps[[#This Row],[Land]]</f>
        <v>250</v>
      </c>
      <c r="O132" s="307" t="s">
        <v>4</v>
      </c>
      <c r="P132" s="308"/>
      <c r="Q132" s="307" t="s">
        <v>210</v>
      </c>
      <c r="R132" s="307" t="s">
        <v>7</v>
      </c>
      <c r="S132" s="308"/>
      <c r="T132" s="307" t="s">
        <v>210</v>
      </c>
      <c r="U132" s="307" t="s">
        <v>3</v>
      </c>
      <c r="V132" s="308"/>
      <c r="W132" s="307" t="s">
        <v>210</v>
      </c>
      <c r="X132" s="144"/>
      <c r="Y132" s="309">
        <f ca="1">science_cap*(1-EXP(-TblImps[[#This Row],[Σ Science]]/(science_param*(OFFSET(TblImps[[#This Row],[Land]],1,0)-OFFSET(TblExplore[[#This Row],[Land Bonus]],1,0)*20)+15000)))*(1+(mason_bonus*TblConstr[[#This Row],[Tot Mas]]/TblConstr[[#This Row],[Land (2)]]))</f>
        <v>0</v>
      </c>
      <c r="Z132" s="309">
        <f ca="1">keep_cap*(1-EXP(-TblImps[[#This Row],[Σ Keep]]/(keep_param*(OFFSET(TblImps[[#This Row],[Land]],1,0)-OFFSET(TblExplore[[#This Row],[Land Bonus]],1,0)*20)+15000)))*(1+(mason_bonus*TblConstr[[#This Row],[Tot Mas]]/TblConstr[[#This Row],[Land (2)]]))</f>
        <v>0</v>
      </c>
      <c r="AA132" s="309">
        <f ca="1">harbor_towers_cap*(1-EXP(-TblImps[[#This Row],[Σ Spires]]/(towers_param*(OFFSET(TblImps[[#This Row],[Land]],1,0)-OFFSET(TblExplore[[#This Row],[Land Bonus]],1,0)*20)+15000)))*(1+(mason_bonus*TblConstr[[#This Row],[Tot Mas]]/TblConstr[[#This Row],[Land (2)]]))</f>
        <v>0</v>
      </c>
      <c r="AB132" s="309">
        <f ca="1">walls_forges_cap*(1-EXP(-TblImps[[#This Row],[Σ Forges]]/(walls_forges_param*(OFFSET(TblImps[[#This Row],[Land]],1,0)-OFFSET(TblExplore[[#This Row],[Land Bonus]],1,0)*20)+15000)))*(1+(mason_bonus*TblConstr[[#This Row],[Tot Mas]]/TblConstr[[#This Row],[Land (2)]]))</f>
        <v>0</v>
      </c>
      <c r="AC132" s="309">
        <f ca="1">walls_forges_cap*(1-EXP(-TblImps[[#This Row],[Σ Walls]]/(walls_forges_param*(OFFSET(TblImps[[#This Row],[Land]],1,0)-OFFSET(TblExplore[[#This Row],[Land Bonus]],1,0)*20)+15000)))*(1+(mason_bonus*TblConstr[[#This Row],[Tot Mas]]/TblConstr[[#This Row],[Land (2)]]))</f>
        <v>0</v>
      </c>
      <c r="AD132" s="30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315">
        <f ca="1">OFFSET(TblImps[[#This Row],[Real time]],-1,0)+1/24</f>
        <v>45737.333333333023</v>
      </c>
      <c r="BZ132" s="316">
        <f ca="1">OFFSET(TblImps[[#This Row],[Servertime]],-1,0)+1/24</f>
        <v>45737.333333333023</v>
      </c>
      <c r="CA132" s="57"/>
      <c r="CB132" s="314"/>
      <c r="CC132" s="314"/>
    </row>
    <row r="133" spans="1:81" x14ac:dyDescent="0.2">
      <c r="A133" s="224">
        <f ca="1">TblConstr[[#This Row],[Land]]</f>
        <v>250</v>
      </c>
      <c r="B133" s="144"/>
      <c r="C133" s="96">
        <f ca="1">TblProd[[#This Row],[Platinum]]</f>
        <v>828572</v>
      </c>
      <c r="D133" s="96">
        <f ca="1">TblProd[[#This Row],[Lumber]]</f>
        <v>76751</v>
      </c>
      <c r="E133" s="96">
        <f ca="1">TblProd[[#This Row],[Ore]]</f>
        <v>0</v>
      </c>
      <c r="F133" s="96">
        <f ca="1">TblProd[[#This Row],[Gems]]</f>
        <v>0</v>
      </c>
      <c r="G133" s="156"/>
      <c r="H133" s="96">
        <f ca="1">TblMili[[#This Row],[Draftees]]</f>
        <v>626</v>
      </c>
      <c r="I133" s="182">
        <f ca="1">TblPop[[#This Row],[Employment]]</f>
        <v>1</v>
      </c>
      <c r="J133" s="182">
        <f ca="1">TblPop[[#This Row],[Total]]/TblPop[[#This Row],[Net max]]</f>
        <v>1</v>
      </c>
      <c r="K133" s="305">
        <f>TblRezone[[#This Row],[Hour]]</f>
        <v>130</v>
      </c>
      <c r="L133" s="306">
        <f ca="1">TblImps[[#This Row],[Real time]]</f>
        <v>45737.374999999687</v>
      </c>
      <c r="M133" s="61">
        <f>IF(ISERROR(TblImps[[#This Row],[algorithm]]),0,TblImps[[#This Row],[algorithm]]*1)</f>
        <v>0</v>
      </c>
      <c r="N133" s="96">
        <f ca="1">TblImps[[#This Row],[Land]]</f>
        <v>250</v>
      </c>
      <c r="O133" s="307" t="s">
        <v>4</v>
      </c>
      <c r="P133" s="308"/>
      <c r="Q133" s="307" t="s">
        <v>210</v>
      </c>
      <c r="R133" s="307" t="s">
        <v>7</v>
      </c>
      <c r="S133" s="308"/>
      <c r="T133" s="307" t="s">
        <v>210</v>
      </c>
      <c r="U133" s="307" t="s">
        <v>3</v>
      </c>
      <c r="V133" s="308"/>
      <c r="W133" s="307" t="s">
        <v>210</v>
      </c>
      <c r="X133" s="144"/>
      <c r="Y133" s="309">
        <f ca="1">science_cap*(1-EXP(-TblImps[[#This Row],[Σ Science]]/(science_param*(OFFSET(TblImps[[#This Row],[Land]],1,0)-OFFSET(TblExplore[[#This Row],[Land Bonus]],1,0)*20)+15000)))*(1+(mason_bonus*TblConstr[[#This Row],[Tot Mas]]/TblConstr[[#This Row],[Land (2)]]))</f>
        <v>0</v>
      </c>
      <c r="Z133" s="309">
        <f ca="1">keep_cap*(1-EXP(-TblImps[[#This Row],[Σ Keep]]/(keep_param*(OFFSET(TblImps[[#This Row],[Land]],1,0)-OFFSET(TblExplore[[#This Row],[Land Bonus]],1,0)*20)+15000)))*(1+(mason_bonus*TblConstr[[#This Row],[Tot Mas]]/TblConstr[[#This Row],[Land (2)]]))</f>
        <v>0</v>
      </c>
      <c r="AA133" s="309">
        <f ca="1">harbor_towers_cap*(1-EXP(-TblImps[[#This Row],[Σ Spires]]/(towers_param*(OFFSET(TblImps[[#This Row],[Land]],1,0)-OFFSET(TblExplore[[#This Row],[Land Bonus]],1,0)*20)+15000)))*(1+(mason_bonus*TblConstr[[#This Row],[Tot Mas]]/TblConstr[[#This Row],[Land (2)]]))</f>
        <v>0</v>
      </c>
      <c r="AB133" s="309">
        <f ca="1">walls_forges_cap*(1-EXP(-TblImps[[#This Row],[Σ Forges]]/(walls_forges_param*(OFFSET(TblImps[[#This Row],[Land]],1,0)-OFFSET(TblExplore[[#This Row],[Land Bonus]],1,0)*20)+15000)))*(1+(mason_bonus*TblConstr[[#This Row],[Tot Mas]]/TblConstr[[#This Row],[Land (2)]]))</f>
        <v>0</v>
      </c>
      <c r="AC133" s="309">
        <f ca="1">walls_forges_cap*(1-EXP(-TblImps[[#This Row],[Σ Walls]]/(walls_forges_param*(OFFSET(TblImps[[#This Row],[Land]],1,0)-OFFSET(TblExplore[[#This Row],[Land Bonus]],1,0)*20)+15000)))*(1+(mason_bonus*TblConstr[[#This Row],[Tot Mas]]/TblConstr[[#This Row],[Land (2)]]))</f>
        <v>0</v>
      </c>
      <c r="AD133" s="30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315">
        <f ca="1">OFFSET(TblImps[[#This Row],[Real time]],-1,0)+1/24</f>
        <v>45737.374999999687</v>
      </c>
      <c r="BZ133" s="316">
        <f ca="1">OFFSET(TblImps[[#This Row],[Servertime]],-1,0)+1/24</f>
        <v>45737.374999999687</v>
      </c>
      <c r="CA133" s="57"/>
      <c r="CB133" s="314"/>
      <c r="CC133" s="314"/>
    </row>
    <row r="134" spans="1:81" x14ac:dyDescent="0.2">
      <c r="A134" s="224">
        <f ca="1">TblConstr[[#This Row],[Land]]</f>
        <v>250</v>
      </c>
      <c r="B134" s="144"/>
      <c r="C134" s="96">
        <f ca="1">TblProd[[#This Row],[Platinum]]</f>
        <v>834058</v>
      </c>
      <c r="D134" s="96">
        <f ca="1">TblProd[[#This Row],[Lumber]]</f>
        <v>76983</v>
      </c>
      <c r="E134" s="96">
        <f ca="1">TblProd[[#This Row],[Ore]]</f>
        <v>0</v>
      </c>
      <c r="F134" s="96">
        <f ca="1">TblProd[[#This Row],[Gems]]</f>
        <v>0</v>
      </c>
      <c r="G134" s="156"/>
      <c r="H134" s="96">
        <f ca="1">TblMili[[#This Row],[Draftees]]</f>
        <v>626</v>
      </c>
      <c r="I134" s="182">
        <f ca="1">TblPop[[#This Row],[Employment]]</f>
        <v>1</v>
      </c>
      <c r="J134" s="182">
        <f ca="1">TblPop[[#This Row],[Total]]/TblPop[[#This Row],[Net max]]</f>
        <v>1</v>
      </c>
      <c r="K134" s="305">
        <f>TblRezone[[#This Row],[Hour]]</f>
        <v>131</v>
      </c>
      <c r="L134" s="306">
        <f ca="1">TblImps[[#This Row],[Real time]]</f>
        <v>45737.416666666351</v>
      </c>
      <c r="M134" s="61">
        <f>IF(ISERROR(TblImps[[#This Row],[algorithm]]),0,TblImps[[#This Row],[algorithm]]*1)</f>
        <v>0</v>
      </c>
      <c r="N134" s="96">
        <f ca="1">TblImps[[#This Row],[Land]]</f>
        <v>250</v>
      </c>
      <c r="O134" s="307" t="s">
        <v>4</v>
      </c>
      <c r="P134" s="308"/>
      <c r="Q134" s="307" t="s">
        <v>210</v>
      </c>
      <c r="R134" s="307" t="s">
        <v>7</v>
      </c>
      <c r="S134" s="308"/>
      <c r="T134" s="307" t="s">
        <v>210</v>
      </c>
      <c r="U134" s="307" t="s">
        <v>3</v>
      </c>
      <c r="V134" s="308"/>
      <c r="W134" s="307" t="s">
        <v>210</v>
      </c>
      <c r="X134" s="144"/>
      <c r="Y134" s="309">
        <f ca="1">science_cap*(1-EXP(-TblImps[[#This Row],[Σ Science]]/(science_param*(OFFSET(TblImps[[#This Row],[Land]],1,0)-OFFSET(TblExplore[[#This Row],[Land Bonus]],1,0)*20)+15000)))*(1+(mason_bonus*TblConstr[[#This Row],[Tot Mas]]/TblConstr[[#This Row],[Land (2)]]))</f>
        <v>0</v>
      </c>
      <c r="Z134" s="309">
        <f ca="1">keep_cap*(1-EXP(-TblImps[[#This Row],[Σ Keep]]/(keep_param*(OFFSET(TblImps[[#This Row],[Land]],1,0)-OFFSET(TblExplore[[#This Row],[Land Bonus]],1,0)*20)+15000)))*(1+(mason_bonus*TblConstr[[#This Row],[Tot Mas]]/TblConstr[[#This Row],[Land (2)]]))</f>
        <v>0</v>
      </c>
      <c r="AA134" s="309">
        <f ca="1">harbor_towers_cap*(1-EXP(-TblImps[[#This Row],[Σ Spires]]/(towers_param*(OFFSET(TblImps[[#This Row],[Land]],1,0)-OFFSET(TblExplore[[#This Row],[Land Bonus]],1,0)*20)+15000)))*(1+(mason_bonus*TblConstr[[#This Row],[Tot Mas]]/TblConstr[[#This Row],[Land (2)]]))</f>
        <v>0</v>
      </c>
      <c r="AB134" s="309">
        <f ca="1">walls_forges_cap*(1-EXP(-TblImps[[#This Row],[Σ Forges]]/(walls_forges_param*(OFFSET(TblImps[[#This Row],[Land]],1,0)-OFFSET(TblExplore[[#This Row],[Land Bonus]],1,0)*20)+15000)))*(1+(mason_bonus*TblConstr[[#This Row],[Tot Mas]]/TblConstr[[#This Row],[Land (2)]]))</f>
        <v>0</v>
      </c>
      <c r="AC134" s="309">
        <f ca="1">walls_forges_cap*(1-EXP(-TblImps[[#This Row],[Σ Walls]]/(walls_forges_param*(OFFSET(TblImps[[#This Row],[Land]],1,0)-OFFSET(TblExplore[[#This Row],[Land Bonus]],1,0)*20)+15000)))*(1+(mason_bonus*TblConstr[[#This Row],[Tot Mas]]/TblConstr[[#This Row],[Land (2)]]))</f>
        <v>0</v>
      </c>
      <c r="AD134" s="30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315">
        <f ca="1">OFFSET(TblImps[[#This Row],[Real time]],-1,0)+1/24</f>
        <v>45737.416666666351</v>
      </c>
      <c r="BZ134" s="316">
        <f ca="1">OFFSET(TblImps[[#This Row],[Servertime]],-1,0)+1/24</f>
        <v>45737.416666666351</v>
      </c>
      <c r="CA134" s="57"/>
      <c r="CB134" s="314"/>
      <c r="CC134" s="314"/>
    </row>
    <row r="135" spans="1:81" x14ac:dyDescent="0.2">
      <c r="A135" s="224">
        <f ca="1">TblConstr[[#This Row],[Land]]</f>
        <v>250</v>
      </c>
      <c r="B135" s="144"/>
      <c r="C135" s="96">
        <f ca="1">TblProd[[#This Row],[Platinum]]</f>
        <v>839544</v>
      </c>
      <c r="D135" s="96">
        <f ca="1">TblProd[[#This Row],[Lumber]]</f>
        <v>77213</v>
      </c>
      <c r="E135" s="96">
        <f ca="1">TblProd[[#This Row],[Ore]]</f>
        <v>0</v>
      </c>
      <c r="F135" s="96">
        <f ca="1">TblProd[[#This Row],[Gems]]</f>
        <v>0</v>
      </c>
      <c r="G135" s="156"/>
      <c r="H135" s="96">
        <f ca="1">TblMili[[#This Row],[Draftees]]</f>
        <v>626</v>
      </c>
      <c r="I135" s="182">
        <f ca="1">TblPop[[#This Row],[Employment]]</f>
        <v>1</v>
      </c>
      <c r="J135" s="182">
        <f ca="1">TblPop[[#This Row],[Total]]/TblPop[[#This Row],[Net max]]</f>
        <v>1</v>
      </c>
      <c r="K135" s="305">
        <f>TblRezone[[#This Row],[Hour]]</f>
        <v>132</v>
      </c>
      <c r="L135" s="306">
        <f ca="1">TblImps[[#This Row],[Real time]]</f>
        <v>45737.458333333016</v>
      </c>
      <c r="M135" s="61">
        <f>IF(ISERROR(TblImps[[#This Row],[algorithm]]),0,TblImps[[#This Row],[algorithm]]*1)</f>
        <v>0</v>
      </c>
      <c r="N135" s="96">
        <f ca="1">TblImps[[#This Row],[Land]]</f>
        <v>250</v>
      </c>
      <c r="O135" s="307" t="s">
        <v>4</v>
      </c>
      <c r="P135" s="308"/>
      <c r="Q135" s="307" t="s">
        <v>210</v>
      </c>
      <c r="R135" s="307" t="s">
        <v>7</v>
      </c>
      <c r="S135" s="308"/>
      <c r="T135" s="307" t="s">
        <v>210</v>
      </c>
      <c r="U135" s="307" t="s">
        <v>3</v>
      </c>
      <c r="V135" s="308"/>
      <c r="W135" s="307" t="s">
        <v>210</v>
      </c>
      <c r="X135" s="144"/>
      <c r="Y135" s="309">
        <f ca="1">science_cap*(1-EXP(-TblImps[[#This Row],[Σ Science]]/(science_param*(OFFSET(TblImps[[#This Row],[Land]],1,0)-OFFSET(TblExplore[[#This Row],[Land Bonus]],1,0)*20)+15000)))*(1+(mason_bonus*TblConstr[[#This Row],[Tot Mas]]/TblConstr[[#This Row],[Land (2)]]))</f>
        <v>0</v>
      </c>
      <c r="Z135" s="309">
        <f ca="1">keep_cap*(1-EXP(-TblImps[[#This Row],[Σ Keep]]/(keep_param*(OFFSET(TblImps[[#This Row],[Land]],1,0)-OFFSET(TblExplore[[#This Row],[Land Bonus]],1,0)*20)+15000)))*(1+(mason_bonus*TblConstr[[#This Row],[Tot Mas]]/TblConstr[[#This Row],[Land (2)]]))</f>
        <v>0</v>
      </c>
      <c r="AA135" s="309">
        <f ca="1">harbor_towers_cap*(1-EXP(-TblImps[[#This Row],[Σ Spires]]/(towers_param*(OFFSET(TblImps[[#This Row],[Land]],1,0)-OFFSET(TblExplore[[#This Row],[Land Bonus]],1,0)*20)+15000)))*(1+(mason_bonus*TblConstr[[#This Row],[Tot Mas]]/TblConstr[[#This Row],[Land (2)]]))</f>
        <v>0</v>
      </c>
      <c r="AB135" s="309">
        <f ca="1">walls_forges_cap*(1-EXP(-TblImps[[#This Row],[Σ Forges]]/(walls_forges_param*(OFFSET(TblImps[[#This Row],[Land]],1,0)-OFFSET(TblExplore[[#This Row],[Land Bonus]],1,0)*20)+15000)))*(1+(mason_bonus*TblConstr[[#This Row],[Tot Mas]]/TblConstr[[#This Row],[Land (2)]]))</f>
        <v>0</v>
      </c>
      <c r="AC135" s="309">
        <f ca="1">walls_forges_cap*(1-EXP(-TblImps[[#This Row],[Σ Walls]]/(walls_forges_param*(OFFSET(TblImps[[#This Row],[Land]],1,0)-OFFSET(TblExplore[[#This Row],[Land Bonus]],1,0)*20)+15000)))*(1+(mason_bonus*TblConstr[[#This Row],[Tot Mas]]/TblConstr[[#This Row],[Land (2)]]))</f>
        <v>0</v>
      </c>
      <c r="AD135" s="30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315">
        <f ca="1">OFFSET(TblImps[[#This Row],[Real time]],-1,0)+1/24</f>
        <v>45737.458333333016</v>
      </c>
      <c r="BZ135" s="316">
        <f ca="1">OFFSET(TblImps[[#This Row],[Servertime]],-1,0)+1/24</f>
        <v>45737.458333333016</v>
      </c>
      <c r="CA135" s="57"/>
      <c r="CB135" s="314"/>
      <c r="CC135" s="314"/>
    </row>
    <row r="136" spans="1:81" x14ac:dyDescent="0.2">
      <c r="A136" s="224">
        <f ca="1">TblConstr[[#This Row],[Land]]</f>
        <v>250</v>
      </c>
      <c r="B136" s="144"/>
      <c r="C136" s="96">
        <f ca="1">TblProd[[#This Row],[Platinum]]</f>
        <v>845030</v>
      </c>
      <c r="D136" s="96">
        <f ca="1">TblProd[[#This Row],[Lumber]]</f>
        <v>77441</v>
      </c>
      <c r="E136" s="96">
        <f ca="1">TblProd[[#This Row],[Ore]]</f>
        <v>0</v>
      </c>
      <c r="F136" s="96">
        <f ca="1">TblProd[[#This Row],[Gems]]</f>
        <v>0</v>
      </c>
      <c r="G136" s="156"/>
      <c r="H136" s="96">
        <f ca="1">TblMili[[#This Row],[Draftees]]</f>
        <v>626</v>
      </c>
      <c r="I136" s="182">
        <f ca="1">TblPop[[#This Row],[Employment]]</f>
        <v>0</v>
      </c>
      <c r="J136" s="182">
        <f ca="1">TblPop[[#This Row],[Total]]/TblPop[[#This Row],[Net max]]</f>
        <v>1</v>
      </c>
      <c r="K136" s="305">
        <f>TblRezone[[#This Row],[Hour]]</f>
        <v>133</v>
      </c>
      <c r="L136" s="306">
        <f ca="1">TblImps[[#This Row],[Real time]]</f>
        <v>45737.49999999968</v>
      </c>
      <c r="M136" s="61">
        <f>IF(ISERROR(TblImps[[#This Row],[algorithm]]),0,TblImps[[#This Row],[algorithm]]*1)</f>
        <v>0</v>
      </c>
      <c r="N136" s="96">
        <f ca="1">TblImps[[#This Row],[Land]]</f>
        <v>250</v>
      </c>
      <c r="O136" s="307" t="s">
        <v>4</v>
      </c>
      <c r="P136" s="308"/>
      <c r="Q136" s="307" t="s">
        <v>210</v>
      </c>
      <c r="R136" s="307" t="s">
        <v>7</v>
      </c>
      <c r="S136" s="308"/>
      <c r="T136" s="307" t="s">
        <v>210</v>
      </c>
      <c r="U136" s="307" t="s">
        <v>3</v>
      </c>
      <c r="V136" s="308"/>
      <c r="W136" s="307" t="s">
        <v>210</v>
      </c>
      <c r="X136" s="144"/>
      <c r="Y136" s="309">
        <f ca="1">science_cap*(1-EXP(-TblImps[[#This Row],[Σ Science]]/(science_param*(OFFSET(TblImps[[#This Row],[Land]],1,0)-OFFSET(TblExplore[[#This Row],[Land Bonus]],1,0)*20)+15000)))*(1+(mason_bonus*TblConstr[[#This Row],[Tot Mas]]/TblConstr[[#This Row],[Land (2)]]))</f>
        <v>0</v>
      </c>
      <c r="Z136" s="309">
        <f ca="1">keep_cap*(1-EXP(-TblImps[[#This Row],[Σ Keep]]/(keep_param*(OFFSET(TblImps[[#This Row],[Land]],1,0)-OFFSET(TblExplore[[#This Row],[Land Bonus]],1,0)*20)+15000)))*(1+(mason_bonus*TblConstr[[#This Row],[Tot Mas]]/TblConstr[[#This Row],[Land (2)]]))</f>
        <v>0</v>
      </c>
      <c r="AA136" s="309">
        <f ca="1">harbor_towers_cap*(1-EXP(-TblImps[[#This Row],[Σ Spires]]/(towers_param*(OFFSET(TblImps[[#This Row],[Land]],1,0)-OFFSET(TblExplore[[#This Row],[Land Bonus]],1,0)*20)+15000)))*(1+(mason_bonus*TblConstr[[#This Row],[Tot Mas]]/TblConstr[[#This Row],[Land (2)]]))</f>
        <v>0</v>
      </c>
      <c r="AB136" s="309">
        <f ca="1">walls_forges_cap*(1-EXP(-TblImps[[#This Row],[Σ Forges]]/(walls_forges_param*(OFFSET(TblImps[[#This Row],[Land]],1,0)-OFFSET(TblExplore[[#This Row],[Land Bonus]],1,0)*20)+15000)))*(1+(mason_bonus*TblConstr[[#This Row],[Tot Mas]]/TblConstr[[#This Row],[Land (2)]]))</f>
        <v>0</v>
      </c>
      <c r="AC136" s="309">
        <f ca="1">walls_forges_cap*(1-EXP(-TblImps[[#This Row],[Σ Walls]]/(walls_forges_param*(OFFSET(TblImps[[#This Row],[Land]],1,0)-OFFSET(TblExplore[[#This Row],[Land Bonus]],1,0)*20)+15000)))*(1+(mason_bonus*TblConstr[[#This Row],[Tot Mas]]/TblConstr[[#This Row],[Land (2)]]))</f>
        <v>0</v>
      </c>
      <c r="AD136" s="30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315">
        <f ca="1">OFFSET(TblImps[[#This Row],[Real time]],-1,0)+1/24</f>
        <v>45737.49999999968</v>
      </c>
      <c r="BZ136" s="316">
        <f ca="1">OFFSET(TblImps[[#This Row],[Servertime]],-1,0)+1/24</f>
        <v>45737.49999999968</v>
      </c>
      <c r="CA136" s="57"/>
      <c r="CB136" s="314"/>
      <c r="CC136" s="314"/>
    </row>
    <row r="1269" spans="2:23" x14ac:dyDescent="0.2">
      <c r="B1269" s="500" t="s">
        <v>314</v>
      </c>
      <c r="C1269" s="453"/>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996</v>
      </c>
      <c r="D2" s="41" t="s">
        <v>929</v>
      </c>
      <c r="E2" s="41" t="s">
        <v>998</v>
      </c>
    </row>
    <row r="3" spans="2:5" ht="15.75" x14ac:dyDescent="0.25">
      <c r="B3" s="40" t="s">
        <v>975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981</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986</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987</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989</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990</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992</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995</v>
      </c>
      <c r="C23" s="40" t="s">
        <v>997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topLeftCell="A112" zoomScale="70" zoomScaleNormal="70" workbookViewId="0">
      <selection activeCell="E173" sqref="E173"/>
    </sheetView>
  </sheetViews>
  <sheetFormatPr defaultColWidth="9.140625" defaultRowHeight="12.75" x14ac:dyDescent="0.2"/>
  <cols>
    <col min="1" max="1" width="26.42578125" style="328"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7" t="s">
        <v>43</v>
      </c>
    </row>
    <row r="3" spans="1:6" x14ac:dyDescent="0.2">
      <c r="A3" s="328" t="s">
        <v>49</v>
      </c>
    </row>
    <row r="4" spans="1:6" x14ac:dyDescent="0.2">
      <c r="A4" s="328" t="s">
        <v>44</v>
      </c>
      <c r="B4" s="45">
        <v>45</v>
      </c>
      <c r="C4" s="45" t="s">
        <v>6</v>
      </c>
    </row>
    <row r="5" spans="1:6" x14ac:dyDescent="0.2">
      <c r="A5" s="328" t="s">
        <v>51</v>
      </c>
      <c r="B5" s="45">
        <v>80</v>
      </c>
      <c r="C5" s="45" t="s">
        <v>9</v>
      </c>
    </row>
    <row r="6" spans="1:6" x14ac:dyDescent="0.2">
      <c r="A6" s="328" t="s">
        <v>45</v>
      </c>
      <c r="B6" s="45">
        <v>50</v>
      </c>
      <c r="C6" s="45" t="s">
        <v>8</v>
      </c>
    </row>
    <row r="7" spans="1:6" x14ac:dyDescent="0.2">
      <c r="A7" s="328" t="s">
        <v>47</v>
      </c>
      <c r="B7" s="45">
        <v>60</v>
      </c>
      <c r="C7" s="45" t="s">
        <v>10</v>
      </c>
    </row>
    <row r="8" spans="1:6" x14ac:dyDescent="0.2">
      <c r="A8" s="328" t="s">
        <v>48</v>
      </c>
      <c r="B8" s="45">
        <v>15</v>
      </c>
      <c r="C8" s="45" t="s">
        <v>11</v>
      </c>
    </row>
    <row r="9" spans="1:6" x14ac:dyDescent="0.2">
      <c r="A9" s="328" t="s">
        <v>52</v>
      </c>
      <c r="B9" s="45">
        <v>25</v>
      </c>
      <c r="C9" s="45" t="s">
        <v>13</v>
      </c>
    </row>
    <row r="10" spans="1:6" x14ac:dyDescent="0.2">
      <c r="A10" s="328" t="s">
        <v>46</v>
      </c>
      <c r="B10" s="45">
        <v>0.05</v>
      </c>
      <c r="C10" s="45" t="s">
        <v>50</v>
      </c>
      <c r="D10" s="45">
        <v>40</v>
      </c>
      <c r="E10" s="45" t="s">
        <v>9</v>
      </c>
    </row>
    <row r="11" spans="1:6" x14ac:dyDescent="0.2">
      <c r="A11" s="328" t="s">
        <v>534</v>
      </c>
      <c r="B11" s="45">
        <v>25</v>
      </c>
      <c r="C11" s="45" t="s">
        <v>8</v>
      </c>
    </row>
    <row r="12" spans="1:6" x14ac:dyDescent="0.2">
      <c r="A12" s="328" t="s">
        <v>67</v>
      </c>
      <c r="B12" s="265">
        <v>1.6</v>
      </c>
      <c r="C12" s="45" t="s">
        <v>509</v>
      </c>
      <c r="D12" s="158">
        <v>0.32</v>
      </c>
      <c r="E12" s="45" t="s">
        <v>435</v>
      </c>
    </row>
    <row r="13" spans="1:6" x14ac:dyDescent="0.2">
      <c r="A13" s="328" t="s">
        <v>65</v>
      </c>
      <c r="B13" s="265">
        <v>1.6</v>
      </c>
      <c r="C13" s="45" t="s">
        <v>510</v>
      </c>
      <c r="D13" s="158">
        <v>0.32</v>
      </c>
      <c r="E13" s="45" t="s">
        <v>435</v>
      </c>
    </row>
    <row r="14" spans="1:6" x14ac:dyDescent="0.2">
      <c r="A14" s="328" t="s">
        <v>479</v>
      </c>
      <c r="B14" s="45">
        <v>0</v>
      </c>
      <c r="C14" s="45" t="s">
        <v>480</v>
      </c>
      <c r="D14" s="329"/>
      <c r="F14" s="158"/>
    </row>
    <row r="15" spans="1:6" x14ac:dyDescent="0.2">
      <c r="B15" s="45">
        <v>3.5</v>
      </c>
      <c r="C15" s="45" t="s">
        <v>481</v>
      </c>
      <c r="D15" s="330">
        <v>0.35</v>
      </c>
      <c r="E15" s="45" t="s">
        <v>435</v>
      </c>
      <c r="F15" s="158"/>
    </row>
    <row r="16" spans="1:6" x14ac:dyDescent="0.2">
      <c r="A16" s="328" t="s">
        <v>476</v>
      </c>
      <c r="B16" s="45">
        <v>0</v>
      </c>
      <c r="C16" s="45" t="s">
        <v>483</v>
      </c>
      <c r="D16" s="330">
        <v>0</v>
      </c>
      <c r="E16" s="45" t="s">
        <v>435</v>
      </c>
      <c r="F16" s="158"/>
    </row>
    <row r="17" spans="1:19" x14ac:dyDescent="0.2">
      <c r="B17" s="45">
        <v>3.5</v>
      </c>
      <c r="C17" s="45" t="s">
        <v>482</v>
      </c>
      <c r="D17" s="330">
        <v>0.35</v>
      </c>
      <c r="E17" s="45" t="s">
        <v>435</v>
      </c>
      <c r="F17" s="158"/>
    </row>
    <row r="18" spans="1:19" x14ac:dyDescent="0.2">
      <c r="B18" s="45">
        <v>5</v>
      </c>
      <c r="C18" s="45" t="s">
        <v>13</v>
      </c>
      <c r="D18" s="330"/>
      <c r="F18" s="158"/>
    </row>
    <row r="19" spans="1:19" x14ac:dyDescent="0.2">
      <c r="A19" s="328" t="s">
        <v>183</v>
      </c>
      <c r="B19" s="45">
        <v>2</v>
      </c>
      <c r="C19" s="45" t="s">
        <v>436</v>
      </c>
      <c r="D19" s="158">
        <v>0.36</v>
      </c>
      <c r="E19" s="45" t="s">
        <v>435</v>
      </c>
    </row>
    <row r="20" spans="1:19" x14ac:dyDescent="0.2">
      <c r="A20" s="328" t="s">
        <v>451</v>
      </c>
      <c r="B20" s="45">
        <v>2.6</v>
      </c>
      <c r="C20" s="45" t="s">
        <v>484</v>
      </c>
    </row>
    <row r="21" spans="1:19" x14ac:dyDescent="0.2">
      <c r="A21" s="328" t="s">
        <v>452</v>
      </c>
      <c r="B21" s="331">
        <v>5</v>
      </c>
      <c r="C21" s="45" t="s">
        <v>453</v>
      </c>
      <c r="D21" s="158">
        <v>0.5</v>
      </c>
      <c r="E21" s="45" t="s">
        <v>435</v>
      </c>
    </row>
    <row r="22" spans="1:19" x14ac:dyDescent="0.2">
      <c r="B22" s="331">
        <v>5</v>
      </c>
      <c r="C22" s="45" t="s">
        <v>454</v>
      </c>
      <c r="D22" s="158">
        <v>0.5</v>
      </c>
      <c r="E22" s="45" t="s">
        <v>435</v>
      </c>
    </row>
    <row r="23" spans="1:19" x14ac:dyDescent="0.2">
      <c r="A23" s="328" t="s">
        <v>1063</v>
      </c>
      <c r="B23" s="331"/>
      <c r="C23" s="45" t="s">
        <v>1064</v>
      </c>
      <c r="D23" s="158">
        <v>0.5</v>
      </c>
      <c r="E23" s="45" t="s">
        <v>435</v>
      </c>
    </row>
    <row r="24" spans="1:19" x14ac:dyDescent="0.2">
      <c r="A24" s="327" t="s">
        <v>80</v>
      </c>
    </row>
    <row r="25" spans="1:19" x14ac:dyDescent="0.2">
      <c r="A25" s="332" t="s">
        <v>72</v>
      </c>
      <c r="B25" s="332" t="s">
        <v>71</v>
      </c>
      <c r="C25" s="332" t="s">
        <v>70</v>
      </c>
      <c r="D25" s="332" t="s">
        <v>69</v>
      </c>
      <c r="E25" s="332" t="s">
        <v>68</v>
      </c>
      <c r="F25" s="333" t="s">
        <v>63</v>
      </c>
      <c r="G25" s="333" t="s">
        <v>346</v>
      </c>
      <c r="H25" s="334" t="s">
        <v>64</v>
      </c>
      <c r="I25" s="334" t="s">
        <v>65</v>
      </c>
      <c r="J25" s="335" t="s">
        <v>66</v>
      </c>
      <c r="K25" s="335" t="s">
        <v>67</v>
      </c>
      <c r="L25" s="335" t="s">
        <v>348</v>
      </c>
      <c r="M25" s="336" t="s">
        <v>351</v>
      </c>
      <c r="N25" s="337" t="s">
        <v>74</v>
      </c>
      <c r="O25" s="337" t="s">
        <v>349</v>
      </c>
      <c r="P25" s="337" t="s">
        <v>507</v>
      </c>
      <c r="Q25" s="338" t="s">
        <v>75</v>
      </c>
      <c r="R25" s="338" t="s">
        <v>369</v>
      </c>
      <c r="S25" s="339" t="s">
        <v>76</v>
      </c>
    </row>
    <row r="26" spans="1:19" x14ac:dyDescent="0.2">
      <c r="A26" s="328">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7" t="s">
        <v>79</v>
      </c>
    </row>
    <row r="29" spans="1:19" x14ac:dyDescent="0.2">
      <c r="A29" s="340" t="s">
        <v>55</v>
      </c>
      <c r="B29" s="333" t="s">
        <v>58</v>
      </c>
      <c r="C29" s="334" t="s">
        <v>176</v>
      </c>
      <c r="D29" s="336" t="s">
        <v>59</v>
      </c>
      <c r="E29" s="337" t="s">
        <v>60</v>
      </c>
      <c r="F29" s="338" t="s">
        <v>61</v>
      </c>
      <c r="G29" s="339" t="s">
        <v>62</v>
      </c>
    </row>
    <row r="30" spans="1:19" s="5" customFormat="1" x14ac:dyDescent="0.2">
      <c r="A30" s="328">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7" t="s">
        <v>83</v>
      </c>
      <c r="B32" s="5"/>
      <c r="C32" s="5"/>
      <c r="D32" s="5" t="s">
        <v>233</v>
      </c>
      <c r="E32" s="5"/>
      <c r="F32" s="5"/>
      <c r="G32" s="5"/>
      <c r="H32" s="5"/>
      <c r="I32" s="5"/>
      <c r="J32" s="5"/>
      <c r="K32" s="5"/>
      <c r="L32" s="5" t="s">
        <v>393</v>
      </c>
      <c r="M32" s="5"/>
      <c r="N32" s="5"/>
      <c r="O32" s="5"/>
      <c r="P32" s="5"/>
      <c r="Q32" s="5"/>
      <c r="R32" s="5"/>
      <c r="S32" s="5"/>
    </row>
    <row r="33" spans="1:16" x14ac:dyDescent="0.2">
      <c r="A33" s="328"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28" t="s">
        <v>24</v>
      </c>
      <c r="B34" s="45">
        <v>100</v>
      </c>
      <c r="D34" s="45" t="s">
        <v>21</v>
      </c>
      <c r="E34" s="96">
        <v>1300</v>
      </c>
      <c r="F34" s="96">
        <v>1390</v>
      </c>
      <c r="G34" s="96">
        <v>1480</v>
      </c>
      <c r="H34" s="96">
        <v>1570</v>
      </c>
      <c r="I34" s="96">
        <v>1660</v>
      </c>
      <c r="J34" s="96">
        <v>1750</v>
      </c>
      <c r="K34" s="96"/>
      <c r="M34" s="158">
        <v>0.05</v>
      </c>
      <c r="N34" s="45" t="s">
        <v>395</v>
      </c>
    </row>
    <row r="35" spans="1:16" x14ac:dyDescent="0.2">
      <c r="A35" s="328"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28" t="str">
        <f>Overview!$A23</f>
        <v>Archer</v>
      </c>
      <c r="B36" s="45">
        <v>150</v>
      </c>
      <c r="D36" s="45" t="s">
        <v>5</v>
      </c>
      <c r="E36" s="96">
        <v>15000</v>
      </c>
      <c r="F36" s="96">
        <v>16000</v>
      </c>
      <c r="G36" s="96">
        <v>17000</v>
      </c>
      <c r="H36" s="96">
        <v>18000</v>
      </c>
      <c r="I36" s="96">
        <v>19000</v>
      </c>
      <c r="J36" s="96">
        <v>20000</v>
      </c>
      <c r="L36" s="45" t="s">
        <v>175</v>
      </c>
      <c r="M36" s="158">
        <v>-0.05</v>
      </c>
      <c r="N36" s="45" t="s">
        <v>397</v>
      </c>
    </row>
    <row r="37" spans="1:16" x14ac:dyDescent="0.2">
      <c r="A37" s="328"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28" t="str">
        <f>Overview!$A25</f>
        <v>Cavalry</v>
      </c>
      <c r="B38" s="45">
        <v>0</v>
      </c>
      <c r="M38" s="158">
        <v>-0.1</v>
      </c>
      <c r="N38" s="45" t="s">
        <v>397</v>
      </c>
      <c r="O38" s="45">
        <v>-2</v>
      </c>
      <c r="P38" s="45" t="s">
        <v>398</v>
      </c>
    </row>
    <row r="39" spans="1:16" x14ac:dyDescent="0.2">
      <c r="A39" s="328" t="s">
        <v>25</v>
      </c>
      <c r="B39" s="45">
        <v>25</v>
      </c>
      <c r="D39" s="45" t="s">
        <v>368</v>
      </c>
      <c r="E39" s="96">
        <v>1</v>
      </c>
      <c r="F39" s="45">
        <v>2</v>
      </c>
      <c r="G39" s="45">
        <v>3</v>
      </c>
      <c r="H39" s="45">
        <v>4</v>
      </c>
      <c r="I39" s="45">
        <v>5</v>
      </c>
      <c r="J39" s="45">
        <v>6</v>
      </c>
      <c r="L39" s="45" t="s">
        <v>277</v>
      </c>
      <c r="M39" s="158">
        <v>-0.1</v>
      </c>
      <c r="N39" s="45" t="s">
        <v>399</v>
      </c>
    </row>
    <row r="40" spans="1:16" x14ac:dyDescent="0.2">
      <c r="A40" s="328" t="s">
        <v>1081</v>
      </c>
      <c r="B40" s="45">
        <v>0</v>
      </c>
      <c r="D40" s="45" t="s">
        <v>21</v>
      </c>
      <c r="E40" s="45">
        <v>1200</v>
      </c>
      <c r="F40" s="45">
        <v>1325</v>
      </c>
      <c r="G40" s="45">
        <v>1450</v>
      </c>
      <c r="H40" s="45">
        <v>1575</v>
      </c>
      <c r="I40" s="45">
        <v>1700</v>
      </c>
      <c r="J40" s="45">
        <v>1825</v>
      </c>
      <c r="M40" s="158">
        <v>-0.1</v>
      </c>
      <c r="N40" s="45" t="s">
        <v>400</v>
      </c>
    </row>
    <row r="41" spans="1:16" x14ac:dyDescent="0.2">
      <c r="A41" s="328" t="s">
        <v>26</v>
      </c>
      <c r="B41" s="45">
        <v>25</v>
      </c>
      <c r="D41" s="45" t="s">
        <v>2</v>
      </c>
      <c r="E41" s="45">
        <v>100000</v>
      </c>
      <c r="F41" s="45">
        <v>104750</v>
      </c>
      <c r="G41" s="45">
        <v>109500</v>
      </c>
      <c r="H41" s="45">
        <v>114250</v>
      </c>
      <c r="I41" s="45">
        <v>119000</v>
      </c>
      <c r="J41" s="45">
        <v>123750</v>
      </c>
      <c r="M41" s="158">
        <v>0.02</v>
      </c>
      <c r="N41" s="45" t="s">
        <v>401</v>
      </c>
    </row>
    <row r="42" spans="1:16" x14ac:dyDescent="0.2">
      <c r="A42" s="328"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27" t="s">
        <v>78</v>
      </c>
      <c r="C44" s="96"/>
      <c r="M44" s="158">
        <v>0.05</v>
      </c>
      <c r="N44" s="45" t="s">
        <v>292</v>
      </c>
    </row>
    <row r="45" spans="1:16" x14ac:dyDescent="0.2">
      <c r="A45" s="328" t="s">
        <v>2</v>
      </c>
      <c r="B45" s="96">
        <f>HLOOKUP(1,E33:J37,3)</f>
        <v>100000</v>
      </c>
      <c r="C45" s="96"/>
      <c r="D45" s="45" t="s">
        <v>439</v>
      </c>
      <c r="L45" s="45" t="s">
        <v>73</v>
      </c>
      <c r="M45" s="158">
        <v>-0.1</v>
      </c>
      <c r="N45" s="45" t="s">
        <v>404</v>
      </c>
    </row>
    <row r="46" spans="1:16" x14ac:dyDescent="0.2">
      <c r="A46" s="328" t="s">
        <v>5</v>
      </c>
      <c r="B46" s="96">
        <f>HLOOKUP(1,E33:J37,4)</f>
        <v>15000</v>
      </c>
      <c r="C46" s="96"/>
      <c r="D46" s="45" t="s">
        <v>21</v>
      </c>
      <c r="E46" s="45">
        <v>100</v>
      </c>
      <c r="M46" s="158">
        <v>-0.2</v>
      </c>
      <c r="N46" s="45" t="s">
        <v>405</v>
      </c>
    </row>
    <row r="47" spans="1:16" x14ac:dyDescent="0.2">
      <c r="A47" s="328" t="s">
        <v>81</v>
      </c>
      <c r="B47" s="96">
        <f>HLOOKUP(1,E33:J37,5)</f>
        <v>15000</v>
      </c>
      <c r="C47" s="96"/>
      <c r="D47" s="45" t="s">
        <v>2</v>
      </c>
      <c r="E47" s="45">
        <v>5000</v>
      </c>
      <c r="M47" s="45">
        <v>1</v>
      </c>
      <c r="N47" s="45" t="s">
        <v>406</v>
      </c>
    </row>
    <row r="48" spans="1:16" x14ac:dyDescent="0.2">
      <c r="A48" s="328" t="s">
        <v>12</v>
      </c>
      <c r="B48" s="96">
        <v>0</v>
      </c>
      <c r="C48" s="96"/>
      <c r="D48" s="45" t="s">
        <v>5</v>
      </c>
      <c r="E48" s="45">
        <v>1500</v>
      </c>
      <c r="L48" s="45" t="s">
        <v>181</v>
      </c>
      <c r="M48" s="158">
        <v>-0.1</v>
      </c>
      <c r="N48" s="45" t="s">
        <v>407</v>
      </c>
    </row>
    <row r="49" spans="1:21" x14ac:dyDescent="0.2">
      <c r="A49" s="328" t="s">
        <v>3</v>
      </c>
      <c r="B49" s="96">
        <v>0</v>
      </c>
      <c r="C49" s="96"/>
      <c r="D49" s="45" t="s">
        <v>7</v>
      </c>
      <c r="E49" s="45">
        <v>2500</v>
      </c>
      <c r="M49" s="158">
        <v>-0.2</v>
      </c>
      <c r="N49" s="45" t="s">
        <v>408</v>
      </c>
    </row>
    <row r="50" spans="1:21" x14ac:dyDescent="0.2">
      <c r="A50" s="328" t="s">
        <v>4</v>
      </c>
      <c r="B50" s="96">
        <v>10000</v>
      </c>
      <c r="C50" s="96"/>
      <c r="D50" s="45" t="s">
        <v>3</v>
      </c>
      <c r="E50" s="45">
        <v>2500</v>
      </c>
      <c r="M50" s="45">
        <v>1</v>
      </c>
      <c r="N50" s="45" t="s">
        <v>409</v>
      </c>
    </row>
    <row r="51" spans="1:21" x14ac:dyDescent="0.2">
      <c r="A51" s="328"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27" t="s">
        <v>86</v>
      </c>
      <c r="D53" s="45" t="s">
        <v>441</v>
      </c>
      <c r="E53" s="45">
        <v>30</v>
      </c>
      <c r="L53" s="45" t="s">
        <v>386</v>
      </c>
      <c r="M53" s="159">
        <v>0.06</v>
      </c>
      <c r="N53" s="45" t="s">
        <v>401</v>
      </c>
    </row>
    <row r="54" spans="1:21" x14ac:dyDescent="0.2">
      <c r="A54" s="328" t="s">
        <v>21</v>
      </c>
      <c r="B54" s="341">
        <v>0.03</v>
      </c>
      <c r="L54" s="45" t="s">
        <v>387</v>
      </c>
      <c r="M54" s="120">
        <v>0.125</v>
      </c>
      <c r="N54" s="45" t="s">
        <v>396</v>
      </c>
    </row>
    <row r="55" spans="1:21" x14ac:dyDescent="0.2">
      <c r="A55" s="328" t="s">
        <v>24</v>
      </c>
      <c r="B55" s="341">
        <v>0.01</v>
      </c>
      <c r="L55" s="45" t="s">
        <v>388</v>
      </c>
      <c r="M55" s="158">
        <v>-0.3</v>
      </c>
      <c r="N55" s="45" t="s">
        <v>412</v>
      </c>
    </row>
    <row r="56" spans="1:21" x14ac:dyDescent="0.2">
      <c r="A56" s="328" t="s">
        <v>14</v>
      </c>
      <c r="B56" s="341">
        <v>0.01</v>
      </c>
      <c r="L56" s="45" t="s">
        <v>389</v>
      </c>
      <c r="M56" s="158">
        <v>-0.2</v>
      </c>
      <c r="N56" s="45" t="s">
        <v>397</v>
      </c>
      <c r="O56" s="158">
        <v>0.15</v>
      </c>
      <c r="P56" s="45" t="s">
        <v>413</v>
      </c>
    </row>
    <row r="57" spans="1:21" x14ac:dyDescent="0.2">
      <c r="A57" s="328" t="s">
        <v>16</v>
      </c>
      <c r="B57" s="341">
        <v>0.01</v>
      </c>
      <c r="L57" s="45" t="s">
        <v>390</v>
      </c>
      <c r="M57" s="158">
        <v>-0.25</v>
      </c>
      <c r="N57" s="45" t="s">
        <v>414</v>
      </c>
    </row>
    <row r="58" spans="1:21" x14ac:dyDescent="0.2">
      <c r="A58" s="328" t="s">
        <v>15</v>
      </c>
      <c r="B58" s="341">
        <v>0.02</v>
      </c>
      <c r="L58" s="45" t="s">
        <v>391</v>
      </c>
      <c r="M58" s="158">
        <v>0.1</v>
      </c>
      <c r="N58" s="45" t="s">
        <v>292</v>
      </c>
      <c r="O58" s="158">
        <v>0.15</v>
      </c>
      <c r="P58" s="45" t="s">
        <v>415</v>
      </c>
    </row>
    <row r="59" spans="1:21" x14ac:dyDescent="0.2">
      <c r="L59" s="45" t="s">
        <v>392</v>
      </c>
      <c r="M59" s="45">
        <v>3</v>
      </c>
      <c r="N59" s="45" t="s">
        <v>416</v>
      </c>
    </row>
    <row r="60" spans="1:21" x14ac:dyDescent="0.2">
      <c r="A60" s="328" t="s">
        <v>87</v>
      </c>
      <c r="B60" s="45">
        <v>0.25</v>
      </c>
      <c r="C60" s="45" t="s">
        <v>88</v>
      </c>
      <c r="U60" s="159"/>
    </row>
    <row r="61" spans="1:21" x14ac:dyDescent="0.2">
      <c r="A61" s="328" t="s">
        <v>165</v>
      </c>
      <c r="B61" s="45">
        <v>2.7</v>
      </c>
      <c r="C61" s="45" t="s">
        <v>166</v>
      </c>
      <c r="T61" s="110"/>
      <c r="U61" s="159"/>
    </row>
    <row r="62" spans="1:21" x14ac:dyDescent="0.2">
      <c r="L62" s="45" t="s">
        <v>33</v>
      </c>
      <c r="M62" s="45">
        <v>6.4</v>
      </c>
      <c r="N62" s="45" t="s">
        <v>469</v>
      </c>
      <c r="U62" s="159"/>
    </row>
    <row r="63" spans="1:21" x14ac:dyDescent="0.2">
      <c r="A63" s="327" t="s">
        <v>168</v>
      </c>
    </row>
    <row r="64" spans="1:21" x14ac:dyDescent="0.2">
      <c r="A64" s="328" t="s">
        <v>343</v>
      </c>
      <c r="B64" s="45">
        <v>36</v>
      </c>
      <c r="C64" s="45" t="s">
        <v>344</v>
      </c>
      <c r="D64" s="45" t="s">
        <v>345</v>
      </c>
      <c r="L64" s="45" t="s">
        <v>468</v>
      </c>
      <c r="M64" s="45">
        <v>3780</v>
      </c>
      <c r="U64" s="158"/>
    </row>
    <row r="65" spans="1:21" x14ac:dyDescent="0.2">
      <c r="A65" s="328" t="s">
        <v>170</v>
      </c>
      <c r="B65" s="45">
        <v>30</v>
      </c>
      <c r="C65" s="45" t="s">
        <v>268</v>
      </c>
    </row>
    <row r="66" spans="1:21" x14ac:dyDescent="0.2">
      <c r="A66" s="328" t="s">
        <v>475</v>
      </c>
      <c r="B66" s="45">
        <v>15</v>
      </c>
      <c r="C66" s="45" t="s">
        <v>268</v>
      </c>
      <c r="L66" s="5" t="s">
        <v>625</v>
      </c>
      <c r="U66" s="158"/>
    </row>
    <row r="67" spans="1:21" x14ac:dyDescent="0.2">
      <c r="A67" s="328" t="s">
        <v>347</v>
      </c>
      <c r="B67" s="45">
        <v>15</v>
      </c>
      <c r="C67" s="45" t="s">
        <v>268</v>
      </c>
      <c r="L67" s="110" t="s">
        <v>536</v>
      </c>
      <c r="M67" s="433">
        <v>2.5000000000000001E-2</v>
      </c>
      <c r="N67" s="45" t="s">
        <v>630</v>
      </c>
      <c r="S67" s="45" t="s">
        <v>678</v>
      </c>
      <c r="U67" s="158"/>
    </row>
    <row r="68" spans="1:21" x14ac:dyDescent="0.2">
      <c r="A68" s="328" t="s">
        <v>169</v>
      </c>
      <c r="B68" s="45">
        <v>15</v>
      </c>
      <c r="C68" s="45" t="str">
        <f>C65</f>
        <v>peasants</v>
      </c>
      <c r="L68" s="110" t="s">
        <v>538</v>
      </c>
      <c r="M68" s="433">
        <v>0.05</v>
      </c>
      <c r="N68" s="45" t="s">
        <v>631</v>
      </c>
      <c r="S68" s="45" t="s">
        <v>679</v>
      </c>
    </row>
    <row r="69" spans="1:21" x14ac:dyDescent="0.2">
      <c r="A69" s="328" t="s">
        <v>269</v>
      </c>
      <c r="B69" s="45">
        <f>IF(OR(Overview!$B$14="Halfling",Overview!$B$14="Dwarf",Overview!$B$14="Gnome"),10,IF(race="Nomad",25,5))</f>
        <v>5</v>
      </c>
      <c r="L69" s="45" t="s">
        <v>539</v>
      </c>
      <c r="M69" s="2">
        <v>0.05</v>
      </c>
      <c r="N69" s="45" t="s">
        <v>632</v>
      </c>
      <c r="S69" s="45" t="s">
        <v>680</v>
      </c>
    </row>
    <row r="70" spans="1:21" x14ac:dyDescent="0.2">
      <c r="L70" s="45" t="s">
        <v>541</v>
      </c>
      <c r="M70" s="433">
        <v>7.4999999999999997E-2</v>
      </c>
      <c r="N70" s="45" t="s">
        <v>630</v>
      </c>
      <c r="S70" s="45" t="s">
        <v>681</v>
      </c>
      <c r="T70" s="110"/>
      <c r="U70" s="159"/>
    </row>
    <row r="71" spans="1:21" x14ac:dyDescent="0.2">
      <c r="A71" s="342" t="s">
        <v>270</v>
      </c>
      <c r="L71" s="45" t="s">
        <v>543</v>
      </c>
      <c r="M71" s="433">
        <v>0.02</v>
      </c>
      <c r="N71" s="45" t="s">
        <v>633</v>
      </c>
      <c r="S71" s="45" t="s">
        <v>682</v>
      </c>
      <c r="U71" s="159"/>
    </row>
    <row r="72" spans="1:21" x14ac:dyDescent="0.2">
      <c r="A72" s="328"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27" t="s">
        <v>201</v>
      </c>
      <c r="B74" s="45" t="s">
        <v>271</v>
      </c>
      <c r="F74" s="45" t="s">
        <v>206</v>
      </c>
      <c r="L74" s="45" t="s">
        <v>546</v>
      </c>
      <c r="M74" s="2">
        <v>-0.1</v>
      </c>
      <c r="N74" s="45" t="s">
        <v>665</v>
      </c>
      <c r="O74" s="45" t="s">
        <v>636</v>
      </c>
      <c r="S74" s="110" t="s">
        <v>685</v>
      </c>
      <c r="T74" s="110"/>
      <c r="U74" s="158"/>
    </row>
    <row r="75" spans="1:21" x14ac:dyDescent="0.2">
      <c r="A75" s="328" t="s">
        <v>196</v>
      </c>
      <c r="B75" s="45">
        <v>2</v>
      </c>
      <c r="C75" s="45" t="s">
        <v>202</v>
      </c>
      <c r="D75" s="341"/>
      <c r="F75" s="341">
        <v>0.1</v>
      </c>
      <c r="G75" s="45" t="s">
        <v>107</v>
      </c>
      <c r="L75" s="45" t="s">
        <v>547</v>
      </c>
      <c r="M75" s="2">
        <v>-0.05</v>
      </c>
      <c r="N75" s="45" t="s">
        <v>672</v>
      </c>
      <c r="O75" s="158">
        <v>-0.15</v>
      </c>
      <c r="P75" s="45" t="s">
        <v>650</v>
      </c>
      <c r="S75" s="110" t="s">
        <v>703</v>
      </c>
      <c r="T75" s="110"/>
      <c r="U75" s="159"/>
    </row>
    <row r="76" spans="1:21" x14ac:dyDescent="0.2">
      <c r="A76" s="328" t="s">
        <v>197</v>
      </c>
      <c r="B76" s="45">
        <v>2</v>
      </c>
      <c r="C76" s="45" t="s">
        <v>202</v>
      </c>
      <c r="D76" s="341"/>
      <c r="F76" s="341">
        <v>0.1</v>
      </c>
      <c r="G76" s="45" t="s">
        <v>110</v>
      </c>
      <c r="L76" s="45" t="s">
        <v>549</v>
      </c>
      <c r="M76" s="433">
        <v>-2.5000000000000001E-2</v>
      </c>
      <c r="N76" s="45" t="s">
        <v>637</v>
      </c>
      <c r="S76" s="110" t="s">
        <v>686</v>
      </c>
      <c r="T76" s="110"/>
      <c r="U76" s="158"/>
    </row>
    <row r="77" spans="1:21" x14ac:dyDescent="0.2">
      <c r="A77" s="328" t="s">
        <v>203</v>
      </c>
      <c r="B77" s="45">
        <v>2.5</v>
      </c>
      <c r="C77" s="45" t="s">
        <v>202</v>
      </c>
      <c r="D77" s="341"/>
      <c r="F77" s="341">
        <v>0.1</v>
      </c>
      <c r="G77" s="45" t="s">
        <v>32</v>
      </c>
      <c r="L77" s="45" t="s">
        <v>551</v>
      </c>
      <c r="M77" s="2">
        <v>-0.1</v>
      </c>
      <c r="N77" s="45" t="s">
        <v>748</v>
      </c>
      <c r="S77" s="110" t="s">
        <v>1056</v>
      </c>
      <c r="T77" s="110"/>
    </row>
    <row r="78" spans="1:21" x14ac:dyDescent="0.2">
      <c r="A78" s="328" t="s">
        <v>200</v>
      </c>
      <c r="B78" s="45">
        <v>2.5</v>
      </c>
      <c r="C78" s="45" t="s">
        <v>202</v>
      </c>
      <c r="D78" s="341"/>
      <c r="F78" s="341">
        <v>0.5</v>
      </c>
      <c r="G78" s="45" t="s">
        <v>207</v>
      </c>
      <c r="M78"/>
      <c r="S78" s="110"/>
      <c r="T78" s="110"/>
    </row>
    <row r="79" spans="1:21" x14ac:dyDescent="0.2">
      <c r="A79" s="328" t="s">
        <v>204</v>
      </c>
      <c r="B79" s="45">
        <v>2.5</v>
      </c>
      <c r="C79" s="45" t="s">
        <v>202</v>
      </c>
      <c r="D79" s="341"/>
      <c r="F79" s="341">
        <v>0.1</v>
      </c>
      <c r="G79" s="45" t="s">
        <v>106</v>
      </c>
      <c r="L79" s="45" t="s">
        <v>552</v>
      </c>
      <c r="M79" s="433">
        <v>-0.1</v>
      </c>
      <c r="N79" s="45" t="s">
        <v>639</v>
      </c>
      <c r="S79" s="110" t="s">
        <v>688</v>
      </c>
      <c r="T79" s="110"/>
      <c r="U79" s="159"/>
    </row>
    <row r="80" spans="1:21" x14ac:dyDescent="0.2">
      <c r="A80" s="328" t="s">
        <v>528</v>
      </c>
      <c r="B80" s="45">
        <v>5</v>
      </c>
      <c r="C80" s="45" t="s">
        <v>202</v>
      </c>
      <c r="D80" s="341"/>
      <c r="F80" s="341">
        <v>0.2</v>
      </c>
      <c r="G80" s="45" t="s">
        <v>110</v>
      </c>
      <c r="H80" s="45" t="s">
        <v>246</v>
      </c>
      <c r="L80" s="45" t="s">
        <v>553</v>
      </c>
      <c r="M80" s="2">
        <v>0.15</v>
      </c>
      <c r="N80" s="45" t="s">
        <v>640</v>
      </c>
      <c r="S80" s="110" t="s">
        <v>689</v>
      </c>
      <c r="T80" s="110"/>
      <c r="U80" s="158"/>
    </row>
    <row r="81" spans="1:23" x14ac:dyDescent="0.2">
      <c r="A81" s="328" t="s">
        <v>529</v>
      </c>
      <c r="B81" s="45">
        <v>5</v>
      </c>
      <c r="C81" s="45" t="s">
        <v>202</v>
      </c>
      <c r="D81" s="341"/>
      <c r="F81" s="341">
        <v>0.3</v>
      </c>
      <c r="G81" s="45" t="s">
        <v>530</v>
      </c>
      <c r="L81" s="45" t="s">
        <v>554</v>
      </c>
      <c r="M81" s="2">
        <v>-0.1</v>
      </c>
      <c r="N81" s="45" t="s">
        <v>641</v>
      </c>
      <c r="S81" s="110" t="s">
        <v>690</v>
      </c>
      <c r="T81" s="110"/>
      <c r="U81" s="158"/>
    </row>
    <row r="82" spans="1:23" x14ac:dyDescent="0.2">
      <c r="A82" s="328" t="s">
        <v>261</v>
      </c>
      <c r="B82" s="45">
        <f>B80</f>
        <v>5</v>
      </c>
      <c r="C82" s="45" t="str">
        <f>C80</f>
        <v>* Landsize</v>
      </c>
      <c r="D82" s="158"/>
      <c r="F82" s="341">
        <v>0</v>
      </c>
      <c r="G82" s="45" t="s">
        <v>32</v>
      </c>
      <c r="H82" s="45" t="s">
        <v>258</v>
      </c>
      <c r="L82" s="45" t="s">
        <v>556</v>
      </c>
      <c r="M82" s="2">
        <v>-0.2</v>
      </c>
      <c r="N82" s="45" t="s">
        <v>642</v>
      </c>
      <c r="O82" s="166">
        <v>0.1</v>
      </c>
      <c r="P82" s="5" t="s">
        <v>1089</v>
      </c>
      <c r="S82" s="110" t="s">
        <v>691</v>
      </c>
      <c r="T82" s="110"/>
      <c r="U82" s="158"/>
    </row>
    <row r="83" spans="1:23" x14ac:dyDescent="0.2">
      <c r="A83" s="328" t="s">
        <v>260</v>
      </c>
      <c r="B83" s="45">
        <f>B80</f>
        <v>5</v>
      </c>
      <c r="C83" s="45" t="str">
        <f>C80</f>
        <v>* Landsize</v>
      </c>
      <c r="D83" s="158"/>
      <c r="F83" s="341">
        <v>0.1</v>
      </c>
      <c r="G83" s="45" t="s">
        <v>31</v>
      </c>
      <c r="L83" s="45" t="s">
        <v>557</v>
      </c>
      <c r="M83" s="2">
        <v>0.01</v>
      </c>
      <c r="N83" s="45" t="s">
        <v>643</v>
      </c>
      <c r="O83" s="45" t="s">
        <v>636</v>
      </c>
      <c r="S83" s="110" t="s">
        <v>692</v>
      </c>
      <c r="T83" s="110"/>
      <c r="U83" s="158"/>
    </row>
    <row r="84" spans="1:23" x14ac:dyDescent="0.2">
      <c r="A84" s="328" t="s">
        <v>297</v>
      </c>
      <c r="B84" s="45">
        <v>5</v>
      </c>
      <c r="C84" s="45" t="str">
        <f t="shared" ref="C84:C91" si="0">C83</f>
        <v>* Landsize</v>
      </c>
      <c r="D84" s="158"/>
      <c r="F84" s="158">
        <v>0.2</v>
      </c>
      <c r="G84" s="45" t="s">
        <v>107</v>
      </c>
      <c r="H84" s="158">
        <v>0.1</v>
      </c>
      <c r="I84" s="45" t="s">
        <v>108</v>
      </c>
      <c r="L84" s="45" t="s">
        <v>558</v>
      </c>
      <c r="M84" s="447">
        <f>-2.5%/explore_tech_divisor</f>
        <v>-2.5000000000000001E-2</v>
      </c>
      <c r="N84" s="45" t="s">
        <v>635</v>
      </c>
      <c r="O84" s="159">
        <v>-0.05</v>
      </c>
      <c r="P84" s="45" t="s">
        <v>749</v>
      </c>
      <c r="S84" s="110" t="s">
        <v>684</v>
      </c>
      <c r="T84" s="110"/>
    </row>
    <row r="85" spans="1:23" x14ac:dyDescent="0.2">
      <c r="A85" s="328"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28"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28" t="s">
        <v>340</v>
      </c>
      <c r="B87" s="45">
        <v>5</v>
      </c>
      <c r="C87" s="343" t="str">
        <f t="shared" si="0"/>
        <v>* Landsize</v>
      </c>
      <c r="D87" s="158"/>
      <c r="F87" s="261">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28" t="s">
        <v>424</v>
      </c>
      <c r="B88" s="45">
        <v>5</v>
      </c>
      <c r="C88" s="45" t="str">
        <f t="shared" si="0"/>
        <v>* Landsize</v>
      </c>
      <c r="D88" s="158"/>
      <c r="F88" s="120">
        <v>0.05</v>
      </c>
      <c r="G88" s="45" t="s">
        <v>31</v>
      </c>
      <c r="L88" s="45" t="s">
        <v>564</v>
      </c>
      <c r="M88" s="433">
        <v>-2.5000000000000001E-2</v>
      </c>
      <c r="N88" s="45" t="s">
        <v>641</v>
      </c>
      <c r="S88" s="110" t="s">
        <v>697</v>
      </c>
      <c r="T88" s="110"/>
      <c r="U88" s="159"/>
    </row>
    <row r="89" spans="1:23" x14ac:dyDescent="0.2">
      <c r="A89" s="328" t="s">
        <v>1071</v>
      </c>
      <c r="B89" s="45">
        <v>5</v>
      </c>
      <c r="C89" s="45" t="str">
        <f t="shared" si="0"/>
        <v>* Landsize</v>
      </c>
      <c r="D89" s="120">
        <v>0.01</v>
      </c>
      <c r="E89" s="45" t="s">
        <v>357</v>
      </c>
      <c r="F89" s="158">
        <v>0.1</v>
      </c>
      <c r="G89" s="45" t="s">
        <v>1073</v>
      </c>
      <c r="M89"/>
      <c r="S89" s="110"/>
      <c r="T89" s="110"/>
    </row>
    <row r="90" spans="1:23" x14ac:dyDescent="0.2">
      <c r="A90" s="328" t="s">
        <v>1078</v>
      </c>
      <c r="B90" s="45">
        <v>5</v>
      </c>
      <c r="C90" s="45" t="str">
        <f t="shared" si="0"/>
        <v>* Landsize</v>
      </c>
      <c r="F90" s="158">
        <v>0.15</v>
      </c>
      <c r="G90" s="45" t="s">
        <v>106</v>
      </c>
      <c r="L90" s="45" t="s">
        <v>566</v>
      </c>
      <c r="M90" s="2">
        <v>0.05</v>
      </c>
      <c r="N90" s="45" t="s">
        <v>644</v>
      </c>
      <c r="S90" s="110" t="s">
        <v>698</v>
      </c>
      <c r="T90" s="110"/>
    </row>
    <row r="91" spans="1:23" x14ac:dyDescent="0.2">
      <c r="A91" s="328" t="s">
        <v>1138</v>
      </c>
      <c r="B91" s="45">
        <v>5</v>
      </c>
      <c r="C91" s="45" t="str">
        <f t="shared" si="0"/>
        <v>* Landsize</v>
      </c>
      <c r="F91" s="158">
        <v>-0.05</v>
      </c>
      <c r="G91" s="45" t="s">
        <v>106</v>
      </c>
      <c r="L91" s="45" t="s">
        <v>568</v>
      </c>
      <c r="M91" s="433">
        <v>2.5000000000000001E-2</v>
      </c>
      <c r="N91" s="45" t="s">
        <v>646</v>
      </c>
      <c r="S91" s="110" t="s">
        <v>699</v>
      </c>
      <c r="T91" s="110"/>
      <c r="U91" s="159"/>
    </row>
    <row r="92" spans="1:23" x14ac:dyDescent="0.2">
      <c r="F92" s="158">
        <v>0.05</v>
      </c>
      <c r="G92" s="45" t="s">
        <v>1140</v>
      </c>
      <c r="L92" s="45" t="s">
        <v>570</v>
      </c>
      <c r="M92" s="433">
        <v>7.4999999999999997E-2</v>
      </c>
      <c r="N92" s="45" t="s">
        <v>647</v>
      </c>
      <c r="O92" s="120">
        <v>0.25</v>
      </c>
      <c r="P92" s="45" t="s">
        <v>648</v>
      </c>
      <c r="S92" s="110" t="s">
        <v>700</v>
      </c>
      <c r="T92" s="110"/>
      <c r="U92" s="159"/>
      <c r="W92" s="158"/>
    </row>
    <row r="93" spans="1:23" x14ac:dyDescent="0.2">
      <c r="F93" s="45">
        <v>0.5</v>
      </c>
      <c r="G93" s="45" t="s">
        <v>1141</v>
      </c>
      <c r="L93" s="45" t="s">
        <v>571</v>
      </c>
      <c r="M93" s="433">
        <v>0.1</v>
      </c>
      <c r="N93" s="45" t="s">
        <v>631</v>
      </c>
      <c r="O93" s="158">
        <v>0.05</v>
      </c>
      <c r="P93" s="45" t="s">
        <v>649</v>
      </c>
      <c r="S93" s="110" t="s">
        <v>701</v>
      </c>
      <c r="T93" s="110"/>
      <c r="U93" s="159"/>
      <c r="W93" s="158"/>
    </row>
    <row r="94" spans="1:23" x14ac:dyDescent="0.2">
      <c r="L94" s="45" t="s">
        <v>572</v>
      </c>
      <c r="M94" s="433">
        <v>-1.7500000000000002E-2</v>
      </c>
      <c r="N94" s="45" t="s">
        <v>634</v>
      </c>
      <c r="S94" s="110" t="s">
        <v>683</v>
      </c>
      <c r="T94" s="110"/>
    </row>
    <row r="95" spans="1:23" x14ac:dyDescent="0.2">
      <c r="A95" s="327" t="s">
        <v>82</v>
      </c>
      <c r="L95" s="45" t="s">
        <v>573</v>
      </c>
      <c r="M95" s="433">
        <v>1.4999999999999999E-2</v>
      </c>
      <c r="N95" s="45" t="s">
        <v>645</v>
      </c>
      <c r="S95" s="110" t="s">
        <v>694</v>
      </c>
      <c r="T95" s="110"/>
      <c r="U95" s="158"/>
    </row>
    <row r="96" spans="1:23" x14ac:dyDescent="0.2">
      <c r="A96" s="328" t="s">
        <v>267</v>
      </c>
      <c r="B96" s="45">
        <f>30 + IF(race="Kobold",10,0) + IF(race="Nox",5,0) + IF(race="Undead",10,0)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1125</v>
      </c>
      <c r="S97" s="110" t="s">
        <v>1123</v>
      </c>
      <c r="T97" s="110"/>
      <c r="U97" s="158"/>
    </row>
    <row r="98" spans="1:23" x14ac:dyDescent="0.2">
      <c r="A98" s="327" t="s">
        <v>350</v>
      </c>
      <c r="L98" s="45" t="s">
        <v>576</v>
      </c>
      <c r="M98" s="2">
        <v>-0.1</v>
      </c>
      <c r="N98" s="45" t="s">
        <v>638</v>
      </c>
      <c r="S98" s="110" t="s">
        <v>687</v>
      </c>
      <c r="T98" s="110"/>
      <c r="U98" s="158"/>
      <c r="W98" s="158"/>
    </row>
    <row r="99" spans="1:23" x14ac:dyDescent="0.2">
      <c r="A99" s="328" t="s">
        <v>502</v>
      </c>
      <c r="B99" s="45">
        <v>250</v>
      </c>
      <c r="M99"/>
      <c r="S99" s="110"/>
      <c r="T99" s="110"/>
    </row>
    <row r="100" spans="1:23" x14ac:dyDescent="0.2">
      <c r="A100" s="328" t="s">
        <v>503</v>
      </c>
      <c r="B100" s="158">
        <v>0.01</v>
      </c>
      <c r="L100" s="45" t="s">
        <v>578</v>
      </c>
      <c r="M100" s="433">
        <v>0.125</v>
      </c>
      <c r="N100" s="45" t="s">
        <v>651</v>
      </c>
      <c r="S100" s="110" t="s">
        <v>704</v>
      </c>
      <c r="T100" s="110"/>
      <c r="U100" s="159"/>
    </row>
    <row r="101" spans="1:23" x14ac:dyDescent="0.2">
      <c r="A101" s="328" t="s">
        <v>504</v>
      </c>
      <c r="B101" s="158">
        <v>0.01</v>
      </c>
      <c r="L101" s="45" t="s">
        <v>579</v>
      </c>
      <c r="M101"/>
      <c r="N101" s="45" t="s">
        <v>626</v>
      </c>
      <c r="S101" s="110" t="s">
        <v>705</v>
      </c>
      <c r="T101" s="110"/>
    </row>
    <row r="102" spans="1:23" x14ac:dyDescent="0.2">
      <c r="A102" s="328" t="s">
        <v>505</v>
      </c>
      <c r="B102" s="158">
        <v>0.01</v>
      </c>
      <c r="L102" s="45" t="s">
        <v>580</v>
      </c>
      <c r="M102" s="433">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27" t="s">
        <v>455</v>
      </c>
      <c r="L104" s="45" t="s">
        <v>582</v>
      </c>
      <c r="M104">
        <v>2</v>
      </c>
      <c r="N104" s="45" t="s">
        <v>1088</v>
      </c>
      <c r="S104" s="110" t="s">
        <v>1055</v>
      </c>
      <c r="T104" s="110"/>
      <c r="U104" s="158"/>
    </row>
    <row r="105" spans="1:23" x14ac:dyDescent="0.2">
      <c r="L105" s="45" t="s">
        <v>583</v>
      </c>
      <c r="M105" s="433">
        <v>-0.1</v>
      </c>
      <c r="N105" s="45" t="s">
        <v>641</v>
      </c>
      <c r="S105" s="110" t="s">
        <v>709</v>
      </c>
      <c r="T105" s="110"/>
      <c r="U105" s="158"/>
    </row>
    <row r="106" spans="1:23" x14ac:dyDescent="0.2">
      <c r="A106" s="328" t="s">
        <v>456</v>
      </c>
      <c r="B106" s="45" t="s">
        <v>210</v>
      </c>
      <c r="D106" s="341">
        <v>0.3</v>
      </c>
      <c r="E106" s="45" t="s">
        <v>435</v>
      </c>
      <c r="L106" s="45" t="s">
        <v>585</v>
      </c>
      <c r="M106">
        <v>-1</v>
      </c>
      <c r="N106" s="45" t="s">
        <v>750</v>
      </c>
      <c r="S106" s="110" t="s">
        <v>1057</v>
      </c>
      <c r="T106" s="110"/>
      <c r="U106" s="159"/>
    </row>
    <row r="107" spans="1:23" x14ac:dyDescent="0.2">
      <c r="B107" s="45" t="s">
        <v>208</v>
      </c>
      <c r="D107" s="341">
        <v>0.2</v>
      </c>
      <c r="E107" s="45" t="s">
        <v>435</v>
      </c>
      <c r="L107" s="45" t="s">
        <v>586</v>
      </c>
      <c r="M107" s="2">
        <v>-0.2</v>
      </c>
      <c r="N107" s="45" t="s">
        <v>652</v>
      </c>
      <c r="S107" s="110" t="s">
        <v>708</v>
      </c>
      <c r="T107" s="110"/>
    </row>
    <row r="108" spans="1:23" x14ac:dyDescent="0.2">
      <c r="B108" s="45" t="s">
        <v>457</v>
      </c>
      <c r="D108" s="341">
        <v>0.3</v>
      </c>
      <c r="E108" s="45" t="s">
        <v>435</v>
      </c>
      <c r="M108"/>
    </row>
    <row r="109" spans="1:23" x14ac:dyDescent="0.2">
      <c r="B109" s="45" t="s">
        <v>458</v>
      </c>
      <c r="D109" s="341">
        <v>0.6</v>
      </c>
      <c r="E109" s="45" t="s">
        <v>435</v>
      </c>
      <c r="L109" s="45" t="s">
        <v>587</v>
      </c>
      <c r="M109" s="433">
        <v>2.5000000000000001E-2</v>
      </c>
      <c r="N109" s="45" t="s">
        <v>1061</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28" t="s">
        <v>459</v>
      </c>
      <c r="B111" s="45" t="s">
        <v>210</v>
      </c>
      <c r="D111" s="45">
        <v>4000</v>
      </c>
      <c r="E111" s="45" t="s">
        <v>506</v>
      </c>
      <c r="L111" s="45" t="s">
        <v>589</v>
      </c>
      <c r="M111" s="433">
        <v>-1.7500000000000002E-2</v>
      </c>
      <c r="N111" s="45" t="s">
        <v>634</v>
      </c>
      <c r="S111" s="110" t="s">
        <v>713</v>
      </c>
      <c r="T111" s="110"/>
      <c r="U111" s="158"/>
    </row>
    <row r="112" spans="1:23" x14ac:dyDescent="0.2">
      <c r="B112" s="45" t="s">
        <v>208</v>
      </c>
      <c r="D112" s="45">
        <v>4000</v>
      </c>
      <c r="E112" s="45" t="s">
        <v>506</v>
      </c>
      <c r="L112" s="45" t="s">
        <v>590</v>
      </c>
      <c r="M112" s="433">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33">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27" t="s">
        <v>460</v>
      </c>
      <c r="F117" s="45" t="s">
        <v>462</v>
      </c>
      <c r="L117" s="45" t="s">
        <v>594</v>
      </c>
      <c r="M117" s="29">
        <v>1.4999999999999999E-2</v>
      </c>
      <c r="N117" s="45" t="s">
        <v>645</v>
      </c>
      <c r="S117" s="110" t="s">
        <v>718</v>
      </c>
      <c r="T117" s="110"/>
      <c r="U117" s="159"/>
    </row>
    <row r="118" spans="1:23" x14ac:dyDescent="0.2">
      <c r="A118" s="328" t="s">
        <v>1131</v>
      </c>
      <c r="B118" s="252"/>
      <c r="C118" s="344">
        <v>0.2</v>
      </c>
      <c r="D118" s="45" t="s">
        <v>466</v>
      </c>
      <c r="F118" s="179">
        <v>2</v>
      </c>
      <c r="L118" s="45" t="s">
        <v>595</v>
      </c>
      <c r="M118" s="433">
        <v>2.5000000000000001E-2</v>
      </c>
      <c r="N118" s="45" t="s">
        <v>646</v>
      </c>
      <c r="O118" s="158">
        <v>-0.05</v>
      </c>
      <c r="P118" s="45" t="s">
        <v>657</v>
      </c>
      <c r="S118" s="110" t="s">
        <v>719</v>
      </c>
      <c r="T118" s="110"/>
      <c r="U118" s="159"/>
      <c r="W118" s="158"/>
    </row>
    <row r="119" spans="1:23" x14ac:dyDescent="0.2">
      <c r="A119" s="328" t="s">
        <v>125</v>
      </c>
      <c r="B119" s="118" t="s">
        <v>292</v>
      </c>
      <c r="C119" s="344">
        <v>0.2</v>
      </c>
      <c r="D119" s="45" t="s">
        <v>466</v>
      </c>
      <c r="F119" s="179">
        <v>2</v>
      </c>
      <c r="L119" s="45" t="s">
        <v>597</v>
      </c>
      <c r="M119" s="2">
        <v>-0.05</v>
      </c>
      <c r="N119" s="45" t="s">
        <v>641</v>
      </c>
      <c r="O119" s="158">
        <v>-0.1</v>
      </c>
      <c r="P119" s="45" t="s">
        <v>653</v>
      </c>
      <c r="Q119" s="45">
        <v>5</v>
      </c>
      <c r="R119" s="45" t="s">
        <v>673</v>
      </c>
      <c r="S119" s="110" t="s">
        <v>1058</v>
      </c>
      <c r="T119" s="110"/>
      <c r="U119" s="158"/>
      <c r="W119" s="158"/>
    </row>
    <row r="120" spans="1:23" x14ac:dyDescent="0.2">
      <c r="B120" s="45" t="s">
        <v>291</v>
      </c>
      <c r="C120" s="120">
        <v>0.2</v>
      </c>
      <c r="D120" s="45" t="s">
        <v>466</v>
      </c>
      <c r="F120" s="179">
        <v>2</v>
      </c>
      <c r="L120" s="45" t="s">
        <v>598</v>
      </c>
      <c r="M120" s="433">
        <v>-0.125</v>
      </c>
      <c r="N120" s="45" t="s">
        <v>658</v>
      </c>
      <c r="S120" s="110" t="s">
        <v>720</v>
      </c>
      <c r="T120" s="110"/>
      <c r="U120" s="159"/>
    </row>
    <row r="121" spans="1:23" x14ac:dyDescent="0.2">
      <c r="A121" s="328" t="s">
        <v>139</v>
      </c>
      <c r="B121" s="252"/>
      <c r="C121" s="344">
        <v>0.2</v>
      </c>
      <c r="D121" s="45" t="s">
        <v>466</v>
      </c>
      <c r="F121" s="179">
        <v>4</v>
      </c>
      <c r="L121" s="45" t="s">
        <v>600</v>
      </c>
      <c r="M121" s="433">
        <v>0.01</v>
      </c>
      <c r="N121" s="45" t="s">
        <v>645</v>
      </c>
      <c r="O121" s="5"/>
      <c r="P121" s="5"/>
      <c r="S121" s="110" t="s">
        <v>716</v>
      </c>
      <c r="T121" s="110"/>
      <c r="U121" s="158"/>
    </row>
    <row r="122" spans="1:23" x14ac:dyDescent="0.2">
      <c r="A122" s="328" t="s">
        <v>132</v>
      </c>
      <c r="B122" s="252"/>
      <c r="C122" s="344">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28" t="s">
        <v>1066</v>
      </c>
      <c r="B123" s="118" t="s">
        <v>292</v>
      </c>
      <c r="C123" s="344">
        <v>0.1</v>
      </c>
      <c r="D123" s="45" t="s">
        <v>295</v>
      </c>
      <c r="F123" s="179">
        <v>0</v>
      </c>
      <c r="M123"/>
      <c r="S123" s="110"/>
      <c r="T123" s="110"/>
    </row>
    <row r="124" spans="1:23" x14ac:dyDescent="0.2">
      <c r="B124" s="45" t="s">
        <v>291</v>
      </c>
      <c r="C124" s="345">
        <v>0.1</v>
      </c>
      <c r="D124" s="45" t="s">
        <v>295</v>
      </c>
      <c r="F124" s="179">
        <v>0</v>
      </c>
      <c r="L124" s="45" t="s">
        <v>602</v>
      </c>
      <c r="M124" s="2">
        <v>0.3</v>
      </c>
      <c r="N124" s="45" t="s">
        <v>660</v>
      </c>
      <c r="S124" s="110" t="s">
        <v>723</v>
      </c>
      <c r="T124" s="110"/>
      <c r="U124" s="158"/>
    </row>
    <row r="125" spans="1:23" x14ac:dyDescent="0.2">
      <c r="A125" s="328" t="s">
        <v>461</v>
      </c>
      <c r="B125" s="252"/>
      <c r="C125" s="344">
        <v>0.2</v>
      </c>
      <c r="D125" s="45" t="s">
        <v>467</v>
      </c>
      <c r="F125" s="179">
        <v>3</v>
      </c>
      <c r="L125" s="45" t="s">
        <v>604</v>
      </c>
      <c r="M125">
        <v>1.25</v>
      </c>
      <c r="N125" s="45" t="s">
        <v>675</v>
      </c>
      <c r="S125" s="110" t="s">
        <v>727</v>
      </c>
      <c r="T125" s="110"/>
      <c r="U125" s="158"/>
    </row>
    <row r="126" spans="1:23" x14ac:dyDescent="0.2">
      <c r="A126" s="328" t="s">
        <v>332</v>
      </c>
      <c r="C126" s="179">
        <v>1</v>
      </c>
      <c r="D126" s="45" t="s">
        <v>463</v>
      </c>
      <c r="F126" s="179">
        <v>3</v>
      </c>
      <c r="L126" s="45" t="s">
        <v>606</v>
      </c>
      <c r="M126" s="433">
        <v>-7.4999999999999997E-2</v>
      </c>
      <c r="N126" s="45" t="s">
        <v>659</v>
      </c>
      <c r="O126" s="159">
        <v>7.4999999999999997E-3</v>
      </c>
      <c r="P126" s="45" t="s">
        <v>751</v>
      </c>
      <c r="S126" s="110" t="s">
        <v>1059</v>
      </c>
      <c r="T126" s="110"/>
      <c r="U126" s="158"/>
    </row>
    <row r="127" spans="1:23" x14ac:dyDescent="0.2">
      <c r="A127" s="328" t="s">
        <v>373</v>
      </c>
      <c r="B127" s="179" t="s">
        <v>465</v>
      </c>
      <c r="C127" s="118">
        <v>500</v>
      </c>
      <c r="D127" s="45" t="s">
        <v>464</v>
      </c>
      <c r="F127" s="179">
        <v>0</v>
      </c>
      <c r="L127" s="45" t="s">
        <v>607</v>
      </c>
      <c r="M127" s="433">
        <v>2.5000000000000001E-2</v>
      </c>
      <c r="N127" s="45" t="s">
        <v>662</v>
      </c>
      <c r="S127" s="110" t="s">
        <v>725</v>
      </c>
      <c r="T127" s="110"/>
      <c r="U127" s="159"/>
    </row>
    <row r="128" spans="1:23" x14ac:dyDescent="0.2">
      <c r="A128" s="328" t="s">
        <v>356</v>
      </c>
      <c r="B128" s="179" t="s">
        <v>465</v>
      </c>
      <c r="C128" s="118">
        <v>300</v>
      </c>
      <c r="D128" s="45" t="s">
        <v>464</v>
      </c>
      <c r="F128" s="179">
        <v>3</v>
      </c>
      <c r="L128" s="45" t="s">
        <v>608</v>
      </c>
      <c r="M128" s="433">
        <v>-2.5000000000000001E-2</v>
      </c>
      <c r="N128" s="45" t="s">
        <v>637</v>
      </c>
      <c r="O128" s="5">
        <v>2</v>
      </c>
      <c r="P128" s="5" t="s">
        <v>674</v>
      </c>
      <c r="S128" s="110" t="s">
        <v>726</v>
      </c>
      <c r="T128" s="110"/>
      <c r="U128" s="159"/>
    </row>
    <row r="129" spans="1:23" x14ac:dyDescent="0.2">
      <c r="A129" s="328" t="s">
        <v>422</v>
      </c>
      <c r="B129" s="252"/>
      <c r="C129" s="120">
        <v>0.1</v>
      </c>
      <c r="D129" s="45" t="s">
        <v>497</v>
      </c>
      <c r="F129" s="179">
        <v>4</v>
      </c>
      <c r="M129"/>
      <c r="S129" s="110"/>
      <c r="T129" s="110"/>
    </row>
    <row r="130" spans="1:23" x14ac:dyDescent="0.2">
      <c r="A130" s="328" t="s">
        <v>1143</v>
      </c>
      <c r="B130" s="45" t="s">
        <v>291</v>
      </c>
      <c r="C130" s="120">
        <v>0.1</v>
      </c>
      <c r="D130" s="45" t="s">
        <v>1144</v>
      </c>
      <c r="F130" s="45">
        <v>1</v>
      </c>
      <c r="L130" s="45" t="s">
        <v>610</v>
      </c>
      <c r="M130" s="2">
        <v>0.6</v>
      </c>
      <c r="N130" s="45" t="s">
        <v>752</v>
      </c>
      <c r="S130" s="110" t="s">
        <v>1060</v>
      </c>
      <c r="T130" s="110"/>
    </row>
    <row r="131" spans="1:23" x14ac:dyDescent="0.2">
      <c r="L131" s="45" t="s">
        <v>611</v>
      </c>
      <c r="M131" s="433">
        <v>-7.4999999999999997E-2</v>
      </c>
      <c r="N131" s="45" t="s">
        <v>659</v>
      </c>
      <c r="S131" s="110" t="s">
        <v>728</v>
      </c>
      <c r="T131" s="110"/>
      <c r="U131" s="159"/>
    </row>
    <row r="132" spans="1:23" x14ac:dyDescent="0.2">
      <c r="A132" s="327" t="s">
        <v>263</v>
      </c>
      <c r="L132" s="45" t="s">
        <v>613</v>
      </c>
      <c r="M132">
        <v>2</v>
      </c>
      <c r="N132" s="45" t="s">
        <v>676</v>
      </c>
      <c r="S132" s="110" t="s">
        <v>729</v>
      </c>
      <c r="T132" s="110"/>
    </row>
    <row r="133" spans="1:23" x14ac:dyDescent="0.2">
      <c r="A133" s="328" t="s">
        <v>478</v>
      </c>
      <c r="B133" s="45">
        <v>20</v>
      </c>
      <c r="L133" s="45" t="s">
        <v>615</v>
      </c>
      <c r="M133" s="2">
        <v>0.3</v>
      </c>
      <c r="N133" s="45" t="s">
        <v>663</v>
      </c>
      <c r="S133" s="110" t="s">
        <v>730</v>
      </c>
      <c r="T133" s="110"/>
      <c r="U133" s="158"/>
    </row>
    <row r="134" spans="1:23" x14ac:dyDescent="0.2">
      <c r="A134" s="328"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27" t="s">
        <v>753</v>
      </c>
      <c r="L136" s="45" t="s">
        <v>618</v>
      </c>
      <c r="M136" s="433">
        <v>-0.05</v>
      </c>
      <c r="N136" s="45" t="s">
        <v>641</v>
      </c>
      <c r="S136" s="110" t="s">
        <v>732</v>
      </c>
      <c r="T136" s="110"/>
      <c r="U136" s="159"/>
    </row>
    <row r="137" spans="1:23" x14ac:dyDescent="0.2">
      <c r="A137" s="328" t="s">
        <v>89</v>
      </c>
      <c r="B137" s="45" t="s">
        <v>3</v>
      </c>
      <c r="L137" s="45" t="s">
        <v>619</v>
      </c>
      <c r="M137" s="2">
        <v>-0.25</v>
      </c>
      <c r="N137" s="45" t="s">
        <v>664</v>
      </c>
      <c r="S137" s="110" t="s">
        <v>733</v>
      </c>
      <c r="T137" s="110"/>
      <c r="U137" s="158"/>
    </row>
    <row r="138" spans="1:23" x14ac:dyDescent="0.2">
      <c r="A138" s="328" t="s">
        <v>90</v>
      </c>
      <c r="B138" s="45" t="s">
        <v>3</v>
      </c>
      <c r="M138"/>
      <c r="S138" s="110"/>
      <c r="T138" s="110"/>
    </row>
    <row r="139" spans="1:23" x14ac:dyDescent="0.2">
      <c r="A139" s="328" t="s">
        <v>91</v>
      </c>
      <c r="B139" s="45" t="s">
        <v>3</v>
      </c>
      <c r="L139" s="45" t="s">
        <v>620</v>
      </c>
      <c r="M139" s="29">
        <v>7.4999999999999997E-2</v>
      </c>
      <c r="N139" s="45" t="s">
        <v>661</v>
      </c>
      <c r="S139" s="110" t="s">
        <v>724</v>
      </c>
      <c r="T139" s="110"/>
      <c r="U139" s="159"/>
    </row>
    <row r="140" spans="1:23" x14ac:dyDescent="0.2">
      <c r="A140" s="328" t="s">
        <v>92</v>
      </c>
      <c r="B140" s="45" t="s">
        <v>12</v>
      </c>
      <c r="L140" s="45" t="s">
        <v>622</v>
      </c>
      <c r="M140" s="433">
        <v>-7.4999999999999997E-2</v>
      </c>
      <c r="N140" s="45" t="s">
        <v>658</v>
      </c>
      <c r="S140" s="110" t="s">
        <v>734</v>
      </c>
      <c r="T140" s="110"/>
      <c r="U140" s="158"/>
    </row>
    <row r="141" spans="1:23" x14ac:dyDescent="0.2">
      <c r="A141" s="328" t="s">
        <v>93</v>
      </c>
      <c r="B141" s="45" t="s">
        <v>3</v>
      </c>
      <c r="M141"/>
    </row>
    <row r="142" spans="1:23" x14ac:dyDescent="0.2">
      <c r="A142" s="328" t="s">
        <v>94</v>
      </c>
      <c r="B142" s="45" t="s">
        <v>3</v>
      </c>
      <c r="L142" s="45" t="s">
        <v>623</v>
      </c>
      <c r="M142" s="2">
        <v>-0.05</v>
      </c>
      <c r="N142" s="45" t="s">
        <v>659</v>
      </c>
      <c r="S142" s="45" t="s">
        <v>735</v>
      </c>
      <c r="U142" s="158"/>
    </row>
    <row r="143" spans="1:23" x14ac:dyDescent="0.2">
      <c r="A143" s="328" t="s">
        <v>95</v>
      </c>
      <c r="B143" s="45" t="s">
        <v>3</v>
      </c>
    </row>
    <row r="144" spans="1:23" x14ac:dyDescent="0.2">
      <c r="A144" s="328" t="s">
        <v>96</v>
      </c>
      <c r="B144" s="45" t="s">
        <v>7</v>
      </c>
      <c r="L144" s="45" t="b">
        <f>OR(race=L145,race=L146,race=L147,race=L148)</f>
        <v>0</v>
      </c>
      <c r="M144" s="45">
        <f>IF(L144=FALSE,1,2)</f>
        <v>1</v>
      </c>
    </row>
    <row r="145" spans="1:13" x14ac:dyDescent="0.2">
      <c r="A145" s="328" t="s">
        <v>97</v>
      </c>
      <c r="B145" s="45" t="s">
        <v>3</v>
      </c>
      <c r="L145" s="45" t="s">
        <v>97</v>
      </c>
    </row>
    <row r="146" spans="1:13" x14ac:dyDescent="0.2">
      <c r="A146" s="328" t="s">
        <v>29</v>
      </c>
      <c r="B146" s="45" t="s">
        <v>3</v>
      </c>
      <c r="L146" s="45" t="s">
        <v>102</v>
      </c>
    </row>
    <row r="147" spans="1:13" x14ac:dyDescent="0.2">
      <c r="A147" s="328" t="s">
        <v>99</v>
      </c>
      <c r="B147" s="45" t="s">
        <v>3</v>
      </c>
      <c r="L147" s="110" t="s">
        <v>342</v>
      </c>
      <c r="M147" s="158"/>
    </row>
    <row r="148" spans="1:13" x14ac:dyDescent="0.2">
      <c r="A148" s="328" t="s">
        <v>100</v>
      </c>
      <c r="B148" s="45" t="s">
        <v>12</v>
      </c>
      <c r="L148" s="110" t="s">
        <v>1118</v>
      </c>
    </row>
    <row r="149" spans="1:13" x14ac:dyDescent="0.2">
      <c r="A149" s="328" t="s">
        <v>101</v>
      </c>
      <c r="B149" s="45" t="s">
        <v>12</v>
      </c>
      <c r="L149" s="110"/>
      <c r="M149" s="158"/>
    </row>
    <row r="150" spans="1:13" x14ac:dyDescent="0.2">
      <c r="A150" s="328" t="s">
        <v>102</v>
      </c>
      <c r="B150" s="45" t="s">
        <v>3</v>
      </c>
    </row>
    <row r="151" spans="1:13" x14ac:dyDescent="0.2">
      <c r="A151" s="328" t="s">
        <v>103</v>
      </c>
      <c r="B151" s="45" t="s">
        <v>3</v>
      </c>
    </row>
    <row r="152" spans="1:13" x14ac:dyDescent="0.2">
      <c r="A152" s="328" t="s">
        <v>104</v>
      </c>
      <c r="B152" s="45" t="s">
        <v>3</v>
      </c>
    </row>
    <row r="153" spans="1:13" x14ac:dyDescent="0.2">
      <c r="A153" s="328" t="s">
        <v>328</v>
      </c>
      <c r="B153" s="45" t="s">
        <v>3</v>
      </c>
    </row>
    <row r="154" spans="1:13" x14ac:dyDescent="0.2">
      <c r="A154" s="328" t="s">
        <v>342</v>
      </c>
      <c r="B154" s="45" t="s">
        <v>3</v>
      </c>
    </row>
    <row r="155" spans="1:13" x14ac:dyDescent="0.2">
      <c r="A155" s="328" t="s">
        <v>143</v>
      </c>
      <c r="B155" s="45" t="s">
        <v>7</v>
      </c>
    </row>
    <row r="156" spans="1:13" x14ac:dyDescent="0.2">
      <c r="A156" s="328" t="s">
        <v>498</v>
      </c>
      <c r="B156" s="45" t="s">
        <v>12</v>
      </c>
    </row>
    <row r="157" spans="1:13" x14ac:dyDescent="0.2">
      <c r="A157" s="328" t="s">
        <v>1118</v>
      </c>
      <c r="B157" s="45" t="s">
        <v>12</v>
      </c>
    </row>
    <row r="158" spans="1:13" x14ac:dyDescent="0.2">
      <c r="A158" s="328" t="s">
        <v>1134</v>
      </c>
      <c r="B158" s="45" t="s">
        <v>12</v>
      </c>
    </row>
    <row r="160" spans="1:13" x14ac:dyDescent="0.2">
      <c r="A160" s="328" t="s">
        <v>1044</v>
      </c>
    </row>
    <row r="161" spans="1:5" x14ac:dyDescent="0.2">
      <c r="A161" s="328" t="s">
        <v>2</v>
      </c>
      <c r="B161" s="45">
        <v>1</v>
      </c>
    </row>
    <row r="162" spans="1:5" x14ac:dyDescent="0.2">
      <c r="A162" s="328" t="s">
        <v>7</v>
      </c>
      <c r="B162" s="45">
        <v>2</v>
      </c>
    </row>
    <row r="163" spans="1:5" x14ac:dyDescent="0.2">
      <c r="A163" s="328" t="s">
        <v>3</v>
      </c>
      <c r="B163" s="45">
        <v>2</v>
      </c>
    </row>
    <row r="164" spans="1:5" x14ac:dyDescent="0.2">
      <c r="A164" s="328" t="s">
        <v>4</v>
      </c>
      <c r="B164" s="45">
        <v>12</v>
      </c>
    </row>
    <row r="166" spans="1:5" x14ac:dyDescent="0.2">
      <c r="A166" s="327" t="s">
        <v>1045</v>
      </c>
    </row>
    <row r="167" spans="1:5" x14ac:dyDescent="0.2">
      <c r="A167" s="328" t="s">
        <v>277</v>
      </c>
      <c r="B167" s="158">
        <v>0.75</v>
      </c>
    </row>
    <row r="169" spans="1:5" x14ac:dyDescent="0.2">
      <c r="A169" s="327" t="s">
        <v>1107</v>
      </c>
    </row>
    <row r="170" spans="1:5" x14ac:dyDescent="0.2">
      <c r="A170" s="328" t="s">
        <v>452</v>
      </c>
      <c r="B170" s="45">
        <v>5</v>
      </c>
    </row>
    <row r="172" spans="1:5" x14ac:dyDescent="0.2">
      <c r="A172" s="327" t="s">
        <v>1132</v>
      </c>
      <c r="E172" s="45" t="s">
        <v>462</v>
      </c>
    </row>
    <row r="173" spans="1:5" x14ac:dyDescent="0.2">
      <c r="A173" s="328" t="s">
        <v>1130</v>
      </c>
      <c r="B173" s="45" t="s">
        <v>7</v>
      </c>
      <c r="C173" s="344">
        <v>0.4</v>
      </c>
      <c r="D173" s="45" t="s">
        <v>466</v>
      </c>
      <c r="E173" s="45">
        <v>1</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5" bestFit="1" customWidth="1"/>
    <col min="2" max="2" width="13.85546875" style="297" customWidth="1"/>
    <col min="3" max="3" width="14.42578125" style="297" customWidth="1"/>
    <col min="4" max="4" width="14.140625" style="297" customWidth="1"/>
    <col min="5" max="7" width="14.140625" style="95" customWidth="1"/>
    <col min="8" max="9" width="14.140625" style="297" customWidth="1"/>
    <col min="10" max="23" width="7" style="297" customWidth="1"/>
    <col min="24" max="24" width="7" style="379" customWidth="1"/>
    <col min="25" max="26" width="7" style="297" customWidth="1"/>
    <col min="27" max="16384" width="9.140625" style="297"/>
  </cols>
  <sheetData>
    <row r="1" spans="1:27" s="346" customFormat="1" ht="19.5" customHeight="1" x14ac:dyDescent="0.2">
      <c r="A1" s="346" t="s">
        <v>281</v>
      </c>
      <c r="E1" s="347"/>
      <c r="F1" s="347"/>
      <c r="G1" s="347"/>
      <c r="X1" s="348"/>
    </row>
    <row r="2" spans="1:27" ht="19.5" customHeight="1" x14ac:dyDescent="0.2">
      <c r="A2" s="297"/>
      <c r="X2" s="349"/>
    </row>
    <row r="3" spans="1:27" s="346" customFormat="1" ht="19.5" customHeight="1" x14ac:dyDescent="0.2">
      <c r="A3" s="346" t="s">
        <v>36</v>
      </c>
      <c r="D3" s="346" t="s">
        <v>38</v>
      </c>
      <c r="E3" s="347"/>
      <c r="F3" s="347"/>
      <c r="G3" s="347"/>
      <c r="J3" s="346" t="s">
        <v>37</v>
      </c>
      <c r="X3" s="348"/>
    </row>
    <row r="4" spans="1:27" ht="87" customHeight="1" x14ac:dyDescent="0.2">
      <c r="A4" s="346" t="s">
        <v>28</v>
      </c>
      <c r="B4" s="346" t="s">
        <v>35</v>
      </c>
      <c r="C4" s="346" t="s">
        <v>758</v>
      </c>
      <c r="D4" s="346" t="s">
        <v>759</v>
      </c>
      <c r="E4" s="347" t="s">
        <v>760</v>
      </c>
      <c r="F4" s="347" t="s">
        <v>761</v>
      </c>
      <c r="G4" s="347" t="s">
        <v>762</v>
      </c>
      <c r="H4" s="350" t="s">
        <v>763</v>
      </c>
      <c r="I4" s="350" t="s">
        <v>230</v>
      </c>
      <c r="J4" s="435" t="s">
        <v>163</v>
      </c>
      <c r="K4" s="435" t="s">
        <v>105</v>
      </c>
      <c r="L4" s="435" t="s">
        <v>160</v>
      </c>
      <c r="M4" s="435" t="s">
        <v>107</v>
      </c>
      <c r="N4" s="435" t="s">
        <v>108</v>
      </c>
      <c r="O4" s="435" t="s">
        <v>109</v>
      </c>
      <c r="P4" s="435" t="s">
        <v>110</v>
      </c>
      <c r="Q4" s="435" t="s">
        <v>111</v>
      </c>
      <c r="R4" s="435" t="s">
        <v>112</v>
      </c>
      <c r="S4" s="435" t="s">
        <v>32</v>
      </c>
      <c r="T4" s="435" t="s">
        <v>31</v>
      </c>
      <c r="U4" s="436" t="s">
        <v>161</v>
      </c>
      <c r="V4" s="435" t="s">
        <v>162</v>
      </c>
      <c r="W4" s="435" t="s">
        <v>437</v>
      </c>
      <c r="X4" s="435" t="s">
        <v>486</v>
      </c>
      <c r="Y4" s="435" t="s">
        <v>487</v>
      </c>
      <c r="Z4" s="435" t="s">
        <v>524</v>
      </c>
      <c r="AA4" s="435" t="s">
        <v>1065</v>
      </c>
    </row>
    <row r="5" spans="1:27" s="357" customFormat="1" ht="19.5" customHeight="1" x14ac:dyDescent="0.2">
      <c r="A5" s="297" t="s">
        <v>89</v>
      </c>
      <c r="B5" s="351" t="s">
        <v>98</v>
      </c>
      <c r="C5" s="297" t="s">
        <v>243</v>
      </c>
      <c r="D5" s="352" t="s">
        <v>113</v>
      </c>
      <c r="E5" s="95">
        <v>3</v>
      </c>
      <c r="F5" s="95"/>
      <c r="G5" s="95">
        <v>275</v>
      </c>
      <c r="H5" s="297">
        <v>25</v>
      </c>
      <c r="I5" s="351">
        <v>5</v>
      </c>
      <c r="J5" s="353"/>
      <c r="K5" s="354"/>
      <c r="L5" s="354"/>
      <c r="M5" s="354">
        <v>0.05</v>
      </c>
      <c r="N5" s="354"/>
      <c r="O5" s="354"/>
      <c r="P5" s="354"/>
      <c r="Q5" s="354"/>
      <c r="R5" s="354"/>
      <c r="S5" s="354"/>
      <c r="T5" s="354"/>
      <c r="U5" s="354"/>
      <c r="V5" s="354"/>
      <c r="W5" s="95"/>
      <c r="X5" s="355"/>
      <c r="Y5" s="95"/>
      <c r="Z5" s="95"/>
      <c r="AA5" s="356"/>
    </row>
    <row r="6" spans="1:27" ht="19.5" customHeight="1" x14ac:dyDescent="0.2">
      <c r="A6" s="297" t="s">
        <v>89</v>
      </c>
      <c r="B6" s="351" t="s">
        <v>98</v>
      </c>
      <c r="C6" s="297" t="s">
        <v>243</v>
      </c>
      <c r="D6" s="352" t="s">
        <v>114</v>
      </c>
      <c r="F6" s="95">
        <v>3</v>
      </c>
      <c r="G6" s="95">
        <v>275</v>
      </c>
      <c r="H6" s="297">
        <v>15</v>
      </c>
      <c r="I6" s="351">
        <v>5</v>
      </c>
      <c r="J6" s="353"/>
      <c r="K6" s="354"/>
      <c r="L6" s="354"/>
      <c r="M6" s="354"/>
      <c r="N6" s="354"/>
      <c r="O6" s="354"/>
      <c r="P6" s="354"/>
      <c r="Q6" s="354"/>
      <c r="R6" s="354"/>
      <c r="S6" s="354"/>
      <c r="T6" s="354"/>
      <c r="U6" s="354"/>
      <c r="V6" s="354"/>
      <c r="W6" s="95"/>
      <c r="X6" s="355"/>
      <c r="Y6" s="95"/>
      <c r="Z6" s="95"/>
      <c r="AA6" s="356"/>
    </row>
    <row r="7" spans="1:27" ht="19.5" customHeight="1" x14ac:dyDescent="0.2">
      <c r="A7" s="297" t="s">
        <v>89</v>
      </c>
      <c r="B7" s="351" t="s">
        <v>98</v>
      </c>
      <c r="C7" s="297" t="s">
        <v>243</v>
      </c>
      <c r="D7" s="352" t="s">
        <v>115</v>
      </c>
      <c r="E7" s="95">
        <v>2</v>
      </c>
      <c r="F7" s="95">
        <v>6</v>
      </c>
      <c r="G7" s="95">
        <v>1040</v>
      </c>
      <c r="H7" s="297">
        <v>75</v>
      </c>
      <c r="I7" s="351">
        <f>MAX(TblRaces[[#This Row],[OffensePwr]:[DefensePwr]])*2</f>
        <v>12</v>
      </c>
      <c r="J7" s="353"/>
      <c r="K7" s="354"/>
      <c r="L7" s="354"/>
      <c r="M7" s="354"/>
      <c r="N7" s="354"/>
      <c r="O7" s="354"/>
      <c r="P7" s="354"/>
      <c r="Q7" s="354"/>
      <c r="R7" s="354"/>
      <c r="S7" s="354"/>
      <c r="T7" s="354"/>
      <c r="U7" s="354"/>
      <c r="V7" s="354"/>
      <c r="W7" s="95"/>
      <c r="X7" s="355"/>
      <c r="Y7" s="95"/>
      <c r="Z7" s="95"/>
      <c r="AA7" s="356"/>
    </row>
    <row r="8" spans="1:27" s="360" customFormat="1" ht="19.5" customHeight="1" x14ac:dyDescent="0.2">
      <c r="A8" s="297" t="s">
        <v>89</v>
      </c>
      <c r="B8" s="351" t="s">
        <v>98</v>
      </c>
      <c r="C8" s="297" t="s">
        <v>243</v>
      </c>
      <c r="D8" s="358" t="s">
        <v>116</v>
      </c>
      <c r="E8" s="359">
        <v>6</v>
      </c>
      <c r="F8" s="359">
        <v>3</v>
      </c>
      <c r="G8" s="359">
        <v>1280</v>
      </c>
      <c r="H8" s="360">
        <v>100</v>
      </c>
      <c r="I8" s="351">
        <f>MAX(TblRaces[[#This Row],[OffensePwr]:[DefensePwr]])*2</f>
        <v>12</v>
      </c>
      <c r="J8" s="361"/>
      <c r="K8" s="362"/>
      <c r="L8" s="362"/>
      <c r="M8" s="362"/>
      <c r="N8" s="362"/>
      <c r="O8" s="362"/>
      <c r="P8" s="362"/>
      <c r="Q8" s="362"/>
      <c r="R8" s="362"/>
      <c r="S8" s="362"/>
      <c r="T8" s="362"/>
      <c r="U8" s="362"/>
      <c r="V8" s="362"/>
      <c r="W8" s="359"/>
      <c r="X8" s="363"/>
      <c r="Y8" s="359"/>
      <c r="Z8" s="359"/>
      <c r="AA8" s="364"/>
    </row>
    <row r="9" spans="1:27" s="357" customFormat="1" ht="19.5" customHeight="1" x14ac:dyDescent="0.2">
      <c r="A9" s="357" t="s">
        <v>90</v>
      </c>
      <c r="B9" s="365" t="s">
        <v>30</v>
      </c>
      <c r="C9" s="357" t="s">
        <v>243</v>
      </c>
      <c r="D9" s="366" t="s">
        <v>1068</v>
      </c>
      <c r="E9" s="367">
        <v>3</v>
      </c>
      <c r="F9" s="367"/>
      <c r="G9" s="367">
        <v>325</v>
      </c>
      <c r="H9" s="357">
        <v>25</v>
      </c>
      <c r="I9" s="365">
        <v>5</v>
      </c>
      <c r="J9" s="368"/>
      <c r="K9" s="369"/>
      <c r="L9" s="369"/>
      <c r="M9" s="369"/>
      <c r="N9" s="369"/>
      <c r="O9" s="369"/>
      <c r="P9" s="369"/>
      <c r="Q9" s="369"/>
      <c r="R9" s="369"/>
      <c r="S9" s="369"/>
      <c r="T9" s="369"/>
      <c r="U9" s="369"/>
      <c r="V9" s="369"/>
      <c r="W9" s="95"/>
      <c r="X9" s="355"/>
      <c r="Y9" s="369"/>
      <c r="Z9" s="367"/>
      <c r="AA9" s="356"/>
    </row>
    <row r="10" spans="1:27" ht="19.5" customHeight="1" x14ac:dyDescent="0.2">
      <c r="A10" s="297" t="s">
        <v>90</v>
      </c>
      <c r="B10" s="351" t="s">
        <v>30</v>
      </c>
      <c r="C10" s="297" t="s">
        <v>243</v>
      </c>
      <c r="D10" s="352" t="s">
        <v>117</v>
      </c>
      <c r="F10" s="95">
        <v>3</v>
      </c>
      <c r="G10" s="95">
        <v>285</v>
      </c>
      <c r="H10" s="297">
        <v>15</v>
      </c>
      <c r="I10" s="351">
        <v>5</v>
      </c>
      <c r="J10" s="353"/>
      <c r="K10" s="354"/>
      <c r="L10" s="354"/>
      <c r="M10" s="354"/>
      <c r="N10" s="354"/>
      <c r="O10" s="354"/>
      <c r="P10" s="354"/>
      <c r="Q10" s="354"/>
      <c r="R10" s="354"/>
      <c r="S10" s="354"/>
      <c r="T10" s="354"/>
      <c r="U10" s="354"/>
      <c r="V10" s="354"/>
      <c r="W10" s="95"/>
      <c r="X10" s="355"/>
      <c r="Y10" s="95"/>
      <c r="Z10" s="95"/>
      <c r="AA10" s="356"/>
    </row>
    <row r="11" spans="1:27" ht="19.5" customHeight="1" x14ac:dyDescent="0.2">
      <c r="A11" s="297" t="s">
        <v>90</v>
      </c>
      <c r="B11" s="351" t="s">
        <v>30</v>
      </c>
      <c r="C11" s="297" t="s">
        <v>243</v>
      </c>
      <c r="D11" s="352" t="s">
        <v>118</v>
      </c>
      <c r="E11" s="95">
        <v>2</v>
      </c>
      <c r="F11" s="95">
        <v>5</v>
      </c>
      <c r="G11" s="95">
        <v>1000</v>
      </c>
      <c r="H11" s="297">
        <v>25</v>
      </c>
      <c r="I11" s="351">
        <f>MAX(TblRaces[[#This Row],[OffensePwr]:[DefensePwr]])*2</f>
        <v>10</v>
      </c>
      <c r="J11" s="353"/>
      <c r="K11" s="354"/>
      <c r="L11" s="354"/>
      <c r="M11" s="354"/>
      <c r="N11" s="354"/>
      <c r="O11" s="354"/>
      <c r="P11" s="354"/>
      <c r="Q11" s="354"/>
      <c r="R11" s="354"/>
      <c r="S11" s="354"/>
      <c r="T11" s="354"/>
      <c r="U11" s="354"/>
      <c r="V11" s="354"/>
      <c r="W11" s="95"/>
      <c r="X11" s="355"/>
      <c r="Y11" s="95"/>
      <c r="Z11" s="95"/>
      <c r="AA11" s="356"/>
    </row>
    <row r="12" spans="1:27" ht="19.5" customHeight="1" x14ac:dyDescent="0.2">
      <c r="A12" s="297" t="s">
        <v>90</v>
      </c>
      <c r="B12" s="351" t="s">
        <v>30</v>
      </c>
      <c r="C12" s="297" t="s">
        <v>243</v>
      </c>
      <c r="D12" s="352" t="s">
        <v>1069</v>
      </c>
      <c r="E12" s="95">
        <v>6</v>
      </c>
      <c r="F12" s="95">
        <v>3</v>
      </c>
      <c r="G12" s="95">
        <v>1150</v>
      </c>
      <c r="H12" s="297">
        <v>40</v>
      </c>
      <c r="I12" s="351">
        <f>MAX(TblRaces[[#This Row],[OffensePwr]:[DefensePwr]])*2</f>
        <v>12</v>
      </c>
      <c r="J12" s="353"/>
      <c r="K12" s="354"/>
      <c r="L12" s="354"/>
      <c r="M12" s="354"/>
      <c r="N12" s="354"/>
      <c r="O12" s="354"/>
      <c r="P12" s="354"/>
      <c r="Q12" s="354"/>
      <c r="R12" s="354"/>
      <c r="S12" s="354"/>
      <c r="T12" s="354"/>
      <c r="U12" s="354"/>
      <c r="V12" s="354"/>
      <c r="W12" s="359"/>
      <c r="X12" s="363"/>
      <c r="Y12" s="95"/>
      <c r="Z12" s="95"/>
      <c r="AA12" s="364"/>
    </row>
    <row r="13" spans="1:27" s="357" customFormat="1" ht="19.5" customHeight="1" x14ac:dyDescent="0.2">
      <c r="A13" s="357" t="s">
        <v>91</v>
      </c>
      <c r="B13" s="365" t="s">
        <v>98</v>
      </c>
      <c r="C13" s="357" t="s">
        <v>245</v>
      </c>
      <c r="D13" s="366" t="s">
        <v>119</v>
      </c>
      <c r="E13" s="367">
        <v>3</v>
      </c>
      <c r="F13" s="367"/>
      <c r="G13" s="367">
        <v>275</v>
      </c>
      <c r="H13" s="357">
        <v>25</v>
      </c>
      <c r="I13" s="365">
        <v>5</v>
      </c>
      <c r="J13" s="368">
        <v>7.4999999999999997E-2</v>
      </c>
      <c r="K13" s="369"/>
      <c r="L13" s="369"/>
      <c r="M13" s="369"/>
      <c r="N13" s="369"/>
      <c r="O13" s="369"/>
      <c r="P13" s="369">
        <v>0.1</v>
      </c>
      <c r="Q13" s="369"/>
      <c r="R13" s="369"/>
      <c r="S13" s="369"/>
      <c r="T13" s="369"/>
      <c r="U13" s="369"/>
      <c r="V13" s="369"/>
      <c r="W13" s="354"/>
      <c r="X13" s="355"/>
      <c r="Y13" s="367"/>
      <c r="Z13" s="367"/>
      <c r="AA13" s="356"/>
    </row>
    <row r="14" spans="1:27" ht="19.5" customHeight="1" x14ac:dyDescent="0.2">
      <c r="A14" s="297" t="s">
        <v>91</v>
      </c>
      <c r="B14" s="351" t="s">
        <v>98</v>
      </c>
      <c r="C14" s="297" t="s">
        <v>245</v>
      </c>
      <c r="D14" s="352" t="s">
        <v>120</v>
      </c>
      <c r="F14" s="95">
        <v>3</v>
      </c>
      <c r="G14" s="95">
        <v>335</v>
      </c>
      <c r="H14" s="297">
        <v>20</v>
      </c>
      <c r="I14" s="351">
        <v>5</v>
      </c>
      <c r="J14" s="353"/>
      <c r="K14" s="354"/>
      <c r="L14" s="354"/>
      <c r="M14" s="354"/>
      <c r="N14" s="354"/>
      <c r="O14" s="354"/>
      <c r="P14" s="354"/>
      <c r="Q14" s="354"/>
      <c r="R14" s="354"/>
      <c r="S14" s="354"/>
      <c r="T14" s="354"/>
      <c r="U14" s="354"/>
      <c r="V14" s="354"/>
      <c r="W14" s="95"/>
      <c r="X14" s="355"/>
      <c r="Y14" s="95"/>
      <c r="Z14" s="95"/>
      <c r="AA14" s="356"/>
    </row>
    <row r="15" spans="1:27" ht="19.5" customHeight="1" x14ac:dyDescent="0.2">
      <c r="A15" s="297" t="s">
        <v>91</v>
      </c>
      <c r="B15" s="351" t="s">
        <v>98</v>
      </c>
      <c r="C15" s="297" t="s">
        <v>245</v>
      </c>
      <c r="D15" s="352" t="s">
        <v>121</v>
      </c>
      <c r="E15" s="95">
        <v>3.5</v>
      </c>
      <c r="F15" s="95">
        <v>4.5</v>
      </c>
      <c r="G15" s="95">
        <v>880</v>
      </c>
      <c r="H15" s="297">
        <v>0</v>
      </c>
      <c r="I15" s="351">
        <f>MAX(TblRaces[[#This Row],[OffensePwr]:[DefensePwr]])*2</f>
        <v>9</v>
      </c>
      <c r="J15" s="353"/>
      <c r="K15" s="354"/>
      <c r="L15" s="354"/>
      <c r="M15" s="354"/>
      <c r="N15" s="354"/>
      <c r="O15" s="354"/>
      <c r="P15" s="354"/>
      <c r="Q15" s="354"/>
      <c r="R15" s="354"/>
      <c r="S15" s="354"/>
      <c r="T15" s="354"/>
      <c r="U15" s="354"/>
      <c r="V15" s="354"/>
      <c r="W15" s="95"/>
      <c r="X15" s="355"/>
      <c r="Y15" s="95"/>
      <c r="Z15" s="95"/>
      <c r="AA15" s="356"/>
    </row>
    <row r="16" spans="1:27" s="360" customFormat="1" ht="19.5" customHeight="1" x14ac:dyDescent="0.2">
      <c r="A16" s="360" t="s">
        <v>91</v>
      </c>
      <c r="B16" s="370" t="s">
        <v>98</v>
      </c>
      <c r="C16" s="360" t="s">
        <v>245</v>
      </c>
      <c r="D16" s="358" t="s">
        <v>122</v>
      </c>
      <c r="E16" s="359">
        <v>7</v>
      </c>
      <c r="F16" s="359">
        <v>2</v>
      </c>
      <c r="G16" s="359">
        <v>1215</v>
      </c>
      <c r="H16" s="360">
        <v>85</v>
      </c>
      <c r="I16" s="351">
        <f>MAX(TblRaces[[#This Row],[OffensePwr]:[DefensePwr]])*2</f>
        <v>14</v>
      </c>
      <c r="J16" s="361"/>
      <c r="K16" s="362"/>
      <c r="L16" s="362"/>
      <c r="M16" s="362"/>
      <c r="N16" s="362"/>
      <c r="O16" s="362"/>
      <c r="P16" s="362"/>
      <c r="Q16" s="362"/>
      <c r="R16" s="362"/>
      <c r="S16" s="362"/>
      <c r="T16" s="362"/>
      <c r="U16" s="362"/>
      <c r="V16" s="362"/>
      <c r="W16" s="359"/>
      <c r="X16" s="363"/>
      <c r="Y16" s="359"/>
      <c r="Z16" s="359"/>
      <c r="AA16" s="364"/>
    </row>
    <row r="17" spans="1:27" s="357" customFormat="1" ht="19.5" customHeight="1" x14ac:dyDescent="0.2">
      <c r="A17" s="357" t="s">
        <v>92</v>
      </c>
      <c r="B17" s="365" t="s">
        <v>98</v>
      </c>
      <c r="C17" s="357" t="s">
        <v>58</v>
      </c>
      <c r="D17" s="366" t="s">
        <v>123</v>
      </c>
      <c r="E17" s="367">
        <v>3</v>
      </c>
      <c r="F17" s="367"/>
      <c r="G17" s="367">
        <v>300</v>
      </c>
      <c r="H17" s="357">
        <v>0</v>
      </c>
      <c r="I17" s="365">
        <v>5</v>
      </c>
      <c r="J17" s="368">
        <v>-0.05</v>
      </c>
      <c r="K17" s="369"/>
      <c r="L17" s="369"/>
      <c r="M17" s="369"/>
      <c r="N17" s="369"/>
      <c r="O17" s="369"/>
      <c r="P17" s="369"/>
      <c r="Q17" s="369"/>
      <c r="R17" s="369"/>
      <c r="S17" s="369"/>
      <c r="T17" s="368"/>
      <c r="U17" s="369"/>
      <c r="V17" s="369"/>
      <c r="W17" s="95"/>
      <c r="X17" s="355"/>
      <c r="Y17" s="367"/>
      <c r="Z17" s="367"/>
      <c r="AA17" s="356"/>
    </row>
    <row r="18" spans="1:27" ht="19.5" customHeight="1" x14ac:dyDescent="0.2">
      <c r="A18" s="297" t="s">
        <v>92</v>
      </c>
      <c r="B18" s="351" t="s">
        <v>98</v>
      </c>
      <c r="C18" s="297" t="s">
        <v>58</v>
      </c>
      <c r="D18" s="352" t="s">
        <v>1130</v>
      </c>
      <c r="F18" s="95">
        <v>3</v>
      </c>
      <c r="G18" s="95">
        <v>275</v>
      </c>
      <c r="H18" s="297">
        <v>10</v>
      </c>
      <c r="I18" s="351">
        <v>5</v>
      </c>
      <c r="J18" s="353"/>
      <c r="K18" s="354"/>
      <c r="L18" s="354"/>
      <c r="M18" s="354"/>
      <c r="N18" s="354"/>
      <c r="O18" s="354"/>
      <c r="P18" s="354"/>
      <c r="Q18" s="354"/>
      <c r="R18" s="354"/>
      <c r="S18" s="354"/>
      <c r="T18" s="354"/>
      <c r="U18" s="354"/>
      <c r="V18" s="354"/>
      <c r="W18" s="95"/>
      <c r="X18" s="355"/>
      <c r="Y18" s="95"/>
      <c r="Z18" s="95"/>
      <c r="AA18" s="356"/>
    </row>
    <row r="19" spans="1:27" ht="19.5" customHeight="1" x14ac:dyDescent="0.2">
      <c r="A19" s="297" t="s">
        <v>92</v>
      </c>
      <c r="B19" s="351" t="s">
        <v>98</v>
      </c>
      <c r="C19" s="297" t="s">
        <v>58</v>
      </c>
      <c r="D19" s="352" t="s">
        <v>1131</v>
      </c>
      <c r="E19" s="95">
        <v>0</v>
      </c>
      <c r="F19" s="95">
        <v>5</v>
      </c>
      <c r="G19" s="95">
        <v>1275</v>
      </c>
      <c r="H19" s="297">
        <v>0</v>
      </c>
      <c r="I19" s="351">
        <f>MAX(TblRaces[[#This Row],[OffensePwr]:[DefensePwr]])*2</f>
        <v>10</v>
      </c>
      <c r="J19" s="353"/>
      <c r="K19" s="354"/>
      <c r="L19" s="354"/>
      <c r="M19" s="354"/>
      <c r="N19" s="354"/>
      <c r="O19" s="354"/>
      <c r="P19" s="354"/>
      <c r="Q19" s="354"/>
      <c r="R19" s="354"/>
      <c r="S19" s="354"/>
      <c r="T19" s="354"/>
      <c r="U19" s="354"/>
      <c r="V19" s="354"/>
      <c r="W19" s="95"/>
      <c r="X19" s="355"/>
      <c r="Y19" s="95"/>
      <c r="Z19" s="95"/>
      <c r="AA19" s="356"/>
    </row>
    <row r="20" spans="1:27" s="360" customFormat="1" ht="19.5" customHeight="1" x14ac:dyDescent="0.2">
      <c r="A20" s="360" t="s">
        <v>92</v>
      </c>
      <c r="B20" s="370" t="s">
        <v>98</v>
      </c>
      <c r="C20" s="360" t="s">
        <v>58</v>
      </c>
      <c r="D20" s="358" t="s">
        <v>125</v>
      </c>
      <c r="E20" s="359">
        <v>4</v>
      </c>
      <c r="F20" s="359">
        <v>2</v>
      </c>
      <c r="G20" s="359">
        <v>1075</v>
      </c>
      <c r="H20" s="360">
        <v>0</v>
      </c>
      <c r="I20" s="351">
        <f>MAX(TblRaces[[#This Row],[OffensePwr]:[DefensePwr]])*2</f>
        <v>8</v>
      </c>
      <c r="J20" s="361"/>
      <c r="K20" s="362"/>
      <c r="L20" s="362"/>
      <c r="M20" s="362"/>
      <c r="N20" s="362"/>
      <c r="O20" s="362"/>
      <c r="P20" s="362"/>
      <c r="Q20" s="362"/>
      <c r="R20" s="362"/>
      <c r="S20" s="362"/>
      <c r="T20" s="362"/>
      <c r="U20" s="362"/>
      <c r="V20" s="362"/>
      <c r="W20" s="359"/>
      <c r="X20" s="363"/>
      <c r="Y20" s="359"/>
      <c r="Z20" s="359"/>
      <c r="AA20" s="364"/>
    </row>
    <row r="21" spans="1:27" s="357" customFormat="1" ht="19.5" customHeight="1" x14ac:dyDescent="0.2">
      <c r="A21" s="357" t="s">
        <v>93</v>
      </c>
      <c r="B21" s="365" t="s">
        <v>98</v>
      </c>
      <c r="C21" s="357" t="s">
        <v>244</v>
      </c>
      <c r="D21" s="366" t="s">
        <v>126</v>
      </c>
      <c r="E21" s="367">
        <v>3</v>
      </c>
      <c r="F21" s="367"/>
      <c r="G21" s="367">
        <v>275</v>
      </c>
      <c r="H21" s="357">
        <v>15</v>
      </c>
      <c r="I21" s="365">
        <v>5</v>
      </c>
      <c r="J21" s="368">
        <v>0.05</v>
      </c>
      <c r="K21" s="369"/>
      <c r="L21" s="369"/>
      <c r="M21" s="369"/>
      <c r="N21" s="369"/>
      <c r="O21" s="369"/>
      <c r="P21" s="369"/>
      <c r="Q21" s="369"/>
      <c r="R21" s="369">
        <v>-0.3</v>
      </c>
      <c r="S21" s="369">
        <v>0.1</v>
      </c>
      <c r="T21" s="369"/>
      <c r="U21" s="369">
        <v>0.3</v>
      </c>
      <c r="V21" s="369"/>
      <c r="W21" s="95"/>
      <c r="X21" s="355"/>
      <c r="Y21" s="367"/>
      <c r="Z21" s="367"/>
      <c r="AA21" s="356"/>
    </row>
    <row r="22" spans="1:27" ht="19.5" customHeight="1" x14ac:dyDescent="0.2">
      <c r="A22" s="297" t="s">
        <v>93</v>
      </c>
      <c r="B22" s="351" t="s">
        <v>98</v>
      </c>
      <c r="C22" s="297" t="s">
        <v>244</v>
      </c>
      <c r="D22" s="352" t="s">
        <v>127</v>
      </c>
      <c r="F22" s="95">
        <v>3</v>
      </c>
      <c r="G22" s="95">
        <v>300</v>
      </c>
      <c r="H22" s="297">
        <v>0</v>
      </c>
      <c r="I22" s="351">
        <v>5</v>
      </c>
      <c r="J22" s="353"/>
      <c r="K22" s="354"/>
      <c r="L22" s="354"/>
      <c r="M22" s="354"/>
      <c r="N22" s="354"/>
      <c r="O22" s="354"/>
      <c r="P22" s="354"/>
      <c r="Q22" s="354"/>
      <c r="R22" s="354"/>
      <c r="S22" s="354"/>
      <c r="T22" s="354"/>
      <c r="U22" s="354"/>
      <c r="V22" s="354"/>
      <c r="W22" s="95"/>
      <c r="X22" s="355"/>
      <c r="Y22" s="95"/>
      <c r="Z22" s="95"/>
      <c r="AA22" s="356"/>
    </row>
    <row r="23" spans="1:27" ht="19.5" customHeight="1" x14ac:dyDescent="0.2">
      <c r="A23" s="297" t="s">
        <v>93</v>
      </c>
      <c r="B23" s="351" t="s">
        <v>98</v>
      </c>
      <c r="C23" s="297" t="s">
        <v>244</v>
      </c>
      <c r="D23" s="352" t="s">
        <v>129</v>
      </c>
      <c r="E23" s="95">
        <v>2</v>
      </c>
      <c r="F23" s="95">
        <v>4</v>
      </c>
      <c r="G23" s="95">
        <v>900</v>
      </c>
      <c r="H23" s="297">
        <v>30</v>
      </c>
      <c r="I23" s="351">
        <f>MAX(TblRaces[[#This Row],[OffensePwr]:[DefensePwr]])*2</f>
        <v>8</v>
      </c>
      <c r="J23" s="353"/>
      <c r="K23" s="95"/>
      <c r="L23" s="95"/>
      <c r="M23" s="95"/>
      <c r="N23" s="95"/>
      <c r="O23" s="95"/>
      <c r="P23" s="95"/>
      <c r="Q23" s="354"/>
      <c r="R23" s="354"/>
      <c r="S23" s="354"/>
      <c r="T23" s="354"/>
      <c r="U23" s="354"/>
      <c r="V23" s="354"/>
      <c r="W23" s="95"/>
      <c r="X23" s="355"/>
      <c r="Y23" s="95"/>
      <c r="Z23" s="95"/>
      <c r="AA23" s="356"/>
    </row>
    <row r="24" spans="1:27" s="360" customFormat="1" ht="19.5" customHeight="1" x14ac:dyDescent="0.2">
      <c r="A24" s="360" t="s">
        <v>93</v>
      </c>
      <c r="B24" s="370" t="s">
        <v>98</v>
      </c>
      <c r="C24" s="360" t="s">
        <v>244</v>
      </c>
      <c r="D24" s="352" t="s">
        <v>128</v>
      </c>
      <c r="E24" s="95">
        <v>5</v>
      </c>
      <c r="F24" s="95">
        <v>3</v>
      </c>
      <c r="G24" s="95">
        <v>900</v>
      </c>
      <c r="H24" s="297">
        <v>25</v>
      </c>
      <c r="I24" s="351">
        <f>MAX(TblRaces[[#This Row],[OffensePwr]:[DefensePwr]])*2</f>
        <v>10</v>
      </c>
      <c r="J24" s="361"/>
      <c r="K24" s="362"/>
      <c r="L24" s="362"/>
      <c r="M24" s="362"/>
      <c r="N24" s="362"/>
      <c r="O24" s="362"/>
      <c r="P24" s="362"/>
      <c r="Q24" s="362"/>
      <c r="R24" s="362"/>
      <c r="S24" s="362"/>
      <c r="T24" s="362"/>
      <c r="U24" s="362"/>
      <c r="V24" s="362"/>
      <c r="W24" s="359"/>
      <c r="X24" s="363"/>
      <c r="Y24" s="359"/>
      <c r="Z24" s="359"/>
      <c r="AA24" s="364"/>
    </row>
    <row r="25" spans="1:27" s="357" customFormat="1" ht="19.5" customHeight="1" x14ac:dyDescent="0.2">
      <c r="A25" s="357" t="s">
        <v>94</v>
      </c>
      <c r="B25" s="365" t="s">
        <v>98</v>
      </c>
      <c r="C25" s="357" t="s">
        <v>245</v>
      </c>
      <c r="D25" s="366" t="s">
        <v>130</v>
      </c>
      <c r="E25" s="367">
        <v>4</v>
      </c>
      <c r="F25" s="367"/>
      <c r="G25" s="367">
        <v>200</v>
      </c>
      <c r="H25" s="357">
        <v>50</v>
      </c>
      <c r="I25" s="365">
        <v>5</v>
      </c>
      <c r="J25" s="368">
        <v>-0.05</v>
      </c>
      <c r="K25" s="369"/>
      <c r="L25" s="369"/>
      <c r="M25" s="369"/>
      <c r="N25" s="369"/>
      <c r="O25" s="369"/>
      <c r="P25" s="369"/>
      <c r="Q25" s="369">
        <v>0.05</v>
      </c>
      <c r="R25" s="369">
        <v>-0.2</v>
      </c>
      <c r="S25" s="369"/>
      <c r="T25" s="368">
        <v>7.4999999999999997E-2</v>
      </c>
      <c r="U25" s="369"/>
      <c r="V25" s="369"/>
      <c r="W25" s="95"/>
      <c r="X25" s="355"/>
      <c r="Y25" s="367"/>
      <c r="Z25" s="369">
        <v>0.05</v>
      </c>
      <c r="AA25" s="356"/>
    </row>
    <row r="26" spans="1:27" ht="19.5" customHeight="1" x14ac:dyDescent="0.2">
      <c r="A26" s="297" t="s">
        <v>94</v>
      </c>
      <c r="B26" s="351" t="s">
        <v>98</v>
      </c>
      <c r="C26" s="297" t="s">
        <v>245</v>
      </c>
      <c r="D26" s="352" t="s">
        <v>131</v>
      </c>
      <c r="F26" s="95">
        <v>3</v>
      </c>
      <c r="G26" s="95">
        <v>300</v>
      </c>
      <c r="H26" s="297">
        <v>5</v>
      </c>
      <c r="I26" s="351">
        <v>5</v>
      </c>
      <c r="J26" s="353"/>
      <c r="K26" s="354"/>
      <c r="L26" s="354"/>
      <c r="M26" s="354"/>
      <c r="N26" s="354"/>
      <c r="O26" s="354"/>
      <c r="P26" s="354"/>
      <c r="Q26" s="354"/>
      <c r="R26" s="354"/>
      <c r="S26" s="354"/>
      <c r="T26" s="354"/>
      <c r="U26" s="354"/>
      <c r="V26" s="354"/>
      <c r="W26" s="95"/>
      <c r="X26" s="355"/>
      <c r="Y26" s="95"/>
      <c r="Z26" s="95"/>
      <c r="AA26" s="356"/>
    </row>
    <row r="27" spans="1:27" ht="19.5" customHeight="1" x14ac:dyDescent="0.2">
      <c r="A27" s="297" t="s">
        <v>94</v>
      </c>
      <c r="B27" s="351" t="s">
        <v>98</v>
      </c>
      <c r="C27" s="297" t="s">
        <v>245</v>
      </c>
      <c r="D27" s="352" t="s">
        <v>132</v>
      </c>
      <c r="E27" s="95">
        <v>2</v>
      </c>
      <c r="F27" s="95">
        <v>4</v>
      </c>
      <c r="G27" s="95">
        <v>675</v>
      </c>
      <c r="H27" s="297">
        <v>330</v>
      </c>
      <c r="I27" s="351">
        <f>MAX(TblRaces[[#This Row],[OffensePwr]:[DefensePwr]])*2</f>
        <v>8</v>
      </c>
      <c r="J27" s="353"/>
      <c r="K27" s="354"/>
      <c r="L27" s="354"/>
      <c r="M27" s="354"/>
      <c r="N27" s="354"/>
      <c r="O27" s="354"/>
      <c r="P27" s="354"/>
      <c r="Q27" s="354"/>
      <c r="R27" s="354"/>
      <c r="S27" s="354"/>
      <c r="T27" s="354"/>
      <c r="U27" s="354"/>
      <c r="V27" s="354"/>
      <c r="W27" s="95"/>
      <c r="X27" s="355"/>
      <c r="Y27" s="95"/>
      <c r="Z27" s="95"/>
      <c r="AA27" s="356"/>
    </row>
    <row r="28" spans="1:27" s="360" customFormat="1" ht="19.5" customHeight="1" x14ac:dyDescent="0.2">
      <c r="A28" s="360" t="s">
        <v>94</v>
      </c>
      <c r="B28" s="370" t="s">
        <v>98</v>
      </c>
      <c r="C28" s="360" t="s">
        <v>245</v>
      </c>
      <c r="D28" s="358" t="s">
        <v>133</v>
      </c>
      <c r="E28" s="359">
        <v>6.5</v>
      </c>
      <c r="F28" s="359">
        <v>3</v>
      </c>
      <c r="G28" s="359">
        <v>750</v>
      </c>
      <c r="H28" s="360">
        <v>550</v>
      </c>
      <c r="I28" s="351">
        <v>14</v>
      </c>
      <c r="J28" s="361"/>
      <c r="K28" s="362"/>
      <c r="L28" s="362"/>
      <c r="M28" s="362"/>
      <c r="N28" s="362"/>
      <c r="O28" s="362"/>
      <c r="P28" s="362"/>
      <c r="Q28" s="362"/>
      <c r="R28" s="362"/>
      <c r="S28" s="362"/>
      <c r="T28" s="362"/>
      <c r="U28" s="362"/>
      <c r="V28" s="362"/>
      <c r="W28" s="359"/>
      <c r="X28" s="363"/>
      <c r="Y28" s="359"/>
      <c r="Z28" s="359"/>
      <c r="AA28" s="364"/>
    </row>
    <row r="29" spans="1:27" s="357" customFormat="1" ht="19.5" customHeight="1" x14ac:dyDescent="0.2">
      <c r="A29" s="357" t="s">
        <v>95</v>
      </c>
      <c r="B29" s="365" t="s">
        <v>98</v>
      </c>
      <c r="C29" s="357" t="s">
        <v>62</v>
      </c>
      <c r="D29" s="366" t="s">
        <v>1104</v>
      </c>
      <c r="E29" s="367">
        <v>3</v>
      </c>
      <c r="F29" s="367"/>
      <c r="G29" s="367">
        <v>285</v>
      </c>
      <c r="H29" s="357">
        <v>0</v>
      </c>
      <c r="I29" s="365">
        <v>5</v>
      </c>
      <c r="J29" s="368"/>
      <c r="K29" s="369"/>
      <c r="L29" s="369"/>
      <c r="M29" s="369">
        <v>0.05</v>
      </c>
      <c r="N29" s="369">
        <v>-0.15</v>
      </c>
      <c r="O29" s="369"/>
      <c r="P29" s="369"/>
      <c r="Q29" s="369">
        <v>-0.1</v>
      </c>
      <c r="R29" s="369"/>
      <c r="S29" s="369"/>
      <c r="T29" s="368">
        <v>7.4999999999999997E-2</v>
      </c>
      <c r="U29" s="369"/>
      <c r="V29" s="369"/>
      <c r="W29" s="95"/>
      <c r="X29" s="355"/>
      <c r="Y29" s="367"/>
      <c r="Z29" s="367"/>
      <c r="AA29" s="446"/>
    </row>
    <row r="30" spans="1:27" ht="19.5" customHeight="1" x14ac:dyDescent="0.2">
      <c r="A30" s="297" t="s">
        <v>95</v>
      </c>
      <c r="B30" s="351" t="s">
        <v>98</v>
      </c>
      <c r="C30" s="297" t="s">
        <v>62</v>
      </c>
      <c r="D30" s="352" t="s">
        <v>135</v>
      </c>
      <c r="F30" s="95">
        <v>3</v>
      </c>
      <c r="G30" s="95">
        <v>300</v>
      </c>
      <c r="H30" s="297">
        <v>0</v>
      </c>
      <c r="I30" s="351">
        <v>5</v>
      </c>
      <c r="J30" s="353"/>
      <c r="K30" s="354"/>
      <c r="L30" s="354"/>
      <c r="M30" s="354"/>
      <c r="N30" s="354"/>
      <c r="O30" s="354"/>
      <c r="P30" s="354"/>
      <c r="Q30" s="354"/>
      <c r="R30" s="354"/>
      <c r="S30" s="354"/>
      <c r="T30" s="354"/>
      <c r="U30" s="354"/>
      <c r="V30" s="354"/>
      <c r="W30" s="95"/>
      <c r="X30" s="355"/>
      <c r="Y30" s="95"/>
      <c r="Z30" s="95"/>
      <c r="AA30" s="356"/>
    </row>
    <row r="31" spans="1:27" ht="19.5" customHeight="1" x14ac:dyDescent="0.2">
      <c r="A31" s="297" t="s">
        <v>95</v>
      </c>
      <c r="B31" s="351" t="s">
        <v>98</v>
      </c>
      <c r="C31" s="297" t="s">
        <v>62</v>
      </c>
      <c r="D31" s="352" t="s">
        <v>136</v>
      </c>
      <c r="E31" s="95">
        <v>0</v>
      </c>
      <c r="F31" s="95">
        <v>7</v>
      </c>
      <c r="G31" s="95">
        <v>1350</v>
      </c>
      <c r="H31" s="297">
        <v>0</v>
      </c>
      <c r="I31" s="351">
        <f>MAX(TblRaces[[#This Row],[OffensePwr]:[DefensePwr]])*2</f>
        <v>14</v>
      </c>
      <c r="J31" s="353"/>
      <c r="K31" s="95"/>
      <c r="L31" s="95"/>
      <c r="M31" s="95"/>
      <c r="N31" s="95"/>
      <c r="O31" s="95"/>
      <c r="P31" s="95"/>
      <c r="Q31" s="354"/>
      <c r="R31" s="354"/>
      <c r="S31" s="354"/>
      <c r="T31" s="354"/>
      <c r="U31" s="354"/>
      <c r="V31" s="354"/>
      <c r="W31" s="95"/>
      <c r="X31" s="355"/>
      <c r="Y31" s="95"/>
      <c r="Z31" s="95"/>
      <c r="AA31" s="356"/>
    </row>
    <row r="32" spans="1:27" s="360" customFormat="1" ht="19.5" customHeight="1" x14ac:dyDescent="0.2">
      <c r="A32" s="360" t="s">
        <v>95</v>
      </c>
      <c r="B32" s="370" t="s">
        <v>98</v>
      </c>
      <c r="C32" s="360" t="s">
        <v>62</v>
      </c>
      <c r="D32" s="352" t="s">
        <v>134</v>
      </c>
      <c r="E32" s="95">
        <v>4</v>
      </c>
      <c r="F32" s="95">
        <v>2</v>
      </c>
      <c r="G32" s="95">
        <v>600</v>
      </c>
      <c r="H32" s="297">
        <v>0</v>
      </c>
      <c r="I32" s="351">
        <f>MAX(TblRaces[[#This Row],[OffensePwr]:[DefensePwr]])*2</f>
        <v>8</v>
      </c>
      <c r="J32" s="361"/>
      <c r="K32" s="362"/>
      <c r="L32" s="362"/>
      <c r="M32" s="362"/>
      <c r="N32" s="362"/>
      <c r="O32" s="362"/>
      <c r="P32" s="362"/>
      <c r="Q32" s="362"/>
      <c r="R32" s="362"/>
      <c r="S32" s="362"/>
      <c r="T32" s="362"/>
      <c r="U32" s="362"/>
      <c r="V32" s="362"/>
      <c r="W32" s="359"/>
      <c r="X32" s="363"/>
      <c r="Y32" s="359"/>
      <c r="Z32" s="359"/>
      <c r="AA32" s="364"/>
    </row>
    <row r="33" spans="1:27" s="357" customFormat="1" ht="19.5" customHeight="1" x14ac:dyDescent="0.2">
      <c r="A33" s="357" t="s">
        <v>96</v>
      </c>
      <c r="B33" s="365" t="s">
        <v>98</v>
      </c>
      <c r="C33" s="357" t="s">
        <v>58</v>
      </c>
      <c r="D33" s="366" t="s">
        <v>137</v>
      </c>
      <c r="E33" s="367">
        <v>3</v>
      </c>
      <c r="F33" s="367"/>
      <c r="G33" s="367">
        <v>275</v>
      </c>
      <c r="H33" s="357">
        <v>0</v>
      </c>
      <c r="I33" s="365">
        <v>5</v>
      </c>
      <c r="J33" s="368"/>
      <c r="K33" s="369"/>
      <c r="L33" s="369"/>
      <c r="M33" s="369">
        <v>0.1</v>
      </c>
      <c r="N33" s="369">
        <v>0.2</v>
      </c>
      <c r="O33" s="369"/>
      <c r="P33" s="369"/>
      <c r="Q33" s="369"/>
      <c r="R33" s="369"/>
      <c r="S33" s="369"/>
      <c r="T33" s="369"/>
      <c r="U33" s="369"/>
      <c r="V33" s="369"/>
      <c r="W33" s="95"/>
      <c r="X33" s="355"/>
      <c r="Y33" s="367"/>
      <c r="Z33" s="367"/>
      <c r="AA33" s="356"/>
    </row>
    <row r="34" spans="1:27" ht="19.5" customHeight="1" x14ac:dyDescent="0.2">
      <c r="A34" s="297" t="s">
        <v>96</v>
      </c>
      <c r="B34" s="351" t="s">
        <v>98</v>
      </c>
      <c r="C34" s="297" t="s">
        <v>58</v>
      </c>
      <c r="D34" s="352" t="s">
        <v>138</v>
      </c>
      <c r="F34" s="95">
        <v>3</v>
      </c>
      <c r="G34" s="95">
        <v>300</v>
      </c>
      <c r="H34" s="297">
        <v>0</v>
      </c>
      <c r="I34" s="351">
        <v>5</v>
      </c>
      <c r="J34" s="353"/>
      <c r="K34" s="354"/>
      <c r="L34" s="354"/>
      <c r="M34" s="354"/>
      <c r="N34" s="354"/>
      <c r="O34" s="354"/>
      <c r="P34" s="354"/>
      <c r="Q34" s="354"/>
      <c r="R34" s="354"/>
      <c r="S34" s="354"/>
      <c r="T34" s="354"/>
      <c r="U34" s="354"/>
      <c r="V34" s="354"/>
      <c r="W34" s="95"/>
      <c r="X34" s="355"/>
      <c r="Y34" s="95"/>
      <c r="Z34" s="95"/>
      <c r="AA34" s="356"/>
    </row>
    <row r="35" spans="1:27" ht="19.5" customHeight="1" x14ac:dyDescent="0.2">
      <c r="A35" s="297" t="s">
        <v>96</v>
      </c>
      <c r="B35" s="351" t="s">
        <v>98</v>
      </c>
      <c r="C35" s="297" t="s">
        <v>58</v>
      </c>
      <c r="D35" s="352" t="s">
        <v>139</v>
      </c>
      <c r="E35" s="95">
        <v>0</v>
      </c>
      <c r="F35" s="95">
        <v>3</v>
      </c>
      <c r="G35" s="95">
        <v>1050</v>
      </c>
      <c r="H35" s="297">
        <v>0</v>
      </c>
      <c r="I35" s="351">
        <f>MAX(TblRaces[[#This Row],[OffensePwr]:[DefensePwr]])*2</f>
        <v>6</v>
      </c>
      <c r="J35" s="353"/>
      <c r="K35" s="354"/>
      <c r="L35" s="354"/>
      <c r="M35" s="354"/>
      <c r="N35" s="354"/>
      <c r="O35" s="354"/>
      <c r="P35" s="354"/>
      <c r="Q35" s="354"/>
      <c r="R35" s="354"/>
      <c r="S35" s="354"/>
      <c r="T35" s="354"/>
      <c r="U35" s="354"/>
      <c r="V35" s="354"/>
      <c r="W35" s="95"/>
      <c r="X35" s="355"/>
      <c r="Y35" s="95"/>
      <c r="Z35" s="95"/>
      <c r="AA35" s="356"/>
    </row>
    <row r="36" spans="1:27" s="360" customFormat="1" ht="19.5" customHeight="1" x14ac:dyDescent="0.2">
      <c r="A36" s="360" t="s">
        <v>96</v>
      </c>
      <c r="B36" s="370" t="s">
        <v>98</v>
      </c>
      <c r="C36" s="360" t="s">
        <v>58</v>
      </c>
      <c r="D36" s="358" t="s">
        <v>140</v>
      </c>
      <c r="E36" s="359">
        <v>5.5</v>
      </c>
      <c r="F36" s="359">
        <v>2</v>
      </c>
      <c r="G36" s="359">
        <v>960</v>
      </c>
      <c r="H36" s="360">
        <v>20</v>
      </c>
      <c r="I36" s="351">
        <f>MAX(TblRaces[[#This Row],[OffensePwr]:[DefensePwr]])*2</f>
        <v>11</v>
      </c>
      <c r="J36" s="361"/>
      <c r="K36" s="362"/>
      <c r="L36" s="362"/>
      <c r="M36" s="362"/>
      <c r="N36" s="362"/>
      <c r="O36" s="362"/>
      <c r="P36" s="362"/>
      <c r="Q36" s="362"/>
      <c r="R36" s="362"/>
      <c r="S36" s="362"/>
      <c r="T36" s="362"/>
      <c r="U36" s="362"/>
      <c r="V36" s="362"/>
      <c r="W36" s="359"/>
      <c r="X36" s="363"/>
      <c r="Y36" s="359"/>
      <c r="Z36" s="359"/>
      <c r="AA36" s="364"/>
    </row>
    <row r="37" spans="1:27" s="357" customFormat="1" ht="19.5" customHeight="1" x14ac:dyDescent="0.2">
      <c r="A37" s="357" t="s">
        <v>97</v>
      </c>
      <c r="B37" s="365" t="s">
        <v>30</v>
      </c>
      <c r="C37" s="357" t="s">
        <v>244</v>
      </c>
      <c r="D37" s="366" t="s">
        <v>141</v>
      </c>
      <c r="E37" s="367">
        <v>3</v>
      </c>
      <c r="F37" s="367"/>
      <c r="G37" s="367">
        <v>325</v>
      </c>
      <c r="H37" s="357">
        <v>25</v>
      </c>
      <c r="I37" s="365">
        <v>5</v>
      </c>
      <c r="J37" s="368">
        <v>0.2</v>
      </c>
      <c r="K37" s="369"/>
      <c r="L37" s="369"/>
      <c r="M37" s="369"/>
      <c r="N37" s="369"/>
      <c r="O37" s="369"/>
      <c r="P37" s="369"/>
      <c r="Q37" s="369"/>
      <c r="R37" s="369"/>
      <c r="S37" s="369"/>
      <c r="T37" s="369"/>
      <c r="U37" s="369"/>
      <c r="V37" s="369"/>
      <c r="W37" s="354">
        <v>0.15</v>
      </c>
      <c r="X37" s="355"/>
      <c r="Y37" s="367"/>
      <c r="Z37" s="367"/>
      <c r="AA37" s="356"/>
    </row>
    <row r="38" spans="1:27" ht="19.5" customHeight="1" x14ac:dyDescent="0.2">
      <c r="A38" s="297" t="s">
        <v>97</v>
      </c>
      <c r="B38" s="351" t="s">
        <v>30</v>
      </c>
      <c r="C38" s="297" t="s">
        <v>244</v>
      </c>
      <c r="D38" s="352" t="s">
        <v>142</v>
      </c>
      <c r="F38" s="95">
        <v>3</v>
      </c>
      <c r="G38" s="95">
        <v>380</v>
      </c>
      <c r="H38" s="297">
        <v>15</v>
      </c>
      <c r="I38" s="351">
        <v>5</v>
      </c>
      <c r="J38" s="353"/>
      <c r="K38" s="354"/>
      <c r="L38" s="354"/>
      <c r="M38" s="354"/>
      <c r="N38" s="354"/>
      <c r="O38" s="354"/>
      <c r="P38" s="354"/>
      <c r="Q38" s="354"/>
      <c r="R38" s="354"/>
      <c r="S38" s="354"/>
      <c r="T38" s="354"/>
      <c r="U38" s="354"/>
      <c r="V38" s="354"/>
      <c r="W38" s="95"/>
      <c r="X38" s="355"/>
      <c r="Y38" s="95"/>
      <c r="Z38" s="95"/>
      <c r="AA38" s="356"/>
    </row>
    <row r="39" spans="1:27" ht="19.5" customHeight="1" x14ac:dyDescent="0.2">
      <c r="A39" s="297" t="s">
        <v>97</v>
      </c>
      <c r="B39" s="351" t="s">
        <v>30</v>
      </c>
      <c r="C39" s="297" t="s">
        <v>244</v>
      </c>
      <c r="D39" s="352" t="s">
        <v>354</v>
      </c>
      <c r="E39" s="95">
        <v>5</v>
      </c>
      <c r="F39" s="95">
        <v>3</v>
      </c>
      <c r="G39" s="95">
        <v>1015</v>
      </c>
      <c r="H39" s="297">
        <v>80</v>
      </c>
      <c r="I39" s="351">
        <f>MAX(TblRaces[[#This Row],[OffensePwr]:[DefensePwr]])*2</f>
        <v>10</v>
      </c>
      <c r="J39" s="353"/>
      <c r="K39" s="354"/>
      <c r="L39" s="354"/>
      <c r="M39" s="354"/>
      <c r="N39" s="354"/>
      <c r="O39" s="354"/>
      <c r="P39" s="354"/>
      <c r="Q39" s="354"/>
      <c r="R39" s="354"/>
      <c r="S39" s="354"/>
      <c r="T39" s="354"/>
      <c r="U39" s="354"/>
      <c r="V39" s="354"/>
      <c r="W39" s="95"/>
      <c r="X39" s="355"/>
      <c r="Y39" s="95"/>
      <c r="Z39" s="95"/>
      <c r="AA39" s="356"/>
    </row>
    <row r="40" spans="1:27" s="360" customFormat="1" ht="19.5" customHeight="1" x14ac:dyDescent="0.2">
      <c r="A40" s="360" t="s">
        <v>97</v>
      </c>
      <c r="B40" s="370" t="s">
        <v>30</v>
      </c>
      <c r="C40" s="360" t="s">
        <v>244</v>
      </c>
      <c r="D40" s="358" t="s">
        <v>144</v>
      </c>
      <c r="E40" s="359">
        <v>6</v>
      </c>
      <c r="F40" s="359">
        <v>2</v>
      </c>
      <c r="G40" s="359">
        <v>1300</v>
      </c>
      <c r="H40" s="360">
        <v>110</v>
      </c>
      <c r="I40" s="351">
        <f>MAX(TblRaces[[#This Row],[OffensePwr]:[DefensePwr]])*2</f>
        <v>12</v>
      </c>
      <c r="J40" s="361"/>
      <c r="K40" s="362"/>
      <c r="L40" s="362"/>
      <c r="M40" s="362"/>
      <c r="N40" s="362"/>
      <c r="O40" s="362"/>
      <c r="P40" s="362"/>
      <c r="Q40" s="362"/>
      <c r="R40" s="362"/>
      <c r="S40" s="362"/>
      <c r="T40" s="362"/>
      <c r="U40" s="362"/>
      <c r="V40" s="362"/>
      <c r="W40" s="359"/>
      <c r="X40" s="363"/>
      <c r="Y40" s="359"/>
      <c r="Z40" s="359"/>
      <c r="AA40" s="364"/>
    </row>
    <row r="41" spans="1:27" s="357" customFormat="1" ht="19.5" customHeight="1" x14ac:dyDescent="0.2">
      <c r="A41" s="357" t="s">
        <v>29</v>
      </c>
      <c r="B41" s="365" t="s">
        <v>30</v>
      </c>
      <c r="C41" s="357" t="s">
        <v>243</v>
      </c>
      <c r="D41" s="366" t="s">
        <v>39</v>
      </c>
      <c r="E41" s="367">
        <v>4</v>
      </c>
      <c r="F41" s="367"/>
      <c r="G41" s="367">
        <v>350</v>
      </c>
      <c r="H41" s="357">
        <v>25</v>
      </c>
      <c r="I41" s="365">
        <v>5</v>
      </c>
      <c r="J41" s="368">
        <v>-0.05</v>
      </c>
      <c r="K41" s="369"/>
      <c r="L41" s="369"/>
      <c r="M41" s="369"/>
      <c r="N41" s="369"/>
      <c r="O41" s="369"/>
      <c r="P41" s="369"/>
      <c r="Q41" s="369"/>
      <c r="R41" s="369">
        <v>0.05</v>
      </c>
      <c r="S41" s="369"/>
      <c r="T41" s="369">
        <v>0.05</v>
      </c>
      <c r="U41" s="369">
        <v>-0.1</v>
      </c>
      <c r="V41" s="369"/>
      <c r="W41" s="95"/>
      <c r="X41" s="355"/>
      <c r="Y41" s="367"/>
      <c r="Z41" s="367"/>
      <c r="AA41" s="356"/>
    </row>
    <row r="42" spans="1:27" ht="19.5" customHeight="1" x14ac:dyDescent="0.2">
      <c r="A42" s="297" t="s">
        <v>29</v>
      </c>
      <c r="B42" s="351" t="s">
        <v>30</v>
      </c>
      <c r="C42" s="297" t="s">
        <v>243</v>
      </c>
      <c r="D42" s="352" t="s">
        <v>40</v>
      </c>
      <c r="F42" s="95">
        <v>3</v>
      </c>
      <c r="G42" s="95">
        <v>300</v>
      </c>
      <c r="H42" s="297">
        <v>25</v>
      </c>
      <c r="I42" s="351">
        <v>5</v>
      </c>
      <c r="J42" s="353"/>
      <c r="K42" s="354"/>
      <c r="L42" s="354"/>
      <c r="M42" s="354"/>
      <c r="N42" s="354"/>
      <c r="O42" s="354"/>
      <c r="P42" s="354"/>
      <c r="Q42" s="354"/>
      <c r="R42" s="354"/>
      <c r="S42" s="354"/>
      <c r="T42" s="354"/>
      <c r="U42" s="354"/>
      <c r="V42" s="354"/>
      <c r="W42" s="95"/>
      <c r="X42" s="355"/>
      <c r="Y42" s="95"/>
      <c r="Z42" s="95"/>
      <c r="AA42" s="356"/>
    </row>
    <row r="43" spans="1:27" ht="19.5" customHeight="1" x14ac:dyDescent="0.2">
      <c r="A43" s="297" t="s">
        <v>29</v>
      </c>
      <c r="B43" s="351" t="s">
        <v>30</v>
      </c>
      <c r="C43" s="297" t="s">
        <v>243</v>
      </c>
      <c r="D43" s="352" t="s">
        <v>41</v>
      </c>
      <c r="E43" s="95">
        <v>7</v>
      </c>
      <c r="F43" s="95">
        <v>7</v>
      </c>
      <c r="G43" s="95">
        <v>1415</v>
      </c>
      <c r="H43" s="297">
        <v>150</v>
      </c>
      <c r="I43" s="351">
        <f>MAX(TblRaces[[#This Row],[OffensePwr]:[DefensePwr]])*2</f>
        <v>14</v>
      </c>
      <c r="J43" s="353"/>
      <c r="K43" s="354"/>
      <c r="L43" s="354"/>
      <c r="M43" s="354"/>
      <c r="N43" s="354"/>
      <c r="O43" s="354"/>
      <c r="P43" s="354"/>
      <c r="Q43" s="354"/>
      <c r="R43" s="354"/>
      <c r="S43" s="354"/>
      <c r="T43" s="354"/>
      <c r="U43" s="354"/>
      <c r="V43" s="354"/>
      <c r="W43" s="95"/>
      <c r="X43" s="355"/>
      <c r="Y43" s="95"/>
      <c r="Z43" s="95"/>
      <c r="AA43" s="356"/>
    </row>
    <row r="44" spans="1:27" s="360" customFormat="1" ht="19.5" customHeight="1" x14ac:dyDescent="0.2">
      <c r="A44" s="360" t="s">
        <v>29</v>
      </c>
      <c r="B44" s="370" t="s">
        <v>30</v>
      </c>
      <c r="C44" s="360" t="s">
        <v>243</v>
      </c>
      <c r="D44" s="358" t="s">
        <v>42</v>
      </c>
      <c r="E44" s="359">
        <v>7</v>
      </c>
      <c r="F44" s="359">
        <v>7</v>
      </c>
      <c r="G44" s="359">
        <v>1415</v>
      </c>
      <c r="H44" s="360">
        <v>150</v>
      </c>
      <c r="I44" s="351">
        <f>MAX(TblRaces[[#This Row],[OffensePwr]:[DefensePwr]])*2</f>
        <v>14</v>
      </c>
      <c r="J44" s="361"/>
      <c r="K44" s="362"/>
      <c r="L44" s="362"/>
      <c r="M44" s="362"/>
      <c r="N44" s="362"/>
      <c r="O44" s="362"/>
      <c r="P44" s="362"/>
      <c r="Q44" s="362"/>
      <c r="R44" s="362"/>
      <c r="S44" s="362"/>
      <c r="T44" s="362"/>
      <c r="U44" s="362"/>
      <c r="V44" s="362"/>
      <c r="W44" s="359"/>
      <c r="X44" s="363"/>
      <c r="Y44" s="359"/>
      <c r="Z44" s="359"/>
      <c r="AA44" s="364"/>
    </row>
    <row r="45" spans="1:27" s="357" customFormat="1" ht="19.5" customHeight="1" x14ac:dyDescent="0.2">
      <c r="A45" s="357" t="s">
        <v>99</v>
      </c>
      <c r="B45" s="365" t="s">
        <v>30</v>
      </c>
      <c r="C45" s="357" t="s">
        <v>242</v>
      </c>
      <c r="D45" s="366" t="s">
        <v>145</v>
      </c>
      <c r="E45" s="367">
        <v>4</v>
      </c>
      <c r="F45" s="367"/>
      <c r="G45" s="367">
        <v>460</v>
      </c>
      <c r="H45" s="357">
        <v>25</v>
      </c>
      <c r="I45" s="365">
        <v>5</v>
      </c>
      <c r="J45" s="368">
        <v>-0.05</v>
      </c>
      <c r="K45" s="369"/>
      <c r="L45" s="369"/>
      <c r="M45" s="369"/>
      <c r="N45" s="369"/>
      <c r="O45" s="369"/>
      <c r="P45" s="369"/>
      <c r="Q45" s="369">
        <v>0.05</v>
      </c>
      <c r="R45" s="369"/>
      <c r="S45" s="369"/>
      <c r="T45" s="369"/>
      <c r="U45" s="369"/>
      <c r="V45" s="369"/>
      <c r="W45" s="95"/>
      <c r="X45" s="355"/>
      <c r="Y45" s="367"/>
      <c r="Z45" s="367"/>
      <c r="AA45" s="356"/>
    </row>
    <row r="46" spans="1:27" ht="19.5" customHeight="1" x14ac:dyDescent="0.2">
      <c r="A46" s="297" t="s">
        <v>99</v>
      </c>
      <c r="B46" s="351" t="s">
        <v>30</v>
      </c>
      <c r="C46" s="297" t="s">
        <v>242</v>
      </c>
      <c r="D46" s="352" t="s">
        <v>146</v>
      </c>
      <c r="F46" s="95">
        <v>3</v>
      </c>
      <c r="G46" s="95">
        <v>300</v>
      </c>
      <c r="H46" s="297">
        <v>15</v>
      </c>
      <c r="I46" s="351">
        <v>5</v>
      </c>
      <c r="J46" s="353"/>
      <c r="K46" s="354"/>
      <c r="L46" s="354"/>
      <c r="M46" s="354"/>
      <c r="N46" s="354"/>
      <c r="O46" s="354"/>
      <c r="P46" s="354"/>
      <c r="Q46" s="354"/>
      <c r="R46" s="354"/>
      <c r="S46" s="354"/>
      <c r="T46" s="354"/>
      <c r="U46" s="354"/>
      <c r="V46" s="354"/>
      <c r="W46" s="95"/>
      <c r="X46" s="355"/>
      <c r="Y46" s="95"/>
      <c r="Z46" s="95"/>
      <c r="AA46" s="356"/>
    </row>
    <row r="47" spans="1:27" ht="19.5" customHeight="1" x14ac:dyDescent="0.2">
      <c r="A47" s="297" t="s">
        <v>99</v>
      </c>
      <c r="B47" s="351" t="s">
        <v>30</v>
      </c>
      <c r="C47" s="297" t="s">
        <v>242</v>
      </c>
      <c r="D47" s="352" t="s">
        <v>147</v>
      </c>
      <c r="E47" s="95">
        <v>0</v>
      </c>
      <c r="F47" s="95">
        <v>6</v>
      </c>
      <c r="G47" s="95">
        <v>1150</v>
      </c>
      <c r="H47" s="297">
        <v>60</v>
      </c>
      <c r="I47" s="351">
        <f>MAX(TblRaces[[#This Row],[OffensePwr]:[DefensePwr]])*2</f>
        <v>12</v>
      </c>
      <c r="J47" s="353"/>
      <c r="K47" s="354"/>
      <c r="L47" s="354"/>
      <c r="M47" s="354"/>
      <c r="N47" s="354"/>
      <c r="O47" s="354"/>
      <c r="P47" s="354"/>
      <c r="Q47" s="354"/>
      <c r="R47" s="354"/>
      <c r="S47" s="354"/>
      <c r="T47" s="354"/>
      <c r="U47" s="354"/>
      <c r="V47" s="354"/>
      <c r="W47" s="95"/>
      <c r="X47" s="355"/>
      <c r="Y47" s="95"/>
      <c r="Z47" s="95"/>
      <c r="AA47" s="356"/>
    </row>
    <row r="48" spans="1:27" s="360" customFormat="1" ht="19.5" customHeight="1" x14ac:dyDescent="0.2">
      <c r="A48" s="360" t="s">
        <v>99</v>
      </c>
      <c r="B48" s="370" t="s">
        <v>30</v>
      </c>
      <c r="C48" s="360" t="s">
        <v>242</v>
      </c>
      <c r="D48" s="358" t="s">
        <v>1066</v>
      </c>
      <c r="E48" s="359">
        <v>6.5</v>
      </c>
      <c r="F48" s="359">
        <v>3</v>
      </c>
      <c r="G48" s="359">
        <v>1200</v>
      </c>
      <c r="H48" s="360">
        <v>50</v>
      </c>
      <c r="I48" s="351">
        <f>MAX(TblRaces[[#This Row],[OffensePwr]:[DefensePwr]])*2</f>
        <v>13</v>
      </c>
      <c r="J48" s="361"/>
      <c r="K48" s="362"/>
      <c r="L48" s="362"/>
      <c r="M48" s="362"/>
      <c r="N48" s="362"/>
      <c r="O48" s="362"/>
      <c r="P48" s="362"/>
      <c r="Q48" s="362"/>
      <c r="R48" s="362"/>
      <c r="S48" s="362"/>
      <c r="T48" s="362"/>
      <c r="U48" s="362"/>
      <c r="V48" s="362"/>
      <c r="W48" s="359"/>
      <c r="X48" s="363"/>
      <c r="Y48" s="359"/>
      <c r="Z48" s="359"/>
      <c r="AA48" s="364"/>
    </row>
    <row r="49" spans="1:27" s="357" customFormat="1" ht="19.5" customHeight="1" x14ac:dyDescent="0.2">
      <c r="A49" s="357" t="s">
        <v>100</v>
      </c>
      <c r="B49" s="365" t="s">
        <v>30</v>
      </c>
      <c r="C49" s="357" t="s">
        <v>60</v>
      </c>
      <c r="D49" s="366" t="s">
        <v>1112</v>
      </c>
      <c r="E49" s="367">
        <v>3</v>
      </c>
      <c r="F49" s="367"/>
      <c r="G49" s="367">
        <v>200</v>
      </c>
      <c r="H49" s="357">
        <v>25</v>
      </c>
      <c r="I49" s="365">
        <v>5</v>
      </c>
      <c r="J49" s="368">
        <v>2.5000000000000001E-2</v>
      </c>
      <c r="K49" s="369"/>
      <c r="L49" s="369"/>
      <c r="M49" s="369"/>
      <c r="N49" s="369"/>
      <c r="O49" s="369">
        <v>0.2</v>
      </c>
      <c r="P49" s="369"/>
      <c r="Q49" s="369"/>
      <c r="R49" s="369">
        <v>-0.5</v>
      </c>
      <c r="S49" s="369"/>
      <c r="T49" s="369"/>
      <c r="U49" s="369"/>
      <c r="V49" s="369"/>
      <c r="W49" s="95"/>
      <c r="X49" s="355"/>
      <c r="Y49" s="367"/>
      <c r="Z49" s="367"/>
      <c r="AA49" s="356"/>
    </row>
    <row r="50" spans="1:27" ht="19.5" customHeight="1" x14ac:dyDescent="0.2">
      <c r="A50" s="297" t="s">
        <v>100</v>
      </c>
      <c r="B50" s="351" t="s">
        <v>30</v>
      </c>
      <c r="C50" s="297" t="s">
        <v>60</v>
      </c>
      <c r="D50" s="352" t="s">
        <v>1100</v>
      </c>
      <c r="F50" s="95">
        <v>4</v>
      </c>
      <c r="G50" s="95">
        <v>750</v>
      </c>
      <c r="H50" s="297">
        <v>10</v>
      </c>
      <c r="I50" s="351">
        <v>5</v>
      </c>
      <c r="J50" s="353"/>
      <c r="K50" s="354"/>
      <c r="L50" s="354"/>
      <c r="M50" s="354"/>
      <c r="N50" s="354"/>
      <c r="O50" s="354"/>
      <c r="P50" s="354"/>
      <c r="Q50" s="354"/>
      <c r="R50" s="354"/>
      <c r="S50" s="354"/>
      <c r="T50" s="354"/>
      <c r="U50" s="354"/>
      <c r="V50" s="354"/>
      <c r="W50" s="95"/>
      <c r="X50" s="355"/>
      <c r="Y50" s="95"/>
      <c r="Z50" s="95"/>
      <c r="AA50" s="356"/>
    </row>
    <row r="51" spans="1:27" ht="19.5" customHeight="1" x14ac:dyDescent="0.2">
      <c r="A51" s="297" t="s">
        <v>100</v>
      </c>
      <c r="B51" s="351" t="s">
        <v>30</v>
      </c>
      <c r="C51" s="297" t="s">
        <v>60</v>
      </c>
      <c r="D51" s="352" t="s">
        <v>1113</v>
      </c>
      <c r="E51" s="95">
        <v>0</v>
      </c>
      <c r="F51" s="95">
        <v>6</v>
      </c>
      <c r="G51" s="95">
        <v>1150</v>
      </c>
      <c r="H51" s="297">
        <v>15</v>
      </c>
      <c r="I51" s="351">
        <f>MAX(TblRaces[[#This Row],[OffensePwr]:[DefensePwr]])*2</f>
        <v>12</v>
      </c>
      <c r="J51" s="353"/>
      <c r="K51" s="354"/>
      <c r="L51" s="354"/>
      <c r="M51" s="354"/>
      <c r="N51" s="354"/>
      <c r="O51" s="354"/>
      <c r="P51" s="354"/>
      <c r="Q51" s="354"/>
      <c r="R51" s="354"/>
      <c r="S51" s="354"/>
      <c r="T51" s="354"/>
      <c r="U51" s="354"/>
      <c r="V51" s="354"/>
      <c r="W51" s="95"/>
      <c r="X51" s="355"/>
      <c r="Y51" s="95"/>
      <c r="Z51" s="95"/>
      <c r="AA51" s="356"/>
    </row>
    <row r="52" spans="1:27" s="360" customFormat="1" ht="19.5" customHeight="1" x14ac:dyDescent="0.2">
      <c r="A52" s="360" t="s">
        <v>100</v>
      </c>
      <c r="B52" s="370" t="s">
        <v>30</v>
      </c>
      <c r="C52" s="360" t="s">
        <v>60</v>
      </c>
      <c r="D52" s="358" t="s">
        <v>1114</v>
      </c>
      <c r="E52" s="359">
        <v>4</v>
      </c>
      <c r="F52" s="359">
        <v>3</v>
      </c>
      <c r="G52" s="359">
        <v>700</v>
      </c>
      <c r="H52" s="360">
        <v>0</v>
      </c>
      <c r="I52" s="351">
        <f>MAX(TblRaces[[#This Row],[OffensePwr]:[DefensePwr]])*2</f>
        <v>8</v>
      </c>
      <c r="J52" s="361"/>
      <c r="K52" s="362"/>
      <c r="L52" s="362"/>
      <c r="M52" s="362"/>
      <c r="N52" s="362"/>
      <c r="O52" s="362"/>
      <c r="P52" s="362"/>
      <c r="Q52" s="362"/>
      <c r="R52" s="362"/>
      <c r="S52" s="362"/>
      <c r="T52" s="362"/>
      <c r="U52" s="362"/>
      <c r="V52" s="362"/>
      <c r="W52" s="359"/>
      <c r="X52" s="363"/>
      <c r="Y52" s="359"/>
      <c r="Z52" s="359"/>
      <c r="AA52" s="364"/>
    </row>
    <row r="53" spans="1:27" s="357" customFormat="1" ht="19.5" customHeight="1" x14ac:dyDescent="0.2">
      <c r="A53" s="357" t="s">
        <v>101</v>
      </c>
      <c r="B53" s="365" t="s">
        <v>98</v>
      </c>
      <c r="C53" s="357" t="s">
        <v>62</v>
      </c>
      <c r="D53" s="366" t="s">
        <v>1127</v>
      </c>
      <c r="E53" s="367">
        <v>3</v>
      </c>
      <c r="F53" s="367"/>
      <c r="G53" s="367">
        <v>300</v>
      </c>
      <c r="H53" s="357">
        <v>10</v>
      </c>
      <c r="I53" s="365">
        <v>5</v>
      </c>
      <c r="J53" s="368"/>
      <c r="K53" s="369"/>
      <c r="L53" s="369"/>
      <c r="M53" s="369"/>
      <c r="N53" s="369"/>
      <c r="O53" s="369"/>
      <c r="P53" s="369"/>
      <c r="Q53" s="369"/>
      <c r="R53" s="369">
        <v>-0.9</v>
      </c>
      <c r="S53" s="369"/>
      <c r="T53" s="369"/>
      <c r="U53" s="369"/>
      <c r="V53" s="369"/>
      <c r="W53" s="95"/>
      <c r="X53" s="355"/>
      <c r="Y53" s="367"/>
      <c r="Z53" s="367"/>
      <c r="AA53" s="356"/>
    </row>
    <row r="54" spans="1:27" ht="19.5" customHeight="1" x14ac:dyDescent="0.2">
      <c r="A54" s="297" t="s">
        <v>101</v>
      </c>
      <c r="B54" s="351" t="s">
        <v>98</v>
      </c>
      <c r="C54" s="297" t="s">
        <v>62</v>
      </c>
      <c r="D54" s="352" t="s">
        <v>149</v>
      </c>
      <c r="F54" s="95">
        <v>3</v>
      </c>
      <c r="G54" s="95">
        <v>300</v>
      </c>
      <c r="H54" s="297">
        <v>10</v>
      </c>
      <c r="I54" s="351">
        <v>5</v>
      </c>
      <c r="J54" s="353"/>
      <c r="K54" s="354"/>
      <c r="L54" s="354"/>
      <c r="M54" s="354"/>
      <c r="N54" s="354"/>
      <c r="O54" s="354"/>
      <c r="P54" s="354"/>
      <c r="Q54" s="354"/>
      <c r="R54" s="354"/>
      <c r="S54" s="354"/>
      <c r="T54" s="354"/>
      <c r="U54" s="354"/>
      <c r="V54" s="354"/>
      <c r="W54" s="95"/>
      <c r="X54" s="355"/>
      <c r="Y54" s="95"/>
      <c r="Z54" s="95"/>
      <c r="AA54" s="356"/>
    </row>
    <row r="55" spans="1:27" ht="19.5" customHeight="1" x14ac:dyDescent="0.2">
      <c r="A55" s="297" t="s">
        <v>101</v>
      </c>
      <c r="B55" s="351" t="s">
        <v>98</v>
      </c>
      <c r="C55" s="297" t="s">
        <v>62</v>
      </c>
      <c r="D55" s="352" t="s">
        <v>1128</v>
      </c>
      <c r="E55" s="95">
        <v>3</v>
      </c>
      <c r="F55" s="95">
        <v>5</v>
      </c>
      <c r="G55" s="95">
        <v>1100</v>
      </c>
      <c r="H55" s="297">
        <v>25</v>
      </c>
      <c r="I55" s="351">
        <f>MAX(TblRaces[[#This Row],[OffensePwr]:[DefensePwr]])*2</f>
        <v>10</v>
      </c>
      <c r="J55" s="353"/>
      <c r="K55" s="354"/>
      <c r="L55" s="354"/>
      <c r="M55" s="354"/>
      <c r="N55" s="354"/>
      <c r="O55" s="354"/>
      <c r="P55" s="354"/>
      <c r="Q55" s="354"/>
      <c r="R55" s="354"/>
      <c r="S55" s="354"/>
      <c r="T55" s="354"/>
      <c r="U55" s="354"/>
      <c r="V55" s="354"/>
      <c r="W55" s="95"/>
      <c r="X55" s="355"/>
      <c r="Y55" s="95"/>
      <c r="Z55" s="95"/>
      <c r="AA55" s="356"/>
    </row>
    <row r="56" spans="1:27" s="360" customFormat="1" ht="19.5" customHeight="1" x14ac:dyDescent="0.2">
      <c r="A56" s="360" t="s">
        <v>101</v>
      </c>
      <c r="B56" s="370" t="s">
        <v>98</v>
      </c>
      <c r="C56" s="360" t="s">
        <v>62</v>
      </c>
      <c r="D56" s="358" t="s">
        <v>1129</v>
      </c>
      <c r="E56" s="359">
        <v>6</v>
      </c>
      <c r="F56" s="359">
        <v>0</v>
      </c>
      <c r="G56" s="359">
        <v>1075</v>
      </c>
      <c r="H56" s="360">
        <v>30</v>
      </c>
      <c r="I56" s="351">
        <v>13</v>
      </c>
      <c r="J56" s="361"/>
      <c r="K56" s="362"/>
      <c r="L56" s="362"/>
      <c r="M56" s="362"/>
      <c r="N56" s="362"/>
      <c r="O56" s="362"/>
      <c r="P56" s="362"/>
      <c r="Q56" s="362"/>
      <c r="R56" s="362"/>
      <c r="S56" s="362"/>
      <c r="T56" s="362"/>
      <c r="U56" s="362"/>
      <c r="V56" s="362"/>
      <c r="W56" s="359"/>
      <c r="X56" s="363"/>
      <c r="Y56" s="359"/>
      <c r="Z56" s="359"/>
      <c r="AA56" s="364"/>
    </row>
    <row r="57" spans="1:27" s="357" customFormat="1" ht="19.5" customHeight="1" x14ac:dyDescent="0.2">
      <c r="A57" s="357" t="s">
        <v>102</v>
      </c>
      <c r="B57" s="365" t="s">
        <v>30</v>
      </c>
      <c r="C57" s="357" t="s">
        <v>242</v>
      </c>
      <c r="D57" s="366" t="s">
        <v>150</v>
      </c>
      <c r="E57" s="367">
        <v>3</v>
      </c>
      <c r="F57" s="367"/>
      <c r="G57" s="367">
        <v>325</v>
      </c>
      <c r="H57" s="357">
        <v>25</v>
      </c>
      <c r="I57" s="365">
        <v>5</v>
      </c>
      <c r="J57" s="368">
        <v>0.1</v>
      </c>
      <c r="K57" s="369"/>
      <c r="L57" s="369"/>
      <c r="M57" s="369"/>
      <c r="N57" s="369"/>
      <c r="O57" s="369"/>
      <c r="P57" s="369"/>
      <c r="Q57" s="369"/>
      <c r="R57" s="369"/>
      <c r="S57" s="368">
        <v>0.05</v>
      </c>
      <c r="T57" s="369"/>
      <c r="U57" s="369"/>
      <c r="V57" s="369"/>
      <c r="W57" s="95"/>
      <c r="X57" s="355"/>
      <c r="Y57" s="367"/>
      <c r="Z57" s="367"/>
      <c r="AA57" s="356"/>
    </row>
    <row r="58" spans="1:27" ht="19.5" customHeight="1" x14ac:dyDescent="0.2">
      <c r="A58" s="297" t="s">
        <v>102</v>
      </c>
      <c r="B58" s="351" t="s">
        <v>30</v>
      </c>
      <c r="C58" s="297" t="s">
        <v>242</v>
      </c>
      <c r="D58" s="352" t="s">
        <v>151</v>
      </c>
      <c r="F58" s="95">
        <v>3</v>
      </c>
      <c r="G58" s="95">
        <v>250</v>
      </c>
      <c r="H58" s="297">
        <v>0</v>
      </c>
      <c r="I58" s="351">
        <v>5</v>
      </c>
      <c r="J58" s="353"/>
      <c r="K58" s="354"/>
      <c r="L58" s="354"/>
      <c r="M58" s="354"/>
      <c r="N58" s="354"/>
      <c r="O58" s="354"/>
      <c r="P58" s="354"/>
      <c r="Q58" s="354"/>
      <c r="R58" s="354"/>
      <c r="S58" s="354"/>
      <c r="T58" s="354"/>
      <c r="U58" s="354"/>
      <c r="V58" s="354"/>
      <c r="W58" s="95"/>
      <c r="X58" s="355"/>
      <c r="Y58" s="95"/>
      <c r="Z58" s="95"/>
      <c r="AA58" s="356"/>
    </row>
    <row r="59" spans="1:27" ht="19.5" customHeight="1" x14ac:dyDescent="0.2">
      <c r="A59" s="297" t="s">
        <v>102</v>
      </c>
      <c r="B59" s="351" t="s">
        <v>30</v>
      </c>
      <c r="C59" s="297" t="s">
        <v>242</v>
      </c>
      <c r="D59" s="352" t="s">
        <v>152</v>
      </c>
      <c r="E59" s="95">
        <v>3</v>
      </c>
      <c r="F59" s="95">
        <v>4</v>
      </c>
      <c r="G59" s="95">
        <v>850</v>
      </c>
      <c r="H59" s="297">
        <v>55</v>
      </c>
      <c r="I59" s="351">
        <f>MAX(TblRaces[[#This Row],[OffensePwr]:[DefensePwr]])*2</f>
        <v>8</v>
      </c>
      <c r="J59" s="353"/>
      <c r="K59" s="354"/>
      <c r="L59" s="354"/>
      <c r="M59" s="354"/>
      <c r="N59" s="354"/>
      <c r="O59" s="354"/>
      <c r="P59" s="354"/>
      <c r="Q59" s="354"/>
      <c r="R59" s="354"/>
      <c r="S59" s="354"/>
      <c r="T59" s="354"/>
      <c r="U59" s="354"/>
      <c r="V59" s="354"/>
      <c r="W59" s="95"/>
      <c r="X59" s="355"/>
      <c r="Y59" s="95"/>
      <c r="Z59" s="95"/>
      <c r="AA59" s="356"/>
    </row>
    <row r="60" spans="1:27" s="360" customFormat="1" ht="19.5" customHeight="1" x14ac:dyDescent="0.2">
      <c r="A60" s="360" t="s">
        <v>102</v>
      </c>
      <c r="B60" s="370" t="s">
        <v>30</v>
      </c>
      <c r="C60" s="360" t="s">
        <v>242</v>
      </c>
      <c r="D60" s="358" t="s">
        <v>153</v>
      </c>
      <c r="E60" s="359">
        <v>6</v>
      </c>
      <c r="F60" s="359">
        <v>0</v>
      </c>
      <c r="G60" s="359">
        <v>1115</v>
      </c>
      <c r="H60" s="360">
        <v>110</v>
      </c>
      <c r="I60" s="351">
        <f>MAX(TblRaces[[#This Row],[OffensePwr]:[DefensePwr]])*2</f>
        <v>12</v>
      </c>
      <c r="J60" s="361"/>
      <c r="K60" s="362"/>
      <c r="L60" s="362"/>
      <c r="M60" s="362"/>
      <c r="N60" s="362"/>
      <c r="O60" s="362"/>
      <c r="P60" s="362"/>
      <c r="Q60" s="362"/>
      <c r="R60" s="362"/>
      <c r="S60" s="362"/>
      <c r="T60" s="362"/>
      <c r="U60" s="362"/>
      <c r="V60" s="362"/>
      <c r="W60" s="359"/>
      <c r="X60" s="363"/>
      <c r="Y60" s="359"/>
      <c r="Z60" s="359"/>
      <c r="AA60" s="364"/>
    </row>
    <row r="61" spans="1:27" s="357" customFormat="1" ht="19.5" customHeight="1" x14ac:dyDescent="0.2">
      <c r="A61" s="357" t="s">
        <v>103</v>
      </c>
      <c r="B61" s="365" t="s">
        <v>98</v>
      </c>
      <c r="C61" s="357" t="s">
        <v>244</v>
      </c>
      <c r="D61" s="366" t="s">
        <v>154</v>
      </c>
      <c r="E61" s="367">
        <v>2.5</v>
      </c>
      <c r="F61" s="367"/>
      <c r="G61" s="367">
        <v>295</v>
      </c>
      <c r="H61" s="357">
        <v>25</v>
      </c>
      <c r="I61" s="365">
        <v>5</v>
      </c>
      <c r="J61" s="368">
        <v>0.3</v>
      </c>
      <c r="K61" s="369">
        <v>0.15</v>
      </c>
      <c r="L61" s="369"/>
      <c r="M61" s="369"/>
      <c r="N61" s="369"/>
      <c r="O61" s="369"/>
      <c r="P61" s="369"/>
      <c r="Q61" s="369"/>
      <c r="R61" s="369">
        <v>-0.25</v>
      </c>
      <c r="S61" s="369"/>
      <c r="T61" s="369"/>
      <c r="U61" s="369"/>
      <c r="V61" s="369"/>
      <c r="W61" s="95"/>
      <c r="X61" s="355"/>
      <c r="Y61" s="367"/>
      <c r="Z61" s="367"/>
      <c r="AA61" s="356"/>
    </row>
    <row r="62" spans="1:27" ht="19.5" customHeight="1" x14ac:dyDescent="0.2">
      <c r="A62" s="297" t="s">
        <v>103</v>
      </c>
      <c r="B62" s="351" t="s">
        <v>98</v>
      </c>
      <c r="C62" s="297" t="s">
        <v>244</v>
      </c>
      <c r="D62" s="352" t="s">
        <v>1101</v>
      </c>
      <c r="F62" s="95">
        <v>2.5</v>
      </c>
      <c r="G62" s="95">
        <v>325</v>
      </c>
      <c r="H62" s="297">
        <v>25</v>
      </c>
      <c r="I62" s="351">
        <v>5</v>
      </c>
      <c r="J62" s="353"/>
      <c r="K62" s="354"/>
      <c r="L62" s="354"/>
      <c r="M62" s="354"/>
      <c r="N62" s="354"/>
      <c r="O62" s="354"/>
      <c r="P62" s="354"/>
      <c r="Q62" s="354"/>
      <c r="R62" s="354"/>
      <c r="S62" s="354"/>
      <c r="T62" s="354"/>
      <c r="U62" s="354"/>
      <c r="V62" s="354"/>
      <c r="W62" s="95"/>
      <c r="X62" s="355"/>
      <c r="Y62" s="95"/>
      <c r="Z62" s="95"/>
      <c r="AA62" s="356"/>
    </row>
    <row r="63" spans="1:27" ht="19.5" customHeight="1" x14ac:dyDescent="0.2">
      <c r="A63" s="297" t="s">
        <v>103</v>
      </c>
      <c r="B63" s="351" t="s">
        <v>98</v>
      </c>
      <c r="C63" s="297" t="s">
        <v>244</v>
      </c>
      <c r="D63" s="352" t="s">
        <v>1102</v>
      </c>
      <c r="E63" s="95">
        <v>3</v>
      </c>
      <c r="F63" s="95">
        <v>3</v>
      </c>
      <c r="G63" s="95">
        <v>1350</v>
      </c>
      <c r="H63" s="297">
        <v>0</v>
      </c>
      <c r="I63" s="351">
        <v>10</v>
      </c>
      <c r="J63" s="353"/>
      <c r="K63" s="354"/>
      <c r="L63" s="354"/>
      <c r="M63" s="354"/>
      <c r="N63" s="354"/>
      <c r="O63" s="354"/>
      <c r="P63" s="354"/>
      <c r="Q63" s="354"/>
      <c r="R63" s="354"/>
      <c r="S63" s="354"/>
      <c r="T63" s="354"/>
      <c r="U63" s="354"/>
      <c r="V63" s="354"/>
      <c r="W63" s="95"/>
      <c r="X63" s="355"/>
      <c r="Y63" s="95"/>
      <c r="Z63" s="95"/>
      <c r="AA63" s="356"/>
    </row>
    <row r="64" spans="1:27" s="360" customFormat="1" ht="19.5" customHeight="1" x14ac:dyDescent="0.2">
      <c r="A64" s="360" t="s">
        <v>103</v>
      </c>
      <c r="B64" s="370" t="s">
        <v>98</v>
      </c>
      <c r="C64" s="360" t="s">
        <v>244</v>
      </c>
      <c r="D64" s="358" t="s">
        <v>155</v>
      </c>
      <c r="E64" s="359">
        <v>3</v>
      </c>
      <c r="F64" s="359">
        <v>2</v>
      </c>
      <c r="G64" s="359">
        <v>990</v>
      </c>
      <c r="H64" s="360">
        <v>50</v>
      </c>
      <c r="I64" s="351">
        <v>10</v>
      </c>
      <c r="J64" s="361"/>
      <c r="K64" s="362"/>
      <c r="L64" s="362"/>
      <c r="M64" s="362"/>
      <c r="N64" s="362"/>
      <c r="O64" s="362"/>
      <c r="P64" s="362"/>
      <c r="Q64" s="362"/>
      <c r="R64" s="362"/>
      <c r="S64" s="362"/>
      <c r="T64" s="362"/>
      <c r="U64" s="362"/>
      <c r="V64" s="362"/>
      <c r="W64" s="359"/>
      <c r="X64" s="363"/>
      <c r="Y64" s="359"/>
      <c r="Z64" s="359"/>
      <c r="AA64" s="364"/>
    </row>
    <row r="65" spans="1:27" s="357" customFormat="1" ht="19.5" customHeight="1" x14ac:dyDescent="0.2">
      <c r="A65" s="357" t="s">
        <v>104</v>
      </c>
      <c r="B65" s="365" t="s">
        <v>30</v>
      </c>
      <c r="C65" s="357" t="s">
        <v>62</v>
      </c>
      <c r="D65" s="366" t="s">
        <v>156</v>
      </c>
      <c r="E65" s="367">
        <v>3</v>
      </c>
      <c r="F65" s="367"/>
      <c r="G65" s="367">
        <v>275</v>
      </c>
      <c r="H65" s="357">
        <v>0</v>
      </c>
      <c r="I65" s="365">
        <v>5</v>
      </c>
      <c r="J65" s="368">
        <v>0.05</v>
      </c>
      <c r="K65" s="369"/>
      <c r="L65" s="369"/>
      <c r="M65" s="369"/>
      <c r="N65" s="369"/>
      <c r="O65" s="369"/>
      <c r="P65" s="369"/>
      <c r="Q65" s="369"/>
      <c r="R65" s="369">
        <v>-0.15</v>
      </c>
      <c r="S65" s="369"/>
      <c r="T65" s="369"/>
      <c r="U65" s="369">
        <v>0.1</v>
      </c>
      <c r="V65" s="369"/>
      <c r="W65" s="95"/>
      <c r="X65" s="355"/>
      <c r="Y65" s="367"/>
      <c r="Z65" s="367"/>
      <c r="AA65" s="356"/>
    </row>
    <row r="66" spans="1:27" ht="19.5" customHeight="1" x14ac:dyDescent="0.2">
      <c r="A66" s="297" t="s">
        <v>104</v>
      </c>
      <c r="B66" s="351" t="s">
        <v>30</v>
      </c>
      <c r="C66" s="297" t="s">
        <v>62</v>
      </c>
      <c r="D66" s="352" t="s">
        <v>157</v>
      </c>
      <c r="F66" s="95">
        <v>3</v>
      </c>
      <c r="G66" s="95">
        <v>275</v>
      </c>
      <c r="H66" s="297">
        <v>0</v>
      </c>
      <c r="I66" s="351">
        <v>5</v>
      </c>
      <c r="J66" s="353"/>
      <c r="K66" s="354"/>
      <c r="L66" s="354"/>
      <c r="M66" s="354"/>
      <c r="N66" s="354"/>
      <c r="O66" s="354"/>
      <c r="P66" s="354"/>
      <c r="Q66" s="354"/>
      <c r="R66" s="354"/>
      <c r="S66" s="354"/>
      <c r="T66" s="354"/>
      <c r="U66" s="354"/>
      <c r="V66" s="354"/>
      <c r="W66" s="95"/>
      <c r="X66" s="355"/>
      <c r="Y66" s="95"/>
      <c r="Z66" s="95"/>
      <c r="AA66" s="356"/>
    </row>
    <row r="67" spans="1:27" ht="19.5" customHeight="1" x14ac:dyDescent="0.2">
      <c r="A67" s="297" t="s">
        <v>104</v>
      </c>
      <c r="B67" s="351" t="s">
        <v>30</v>
      </c>
      <c r="C67" s="297" t="s">
        <v>62</v>
      </c>
      <c r="D67" s="352" t="s">
        <v>158</v>
      </c>
      <c r="E67" s="95">
        <v>4</v>
      </c>
      <c r="F67" s="95">
        <v>4</v>
      </c>
      <c r="G67" s="95">
        <v>900</v>
      </c>
      <c r="H67" s="297">
        <v>0</v>
      </c>
      <c r="I67" s="351">
        <f>MAX(TblRaces[[#This Row],[OffensePwr]:[DefensePwr]])*2</f>
        <v>8</v>
      </c>
      <c r="J67" s="353"/>
      <c r="K67" s="354"/>
      <c r="L67" s="354"/>
      <c r="M67" s="354"/>
      <c r="N67" s="354"/>
      <c r="O67" s="354"/>
      <c r="P67" s="354"/>
      <c r="Q67" s="354"/>
      <c r="R67" s="354"/>
      <c r="S67" s="354"/>
      <c r="T67" s="354"/>
      <c r="U67" s="354"/>
      <c r="V67" s="354"/>
      <c r="W67" s="95"/>
      <c r="X67" s="355"/>
      <c r="Y67" s="95"/>
      <c r="Z67" s="95"/>
      <c r="AA67" s="356"/>
    </row>
    <row r="68" spans="1:27" s="360" customFormat="1" ht="19.5" customHeight="1" x14ac:dyDescent="0.2">
      <c r="A68" s="360" t="s">
        <v>104</v>
      </c>
      <c r="B68" s="370" t="s">
        <v>30</v>
      </c>
      <c r="C68" s="360" t="s">
        <v>62</v>
      </c>
      <c r="D68" s="358" t="s">
        <v>159</v>
      </c>
      <c r="E68" s="359">
        <v>6</v>
      </c>
      <c r="F68" s="359">
        <v>2</v>
      </c>
      <c r="G68" s="359">
        <v>1075</v>
      </c>
      <c r="H68" s="360">
        <v>0</v>
      </c>
      <c r="I68" s="370">
        <f>MAX(TblRaces[[#This Row],[OffensePwr]:[DefensePwr]])*2</f>
        <v>12</v>
      </c>
      <c r="J68" s="361"/>
      <c r="K68" s="362"/>
      <c r="L68" s="362"/>
      <c r="M68" s="362"/>
      <c r="N68" s="362"/>
      <c r="O68" s="362"/>
      <c r="P68" s="362"/>
      <c r="Q68" s="362"/>
      <c r="R68" s="362"/>
      <c r="S68" s="362"/>
      <c r="T68" s="362"/>
      <c r="U68" s="362"/>
      <c r="V68" s="362"/>
      <c r="W68" s="359"/>
      <c r="X68" s="363"/>
      <c r="Y68" s="359"/>
      <c r="Z68" s="359"/>
      <c r="AA68" s="364"/>
    </row>
    <row r="69" spans="1:27" s="357" customFormat="1" ht="19.5" customHeight="1" x14ac:dyDescent="0.2">
      <c r="A69" s="357" t="s">
        <v>328</v>
      </c>
      <c r="B69" s="365" t="s">
        <v>30</v>
      </c>
      <c r="C69" s="357" t="s">
        <v>245</v>
      </c>
      <c r="D69" s="366" t="s">
        <v>329</v>
      </c>
      <c r="E69" s="367">
        <v>3</v>
      </c>
      <c r="F69" s="367"/>
      <c r="G69" s="367">
        <v>300</v>
      </c>
      <c r="H69" s="357">
        <v>0</v>
      </c>
      <c r="I69" s="365">
        <v>5</v>
      </c>
      <c r="J69" s="368"/>
      <c r="K69" s="369"/>
      <c r="L69" s="369"/>
      <c r="M69" s="369"/>
      <c r="N69" s="369">
        <v>-0.1</v>
      </c>
      <c r="O69" s="369"/>
      <c r="P69" s="369"/>
      <c r="Q69" s="369"/>
      <c r="R69" s="369">
        <v>-0.5</v>
      </c>
      <c r="S69" s="369">
        <v>0.05</v>
      </c>
      <c r="T69" s="369"/>
      <c r="U69" s="369"/>
      <c r="V69" s="369"/>
      <c r="W69" s="95"/>
      <c r="X69" s="355"/>
      <c r="Y69" s="367"/>
      <c r="Z69" s="367"/>
      <c r="AA69" s="356"/>
    </row>
    <row r="70" spans="1:27" ht="19.5" customHeight="1" x14ac:dyDescent="0.2">
      <c r="A70" s="297" t="s">
        <v>328</v>
      </c>
      <c r="B70" s="351" t="s">
        <v>30</v>
      </c>
      <c r="C70" s="297" t="s">
        <v>245</v>
      </c>
      <c r="D70" s="352" t="s">
        <v>330</v>
      </c>
      <c r="F70" s="95">
        <v>3</v>
      </c>
      <c r="G70" s="95">
        <v>350</v>
      </c>
      <c r="H70" s="297">
        <v>25</v>
      </c>
      <c r="I70" s="351">
        <v>5</v>
      </c>
      <c r="J70" s="353"/>
      <c r="K70" s="354"/>
      <c r="L70" s="354"/>
      <c r="M70" s="354"/>
      <c r="N70" s="354"/>
      <c r="O70" s="354"/>
      <c r="P70" s="354"/>
      <c r="Q70" s="354"/>
      <c r="R70" s="354"/>
      <c r="S70" s="354"/>
      <c r="T70" s="354"/>
      <c r="U70" s="354"/>
      <c r="V70" s="354"/>
      <c r="W70" s="95"/>
      <c r="X70" s="355"/>
      <c r="Y70" s="95"/>
      <c r="Z70" s="95"/>
      <c r="AA70" s="356"/>
    </row>
    <row r="71" spans="1:27" ht="19.5" customHeight="1" x14ac:dyDescent="0.2">
      <c r="A71" s="297" t="s">
        <v>328</v>
      </c>
      <c r="B71" s="351" t="s">
        <v>30</v>
      </c>
      <c r="C71" s="297" t="s">
        <v>245</v>
      </c>
      <c r="D71" s="352" t="s">
        <v>1103</v>
      </c>
      <c r="E71" s="95">
        <v>3</v>
      </c>
      <c r="F71" s="95">
        <v>3</v>
      </c>
      <c r="G71" s="95">
        <v>965</v>
      </c>
      <c r="H71" s="297">
        <v>100</v>
      </c>
      <c r="I71" s="351">
        <f>MAX(TblRaces[[#This Row],[OffensePwr]:[DefensePwr]])*2</f>
        <v>6</v>
      </c>
      <c r="J71" s="353"/>
      <c r="K71" s="354"/>
      <c r="L71" s="354"/>
      <c r="M71" s="354"/>
      <c r="N71" s="354"/>
      <c r="O71" s="354"/>
      <c r="P71" s="354"/>
      <c r="Q71" s="354"/>
      <c r="R71" s="354"/>
      <c r="S71" s="354"/>
      <c r="T71" s="354"/>
      <c r="U71" s="354"/>
      <c r="V71" s="354"/>
      <c r="W71" s="95"/>
      <c r="X71" s="355"/>
      <c r="Y71" s="95"/>
      <c r="Z71" s="95"/>
      <c r="AA71" s="356"/>
    </row>
    <row r="72" spans="1:27" s="360" customFormat="1" ht="19.5" customHeight="1" x14ac:dyDescent="0.2">
      <c r="A72" s="360" t="s">
        <v>328</v>
      </c>
      <c r="B72" s="370" t="s">
        <v>30</v>
      </c>
      <c r="C72" s="360" t="s">
        <v>245</v>
      </c>
      <c r="D72" s="358" t="s">
        <v>332</v>
      </c>
      <c r="E72" s="359">
        <v>4</v>
      </c>
      <c r="F72" s="359">
        <v>2</v>
      </c>
      <c r="G72" s="359">
        <v>1120</v>
      </c>
      <c r="H72" s="360">
        <v>0</v>
      </c>
      <c r="I72" s="370">
        <f>MAX(TblRaces[[#This Row],[OffensePwr]:[DefensePwr]])*2</f>
        <v>8</v>
      </c>
      <c r="J72" s="361"/>
      <c r="K72" s="362"/>
      <c r="L72" s="362"/>
      <c r="M72" s="362"/>
      <c r="N72" s="362"/>
      <c r="O72" s="362"/>
      <c r="P72" s="362"/>
      <c r="Q72" s="362"/>
      <c r="R72" s="362"/>
      <c r="S72" s="362"/>
      <c r="T72" s="362"/>
      <c r="U72" s="362"/>
      <c r="V72" s="362"/>
      <c r="W72" s="359"/>
      <c r="X72" s="363"/>
      <c r="Y72" s="359"/>
      <c r="Z72" s="359"/>
      <c r="AA72" s="364"/>
    </row>
    <row r="73" spans="1:27" ht="19.5" customHeight="1" x14ac:dyDescent="0.2">
      <c r="A73" s="357" t="s">
        <v>342</v>
      </c>
      <c r="B73" s="365" t="s">
        <v>98</v>
      </c>
      <c r="C73" s="357" t="s">
        <v>242</v>
      </c>
      <c r="D73" s="366" t="s">
        <v>336</v>
      </c>
      <c r="E73" s="367">
        <v>3</v>
      </c>
      <c r="F73" s="367"/>
      <c r="G73" s="367">
        <v>300</v>
      </c>
      <c r="H73" s="357">
        <v>0</v>
      </c>
      <c r="I73" s="365">
        <v>5</v>
      </c>
      <c r="J73" s="368">
        <v>0.05</v>
      </c>
      <c r="K73" s="369"/>
      <c r="L73" s="369"/>
      <c r="M73" s="369"/>
      <c r="N73" s="369"/>
      <c r="O73" s="369"/>
      <c r="P73" s="369"/>
      <c r="Q73" s="369">
        <v>0.15</v>
      </c>
      <c r="R73" s="369"/>
      <c r="S73" s="369"/>
      <c r="T73" s="369"/>
      <c r="U73" s="369"/>
      <c r="V73" s="369"/>
      <c r="W73" s="95"/>
      <c r="X73" s="355"/>
      <c r="Y73" s="434">
        <v>-0.1</v>
      </c>
      <c r="Z73" s="95"/>
      <c r="AA73" s="374"/>
    </row>
    <row r="74" spans="1:27" ht="19.5" customHeight="1" x14ac:dyDescent="0.2">
      <c r="A74" s="297" t="s">
        <v>342</v>
      </c>
      <c r="B74" s="351" t="s">
        <v>98</v>
      </c>
      <c r="C74" s="297" t="s">
        <v>242</v>
      </c>
      <c r="D74" s="352" t="s">
        <v>337</v>
      </c>
      <c r="F74" s="95">
        <v>3</v>
      </c>
      <c r="G74" s="95">
        <v>300</v>
      </c>
      <c r="H74" s="297">
        <v>0</v>
      </c>
      <c r="I74" s="351">
        <v>5</v>
      </c>
      <c r="J74" s="353"/>
      <c r="K74" s="354"/>
      <c r="L74" s="354"/>
      <c r="M74" s="354"/>
      <c r="N74" s="354"/>
      <c r="O74" s="354"/>
      <c r="P74" s="354"/>
      <c r="Q74" s="354"/>
      <c r="R74" s="354"/>
      <c r="S74" s="354"/>
      <c r="T74" s="354"/>
      <c r="U74" s="354"/>
      <c r="V74" s="354"/>
      <c r="W74" s="95"/>
      <c r="X74" s="355"/>
      <c r="Y74" s="95"/>
      <c r="Z74" s="95"/>
      <c r="AA74" s="356"/>
    </row>
    <row r="75" spans="1:27" ht="19.5" customHeight="1" x14ac:dyDescent="0.2">
      <c r="A75" s="297" t="s">
        <v>342</v>
      </c>
      <c r="B75" s="351" t="s">
        <v>98</v>
      </c>
      <c r="C75" s="297" t="s">
        <v>242</v>
      </c>
      <c r="D75" s="352" t="s">
        <v>338</v>
      </c>
      <c r="E75" s="95">
        <v>0</v>
      </c>
      <c r="F75" s="95">
        <v>4.5</v>
      </c>
      <c r="G75" s="95">
        <v>925</v>
      </c>
      <c r="H75" s="297">
        <v>0</v>
      </c>
      <c r="I75" s="351">
        <f>MAX(TblRaces[[#This Row],[OffensePwr]:[DefensePwr]])*2</f>
        <v>9</v>
      </c>
      <c r="J75" s="353"/>
      <c r="K75" s="354"/>
      <c r="L75" s="354"/>
      <c r="M75" s="354"/>
      <c r="N75" s="354"/>
      <c r="O75" s="354"/>
      <c r="P75" s="354"/>
      <c r="Q75" s="354"/>
      <c r="R75" s="354"/>
      <c r="S75" s="354"/>
      <c r="T75" s="354"/>
      <c r="U75" s="354"/>
      <c r="V75" s="354"/>
      <c r="W75" s="95"/>
      <c r="X75" s="355"/>
      <c r="Y75" s="95"/>
      <c r="Z75" s="95"/>
      <c r="AA75" s="356"/>
    </row>
    <row r="76" spans="1:27" ht="19.5" customHeight="1" x14ac:dyDescent="0.2">
      <c r="A76" s="360" t="s">
        <v>342</v>
      </c>
      <c r="B76" s="370" t="s">
        <v>98</v>
      </c>
      <c r="C76" s="360" t="s">
        <v>242</v>
      </c>
      <c r="D76" s="358" t="s">
        <v>339</v>
      </c>
      <c r="E76" s="359">
        <v>5</v>
      </c>
      <c r="F76" s="359">
        <v>3</v>
      </c>
      <c r="G76" s="359">
        <v>940</v>
      </c>
      <c r="H76" s="360">
        <v>0</v>
      </c>
      <c r="I76" s="370">
        <f>MAX(TblRaces[[#This Row],[OffensePwr]:[DefensePwr]])*2</f>
        <v>10</v>
      </c>
      <c r="J76" s="361"/>
      <c r="K76" s="362"/>
      <c r="L76" s="362"/>
      <c r="M76" s="362"/>
      <c r="N76" s="362"/>
      <c r="O76" s="362"/>
      <c r="P76" s="362"/>
      <c r="Q76" s="362"/>
      <c r="R76" s="362"/>
      <c r="S76" s="362"/>
      <c r="T76" s="362"/>
      <c r="U76" s="362"/>
      <c r="V76" s="362"/>
      <c r="W76" s="359"/>
      <c r="X76" s="363"/>
      <c r="Y76" s="359"/>
      <c r="Z76" s="95"/>
      <c r="AA76" s="364"/>
    </row>
    <row r="77" spans="1:27" ht="19.5" customHeight="1" x14ac:dyDescent="0.2">
      <c r="A77" s="357" t="s">
        <v>143</v>
      </c>
      <c r="B77" s="365" t="s">
        <v>30</v>
      </c>
      <c r="C77" s="371" t="s">
        <v>58</v>
      </c>
      <c r="D77" s="357" t="s">
        <v>355</v>
      </c>
      <c r="E77" s="367">
        <v>4</v>
      </c>
      <c r="F77" s="367"/>
      <c r="G77" s="367">
        <v>385</v>
      </c>
      <c r="H77" s="357">
        <v>30</v>
      </c>
      <c r="I77" s="365">
        <v>5</v>
      </c>
      <c r="J77" s="368"/>
      <c r="K77" s="369"/>
      <c r="L77" s="369"/>
      <c r="M77" s="369"/>
      <c r="N77" s="369">
        <v>0.5</v>
      </c>
      <c r="O77" s="369"/>
      <c r="P77" s="369"/>
      <c r="Q77" s="369"/>
      <c r="R77" s="369"/>
      <c r="S77" s="369"/>
      <c r="T77" s="369"/>
      <c r="U77" s="369"/>
      <c r="V77" s="369"/>
      <c r="W77" s="95"/>
      <c r="X77" s="355"/>
      <c r="Y77" s="95"/>
      <c r="Z77" s="367"/>
      <c r="AA77" s="356"/>
    </row>
    <row r="78" spans="1:27" ht="19.5" customHeight="1" x14ac:dyDescent="0.2">
      <c r="A78" s="297" t="s">
        <v>143</v>
      </c>
      <c r="B78" s="351" t="s">
        <v>30</v>
      </c>
      <c r="C78" s="372" t="s">
        <v>58</v>
      </c>
      <c r="D78" s="297" t="s">
        <v>324</v>
      </c>
      <c r="F78" s="95">
        <v>3</v>
      </c>
      <c r="G78" s="95">
        <v>300</v>
      </c>
      <c r="H78" s="297">
        <v>0</v>
      </c>
      <c r="I78" s="351">
        <v>5</v>
      </c>
      <c r="J78" s="353"/>
      <c r="K78" s="354"/>
      <c r="L78" s="354"/>
      <c r="M78" s="354"/>
      <c r="N78" s="354"/>
      <c r="O78" s="354"/>
      <c r="P78" s="354"/>
      <c r="Q78" s="354"/>
      <c r="R78" s="354"/>
      <c r="S78" s="354"/>
      <c r="T78" s="354"/>
      <c r="U78" s="354"/>
      <c r="V78" s="354"/>
      <c r="W78" s="95"/>
      <c r="X78" s="355"/>
      <c r="Y78" s="95"/>
      <c r="Z78" s="95"/>
      <c r="AA78" s="356"/>
    </row>
    <row r="79" spans="1:27" ht="19.5" customHeight="1" x14ac:dyDescent="0.2">
      <c r="A79" s="297" t="s">
        <v>143</v>
      </c>
      <c r="B79" s="351" t="s">
        <v>30</v>
      </c>
      <c r="C79" s="372" t="s">
        <v>58</v>
      </c>
      <c r="D79" s="297" t="s">
        <v>1105</v>
      </c>
      <c r="E79" s="95">
        <v>0</v>
      </c>
      <c r="F79" s="95">
        <v>5</v>
      </c>
      <c r="G79" s="95">
        <v>965</v>
      </c>
      <c r="H79" s="297">
        <v>0</v>
      </c>
      <c r="I79" s="351">
        <f>MAX(TblRaces[[#This Row],[OffensePwr]:[DefensePwr]])*2</f>
        <v>10</v>
      </c>
      <c r="J79" s="353"/>
      <c r="K79" s="354"/>
      <c r="L79" s="354"/>
      <c r="M79" s="354"/>
      <c r="N79" s="354"/>
      <c r="O79" s="354"/>
      <c r="P79" s="354"/>
      <c r="Q79" s="354"/>
      <c r="R79" s="354"/>
      <c r="S79" s="354"/>
      <c r="T79" s="354"/>
      <c r="U79" s="354"/>
      <c r="V79" s="354"/>
      <c r="W79" s="95"/>
      <c r="X79" s="355"/>
      <c r="Y79" s="95"/>
      <c r="Z79" s="95"/>
      <c r="AA79" s="356"/>
    </row>
    <row r="80" spans="1:27" ht="19.5" customHeight="1" x14ac:dyDescent="0.2">
      <c r="A80" s="360" t="s">
        <v>143</v>
      </c>
      <c r="B80" s="370" t="s">
        <v>30</v>
      </c>
      <c r="C80" s="373" t="s">
        <v>58</v>
      </c>
      <c r="D80" s="360" t="s">
        <v>356</v>
      </c>
      <c r="E80" s="359">
        <v>4</v>
      </c>
      <c r="F80" s="359">
        <v>3</v>
      </c>
      <c r="G80" s="359">
        <v>1150</v>
      </c>
      <c r="H80" s="360">
        <v>120</v>
      </c>
      <c r="I80" s="370">
        <f>MAX(TblRaces[[#This Row],[OffensePwr]:[DefensePwr]])*2</f>
        <v>8</v>
      </c>
      <c r="J80" s="361"/>
      <c r="K80" s="362"/>
      <c r="L80" s="362"/>
      <c r="M80" s="362"/>
      <c r="N80" s="362"/>
      <c r="O80" s="362"/>
      <c r="P80" s="362"/>
      <c r="Q80" s="362"/>
      <c r="R80" s="362"/>
      <c r="S80" s="362"/>
      <c r="T80" s="362"/>
      <c r="U80" s="362"/>
      <c r="V80" s="362"/>
      <c r="W80" s="359"/>
      <c r="X80" s="363"/>
      <c r="Y80" s="359"/>
      <c r="Z80" s="359"/>
      <c r="AA80" s="364"/>
    </row>
    <row r="81" spans="1:27" ht="19.5" customHeight="1" x14ac:dyDescent="0.2">
      <c r="A81" s="357" t="s">
        <v>498</v>
      </c>
      <c r="B81" s="365" t="s">
        <v>30</v>
      </c>
      <c r="C81" s="371" t="s">
        <v>60</v>
      </c>
      <c r="D81" s="357" t="s">
        <v>420</v>
      </c>
      <c r="E81" s="367">
        <v>3</v>
      </c>
      <c r="F81" s="367"/>
      <c r="G81" s="367">
        <v>300</v>
      </c>
      <c r="H81" s="357">
        <v>0</v>
      </c>
      <c r="I81" s="365">
        <v>5</v>
      </c>
      <c r="J81" s="368"/>
      <c r="K81" s="369"/>
      <c r="L81" s="369"/>
      <c r="M81" s="369"/>
      <c r="N81" s="369"/>
      <c r="O81" s="369">
        <v>0.1</v>
      </c>
      <c r="P81" s="369"/>
      <c r="Q81" s="369"/>
      <c r="R81" s="369">
        <v>-0.2</v>
      </c>
      <c r="S81" s="369"/>
      <c r="T81" s="369"/>
      <c r="U81" s="369"/>
      <c r="V81" s="369"/>
      <c r="W81" s="95"/>
      <c r="X81" s="355"/>
      <c r="Y81" s="95"/>
      <c r="Z81" s="354"/>
      <c r="AA81" s="374"/>
    </row>
    <row r="82" spans="1:27" ht="19.5" customHeight="1" x14ac:dyDescent="0.2">
      <c r="A82" s="297" t="s">
        <v>498</v>
      </c>
      <c r="B82" s="351" t="s">
        <v>30</v>
      </c>
      <c r="C82" s="372" t="s">
        <v>60</v>
      </c>
      <c r="D82" s="297" t="s">
        <v>421</v>
      </c>
      <c r="F82" s="95">
        <v>3</v>
      </c>
      <c r="G82" s="95">
        <v>325</v>
      </c>
      <c r="H82" s="297">
        <v>8</v>
      </c>
      <c r="I82" s="351">
        <v>5</v>
      </c>
      <c r="J82" s="353"/>
      <c r="K82" s="354"/>
      <c r="L82" s="354"/>
      <c r="M82" s="354"/>
      <c r="N82" s="354"/>
      <c r="O82" s="354"/>
      <c r="P82" s="354"/>
      <c r="Q82" s="354"/>
      <c r="R82" s="354"/>
      <c r="S82" s="354"/>
      <c r="T82" s="354"/>
      <c r="U82" s="354"/>
      <c r="V82" s="354"/>
      <c r="W82" s="95"/>
      <c r="X82" s="355"/>
      <c r="Y82" s="95"/>
      <c r="Z82" s="95"/>
      <c r="AA82" s="356"/>
    </row>
    <row r="83" spans="1:27" ht="19.5" customHeight="1" x14ac:dyDescent="0.2">
      <c r="A83" s="297" t="s">
        <v>498</v>
      </c>
      <c r="B83" s="351" t="s">
        <v>30</v>
      </c>
      <c r="C83" s="372" t="s">
        <v>60</v>
      </c>
      <c r="D83" s="297" t="s">
        <v>422</v>
      </c>
      <c r="E83" s="95">
        <v>0</v>
      </c>
      <c r="F83" s="95">
        <v>2</v>
      </c>
      <c r="G83" s="95">
        <v>975</v>
      </c>
      <c r="H83" s="297">
        <v>25</v>
      </c>
      <c r="I83" s="351">
        <f>MAX(TblRaces[[#This Row],[OffensePwr]:[DefensePwr]])*2</f>
        <v>4</v>
      </c>
      <c r="J83" s="353"/>
      <c r="K83" s="354"/>
      <c r="L83" s="354"/>
      <c r="M83" s="354"/>
      <c r="N83" s="354"/>
      <c r="O83" s="354"/>
      <c r="P83" s="354"/>
      <c r="Q83" s="354"/>
      <c r="R83" s="354"/>
      <c r="S83" s="354"/>
      <c r="T83" s="354"/>
      <c r="U83" s="354"/>
      <c r="V83" s="354"/>
      <c r="W83" s="95"/>
      <c r="X83" s="355"/>
      <c r="Y83" s="95"/>
      <c r="Z83" s="95"/>
      <c r="AA83" s="356"/>
    </row>
    <row r="84" spans="1:27" ht="19.5" customHeight="1" x14ac:dyDescent="0.2">
      <c r="A84" s="360" t="s">
        <v>498</v>
      </c>
      <c r="B84" s="370" t="s">
        <v>30</v>
      </c>
      <c r="C84" s="373" t="s">
        <v>60</v>
      </c>
      <c r="D84" s="360" t="s">
        <v>423</v>
      </c>
      <c r="E84" s="359">
        <v>5</v>
      </c>
      <c r="F84" s="359">
        <v>2</v>
      </c>
      <c r="G84" s="359">
        <v>970</v>
      </c>
      <c r="H84" s="360">
        <v>0</v>
      </c>
      <c r="I84" s="370">
        <f>MAX(TblRaces[[#This Row],[OffensePwr]:[DefensePwr]])*2</f>
        <v>10</v>
      </c>
      <c r="J84" s="361"/>
      <c r="K84" s="362"/>
      <c r="L84" s="362"/>
      <c r="M84" s="362"/>
      <c r="N84" s="362"/>
      <c r="O84" s="362"/>
      <c r="P84" s="362"/>
      <c r="Q84" s="362"/>
      <c r="R84" s="362"/>
      <c r="S84" s="362"/>
      <c r="T84" s="362"/>
      <c r="U84" s="362"/>
      <c r="V84" s="362"/>
      <c r="W84" s="359"/>
      <c r="X84" s="363"/>
      <c r="Y84" s="359"/>
      <c r="Z84" s="359"/>
      <c r="AA84" s="364"/>
    </row>
    <row r="85" spans="1:27" ht="19.5" customHeight="1" x14ac:dyDescent="0.2">
      <c r="A85" s="297" t="s">
        <v>1118</v>
      </c>
      <c r="B85" s="351" t="s">
        <v>30</v>
      </c>
      <c r="C85" s="372" t="s">
        <v>60</v>
      </c>
      <c r="D85" s="297" t="s">
        <v>1119</v>
      </c>
      <c r="E85" s="95">
        <v>3</v>
      </c>
      <c r="F85" s="95">
        <v>0</v>
      </c>
      <c r="G85" s="95">
        <v>275</v>
      </c>
      <c r="H85" s="297">
        <v>15</v>
      </c>
      <c r="I85" s="351">
        <v>5</v>
      </c>
      <c r="J85" s="353">
        <v>7.4999999999999997E-2</v>
      </c>
      <c r="K85" s="354"/>
      <c r="L85" s="354"/>
      <c r="M85" s="354"/>
      <c r="N85" s="354"/>
      <c r="O85" s="354"/>
      <c r="P85" s="354"/>
      <c r="Q85" s="354"/>
      <c r="R85" s="354">
        <v>-0.75</v>
      </c>
      <c r="S85" s="354"/>
      <c r="T85" s="354"/>
      <c r="U85" s="354"/>
      <c r="V85" s="354"/>
      <c r="W85" s="95"/>
      <c r="X85" s="355"/>
      <c r="Y85" s="95"/>
      <c r="Z85" s="356"/>
      <c r="AA85" s="356"/>
    </row>
    <row r="86" spans="1:27" ht="19.5" customHeight="1" x14ac:dyDescent="0.2">
      <c r="A86" s="297" t="s">
        <v>1118</v>
      </c>
      <c r="B86" s="351" t="s">
        <v>30</v>
      </c>
      <c r="C86" s="372" t="s">
        <v>60</v>
      </c>
      <c r="D86" s="297" t="s">
        <v>1120</v>
      </c>
      <c r="E86" s="95">
        <v>0</v>
      </c>
      <c r="F86" s="95">
        <v>3</v>
      </c>
      <c r="G86" s="95">
        <v>275</v>
      </c>
      <c r="H86" s="297">
        <v>0</v>
      </c>
      <c r="I86" s="351">
        <v>5</v>
      </c>
      <c r="J86" s="353"/>
      <c r="K86" s="354"/>
      <c r="L86" s="354"/>
      <c r="M86" s="354"/>
      <c r="N86" s="354"/>
      <c r="O86" s="354"/>
      <c r="P86" s="354"/>
      <c r="Q86" s="354"/>
      <c r="R86" s="354"/>
      <c r="S86" s="354"/>
      <c r="T86" s="354"/>
      <c r="U86" s="354"/>
      <c r="V86" s="354"/>
      <c r="W86" s="95"/>
      <c r="X86" s="355"/>
      <c r="Y86" s="95"/>
      <c r="Z86" s="356"/>
      <c r="AA86" s="356"/>
    </row>
    <row r="87" spans="1:27" ht="19.5" customHeight="1" x14ac:dyDescent="0.2">
      <c r="A87" s="297" t="s">
        <v>1118</v>
      </c>
      <c r="B87" s="351" t="s">
        <v>30</v>
      </c>
      <c r="C87" s="372" t="s">
        <v>60</v>
      </c>
      <c r="D87" s="297" t="s">
        <v>1121</v>
      </c>
      <c r="E87" s="95">
        <v>2</v>
      </c>
      <c r="F87" s="95">
        <v>5</v>
      </c>
      <c r="G87" s="95">
        <v>1000</v>
      </c>
      <c r="H87" s="297">
        <v>0</v>
      </c>
      <c r="I87" s="351">
        <f>MAX(TblRaces[[#This Row],[OffensePwr]:[DefensePwr]])*2</f>
        <v>10</v>
      </c>
      <c r="J87" s="353"/>
      <c r="K87" s="354"/>
      <c r="L87" s="354"/>
      <c r="M87" s="354"/>
      <c r="N87" s="354"/>
      <c r="O87" s="354"/>
      <c r="P87" s="354"/>
      <c r="Q87" s="354"/>
      <c r="R87" s="354"/>
      <c r="S87" s="354"/>
      <c r="T87" s="354"/>
      <c r="U87" s="354"/>
      <c r="V87" s="354"/>
      <c r="W87" s="95"/>
      <c r="X87" s="355"/>
      <c r="Y87" s="95"/>
      <c r="Z87" s="356"/>
      <c r="AA87" s="356"/>
    </row>
    <row r="88" spans="1:27" ht="19.5" customHeight="1" x14ac:dyDescent="0.2">
      <c r="A88" s="360" t="s">
        <v>1118</v>
      </c>
      <c r="B88" s="370" t="s">
        <v>30</v>
      </c>
      <c r="C88" s="373" t="s">
        <v>60</v>
      </c>
      <c r="D88" s="360" t="s">
        <v>1122</v>
      </c>
      <c r="E88" s="359">
        <v>4</v>
      </c>
      <c r="F88" s="359">
        <v>3</v>
      </c>
      <c r="G88" s="359">
        <v>1000</v>
      </c>
      <c r="H88" s="360">
        <v>0</v>
      </c>
      <c r="I88" s="370">
        <f>MAX(TblRaces[[#This Row],[OffensePwr]:[DefensePwr]])*2</f>
        <v>8</v>
      </c>
      <c r="J88" s="361"/>
      <c r="K88" s="362"/>
      <c r="L88" s="362"/>
      <c r="M88" s="362"/>
      <c r="N88" s="362"/>
      <c r="O88" s="362"/>
      <c r="P88" s="362"/>
      <c r="Q88" s="362"/>
      <c r="R88" s="362"/>
      <c r="S88" s="362"/>
      <c r="T88" s="362"/>
      <c r="U88" s="362"/>
      <c r="V88" s="362"/>
      <c r="W88" s="359"/>
      <c r="X88" s="363"/>
      <c r="Y88" s="359"/>
      <c r="Z88" s="364"/>
      <c r="AA88" s="364"/>
    </row>
    <row r="89" spans="1:27" ht="19.5" customHeight="1" x14ac:dyDescent="0.2">
      <c r="A89" s="297" t="s">
        <v>1134</v>
      </c>
      <c r="B89" s="351" t="s">
        <v>30</v>
      </c>
      <c r="C89" s="372" t="s">
        <v>60</v>
      </c>
      <c r="D89" s="297" t="s">
        <v>1146</v>
      </c>
      <c r="E89" s="95">
        <v>3</v>
      </c>
      <c r="F89" s="95">
        <v>0</v>
      </c>
      <c r="G89" s="95">
        <v>260</v>
      </c>
      <c r="H89" s="297">
        <v>20</v>
      </c>
      <c r="I89" s="351">
        <v>5</v>
      </c>
      <c r="J89" s="353"/>
      <c r="K89" s="354"/>
      <c r="L89" s="354"/>
      <c r="M89" s="354"/>
      <c r="N89" s="354"/>
      <c r="O89" s="354"/>
      <c r="P89" s="354"/>
      <c r="Q89" s="354"/>
      <c r="R89" s="354"/>
      <c r="S89" s="354"/>
      <c r="T89" s="354">
        <v>0.05</v>
      </c>
      <c r="U89" s="354"/>
      <c r="V89" s="354"/>
      <c r="W89" s="95"/>
      <c r="X89" s="355"/>
      <c r="Y89" s="95"/>
      <c r="Z89" s="356"/>
      <c r="AA89" s="356"/>
    </row>
    <row r="90" spans="1:27" ht="19.5" customHeight="1" x14ac:dyDescent="0.2">
      <c r="A90" s="297" t="s">
        <v>1134</v>
      </c>
      <c r="B90" s="351" t="s">
        <v>30</v>
      </c>
      <c r="C90" s="372" t="s">
        <v>60</v>
      </c>
      <c r="D90" s="297" t="s">
        <v>1135</v>
      </c>
      <c r="E90" s="95">
        <v>0</v>
      </c>
      <c r="F90" s="95">
        <v>3</v>
      </c>
      <c r="G90" s="95">
        <v>300</v>
      </c>
      <c r="H90" s="297">
        <v>10</v>
      </c>
      <c r="I90" s="351">
        <v>5</v>
      </c>
      <c r="J90" s="353"/>
      <c r="K90" s="354"/>
      <c r="L90" s="354"/>
      <c r="M90" s="354"/>
      <c r="N90" s="354"/>
      <c r="O90" s="354"/>
      <c r="P90" s="354"/>
      <c r="Q90" s="354"/>
      <c r="R90" s="354"/>
      <c r="S90" s="354"/>
      <c r="T90" s="354"/>
      <c r="U90" s="354"/>
      <c r="V90" s="354"/>
      <c r="W90" s="95"/>
      <c r="X90" s="355"/>
      <c r="Y90" s="95"/>
      <c r="Z90" s="356"/>
      <c r="AA90" s="356"/>
    </row>
    <row r="91" spans="1:27" ht="19.5" customHeight="1" x14ac:dyDescent="0.2">
      <c r="A91" s="297" t="s">
        <v>1134</v>
      </c>
      <c r="B91" s="351" t="s">
        <v>30</v>
      </c>
      <c r="C91" s="372" t="s">
        <v>60</v>
      </c>
      <c r="D91" s="297" t="s">
        <v>1136</v>
      </c>
      <c r="E91" s="95">
        <v>0</v>
      </c>
      <c r="F91" s="95">
        <v>5</v>
      </c>
      <c r="G91" s="95">
        <v>1050</v>
      </c>
      <c r="H91" s="297">
        <v>10</v>
      </c>
      <c r="I91" s="351">
        <f>MAX(TblRaces[[#This Row],[OffensePwr]:[DefensePwr]])*2</f>
        <v>10</v>
      </c>
      <c r="J91" s="353"/>
      <c r="K91" s="354"/>
      <c r="L91" s="354"/>
      <c r="M91" s="354"/>
      <c r="N91" s="354"/>
      <c r="O91" s="354"/>
      <c r="P91" s="354"/>
      <c r="Q91" s="354"/>
      <c r="R91" s="354"/>
      <c r="S91" s="354"/>
      <c r="T91" s="354"/>
      <c r="U91" s="354"/>
      <c r="V91" s="354"/>
      <c r="W91" s="95"/>
      <c r="X91" s="355"/>
      <c r="Y91" s="95"/>
      <c r="Z91" s="356"/>
      <c r="AA91" s="356"/>
    </row>
    <row r="92" spans="1:27" ht="19.5" customHeight="1" x14ac:dyDescent="0.2">
      <c r="A92" s="297" t="s">
        <v>1134</v>
      </c>
      <c r="B92" s="351" t="s">
        <v>30</v>
      </c>
      <c r="C92" s="372" t="s">
        <v>60</v>
      </c>
      <c r="D92" s="297" t="s">
        <v>1137</v>
      </c>
      <c r="E92" s="95">
        <v>5</v>
      </c>
      <c r="F92" s="95">
        <v>2</v>
      </c>
      <c r="G92" s="95">
        <v>860</v>
      </c>
      <c r="H92" s="297">
        <v>30</v>
      </c>
      <c r="I92" s="351">
        <f>MAX(TblRaces[[#This Row],[OffensePwr]:[DefensePwr]])*2</f>
        <v>10</v>
      </c>
      <c r="J92" s="353"/>
      <c r="K92" s="354"/>
      <c r="L92" s="354"/>
      <c r="M92" s="354"/>
      <c r="N92" s="354"/>
      <c r="O92" s="354"/>
      <c r="P92" s="354"/>
      <c r="Q92" s="354"/>
      <c r="R92" s="354"/>
      <c r="S92" s="354"/>
      <c r="T92" s="354"/>
      <c r="U92" s="354"/>
      <c r="V92" s="354"/>
      <c r="W92" s="95"/>
      <c r="X92" s="355"/>
      <c r="Y92" s="95"/>
      <c r="Z92" s="356"/>
      <c r="AA92" s="356"/>
    </row>
    <row r="93" spans="1:27" ht="19.5" customHeight="1" x14ac:dyDescent="0.2">
      <c r="A93" s="375" t="s">
        <v>764</v>
      </c>
      <c r="B93" s="351" t="s">
        <v>764</v>
      </c>
      <c r="C93" s="372" t="s">
        <v>764</v>
      </c>
      <c r="D93" s="62" t="s">
        <v>73</v>
      </c>
      <c r="G93" s="95">
        <v>500</v>
      </c>
      <c r="I93" s="351"/>
      <c r="J93" s="353"/>
      <c r="K93" s="354"/>
      <c r="L93" s="354"/>
      <c r="M93" s="354"/>
      <c r="N93" s="354"/>
      <c r="O93" s="354"/>
      <c r="P93" s="354"/>
      <c r="Q93" s="354"/>
      <c r="R93" s="354"/>
      <c r="S93" s="354"/>
      <c r="T93" s="354"/>
      <c r="U93" s="354"/>
      <c r="V93" s="354"/>
      <c r="W93" s="95"/>
      <c r="X93" s="376"/>
      <c r="Y93" s="95"/>
      <c r="Z93" s="95"/>
      <c r="AA93" s="356"/>
    </row>
    <row r="94" spans="1:27" ht="19.5" customHeight="1" x14ac:dyDescent="0.2">
      <c r="A94" s="375" t="s">
        <v>764</v>
      </c>
      <c r="B94" s="351" t="s">
        <v>764</v>
      </c>
      <c r="C94" s="372" t="s">
        <v>764</v>
      </c>
      <c r="D94" s="62" t="s">
        <v>1085</v>
      </c>
      <c r="G94" s="95">
        <v>1000</v>
      </c>
      <c r="H94" s="95" t="s">
        <v>1086</v>
      </c>
      <c r="I94" s="351"/>
      <c r="J94" s="353"/>
      <c r="K94" s="354"/>
      <c r="L94" s="354"/>
      <c r="M94" s="354"/>
      <c r="N94" s="354"/>
      <c r="O94" s="354"/>
      <c r="P94" s="354"/>
      <c r="Q94" s="354"/>
      <c r="R94" s="354"/>
      <c r="S94" s="354"/>
      <c r="T94" s="354"/>
      <c r="U94" s="354"/>
      <c r="V94" s="354"/>
      <c r="W94" s="95"/>
      <c r="X94" s="376"/>
      <c r="Y94" s="95"/>
      <c r="Z94" s="356"/>
      <c r="AA94" s="356"/>
    </row>
    <row r="95" spans="1:27" ht="19.5" customHeight="1" x14ac:dyDescent="0.2">
      <c r="A95" s="375" t="s">
        <v>764</v>
      </c>
      <c r="B95" s="351" t="s">
        <v>764</v>
      </c>
      <c r="C95" s="372" t="s">
        <v>764</v>
      </c>
      <c r="D95" s="62" t="s">
        <v>181</v>
      </c>
      <c r="G95" s="95">
        <v>500</v>
      </c>
      <c r="I95" s="351"/>
      <c r="J95" s="353"/>
      <c r="K95" s="354"/>
      <c r="L95" s="354"/>
      <c r="M95" s="354"/>
      <c r="N95" s="354"/>
      <c r="O95" s="354"/>
      <c r="P95" s="354"/>
      <c r="Q95" s="354"/>
      <c r="R95" s="354"/>
      <c r="S95" s="354"/>
      <c r="T95" s="354"/>
      <c r="U95" s="354"/>
      <c r="V95" s="354"/>
      <c r="W95" s="95"/>
      <c r="X95" s="376"/>
      <c r="Y95" s="95"/>
      <c r="Z95" s="95"/>
      <c r="AA95" s="356"/>
    </row>
    <row r="96" spans="1:27" ht="19.5" customHeight="1" x14ac:dyDescent="0.2">
      <c r="A96" s="375" t="s">
        <v>764</v>
      </c>
      <c r="B96" s="351" t="s">
        <v>764</v>
      </c>
      <c r="C96" s="372" t="s">
        <v>764</v>
      </c>
      <c r="D96" s="62" t="s">
        <v>182</v>
      </c>
      <c r="G96" s="95">
        <v>1000</v>
      </c>
      <c r="H96" s="95" t="s">
        <v>248</v>
      </c>
      <c r="I96" s="351"/>
      <c r="J96" s="353"/>
      <c r="K96" s="354"/>
      <c r="L96" s="354"/>
      <c r="M96" s="354"/>
      <c r="N96" s="354"/>
      <c r="O96" s="354"/>
      <c r="P96" s="354"/>
      <c r="Q96" s="354"/>
      <c r="R96" s="354"/>
      <c r="S96" s="354"/>
      <c r="T96" s="354"/>
      <c r="U96" s="354"/>
      <c r="V96" s="354"/>
      <c r="W96" s="95"/>
      <c r="X96" s="376"/>
      <c r="Y96" s="95"/>
      <c r="Z96" s="95"/>
      <c r="AA96" s="356"/>
    </row>
    <row r="97" spans="1:22" ht="19.5" customHeight="1" x14ac:dyDescent="0.2">
      <c r="C97" s="377"/>
      <c r="J97" s="378"/>
      <c r="K97" s="378"/>
      <c r="L97" s="378"/>
      <c r="M97" s="378"/>
      <c r="N97" s="378"/>
      <c r="O97" s="378"/>
      <c r="P97" s="378"/>
      <c r="Q97" s="378"/>
      <c r="R97" s="378"/>
      <c r="S97" s="378"/>
      <c r="T97" s="378"/>
      <c r="U97" s="378"/>
      <c r="V97" s="378"/>
    </row>
    <row r="98" spans="1:22" ht="19.5" customHeight="1" x14ac:dyDescent="0.2">
      <c r="A98" s="375" t="s">
        <v>89</v>
      </c>
      <c r="B98" s="297">
        <v>5</v>
      </c>
      <c r="C98" s="377"/>
      <c r="D98" s="297" t="s">
        <v>359</v>
      </c>
      <c r="J98" s="378"/>
      <c r="K98" s="378"/>
      <c r="L98" s="378"/>
      <c r="M98" s="378"/>
      <c r="N98" s="378"/>
      <c r="O98" s="378"/>
      <c r="P98" s="378"/>
      <c r="Q98" s="378"/>
      <c r="R98" s="378"/>
      <c r="S98" s="378"/>
      <c r="T98" s="378"/>
      <c r="U98" s="378"/>
      <c r="V98" s="378"/>
    </row>
    <row r="99" spans="1:22" ht="19.5" customHeight="1" x14ac:dyDescent="0.2">
      <c r="A99" s="375" t="s">
        <v>90</v>
      </c>
      <c r="B99" s="297">
        <v>9</v>
      </c>
      <c r="C99" s="377"/>
      <c r="D99" s="297">
        <v>1</v>
      </c>
      <c r="J99" s="378"/>
      <c r="K99" s="378"/>
      <c r="L99" s="378"/>
      <c r="M99" s="378"/>
      <c r="N99" s="378"/>
      <c r="O99" s="378"/>
      <c r="P99" s="378"/>
      <c r="Q99" s="378"/>
      <c r="R99" s="378"/>
      <c r="S99" s="378"/>
      <c r="T99" s="378"/>
      <c r="U99" s="378"/>
      <c r="V99" s="378"/>
    </row>
    <row r="100" spans="1:22" ht="19.5" customHeight="1" x14ac:dyDescent="0.2">
      <c r="A100" s="375" t="s">
        <v>91</v>
      </c>
      <c r="B100" s="297">
        <v>13</v>
      </c>
      <c r="C100" s="377"/>
      <c r="D100" s="297">
        <v>2</v>
      </c>
      <c r="J100" s="378"/>
      <c r="K100" s="378"/>
      <c r="L100" s="378"/>
      <c r="M100" s="378"/>
      <c r="N100" s="378"/>
      <c r="O100" s="378"/>
      <c r="P100" s="378"/>
      <c r="Q100" s="378"/>
      <c r="R100" s="378"/>
      <c r="S100" s="378"/>
      <c r="T100" s="378"/>
      <c r="U100" s="378"/>
      <c r="V100" s="378"/>
    </row>
    <row r="101" spans="1:22" ht="19.5" customHeight="1" x14ac:dyDescent="0.2">
      <c r="A101" s="375" t="s">
        <v>92</v>
      </c>
      <c r="B101" s="297">
        <v>17</v>
      </c>
      <c r="C101" s="377"/>
      <c r="D101" s="297">
        <v>3</v>
      </c>
      <c r="J101" s="378"/>
      <c r="K101" s="378"/>
      <c r="L101" s="378"/>
      <c r="M101" s="378"/>
      <c r="N101" s="378"/>
      <c r="O101" s="378"/>
      <c r="P101" s="378"/>
      <c r="Q101" s="378"/>
      <c r="R101" s="378"/>
      <c r="S101" s="378"/>
      <c r="T101" s="378"/>
      <c r="U101" s="378"/>
      <c r="V101" s="378"/>
    </row>
    <row r="102" spans="1:22" ht="19.5" customHeight="1" x14ac:dyDescent="0.2">
      <c r="A102" s="375" t="s">
        <v>93</v>
      </c>
      <c r="B102" s="297">
        <v>21</v>
      </c>
      <c r="C102" s="377"/>
      <c r="D102" s="297">
        <v>4</v>
      </c>
      <c r="J102" s="378"/>
      <c r="K102" s="378"/>
      <c r="L102" s="378"/>
      <c r="M102" s="378"/>
      <c r="N102" s="378"/>
      <c r="O102" s="378"/>
      <c r="P102" s="378"/>
      <c r="Q102" s="378"/>
      <c r="R102" s="378"/>
      <c r="S102" s="378"/>
      <c r="T102" s="378"/>
      <c r="U102" s="378"/>
      <c r="V102" s="378"/>
    </row>
    <row r="103" spans="1:22" ht="19.5" customHeight="1" x14ac:dyDescent="0.2">
      <c r="A103" s="375" t="s">
        <v>94</v>
      </c>
      <c r="B103" s="297">
        <v>25</v>
      </c>
      <c r="C103" s="377"/>
      <c r="D103" s="297">
        <v>5</v>
      </c>
      <c r="J103" s="378"/>
      <c r="K103" s="378"/>
      <c r="L103" s="378"/>
      <c r="M103" s="378"/>
      <c r="N103" s="378"/>
      <c r="O103" s="378"/>
      <c r="P103" s="378"/>
      <c r="Q103" s="378"/>
      <c r="R103" s="378"/>
      <c r="S103" s="378"/>
      <c r="T103" s="378"/>
      <c r="U103" s="378"/>
      <c r="V103" s="378"/>
    </row>
    <row r="104" spans="1:22" ht="19.5" customHeight="1" x14ac:dyDescent="0.2">
      <c r="A104" s="375" t="s">
        <v>95</v>
      </c>
      <c r="B104" s="297">
        <v>29</v>
      </c>
      <c r="C104" s="377"/>
      <c r="D104" s="297">
        <v>6</v>
      </c>
      <c r="J104" s="378"/>
      <c r="K104" s="378"/>
      <c r="L104" s="378"/>
      <c r="M104" s="378"/>
      <c r="N104" s="378"/>
      <c r="O104" s="378"/>
      <c r="P104" s="378"/>
      <c r="Q104" s="378"/>
      <c r="R104" s="378"/>
      <c r="S104" s="378"/>
      <c r="T104" s="378"/>
      <c r="U104" s="378"/>
      <c r="V104" s="378"/>
    </row>
    <row r="105" spans="1:22" ht="19.5" customHeight="1" x14ac:dyDescent="0.2">
      <c r="A105" s="375" t="s">
        <v>96</v>
      </c>
      <c r="B105" s="297">
        <v>33</v>
      </c>
      <c r="C105" s="377"/>
      <c r="J105" s="378"/>
      <c r="K105" s="378"/>
      <c r="L105" s="378"/>
      <c r="M105" s="378"/>
      <c r="N105" s="378"/>
      <c r="O105" s="378"/>
      <c r="P105" s="378"/>
      <c r="Q105" s="378"/>
      <c r="R105" s="378"/>
      <c r="S105" s="378"/>
      <c r="T105" s="378"/>
      <c r="U105" s="378"/>
      <c r="V105" s="378"/>
    </row>
    <row r="106" spans="1:22" ht="19.5" customHeight="1" x14ac:dyDescent="0.2">
      <c r="A106" s="375" t="s">
        <v>97</v>
      </c>
      <c r="B106" s="297">
        <v>37</v>
      </c>
      <c r="C106" s="377"/>
      <c r="J106" s="378"/>
      <c r="K106" s="378"/>
      <c r="L106" s="378"/>
      <c r="M106" s="378"/>
      <c r="N106" s="378"/>
      <c r="O106" s="378"/>
      <c r="P106" s="378"/>
      <c r="Q106" s="378"/>
      <c r="R106" s="378"/>
      <c r="S106" s="378"/>
      <c r="T106" s="378"/>
      <c r="U106" s="378"/>
      <c r="V106" s="378"/>
    </row>
    <row r="107" spans="1:22" ht="19.5" customHeight="1" x14ac:dyDescent="0.2">
      <c r="A107" s="375" t="s">
        <v>29</v>
      </c>
      <c r="B107" s="297">
        <v>41</v>
      </c>
      <c r="C107" s="377"/>
      <c r="J107" s="378"/>
      <c r="K107" s="378"/>
      <c r="L107" s="378"/>
      <c r="M107" s="378"/>
      <c r="N107" s="378"/>
      <c r="O107" s="378"/>
      <c r="P107" s="378"/>
      <c r="Q107" s="378"/>
      <c r="R107" s="378"/>
      <c r="S107" s="378"/>
      <c r="T107" s="378"/>
      <c r="U107" s="378"/>
      <c r="V107" s="378"/>
    </row>
    <row r="108" spans="1:22" ht="19.5" customHeight="1" x14ac:dyDescent="0.2">
      <c r="A108" s="375" t="s">
        <v>99</v>
      </c>
      <c r="B108" s="297">
        <v>45</v>
      </c>
      <c r="C108" s="377"/>
      <c r="J108" s="378"/>
      <c r="K108" s="378"/>
      <c r="L108" s="378"/>
      <c r="M108" s="378"/>
      <c r="N108" s="378"/>
      <c r="O108" s="378"/>
      <c r="P108" s="378"/>
      <c r="Q108" s="378"/>
      <c r="R108" s="378"/>
      <c r="S108" s="378"/>
      <c r="T108" s="378"/>
      <c r="U108" s="378"/>
      <c r="V108" s="378"/>
    </row>
    <row r="109" spans="1:22" ht="19.5" customHeight="1" x14ac:dyDescent="0.2">
      <c r="A109" s="375" t="s">
        <v>100</v>
      </c>
      <c r="B109" s="297">
        <v>49</v>
      </c>
      <c r="C109" s="377"/>
      <c r="J109" s="378"/>
      <c r="K109" s="378"/>
      <c r="L109" s="378"/>
      <c r="M109" s="378"/>
      <c r="N109" s="378"/>
      <c r="O109" s="378"/>
      <c r="P109" s="378"/>
      <c r="Q109" s="378"/>
      <c r="R109" s="378"/>
      <c r="S109" s="378"/>
      <c r="T109" s="378"/>
      <c r="U109" s="378"/>
      <c r="V109" s="378"/>
    </row>
    <row r="110" spans="1:22" ht="19.5" customHeight="1" x14ac:dyDescent="0.2">
      <c r="A110" s="375" t="s">
        <v>101</v>
      </c>
      <c r="B110" s="297">
        <v>53</v>
      </c>
      <c r="C110" s="377"/>
      <c r="J110" s="378"/>
      <c r="K110" s="378"/>
      <c r="L110" s="378"/>
      <c r="M110" s="378"/>
      <c r="N110" s="378"/>
      <c r="O110" s="378"/>
      <c r="P110" s="378"/>
      <c r="Q110" s="378"/>
      <c r="R110" s="378"/>
      <c r="S110" s="378"/>
      <c r="T110" s="378"/>
      <c r="U110" s="378"/>
      <c r="V110" s="378"/>
    </row>
    <row r="111" spans="1:22" ht="19.5" customHeight="1" x14ac:dyDescent="0.2">
      <c r="A111" s="375" t="s">
        <v>102</v>
      </c>
      <c r="B111" s="297">
        <v>57</v>
      </c>
      <c r="C111" s="377"/>
      <c r="J111" s="378"/>
      <c r="K111" s="378"/>
      <c r="L111" s="378"/>
      <c r="M111" s="378"/>
      <c r="N111" s="378"/>
      <c r="O111" s="378"/>
      <c r="P111" s="378"/>
      <c r="Q111" s="378"/>
      <c r="R111" s="378"/>
      <c r="S111" s="378"/>
      <c r="T111" s="378"/>
      <c r="U111" s="378"/>
      <c r="V111" s="378"/>
    </row>
    <row r="112" spans="1:22" ht="19.5" customHeight="1" x14ac:dyDescent="0.2">
      <c r="A112" s="375" t="s">
        <v>103</v>
      </c>
      <c r="B112" s="297">
        <v>61</v>
      </c>
      <c r="J112" s="378"/>
      <c r="K112" s="378"/>
      <c r="L112" s="378"/>
      <c r="M112" s="378"/>
      <c r="N112" s="378"/>
      <c r="O112" s="378"/>
      <c r="P112" s="378"/>
      <c r="Q112" s="378"/>
      <c r="R112" s="378"/>
      <c r="S112" s="378"/>
      <c r="T112" s="378"/>
      <c r="U112" s="378"/>
      <c r="V112" s="378"/>
    </row>
    <row r="113" spans="1:22" ht="19.5" customHeight="1" x14ac:dyDescent="0.2">
      <c r="A113" s="375" t="s">
        <v>104</v>
      </c>
      <c r="B113" s="297">
        <v>65</v>
      </c>
      <c r="J113" s="378"/>
      <c r="K113" s="378"/>
      <c r="L113" s="378"/>
      <c r="M113" s="378"/>
      <c r="N113" s="378"/>
      <c r="O113" s="378"/>
      <c r="P113" s="378"/>
      <c r="Q113" s="378"/>
      <c r="R113" s="378"/>
      <c r="S113" s="378"/>
      <c r="T113" s="378"/>
      <c r="U113" s="378"/>
      <c r="V113" s="378"/>
    </row>
    <row r="114" spans="1:22" ht="19.5" customHeight="1" x14ac:dyDescent="0.2">
      <c r="A114" s="375" t="s">
        <v>328</v>
      </c>
      <c r="B114" s="297">
        <v>69</v>
      </c>
      <c r="J114" s="378"/>
      <c r="K114" s="378"/>
      <c r="L114" s="378"/>
      <c r="M114" s="378"/>
      <c r="N114" s="378"/>
      <c r="O114" s="378"/>
      <c r="P114" s="378"/>
      <c r="Q114" s="378"/>
      <c r="R114" s="378"/>
      <c r="S114" s="378"/>
      <c r="T114" s="378"/>
      <c r="U114" s="378"/>
      <c r="V114" s="378"/>
    </row>
    <row r="115" spans="1:22" ht="19.5" customHeight="1" x14ac:dyDescent="0.2">
      <c r="A115" s="375" t="s">
        <v>342</v>
      </c>
      <c r="B115" s="297">
        <v>73</v>
      </c>
      <c r="J115" s="378"/>
      <c r="K115" s="378"/>
      <c r="L115" s="378"/>
      <c r="M115" s="378"/>
      <c r="N115" s="378"/>
      <c r="O115" s="378"/>
      <c r="P115" s="378"/>
      <c r="Q115" s="378"/>
      <c r="R115" s="378"/>
      <c r="S115" s="378"/>
      <c r="T115" s="378"/>
      <c r="U115" s="378"/>
      <c r="V115" s="378"/>
    </row>
    <row r="116" spans="1:22" ht="19.5" customHeight="1" x14ac:dyDescent="0.2">
      <c r="A116" s="375" t="s">
        <v>143</v>
      </c>
      <c r="B116" s="297">
        <v>77</v>
      </c>
      <c r="J116" s="378"/>
      <c r="K116" s="378"/>
      <c r="L116" s="378"/>
      <c r="M116" s="378"/>
      <c r="N116" s="378"/>
      <c r="O116" s="378"/>
      <c r="P116" s="378"/>
      <c r="Q116" s="378"/>
      <c r="R116" s="378"/>
      <c r="S116" s="378"/>
      <c r="T116" s="378"/>
      <c r="U116" s="378"/>
      <c r="V116" s="378"/>
    </row>
    <row r="117" spans="1:22" ht="19.5" customHeight="1" x14ac:dyDescent="0.2">
      <c r="A117" s="375" t="s">
        <v>498</v>
      </c>
      <c r="B117" s="297">
        <v>81</v>
      </c>
      <c r="J117" s="378"/>
      <c r="K117" s="378"/>
      <c r="L117" s="378"/>
      <c r="M117" s="378"/>
      <c r="N117" s="378"/>
      <c r="O117" s="378"/>
      <c r="P117" s="378"/>
      <c r="Q117" s="378"/>
      <c r="R117" s="378"/>
      <c r="S117" s="378"/>
      <c r="T117" s="378"/>
      <c r="U117" s="378"/>
      <c r="V117" s="378"/>
    </row>
    <row r="118" spans="1:22" ht="19.5" customHeight="1" x14ac:dyDescent="0.2">
      <c r="A118" s="297" t="s">
        <v>1118</v>
      </c>
      <c r="B118" s="297">
        <v>85</v>
      </c>
      <c r="J118" s="378"/>
      <c r="K118" s="378"/>
      <c r="L118" s="378"/>
      <c r="M118" s="378"/>
      <c r="N118" s="378"/>
      <c r="O118" s="378"/>
      <c r="P118" s="378"/>
      <c r="Q118" s="378"/>
      <c r="R118" s="378"/>
      <c r="S118" s="378"/>
      <c r="T118" s="378"/>
      <c r="U118" s="378"/>
      <c r="V118" s="378"/>
    </row>
    <row r="119" spans="1:22" ht="19.5" customHeight="1" x14ac:dyDescent="0.2">
      <c r="A119" s="375" t="s">
        <v>1134</v>
      </c>
      <c r="B119" s="297">
        <v>89</v>
      </c>
      <c r="J119" s="378"/>
      <c r="K119" s="378"/>
      <c r="L119" s="378"/>
      <c r="M119" s="378"/>
      <c r="N119" s="378"/>
      <c r="O119" s="378"/>
      <c r="P119" s="378"/>
      <c r="Q119" s="378"/>
      <c r="R119" s="378"/>
      <c r="S119" s="378"/>
      <c r="T119" s="378"/>
      <c r="U119" s="378"/>
      <c r="V119" s="378"/>
    </row>
    <row r="120" spans="1:22" ht="19.5" customHeight="1" x14ac:dyDescent="0.2">
      <c r="J120" s="378"/>
      <c r="K120" s="378"/>
      <c r="L120" s="378"/>
      <c r="M120" s="378"/>
      <c r="N120" s="378"/>
      <c r="O120" s="378"/>
      <c r="P120" s="378"/>
      <c r="Q120" s="378"/>
      <c r="R120" s="378"/>
      <c r="S120" s="378"/>
      <c r="T120" s="378"/>
      <c r="U120" s="378"/>
      <c r="V120" s="378"/>
    </row>
    <row r="121" spans="1:22" ht="19.5" customHeight="1" x14ac:dyDescent="0.2">
      <c r="J121" s="378"/>
      <c r="K121" s="378"/>
      <c r="L121" s="378"/>
      <c r="M121" s="378"/>
      <c r="N121" s="378"/>
      <c r="O121" s="378"/>
      <c r="P121" s="378"/>
      <c r="Q121" s="378"/>
      <c r="R121" s="378"/>
      <c r="S121" s="378"/>
      <c r="T121" s="378"/>
      <c r="U121" s="378"/>
      <c r="V121" s="378"/>
    </row>
    <row r="122" spans="1:22" ht="19.5" customHeight="1" x14ac:dyDescent="0.2">
      <c r="J122" s="378"/>
      <c r="K122" s="378"/>
      <c r="L122" s="378"/>
      <c r="M122" s="378"/>
      <c r="N122" s="378"/>
      <c r="O122" s="378"/>
      <c r="P122" s="378"/>
      <c r="Q122" s="378"/>
      <c r="R122" s="378"/>
      <c r="S122" s="378"/>
      <c r="T122" s="378"/>
      <c r="U122" s="378"/>
      <c r="V122" s="378"/>
    </row>
    <row r="123" spans="1:22" ht="19.5" customHeight="1" x14ac:dyDescent="0.2">
      <c r="J123" s="378"/>
      <c r="K123" s="378"/>
      <c r="L123" s="378"/>
      <c r="M123" s="378"/>
      <c r="N123" s="378"/>
      <c r="O123" s="378"/>
      <c r="P123" s="378"/>
      <c r="Q123" s="378"/>
      <c r="R123" s="378"/>
      <c r="S123" s="378"/>
      <c r="T123" s="378"/>
      <c r="U123" s="378"/>
      <c r="V123" s="378"/>
    </row>
    <row r="124" spans="1:22" ht="19.5" customHeight="1" x14ac:dyDescent="0.2">
      <c r="J124" s="378"/>
      <c r="K124" s="378"/>
      <c r="L124" s="378"/>
      <c r="M124" s="378"/>
      <c r="N124" s="378"/>
      <c r="O124" s="378"/>
      <c r="P124" s="378"/>
      <c r="Q124" s="378"/>
      <c r="R124" s="378"/>
      <c r="S124" s="378"/>
      <c r="T124" s="378"/>
      <c r="U124" s="378"/>
      <c r="V124" s="378"/>
    </row>
    <row r="125" spans="1:22" ht="19.5" customHeight="1" x14ac:dyDescent="0.2">
      <c r="J125" s="378"/>
      <c r="K125" s="378"/>
      <c r="L125" s="378"/>
      <c r="M125" s="378"/>
      <c r="N125" s="378"/>
      <c r="O125" s="378"/>
      <c r="P125" s="378"/>
      <c r="Q125" s="378"/>
      <c r="R125" s="378"/>
      <c r="S125" s="378"/>
      <c r="T125" s="378"/>
      <c r="U125" s="378"/>
      <c r="V125" s="378"/>
    </row>
    <row r="126" spans="1:22" ht="19.5" customHeight="1" x14ac:dyDescent="0.2">
      <c r="J126" s="378"/>
      <c r="K126" s="378"/>
      <c r="L126" s="378"/>
      <c r="M126" s="378"/>
      <c r="N126" s="378"/>
      <c r="O126" s="378"/>
      <c r="P126" s="378"/>
      <c r="Q126" s="378"/>
      <c r="R126" s="378"/>
      <c r="S126" s="378"/>
      <c r="T126" s="378"/>
      <c r="U126" s="378"/>
      <c r="V126" s="378"/>
    </row>
    <row r="127" spans="1:22" ht="19.5" customHeight="1" x14ac:dyDescent="0.2">
      <c r="J127" s="378"/>
      <c r="K127" s="378"/>
      <c r="L127" s="378"/>
      <c r="M127" s="378"/>
      <c r="N127" s="378"/>
      <c r="O127" s="378"/>
      <c r="P127" s="378"/>
      <c r="Q127" s="378"/>
      <c r="R127" s="378"/>
      <c r="S127" s="378"/>
      <c r="T127" s="378"/>
      <c r="U127" s="378"/>
      <c r="V127" s="378"/>
    </row>
    <row r="128" spans="1:22" ht="19.5" customHeight="1" x14ac:dyDescent="0.2">
      <c r="J128" s="378"/>
      <c r="K128" s="378"/>
      <c r="L128" s="378"/>
      <c r="M128" s="378"/>
      <c r="N128" s="378"/>
      <c r="O128" s="378"/>
      <c r="P128" s="378"/>
      <c r="Q128" s="378"/>
      <c r="R128" s="378"/>
      <c r="S128" s="378"/>
      <c r="T128" s="378"/>
      <c r="U128" s="378"/>
      <c r="V128" s="378"/>
    </row>
    <row r="129" spans="10:22" ht="19.5" customHeight="1" x14ac:dyDescent="0.2">
      <c r="J129" s="378"/>
      <c r="K129" s="378"/>
      <c r="L129" s="378"/>
      <c r="M129" s="378"/>
      <c r="N129" s="378"/>
      <c r="O129" s="378"/>
      <c r="P129" s="378"/>
      <c r="Q129" s="378"/>
      <c r="R129" s="378"/>
      <c r="S129" s="378"/>
      <c r="T129" s="378"/>
      <c r="U129" s="378"/>
      <c r="V129" s="378"/>
    </row>
    <row r="130" spans="10:22" ht="19.5" customHeight="1" x14ac:dyDescent="0.2">
      <c r="J130" s="378"/>
      <c r="K130" s="378"/>
      <c r="L130" s="378"/>
      <c r="M130" s="378"/>
      <c r="N130" s="378"/>
      <c r="O130" s="378"/>
      <c r="P130" s="378"/>
      <c r="Q130" s="378"/>
      <c r="R130" s="378"/>
      <c r="S130" s="378"/>
      <c r="T130" s="378"/>
      <c r="U130" s="378"/>
      <c r="V130" s="378"/>
    </row>
    <row r="131" spans="10:22" ht="19.5" customHeight="1" x14ac:dyDescent="0.2">
      <c r="J131" s="378"/>
      <c r="K131" s="378"/>
      <c r="L131" s="378"/>
      <c r="M131" s="378"/>
      <c r="N131" s="378"/>
      <c r="O131" s="378"/>
      <c r="P131" s="378"/>
      <c r="Q131" s="378"/>
      <c r="R131" s="378"/>
      <c r="S131" s="378"/>
      <c r="T131" s="378"/>
      <c r="U131" s="378"/>
      <c r="V131" s="378"/>
    </row>
    <row r="132" spans="10:22" ht="19.5" customHeight="1" x14ac:dyDescent="0.2">
      <c r="J132" s="378"/>
      <c r="K132" s="378"/>
      <c r="L132" s="378"/>
      <c r="M132" s="378"/>
      <c r="N132" s="378"/>
      <c r="O132" s="378"/>
      <c r="P132" s="378"/>
      <c r="Q132" s="378"/>
      <c r="R132" s="378"/>
      <c r="S132" s="378"/>
      <c r="T132" s="378"/>
      <c r="U132" s="378"/>
      <c r="V132" s="378"/>
    </row>
    <row r="133" spans="10:22" ht="19.5" customHeight="1" x14ac:dyDescent="0.2">
      <c r="J133" s="378"/>
      <c r="K133" s="378"/>
      <c r="L133" s="378"/>
      <c r="M133" s="378"/>
      <c r="N133" s="378"/>
      <c r="O133" s="378"/>
      <c r="P133" s="378"/>
      <c r="Q133" s="378"/>
      <c r="R133" s="378"/>
      <c r="S133" s="378"/>
      <c r="T133" s="378"/>
      <c r="U133" s="378"/>
      <c r="V133" s="378"/>
    </row>
    <row r="134" spans="10:22" ht="19.5" customHeight="1" x14ac:dyDescent="0.2">
      <c r="J134" s="378"/>
      <c r="K134" s="378"/>
      <c r="L134" s="378"/>
      <c r="M134" s="378"/>
      <c r="N134" s="378"/>
      <c r="O134" s="378"/>
      <c r="P134" s="378"/>
      <c r="Q134" s="378"/>
      <c r="R134" s="378"/>
      <c r="S134" s="378"/>
      <c r="T134" s="378"/>
      <c r="U134" s="378"/>
      <c r="V134" s="378"/>
    </row>
    <row r="135" spans="10:22" ht="19.5" customHeight="1" x14ac:dyDescent="0.2">
      <c r="J135" s="378"/>
      <c r="K135" s="378"/>
      <c r="L135" s="378"/>
      <c r="M135" s="378"/>
      <c r="N135" s="378"/>
      <c r="O135" s="378"/>
      <c r="P135" s="378"/>
      <c r="Q135" s="378"/>
      <c r="R135" s="378"/>
      <c r="S135" s="378"/>
      <c r="T135" s="378"/>
      <c r="U135" s="378"/>
      <c r="V135" s="378"/>
    </row>
    <row r="136" spans="10:22" ht="19.5" customHeight="1" x14ac:dyDescent="0.2">
      <c r="J136" s="378"/>
      <c r="K136" s="378"/>
      <c r="L136" s="378"/>
      <c r="M136" s="378"/>
      <c r="N136" s="378"/>
      <c r="O136" s="378"/>
      <c r="P136" s="378"/>
      <c r="Q136" s="378"/>
      <c r="R136" s="378"/>
      <c r="S136" s="378"/>
      <c r="T136" s="378"/>
      <c r="U136" s="378"/>
      <c r="V136" s="378"/>
    </row>
    <row r="137" spans="10:22" ht="19.5" customHeight="1" x14ac:dyDescent="0.2">
      <c r="J137" s="378"/>
      <c r="K137" s="378"/>
      <c r="L137" s="378"/>
      <c r="M137" s="378"/>
      <c r="N137" s="378"/>
      <c r="O137" s="378"/>
      <c r="P137" s="378"/>
      <c r="Q137" s="378"/>
      <c r="R137" s="378"/>
      <c r="S137" s="378"/>
      <c r="T137" s="378"/>
      <c r="U137" s="378"/>
      <c r="V137" s="378"/>
    </row>
    <row r="138" spans="10:22" ht="19.5" customHeight="1" x14ac:dyDescent="0.2">
      <c r="J138" s="378"/>
      <c r="K138" s="378"/>
      <c r="L138" s="378"/>
      <c r="M138" s="378"/>
      <c r="N138" s="378"/>
      <c r="O138" s="378"/>
      <c r="P138" s="378"/>
      <c r="Q138" s="378"/>
      <c r="R138" s="378"/>
      <c r="S138" s="378"/>
      <c r="T138" s="378"/>
      <c r="U138" s="378"/>
      <c r="V138" s="378"/>
    </row>
    <row r="139" spans="10:22" ht="19.5" customHeight="1" x14ac:dyDescent="0.2">
      <c r="J139" s="378"/>
      <c r="K139" s="378"/>
      <c r="L139" s="378"/>
      <c r="M139" s="378"/>
      <c r="N139" s="378"/>
      <c r="O139" s="378"/>
      <c r="P139" s="378"/>
      <c r="Q139" s="378"/>
      <c r="R139" s="378"/>
      <c r="S139" s="378"/>
      <c r="T139" s="378"/>
      <c r="U139" s="378"/>
      <c r="V139" s="378"/>
    </row>
    <row r="140" spans="10:22" ht="19.5" customHeight="1" x14ac:dyDescent="0.2">
      <c r="J140" s="378"/>
      <c r="K140" s="378"/>
      <c r="L140" s="378"/>
      <c r="M140" s="378"/>
      <c r="N140" s="378"/>
      <c r="O140" s="378"/>
      <c r="P140" s="378"/>
      <c r="Q140" s="378"/>
      <c r="R140" s="378"/>
      <c r="S140" s="378"/>
      <c r="T140" s="378"/>
      <c r="U140" s="378"/>
      <c r="V140" s="378"/>
    </row>
    <row r="141" spans="10:22" ht="19.5" customHeight="1" x14ac:dyDescent="0.2">
      <c r="J141" s="378"/>
      <c r="K141" s="378"/>
      <c r="L141" s="378"/>
      <c r="M141" s="378"/>
      <c r="N141" s="378"/>
      <c r="O141" s="378"/>
      <c r="P141" s="378"/>
      <c r="Q141" s="378"/>
      <c r="R141" s="378"/>
      <c r="S141" s="378"/>
      <c r="T141" s="378"/>
      <c r="U141" s="378"/>
      <c r="V141" s="378"/>
    </row>
    <row r="142" spans="10:22" ht="19.5" customHeight="1" x14ac:dyDescent="0.2">
      <c r="J142" s="378"/>
      <c r="K142" s="378"/>
      <c r="L142" s="378"/>
      <c r="M142" s="378"/>
      <c r="N142" s="378"/>
      <c r="O142" s="378"/>
      <c r="P142" s="378"/>
      <c r="Q142" s="378"/>
      <c r="R142" s="378"/>
      <c r="S142" s="378"/>
      <c r="T142" s="378"/>
      <c r="U142" s="378"/>
      <c r="V142" s="378"/>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8" t="s">
        <v>438</v>
      </c>
      <c r="I18" s="508"/>
      <c r="J18" s="508"/>
      <c r="K18" s="50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334</vt:i4>
      </vt:variant>
    </vt:vector>
  </HeadingPairs>
  <TitlesOfParts>
    <vt:vector size="34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2025-03-14T19:07:35Z</dcterms:modified>
</cp:coreProperties>
</file>