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86277257-8200-460A-9A83-404ECCFB7FF1}"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D4" i="5" l="1"/>
  <c r="BA4" i="5"/>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E26" i="6"/>
  <c r="BC4" i="5" s="1"/>
  <c r="D26" i="6"/>
  <c r="BB4" i="5" s="1"/>
  <c r="C26" i="6"/>
  <c r="B26" i="6"/>
  <c r="A26" i="6"/>
  <c r="AY4" i="5" s="1"/>
  <c r="BQ4" i="5"/>
  <c r="BP4" i="5"/>
  <c r="AZ4" i="5"/>
  <c r="L35" i="4"/>
  <c r="M35" i="4" s="1"/>
  <c r="M69" i="7" l="1"/>
  <c r="M68" i="7"/>
  <c r="M67" i="7"/>
  <c r="M66" i="7"/>
  <c r="M65" i="7"/>
  <c r="M64" i="7"/>
  <c r="M63" i="7"/>
  <c r="M62" i="7"/>
  <c r="M61" i="7"/>
  <c r="M60" i="7"/>
  <c r="M59" i="7"/>
  <c r="M58" i="7"/>
  <c r="M57" i="7"/>
  <c r="M56" i="7"/>
  <c r="M55" i="7"/>
  <c r="E15" i="4"/>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96" i="6" l="1"/>
  <c r="E98" i="4"/>
  <c r="E89"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99" i="8"/>
  <c r="CM98" i="8"/>
  <c r="CM129" i="8"/>
  <c r="CM64" i="8"/>
  <c r="CM48" i="8"/>
  <c r="CM32" i="8"/>
  <c r="CM130" i="8"/>
  <c r="CM65" i="8"/>
  <c r="CM111" i="8"/>
  <c r="CM95" i="8"/>
  <c r="CM63" i="8"/>
  <c r="CM47" i="8"/>
  <c r="CM31" i="8"/>
  <c r="CM112" i="8"/>
  <c r="CM126" i="8"/>
  <c r="CM110" i="8"/>
  <c r="CM94" i="8"/>
  <c r="CM62" i="8"/>
  <c r="CM46" i="8"/>
  <c r="CM115" i="8"/>
  <c r="CM66" i="8"/>
  <c r="CM97" i="8"/>
  <c r="CM125" i="8"/>
  <c r="CM109" i="8"/>
  <c r="CM93" i="8"/>
  <c r="CM61" i="8"/>
  <c r="CM45" i="8"/>
  <c r="CM124" i="8"/>
  <c r="CM108" i="8"/>
  <c r="CM92" i="8"/>
  <c r="CM60" i="8"/>
  <c r="CM44" i="8"/>
  <c r="CM123" i="8"/>
  <c r="CM107" i="8"/>
  <c r="CM91" i="8"/>
  <c r="CM75" i="8"/>
  <c r="CM59" i="8"/>
  <c r="CM43" i="8"/>
  <c r="CM35" i="8"/>
  <c r="CM49" i="8"/>
  <c r="CM122" i="8"/>
  <c r="CM106" i="8"/>
  <c r="CM90" i="8"/>
  <c r="CM74" i="8"/>
  <c r="CM58" i="8"/>
  <c r="CM42" i="8"/>
  <c r="CM33" i="8"/>
  <c r="CM121" i="8"/>
  <c r="CM105" i="8"/>
  <c r="CM89" i="8"/>
  <c r="CM73" i="8"/>
  <c r="CM57" i="8"/>
  <c r="CM41" i="8"/>
  <c r="CM34" i="8"/>
  <c r="CM128" i="8"/>
  <c r="CM120" i="8"/>
  <c r="CM104" i="8"/>
  <c r="CM88" i="8"/>
  <c r="CM72" i="8"/>
  <c r="CM56" i="8"/>
  <c r="CM40" i="8"/>
  <c r="CM8" i="8"/>
  <c r="CM67" i="8"/>
  <c r="CM113" i="8"/>
  <c r="CM135" i="8"/>
  <c r="CM119" i="8"/>
  <c r="CM103" i="8"/>
  <c r="CM71" i="8"/>
  <c r="CM55" i="8"/>
  <c r="CM39" i="8"/>
  <c r="CM7" i="8"/>
  <c r="CM50" i="8"/>
  <c r="CM96" i="8"/>
  <c r="CM134" i="8"/>
  <c r="CM118" i="8"/>
  <c r="CM102" i="8"/>
  <c r="CM70" i="8"/>
  <c r="CM54" i="8"/>
  <c r="CM38" i="8"/>
  <c r="CM6" i="8"/>
  <c r="CM131" i="8"/>
  <c r="CM114" i="8"/>
  <c r="CM133" i="8"/>
  <c r="CM117" i="8"/>
  <c r="CM101" i="8"/>
  <c r="CM69" i="8"/>
  <c r="CM53" i="8"/>
  <c r="CM37" i="8"/>
  <c r="CM5" i="8"/>
  <c r="CM127" i="8"/>
  <c r="CM132" i="8"/>
  <c r="CM116" i="8"/>
  <c r="CM100" i="8"/>
  <c r="CM68" i="8"/>
  <c r="CM52" i="8"/>
  <c r="CM36"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J53" i="8" l="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6" i="4"/>
  <c r="I17" i="4"/>
  <c r="I18" i="4"/>
  <c r="I19" i="4"/>
  <c r="I20" i="4"/>
  <c r="I21" i="4"/>
  <c r="I22" i="4"/>
  <c r="I23" i="4"/>
  <c r="I24" i="4"/>
  <c r="I25" i="4"/>
  <c r="I26" i="4"/>
  <c r="I27" i="4"/>
  <c r="I28" i="4"/>
  <c r="I29" i="4"/>
  <c r="I30" i="4"/>
  <c r="I31" i="4"/>
  <c r="I32" i="4"/>
  <c r="I33"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8"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I9" i="9" l="1"/>
  <c r="C22" i="4"/>
  <c r="B22" i="4"/>
  <c r="D26" i="5"/>
  <c r="AI10" i="9" l="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4" i="14"/>
  <c r="CA4" i="14" s="1"/>
  <c r="AI15" i="9" l="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H6" i="9"/>
  <c r="AG6" i="9"/>
  <c r="AK6" i="9"/>
  <c r="AE6" i="9"/>
  <c r="AM6" i="9"/>
  <c r="AI17" i="9" l="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H53" i="8" l="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33" i="6"/>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E72" i="4" l="1"/>
  <c r="BW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I24" i="9" l="1"/>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M9" i="8" s="1"/>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M10" i="8" s="1"/>
  <c r="CG9" i="8"/>
  <c r="AH15" i="9"/>
  <c r="CZ6" i="5"/>
  <c r="C6" i="5"/>
  <c r="DA5" i="5"/>
  <c r="DG5" i="5" s="1" a="1"/>
  <c r="DG5" i="5" s="1"/>
  <c r="AB6" i="1"/>
  <c r="DI6" i="5"/>
  <c r="AG15" i="9"/>
  <c r="AK15" i="9"/>
  <c r="AE15" i="9"/>
  <c r="B6" i="5"/>
  <c r="S8" i="2"/>
  <c r="P9" i="2"/>
  <c r="R9" i="2"/>
  <c r="Q8" i="2"/>
  <c r="M9" i="2"/>
  <c r="J10" i="10"/>
  <c r="N10" i="5" s="1"/>
  <c r="F7" i="12"/>
  <c r="E7" i="12" s="1"/>
  <c r="D8" i="12"/>
  <c r="J10" i="12"/>
  <c r="I11" i="12"/>
  <c r="AV5" i="5" l="1"/>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BP8" i="5" a="1"/>
  <c r="BP8" i="5" s="1"/>
  <c r="BH5" i="8"/>
  <c r="BU5" i="8" s="1"/>
  <c r="O13" i="1"/>
  <c r="AM4" i="5"/>
  <c r="BU4" i="8"/>
  <c r="BT4" i="8"/>
  <c r="BP4" i="8"/>
  <c r="BQ4" i="8"/>
  <c r="BN4" i="8"/>
  <c r="BO4" i="8"/>
  <c r="BL4" i="8"/>
  <c r="BM4" i="8"/>
  <c r="BJ4" i="8"/>
  <c r="BK4" i="8"/>
  <c r="BX4" i="8"/>
  <c r="CD4" i="8" s="1"/>
  <c r="AC4" i="10"/>
  <c r="X4" i="10" s="1"/>
  <c r="AN4" i="5"/>
  <c r="AR4" i="5" s="1"/>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M11" i="8" s="1"/>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V6" i="5" l="1"/>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BP9" i="5" a="1"/>
  <c r="BP9" i="5" s="1"/>
  <c r="BT5" i="8"/>
  <c r="AI4" i="7"/>
  <c r="AA4" i="8" s="1"/>
  <c r="O14" i="1"/>
  <c r="CE4" i="8"/>
  <c r="CX4" i="8" s="1"/>
  <c r="CY4" i="8" s="1"/>
  <c r="BO5" i="8"/>
  <c r="BP5" i="8"/>
  <c r="BM5" i="8"/>
  <c r="BN5" i="8"/>
  <c r="BK5" i="8"/>
  <c r="BL5" i="8"/>
  <c r="BJ5" i="8"/>
  <c r="AC5" i="10"/>
  <c r="X5" i="10" s="1"/>
  <c r="AM5" i="5"/>
  <c r="AN5" i="5"/>
  <c r="AR5" i="5"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M12" i="8" s="1"/>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V7" i="5" l="1"/>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AO6" i="5"/>
  <c r="BP10" i="5" a="1"/>
  <c r="BP10" i="5" s="1"/>
  <c r="O15" i="1"/>
  <c r="D7" i="9"/>
  <c r="BT6" i="8"/>
  <c r="BO6" i="8"/>
  <c r="BP6" i="8"/>
  <c r="BM6" i="8"/>
  <c r="BN6" i="8"/>
  <c r="BK6" i="8"/>
  <c r="BL6" i="8"/>
  <c r="BJ6" i="8"/>
  <c r="AC6" i="10"/>
  <c r="X6" i="10" s="1"/>
  <c r="AM6" i="5"/>
  <c r="AN6" i="5"/>
  <c r="AR6" i="5" s="1"/>
  <c r="AS10" i="5"/>
  <c r="H4" i="11"/>
  <c r="E13" i="8"/>
  <c r="CM13" i="8" s="1"/>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V8" i="5" l="1"/>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BP11" i="5" a="1"/>
  <c r="BP11" i="5" s="1"/>
  <c r="O16" i="1"/>
  <c r="BT7" i="8"/>
  <c r="BO7" i="8"/>
  <c r="BP7" i="8"/>
  <c r="BM7" i="8"/>
  <c r="BN7" i="8"/>
  <c r="BK7" i="8"/>
  <c r="BL7" i="8"/>
  <c r="BJ7" i="8"/>
  <c r="AC7" i="10"/>
  <c r="X7" i="10" s="1"/>
  <c r="AN7" i="5"/>
  <c r="AR7" i="5" s="1"/>
  <c r="AM7" i="5"/>
  <c r="AS11" i="5"/>
  <c r="E14" i="8"/>
  <c r="CM14" i="8" s="1"/>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V9" i="5" l="1"/>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AO8" i="5"/>
  <c r="BP12" i="5" a="1"/>
  <c r="BP12" i="5" s="1"/>
  <c r="O17" i="1"/>
  <c r="BT8" i="8"/>
  <c r="BO8" i="8"/>
  <c r="BP8" i="8"/>
  <c r="BM8" i="8"/>
  <c r="BN8" i="8"/>
  <c r="BK8" i="8"/>
  <c r="BL8" i="8"/>
  <c r="BJ8" i="8"/>
  <c r="AC8" i="10"/>
  <c r="X8" i="10" s="1"/>
  <c r="AN8" i="5"/>
  <c r="AR8" i="5" s="1"/>
  <c r="AM8" i="5"/>
  <c r="AS12" i="5"/>
  <c r="E15" i="8"/>
  <c r="CM15"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J12" i="2" l="1"/>
  <c r="BF13" i="5" a="1"/>
  <c r="BF13" i="5" s="1"/>
  <c r="AE12" i="1" s="1"/>
  <c r="AV10" i="5"/>
  <c r="AW10" i="5"/>
  <c r="AF8" i="7"/>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BP13" i="5" a="1"/>
  <c r="BP13" i="5" s="1"/>
  <c r="X10" i="8"/>
  <c r="DD10" i="8" s="1"/>
  <c r="O18" i="1"/>
  <c r="BT9" i="8"/>
  <c r="BO9" i="8"/>
  <c r="BP9" i="8"/>
  <c r="BM9" i="8"/>
  <c r="BN9" i="8"/>
  <c r="BK9" i="8"/>
  <c r="BL9" i="8"/>
  <c r="BJ9" i="8"/>
  <c r="AC9" i="10"/>
  <c r="X9" i="10" s="1"/>
  <c r="AM9" i="5"/>
  <c r="AN9" i="5"/>
  <c r="AR9" i="5"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J13" i="2" l="1"/>
  <c r="BF14" i="5" a="1"/>
  <c r="BF14" i="5" s="1"/>
  <c r="AE13" i="1" s="1"/>
  <c r="AV11" i="5"/>
  <c r="AW11" i="5"/>
  <c r="E17" i="8"/>
  <c r="CM17" i="8" s="1"/>
  <c r="CM16" i="8"/>
  <c r="AF9" i="7"/>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AO10" i="5"/>
  <c r="BP14" i="5" a="1"/>
  <c r="BP14" i="5" s="1"/>
  <c r="DH11" i="8"/>
  <c r="DI11" i="8" s="1"/>
  <c r="O19" i="1"/>
  <c r="BT10" i="8"/>
  <c r="BO10" i="8"/>
  <c r="BP10" i="8"/>
  <c r="BM10" i="8"/>
  <c r="BN10" i="8"/>
  <c r="AN10" i="5"/>
  <c r="AR10" i="5" s="1"/>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J14" i="2" l="1"/>
  <c r="BF15" i="5" a="1"/>
  <c r="BF15" i="5" s="1"/>
  <c r="BF16" i="5" s="1" a="1"/>
  <c r="BF16" i="5" s="1"/>
  <c r="AE15" i="1" s="1"/>
  <c r="AV12" i="5"/>
  <c r="AW12" i="5"/>
  <c r="E18" i="8"/>
  <c r="CM18" i="8" s="1"/>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AO11" i="5"/>
  <c r="BP15" i="5" a="1"/>
  <c r="BP15" i="5" s="1"/>
  <c r="BP16" i="5" s="1" a="1"/>
  <c r="BP16" i="5" s="1"/>
  <c r="DH12" i="8"/>
  <c r="DI12" i="8" s="1"/>
  <c r="O20" i="1"/>
  <c r="BT11" i="8"/>
  <c r="BO11" i="8"/>
  <c r="BP11" i="8"/>
  <c r="BM11" i="8"/>
  <c r="BN11" i="8"/>
  <c r="BK11" i="8"/>
  <c r="BL11" i="8"/>
  <c r="BJ11" i="8"/>
  <c r="AC11" i="10"/>
  <c r="X11" i="10" s="1"/>
  <c r="AM11" i="5"/>
  <c r="AN11" i="5"/>
  <c r="AR11" i="5"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E14" i="1" l="1"/>
  <c r="AV13" i="5"/>
  <c r="AW13" i="5"/>
  <c r="AI11" i="7"/>
  <c r="E19" i="8"/>
  <c r="CM19" i="8" s="1"/>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J16" i="2"/>
  <c r="B13" i="9"/>
  <c r="Y13" i="9" s="1"/>
  <c r="O21" i="1"/>
  <c r="BX12" i="8"/>
  <c r="CD12" i="8" s="1"/>
  <c r="BT12" i="8"/>
  <c r="BO12" i="8"/>
  <c r="BP12" i="8"/>
  <c r="BM12" i="8"/>
  <c r="BN12" i="8"/>
  <c r="BK12" i="8"/>
  <c r="BL12" i="8"/>
  <c r="BJ12" i="8"/>
  <c r="AC12" i="10"/>
  <c r="X12" i="10" s="1"/>
  <c r="AN12" i="5"/>
  <c r="AR12" i="5" s="1"/>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V14" i="5" l="1"/>
  <c r="AW14" i="5"/>
  <c r="E20" i="8"/>
  <c r="CM20" i="8" s="1"/>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BP17" i="5" a="1"/>
  <c r="BP17" i="5" s="1"/>
  <c r="J17" i="2" s="1"/>
  <c r="O22" i="1"/>
  <c r="CE12" i="8"/>
  <c r="CX12" i="8" s="1"/>
  <c r="CY12" i="8" s="1"/>
  <c r="BT13" i="8"/>
  <c r="BO13" i="8"/>
  <c r="BP13" i="8"/>
  <c r="BM13" i="8"/>
  <c r="BN13" i="8"/>
  <c r="BK13" i="8"/>
  <c r="BL13" i="8"/>
  <c r="BJ13" i="8"/>
  <c r="AC13" i="10"/>
  <c r="X13" i="10" s="1"/>
  <c r="AM13" i="5"/>
  <c r="AN13" i="5"/>
  <c r="AR13" i="5"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V15" i="5" l="1"/>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BP18" i="5" a="1"/>
  <c r="BP18" i="5" s="1"/>
  <c r="J18" i="2" s="1"/>
  <c r="BH15" i="8"/>
  <c r="BU15" i="8" s="1"/>
  <c r="O23" i="1"/>
  <c r="BT14" i="8"/>
  <c r="BU14" i="8"/>
  <c r="BO14" i="8"/>
  <c r="BP14" i="8"/>
  <c r="BM14" i="8"/>
  <c r="BN14" i="8"/>
  <c r="BK14" i="8"/>
  <c r="BL14" i="8"/>
  <c r="BJ14" i="8"/>
  <c r="AC14" i="10"/>
  <c r="X14" i="10" s="1"/>
  <c r="AM14" i="5"/>
  <c r="AN14" i="5"/>
  <c r="AR14" i="5" s="1"/>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V16" i="5" l="1"/>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BP19" i="5" a="1"/>
  <c r="BP19" i="5" s="1"/>
  <c r="J19" i="2" s="1"/>
  <c r="O24" i="1"/>
  <c r="BO15" i="8"/>
  <c r="BP15" i="8"/>
  <c r="BM15" i="8"/>
  <c r="BN15" i="8"/>
  <c r="BK15" i="8"/>
  <c r="BL15" i="8"/>
  <c r="BJ15" i="8"/>
  <c r="AC15" i="10"/>
  <c r="X15" i="10" s="1"/>
  <c r="AM15" i="5"/>
  <c r="AN15" i="5"/>
  <c r="AR15" i="5"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V17" i="5" l="1"/>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BP20" i="5" a="1"/>
  <c r="BP20" i="5" s="1"/>
  <c r="J20" i="2" s="1"/>
  <c r="O25" i="1"/>
  <c r="BT16" i="8"/>
  <c r="BO16" i="8"/>
  <c r="BP16" i="8"/>
  <c r="BM16" i="8"/>
  <c r="BN16" i="8"/>
  <c r="BK16" i="8"/>
  <c r="BL16" i="8"/>
  <c r="BJ16" i="8"/>
  <c r="AC16" i="10"/>
  <c r="X16" i="10" s="1"/>
  <c r="AM16" i="5"/>
  <c r="AN16" i="5"/>
  <c r="AR16" i="5" s="1"/>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V18" i="5" l="1"/>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BP21" i="5" a="1"/>
  <c r="BP21" i="5" s="1"/>
  <c r="J21" i="2" s="1"/>
  <c r="AI18" i="5"/>
  <c r="O26" i="1"/>
  <c r="BT17" i="8"/>
  <c r="BO17" i="8"/>
  <c r="BP17" i="8"/>
  <c r="BM17" i="8"/>
  <c r="BN17" i="8"/>
  <c r="BK17" i="8"/>
  <c r="BL17" i="8"/>
  <c r="BJ17" i="8"/>
  <c r="AC17" i="10"/>
  <c r="X17" i="10" s="1"/>
  <c r="AM17" i="5"/>
  <c r="AN17" i="5"/>
  <c r="AR17" i="5"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N18" i="5" l="1"/>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M18" i="5"/>
  <c r="BP22" i="5" a="1"/>
  <c r="BP22" i="5" s="1"/>
  <c r="J22" i="2" s="1"/>
  <c r="O27" i="1"/>
  <c r="BT18" i="8"/>
  <c r="BO18" i="8"/>
  <c r="BP18" i="8"/>
  <c r="BM18" i="8"/>
  <c r="BN18" i="8"/>
  <c r="BK18" i="8"/>
  <c r="BL18" i="8"/>
  <c r="BJ18" i="8"/>
  <c r="AC18" i="10"/>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V20" i="5" l="1"/>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BP23" i="5" a="1"/>
  <c r="BP23" i="5" s="1"/>
  <c r="J23" i="2" s="1"/>
  <c r="O28" i="1"/>
  <c r="X18" i="10"/>
  <c r="BT19" i="8"/>
  <c r="BU19" i="8"/>
  <c r="BO19" i="8"/>
  <c r="BP19" i="8"/>
  <c r="BM19" i="8"/>
  <c r="BN19" i="8"/>
  <c r="BK19" i="8"/>
  <c r="BL19" i="8"/>
  <c r="BJ19" i="8"/>
  <c r="AN19" i="5"/>
  <c r="AR19" i="5" s="1"/>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V21" i="5" l="1"/>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BP24" i="5" a="1"/>
  <c r="BP24" i="5" s="1"/>
  <c r="J24" i="2" s="1"/>
  <c r="DH21" i="8"/>
  <c r="DI21" i="8" s="1"/>
  <c r="O29" i="1"/>
  <c r="BT20" i="8"/>
  <c r="BO20" i="8"/>
  <c r="BP20" i="8"/>
  <c r="BM20" i="8"/>
  <c r="BN20" i="8"/>
  <c r="BK20" i="8"/>
  <c r="BL20" i="8"/>
  <c r="BJ20" i="8"/>
  <c r="AC20" i="10"/>
  <c r="X20" i="10" s="1"/>
  <c r="AM20" i="5"/>
  <c r="AN20" i="5"/>
  <c r="AR20" i="5"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V22" i="5" l="1"/>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BP25" i="5" a="1"/>
  <c r="BP25" i="5" s="1"/>
  <c r="J25" i="2" s="1"/>
  <c r="O30" i="1"/>
  <c r="BT21" i="8"/>
  <c r="BO21" i="8"/>
  <c r="BP21" i="8"/>
  <c r="BM21" i="8"/>
  <c r="BN21" i="8"/>
  <c r="BK21" i="8"/>
  <c r="BL21" i="8"/>
  <c r="BJ21" i="8"/>
  <c r="AC21" i="10"/>
  <c r="X21" i="10" s="1"/>
  <c r="AM21" i="5"/>
  <c r="AN21" i="5"/>
  <c r="AR21" i="5" s="1"/>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V23" i="5" l="1"/>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BP26" i="5" a="1"/>
  <c r="BP26" i="5" s="1"/>
  <c r="J26" i="2" s="1"/>
  <c r="DH23" i="8"/>
  <c r="DI23" i="8" s="1"/>
  <c r="O31" i="1"/>
  <c r="BT22" i="8"/>
  <c r="BO22" i="8"/>
  <c r="BP22" i="8"/>
  <c r="BM22" i="8"/>
  <c r="BN22" i="8"/>
  <c r="BK22" i="8"/>
  <c r="BL22" i="8"/>
  <c r="BJ22" i="8"/>
  <c r="AC22" i="10"/>
  <c r="X22" i="10" s="1"/>
  <c r="AM22" i="5"/>
  <c r="AN22" i="5"/>
  <c r="AR22" i="5" s="1"/>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V24" i="5" l="1"/>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BP27" i="5" a="1"/>
  <c r="BP27" i="5" s="1"/>
  <c r="J27" i="2" s="1"/>
  <c r="O32" i="1"/>
  <c r="BT23" i="8"/>
  <c r="AN23" i="5"/>
  <c r="AR23" i="5" s="1"/>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I23" i="7" l="1"/>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AO24" i="5"/>
  <c r="BP28" i="5" a="1"/>
  <c r="BP28" i="5" s="1"/>
  <c r="J28" i="2" s="1"/>
  <c r="BI25" i="8"/>
  <c r="AT28" i="5"/>
  <c r="O33" i="1"/>
  <c r="BT24" i="8"/>
  <c r="BU24" i="8"/>
  <c r="BO24" i="8"/>
  <c r="BP24" i="8"/>
  <c r="BM24" i="8"/>
  <c r="BN24" i="8"/>
  <c r="BK24" i="8"/>
  <c r="BL24" i="8"/>
  <c r="BJ24" i="8"/>
  <c r="AC24" i="10"/>
  <c r="X24" i="10" s="1"/>
  <c r="AM24" i="5"/>
  <c r="AN24" i="5"/>
  <c r="AR24" i="5"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V26" i="5" l="1"/>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BP29" i="5" a="1"/>
  <c r="BP29" i="5" s="1"/>
  <c r="J29" i="2" s="1"/>
  <c r="O34" i="1"/>
  <c r="BT25" i="8"/>
  <c r="BO25" i="8"/>
  <c r="BP25" i="8"/>
  <c r="BM25" i="8"/>
  <c r="BN25" i="8"/>
  <c r="BK25" i="8"/>
  <c r="BL25" i="8"/>
  <c r="BJ25" i="8"/>
  <c r="AC25" i="10"/>
  <c r="X25" i="10" s="1"/>
  <c r="AM25" i="5"/>
  <c r="AN25" i="5"/>
  <c r="AR25" i="5" s="1"/>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V27" i="5" l="1"/>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AO26" i="5"/>
  <c r="BP30" i="5" a="1"/>
  <c r="BP30" i="5" s="1"/>
  <c r="J30" i="2" s="1"/>
  <c r="O35" i="1"/>
  <c r="BT26" i="8"/>
  <c r="BU26" i="8"/>
  <c r="BO26" i="8"/>
  <c r="BP26" i="8"/>
  <c r="BM26" i="8"/>
  <c r="BN26" i="8"/>
  <c r="BK26" i="8"/>
  <c r="BL26" i="8"/>
  <c r="BJ26" i="8"/>
  <c r="AC26" i="10"/>
  <c r="X26" i="10" s="1"/>
  <c r="AM26" i="5"/>
  <c r="AN26" i="5"/>
  <c r="AR26" i="5" s="1"/>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V28" i="5" l="1"/>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BP31" i="5" a="1"/>
  <c r="BP31" i="5" s="1"/>
  <c r="J31" i="2" s="1"/>
  <c r="E28" i="1"/>
  <c r="O36" i="1"/>
  <c r="BX27" i="8"/>
  <c r="CD27" i="8" s="1"/>
  <c r="BT27" i="8"/>
  <c r="BO27" i="8"/>
  <c r="BP27" i="8"/>
  <c r="BM27" i="8"/>
  <c r="BN27" i="8"/>
  <c r="BK27" i="8"/>
  <c r="BL27" i="8"/>
  <c r="BJ27" i="8"/>
  <c r="AC27" i="10"/>
  <c r="X27" i="10" s="1"/>
  <c r="AN27" i="5"/>
  <c r="AR27" i="5" s="1"/>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V29" i="5" l="1"/>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AO28" i="5"/>
  <c r="BP32" i="5" a="1"/>
  <c r="BP32" i="5" s="1"/>
  <c r="J32" i="2" s="1"/>
  <c r="DH29" i="8"/>
  <c r="DI29" i="8" s="1"/>
  <c r="O37" i="1"/>
  <c r="CE27" i="8"/>
  <c r="CX27" i="8" s="1"/>
  <c r="CY27" i="8" s="1"/>
  <c r="BX28" i="8"/>
  <c r="CD28" i="8" s="1"/>
  <c r="BT28" i="8"/>
  <c r="BO28" i="8"/>
  <c r="BP28" i="8"/>
  <c r="BM28" i="8"/>
  <c r="BN28" i="8"/>
  <c r="BK28" i="8"/>
  <c r="BL28" i="8"/>
  <c r="BJ28" i="8"/>
  <c r="AC28" i="10"/>
  <c r="X28" i="10" s="1"/>
  <c r="AN28" i="5"/>
  <c r="AR28" i="5" s="1"/>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V30" i="5" l="1"/>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BP33" i="5" a="1"/>
  <c r="BP33" i="5" s="1"/>
  <c r="J33" i="2" s="1"/>
  <c r="DH30" i="8"/>
  <c r="DI30" i="8" s="1"/>
  <c r="O38" i="1"/>
  <c r="CE28" i="8"/>
  <c r="CX28" i="8" s="1"/>
  <c r="CY28" i="8" s="1"/>
  <c r="BT29" i="8"/>
  <c r="BO29" i="8"/>
  <c r="BP29" i="8"/>
  <c r="BM29" i="8"/>
  <c r="BN29" i="8"/>
  <c r="BK29" i="8"/>
  <c r="BL29" i="8"/>
  <c r="BJ29" i="8"/>
  <c r="AC29" i="10"/>
  <c r="X29" i="10" s="1"/>
  <c r="AN29" i="5"/>
  <c r="AR29" i="5" s="1"/>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V31" i="5" l="1"/>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BP34" i="5" a="1"/>
  <c r="BP34" i="5" s="1"/>
  <c r="J34" i="2" s="1"/>
  <c r="A31" i="10"/>
  <c r="AA31" i="10" s="1"/>
  <c r="O39" i="1"/>
  <c r="BT30" i="8"/>
  <c r="BO30" i="8"/>
  <c r="BP30" i="8"/>
  <c r="BM30" i="8"/>
  <c r="BN30" i="8"/>
  <c r="BK30" i="8"/>
  <c r="BL30" i="8"/>
  <c r="BJ30" i="8"/>
  <c r="AC30" i="10"/>
  <c r="X30" i="10" s="1"/>
  <c r="AM30" i="5"/>
  <c r="AN30" i="5"/>
  <c r="AR30" i="5"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V32" i="5" l="1"/>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AO31" i="5"/>
  <c r="BP35" i="5" a="1"/>
  <c r="BP35" i="5" s="1"/>
  <c r="J35" i="2" s="1"/>
  <c r="BH32" i="8"/>
  <c r="BU32" i="8" s="1"/>
  <c r="O40" i="1"/>
  <c r="BX31" i="8"/>
  <c r="CD31" i="8" s="1"/>
  <c r="BT31" i="8"/>
  <c r="BO31" i="8"/>
  <c r="BP31" i="8"/>
  <c r="BM31" i="8"/>
  <c r="BN31" i="8"/>
  <c r="BK31" i="8"/>
  <c r="BL31" i="8"/>
  <c r="BJ31" i="8"/>
  <c r="AC31" i="10"/>
  <c r="X31" i="10" s="1"/>
  <c r="AN31" i="5"/>
  <c r="AR31" i="5" s="1"/>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V33" i="5" l="1"/>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AO32" i="5"/>
  <c r="BP36" i="5" a="1"/>
  <c r="BP36" i="5" s="1"/>
  <c r="J36" i="2" s="1"/>
  <c r="BT32" i="8"/>
  <c r="BX32" i="8"/>
  <c r="CD32" i="8" s="1"/>
  <c r="D33" i="9"/>
  <c r="O41" i="1"/>
  <c r="CE31" i="8"/>
  <c r="CX31" i="8" s="1"/>
  <c r="CY31" i="8" s="1"/>
  <c r="BO32" i="8"/>
  <c r="BP32" i="8"/>
  <c r="BM32" i="8"/>
  <c r="BN32" i="8"/>
  <c r="BK32" i="8"/>
  <c r="BL32" i="8"/>
  <c r="BJ32" i="8"/>
  <c r="AC32" i="10"/>
  <c r="X32" i="10" s="1"/>
  <c r="AM32" i="5"/>
  <c r="AN32" i="5"/>
  <c r="AR32" i="5"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I55" i="9" l="1"/>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AO33" i="5"/>
  <c r="BP37" i="5" a="1"/>
  <c r="BP37" i="5" s="1"/>
  <c r="J37" i="2" s="1"/>
  <c r="O42" i="1"/>
  <c r="BT33" i="8"/>
  <c r="BO33" i="8"/>
  <c r="BP33" i="8"/>
  <c r="BM33" i="8"/>
  <c r="BN33" i="8"/>
  <c r="BK33" i="8"/>
  <c r="BL33" i="8"/>
  <c r="BJ33" i="8"/>
  <c r="AC33" i="10"/>
  <c r="X33" i="10" s="1"/>
  <c r="AM33" i="5"/>
  <c r="AN33" i="5"/>
  <c r="AR33" i="5"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I56" i="9" l="1"/>
  <c r="AO56" i="8" s="1"/>
  <c r="AV35" i="5"/>
  <c r="AW35" i="5"/>
  <c r="AF33" i="7"/>
  <c r="AG33" i="7"/>
  <c r="AI33" i="7" s="1"/>
  <c r="CL35" i="8"/>
  <c r="AI57" i="9"/>
  <c r="AO57" i="8" s="1"/>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AO34" i="5"/>
  <c r="BP38" i="5" a="1"/>
  <c r="BP38" i="5" s="1"/>
  <c r="J38" i="2" s="1"/>
  <c r="DH35" i="8"/>
  <c r="DI35" i="8" s="1"/>
  <c r="O43" i="1"/>
  <c r="BX34" i="8"/>
  <c r="CD34" i="8" s="1"/>
  <c r="BT34" i="8"/>
  <c r="BO34" i="8"/>
  <c r="BP34" i="8"/>
  <c r="BM34" i="8"/>
  <c r="BN34" i="8"/>
  <c r="BK34" i="8"/>
  <c r="BL34" i="8"/>
  <c r="BJ34" i="8"/>
  <c r="AC34" i="10"/>
  <c r="X34" i="10" s="1"/>
  <c r="AM34" i="5"/>
  <c r="AN34" i="5"/>
  <c r="AR34" i="5"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V36" i="5" l="1"/>
  <c r="AW36" i="5"/>
  <c r="AF35" i="7"/>
  <c r="AG35" i="7"/>
  <c r="AF34" i="7"/>
  <c r="AG34" i="7"/>
  <c r="AI34" i="7" s="1"/>
  <c r="CL36" i="8"/>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BP39" i="5" a="1"/>
  <c r="BP39" i="5" s="1"/>
  <c r="J39" i="2" s="1"/>
  <c r="O44" i="1"/>
  <c r="CE34" i="8"/>
  <c r="CX34" i="8" s="1"/>
  <c r="CY34" i="8" s="1"/>
  <c r="BT35" i="8"/>
  <c r="BO35" i="8"/>
  <c r="BP35" i="8"/>
  <c r="BM35" i="8"/>
  <c r="BN35" i="8"/>
  <c r="BK35" i="8"/>
  <c r="BL35" i="8"/>
  <c r="BJ35" i="8"/>
  <c r="AC35" i="10"/>
  <c r="X35" i="10" s="1"/>
  <c r="AM35" i="5"/>
  <c r="AN35" i="5"/>
  <c r="AR35" i="5"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V37" i="5" l="1"/>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AO36" i="5"/>
  <c r="BP40" i="5" a="1"/>
  <c r="BP40" i="5" s="1"/>
  <c r="J40" i="2" s="1"/>
  <c r="A37" i="11"/>
  <c r="AD36" i="11" s="1"/>
  <c r="AI36" i="1" s="1"/>
  <c r="O45" i="1"/>
  <c r="BX36" i="8"/>
  <c r="CD36" i="8" s="1"/>
  <c r="BT36" i="8"/>
  <c r="BO36" i="8"/>
  <c r="BP36" i="8"/>
  <c r="BM36" i="8"/>
  <c r="BN36" i="8"/>
  <c r="AN36" i="5"/>
  <c r="AR36" i="5" s="1"/>
  <c r="BK36" i="8"/>
  <c r="BL36" i="8"/>
  <c r="BJ36" i="8"/>
  <c r="AC36" i="10"/>
  <c r="X36" i="10" s="1"/>
  <c r="AM36" i="5"/>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V38" i="5" l="1"/>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BP41" i="5" a="1"/>
  <c r="BP41" i="5" s="1"/>
  <c r="J41" i="2" s="1"/>
  <c r="O46" i="1"/>
  <c r="CE36" i="8"/>
  <c r="CX36" i="8" s="1"/>
  <c r="CY36" i="8" s="1"/>
  <c r="BT37" i="8"/>
  <c r="BO37" i="8"/>
  <c r="BP37" i="8"/>
  <c r="BM37" i="8"/>
  <c r="BN37" i="8"/>
  <c r="BK37" i="8"/>
  <c r="BL37" i="8"/>
  <c r="BJ37" i="8"/>
  <c r="AN37" i="5"/>
  <c r="AR37" i="5" s="1"/>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I37" i="7" l="1"/>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AO38" i="5"/>
  <c r="BP42" i="5" a="1"/>
  <c r="BP42" i="5" s="1"/>
  <c r="J42" i="2" s="1"/>
  <c r="BH39" i="8"/>
  <c r="BU39" i="8" s="1"/>
  <c r="O47" i="1"/>
  <c r="BT38" i="8"/>
  <c r="BU38" i="8"/>
  <c r="BO38" i="8"/>
  <c r="BP38" i="8"/>
  <c r="BM38" i="8"/>
  <c r="BN38" i="8"/>
  <c r="BK38" i="8"/>
  <c r="BL38" i="8"/>
  <c r="BJ38" i="8"/>
  <c r="AC38" i="10"/>
  <c r="X38" i="10" s="1"/>
  <c r="AN38" i="5"/>
  <c r="AR38" i="5" s="1"/>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AG50" i="9"/>
  <c r="AK50" i="9"/>
  <c r="AE112" i="9"/>
  <c r="N26" i="1"/>
  <c r="S43" i="2"/>
  <c r="N44" i="2"/>
  <c r="R44" i="2"/>
  <c r="Q43" i="2"/>
  <c r="J45" i="10"/>
  <c r="N45" i="5" s="1"/>
  <c r="P45" i="2"/>
  <c r="AV40" i="5" l="1"/>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AO39" i="5"/>
  <c r="BP43" i="5" a="1"/>
  <c r="BP43" i="5" s="1"/>
  <c r="J43" i="2" s="1"/>
  <c r="D40" i="9"/>
  <c r="BT39" i="8"/>
  <c r="BX39" i="8"/>
  <c r="CD39" i="8" s="1"/>
  <c r="BI40" i="8"/>
  <c r="O48" i="1"/>
  <c r="AN39" i="5"/>
  <c r="AR39" i="5" s="1"/>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V41" i="5" l="1"/>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BP44" i="5" a="1"/>
  <c r="BP44" i="5" s="1"/>
  <c r="J44" i="2" s="1"/>
  <c r="CE39" i="8"/>
  <c r="CX39" i="8" s="1"/>
  <c r="CY39" i="8" s="1"/>
  <c r="O49" i="1"/>
  <c r="BT40" i="8"/>
  <c r="BO40" i="8"/>
  <c r="BP40" i="8"/>
  <c r="BM40" i="8"/>
  <c r="BN40" i="8"/>
  <c r="BK40" i="8"/>
  <c r="BL40" i="8"/>
  <c r="BJ40" i="8"/>
  <c r="AC40" i="10"/>
  <c r="X40" i="10" s="1"/>
  <c r="AM40" i="5"/>
  <c r="AN40" i="5"/>
  <c r="AR40" i="5"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V42" i="5" l="1"/>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AO41" i="5"/>
  <c r="BP45" i="5" a="1"/>
  <c r="BP45" i="5" s="1"/>
  <c r="J45" i="2" s="1"/>
  <c r="O50" i="1"/>
  <c r="BT41" i="8"/>
  <c r="BO41" i="8"/>
  <c r="BP41" i="8"/>
  <c r="BM41" i="8"/>
  <c r="BN41" i="8"/>
  <c r="BK41" i="8"/>
  <c r="BL41" i="8"/>
  <c r="BJ41" i="8"/>
  <c r="AC41" i="10"/>
  <c r="X41" i="10" s="1"/>
  <c r="AM41" i="5"/>
  <c r="AN41" i="5"/>
  <c r="AR41" i="5"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V43" i="5" l="1"/>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AO42" i="5"/>
  <c r="BP46" i="5" a="1"/>
  <c r="BP46" i="5" s="1"/>
  <c r="J46" i="2" s="1"/>
  <c r="O51" i="1"/>
  <c r="BT42" i="8"/>
  <c r="BO42" i="8"/>
  <c r="BP42" i="8"/>
  <c r="BM42" i="8"/>
  <c r="BN42" i="8"/>
  <c r="BK42" i="8"/>
  <c r="BL42" i="8"/>
  <c r="BJ42" i="8"/>
  <c r="AC42" i="10"/>
  <c r="X42" i="10" s="1"/>
  <c r="AM42" i="5"/>
  <c r="AN42" i="5"/>
  <c r="AR42" i="5"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V44" i="5" l="1"/>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BP47" i="5" a="1"/>
  <c r="BP47" i="5" s="1"/>
  <c r="J47" i="2" s="1"/>
  <c r="X44" i="8"/>
  <c r="DD44" i="8" s="1"/>
  <c r="O52" i="1"/>
  <c r="BT43" i="8"/>
  <c r="BO43" i="8"/>
  <c r="BP43" i="8"/>
  <c r="BM43" i="8"/>
  <c r="BN43" i="8"/>
  <c r="BK43" i="8"/>
  <c r="BL43" i="8"/>
  <c r="BJ43" i="8"/>
  <c r="AC43" i="10"/>
  <c r="X43" i="10" s="1"/>
  <c r="AN43" i="5"/>
  <c r="AR43" i="5" s="1"/>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V45" i="5" l="1"/>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AO44" i="5"/>
  <c r="BP48" i="5" a="1"/>
  <c r="BP48" i="5" s="1"/>
  <c r="J48" i="2" s="1"/>
  <c r="O53" i="1"/>
  <c r="BT44" i="8"/>
  <c r="BO44" i="8"/>
  <c r="BP44" i="8"/>
  <c r="BM44" i="8"/>
  <c r="BN44" i="8"/>
  <c r="BK44" i="8"/>
  <c r="BL44" i="8"/>
  <c r="BJ44" i="8"/>
  <c r="AC44" i="10"/>
  <c r="X44" i="10" s="1"/>
  <c r="AN44" i="5"/>
  <c r="AR44" i="5" s="1"/>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V46" i="5" l="1"/>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BP49" i="5" a="1"/>
  <c r="BP49" i="5" s="1"/>
  <c r="J49" i="2" s="1"/>
  <c r="O54" i="1"/>
  <c r="BT45" i="8"/>
  <c r="BU45" i="8"/>
  <c r="BO45" i="8"/>
  <c r="BP45" i="8"/>
  <c r="BM45" i="8"/>
  <c r="BN45" i="8"/>
  <c r="BK45" i="8"/>
  <c r="BL45" i="8"/>
  <c r="BJ45" i="8"/>
  <c r="AN45" i="5"/>
  <c r="AR45" i="5" s="1"/>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V47" i="5" l="1"/>
  <c r="AW47" i="5"/>
  <c r="AF45" i="7"/>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AO46" i="5"/>
  <c r="BP50" i="5" a="1"/>
  <c r="BP50" i="5" s="1"/>
  <c r="J50" i="2" s="1"/>
  <c r="O55" i="1"/>
  <c r="BT46" i="8"/>
  <c r="BO46" i="8"/>
  <c r="BP46" i="8"/>
  <c r="BM46" i="8"/>
  <c r="BN46" i="8"/>
  <c r="BK46" i="8"/>
  <c r="BL46" i="8"/>
  <c r="BJ46" i="8"/>
  <c r="AN46" i="5"/>
  <c r="AR46" i="5" s="1"/>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V48" i="5" l="1"/>
  <c r="AW48" i="5"/>
  <c r="AF46" i="7"/>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AO47" i="5"/>
  <c r="BP51" i="5" a="1"/>
  <c r="BP51" i="5" s="1"/>
  <c r="J51" i="2" s="1"/>
  <c r="O56" i="1"/>
  <c r="BX47" i="8"/>
  <c r="CD47" i="8" s="1"/>
  <c r="BT47" i="8"/>
  <c r="BO47" i="8"/>
  <c r="BP47" i="8"/>
  <c r="BM47" i="8"/>
  <c r="BN47" i="8"/>
  <c r="BK47" i="8"/>
  <c r="BL47" i="8"/>
  <c r="BJ47" i="8"/>
  <c r="AN47" i="5"/>
  <c r="AR47" i="5" s="1"/>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V49" i="5" l="1"/>
  <c r="AW49" i="5"/>
  <c r="AF47" i="7"/>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BP52" i="5" a="1"/>
  <c r="BP52" i="5" s="1"/>
  <c r="O57" i="1"/>
  <c r="CE47" i="8"/>
  <c r="CX47" i="8" s="1"/>
  <c r="CY47" i="8" s="1"/>
  <c r="BT48" i="8"/>
  <c r="BO48" i="8"/>
  <c r="BP48" i="8"/>
  <c r="BM48" i="8"/>
  <c r="BN48" i="8"/>
  <c r="BK48" i="8"/>
  <c r="BL48" i="8"/>
  <c r="BJ48" i="8"/>
  <c r="AC48" i="10"/>
  <c r="X48" i="10" s="1"/>
  <c r="AM48" i="5"/>
  <c r="AN48" i="5"/>
  <c r="AR48" i="5" s="1"/>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V50" i="5" l="1"/>
  <c r="AW50" i="5"/>
  <c r="AF48" i="7"/>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BP53" i="5" a="1"/>
  <c r="BP53" i="5" s="1"/>
  <c r="J53" i="2" s="1"/>
  <c r="A50" i="11"/>
  <c r="AD49" i="11" s="1"/>
  <c r="AI49" i="1" s="1"/>
  <c r="O58" i="1"/>
  <c r="AN49" i="5"/>
  <c r="AR49" i="5" s="1"/>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AG61" i="9"/>
  <c r="AK61" i="9"/>
  <c r="AE123" i="9"/>
  <c r="N37" i="1"/>
  <c r="S54" i="2"/>
  <c r="N55" i="2"/>
  <c r="R55" i="2"/>
  <c r="Q54" i="2"/>
  <c r="J56" i="10"/>
  <c r="N56" i="5" s="1"/>
  <c r="P56" i="2"/>
  <c r="AV51" i="5" l="1"/>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BP54" i="5" a="1"/>
  <c r="BP54" i="5" s="1"/>
  <c r="J54" i="2" s="1"/>
  <c r="O59" i="1"/>
  <c r="BT50" i="8"/>
  <c r="BO50" i="8"/>
  <c r="BP50" i="8"/>
  <c r="BM50" i="8"/>
  <c r="BN50" i="8"/>
  <c r="BK50" i="8"/>
  <c r="BL50" i="8"/>
  <c r="BJ50" i="8"/>
  <c r="AC50" i="10"/>
  <c r="X50" i="10" s="1"/>
  <c r="AM50" i="5"/>
  <c r="AN50" i="5"/>
  <c r="AR50" i="5"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V52" i="5" l="1"/>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AO51" i="5"/>
  <c r="BP55" i="5" a="1"/>
  <c r="BP55" i="5" s="1"/>
  <c r="J55" i="2" s="1"/>
  <c r="O60" i="1"/>
  <c r="BT51" i="8"/>
  <c r="BO51" i="8"/>
  <c r="BP51" i="8"/>
  <c r="BM51" i="8"/>
  <c r="BN51" i="8"/>
  <c r="BK51" i="8"/>
  <c r="BL51" i="8"/>
  <c r="BJ51" i="8"/>
  <c r="AC51" i="10"/>
  <c r="X51" i="10" s="1"/>
  <c r="AM51" i="5"/>
  <c r="AN51" i="5"/>
  <c r="AR51" i="5"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V53" i="5" l="1"/>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AO52" i="5"/>
  <c r="BP56" i="5" a="1"/>
  <c r="BP56" i="5" s="1"/>
  <c r="J56" i="2" s="1"/>
  <c r="O61" i="1"/>
  <c r="AN52" i="5"/>
  <c r="AR52" i="5" s="1"/>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V54" i="5" l="1"/>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AO53" i="5"/>
  <c r="BP57" i="5" a="1"/>
  <c r="BP57" i="5" s="1"/>
  <c r="J57" i="2" s="1"/>
  <c r="O62" i="1"/>
  <c r="CE52" i="8"/>
  <c r="CX52" i="8" s="1"/>
  <c r="CY52" i="8" s="1"/>
  <c r="BT53" i="8"/>
  <c r="BO53" i="8"/>
  <c r="BP53" i="8"/>
  <c r="BM53" i="8"/>
  <c r="BN53" i="8"/>
  <c r="BK53" i="8"/>
  <c r="BL53" i="8"/>
  <c r="BJ53" i="8"/>
  <c r="AC53" i="10"/>
  <c r="X53" i="10" s="1"/>
  <c r="AN53" i="5"/>
  <c r="AR53" i="5" s="1"/>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I64" i="4" s="1"/>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V55" i="5" l="1"/>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BP58" i="5" a="1"/>
  <c r="BP58" i="5" s="1"/>
  <c r="J58" i="2" s="1"/>
  <c r="A55" i="10"/>
  <c r="AA55" i="10" s="1"/>
  <c r="O63" i="1"/>
  <c r="BX54" i="8"/>
  <c r="CD54" i="8" s="1"/>
  <c r="BT54" i="8"/>
  <c r="BO54" i="8"/>
  <c r="BP54" i="8"/>
  <c r="BM54" i="8"/>
  <c r="BN54" i="8"/>
  <c r="BK54" i="8"/>
  <c r="BL54" i="8"/>
  <c r="BJ54" i="8"/>
  <c r="AC54" i="10"/>
  <c r="X54" i="10" s="1"/>
  <c r="AN54" i="5"/>
  <c r="AR54" i="5" s="1"/>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V56" i="5" l="1"/>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BP59" i="5" a="1"/>
  <c r="BP59" i="5" s="1"/>
  <c r="J59" i="2" s="1"/>
  <c r="O64" i="1"/>
  <c r="CE54" i="8"/>
  <c r="CX54" i="8" s="1"/>
  <c r="CY54" i="8" s="1"/>
  <c r="BT55" i="8"/>
  <c r="BO55" i="8"/>
  <c r="BP55" i="8"/>
  <c r="BM55" i="8"/>
  <c r="BN55" i="8"/>
  <c r="BK55" i="8"/>
  <c r="BL55" i="8"/>
  <c r="BJ55" i="8"/>
  <c r="AC55" i="10"/>
  <c r="X55" i="10" s="1"/>
  <c r="AM55" i="5"/>
  <c r="AN55" i="5"/>
  <c r="AR55" i="5" s="1"/>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V57" i="5" l="1"/>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BP60" i="5" a="1"/>
  <c r="BP60" i="5" s="1"/>
  <c r="J60" i="2" s="1"/>
  <c r="O65" i="1"/>
  <c r="BT56" i="8"/>
  <c r="BO56" i="8"/>
  <c r="BP56" i="8"/>
  <c r="BM56" i="8"/>
  <c r="BN56" i="8"/>
  <c r="BK56" i="8"/>
  <c r="BL56" i="8"/>
  <c r="BJ56" i="8"/>
  <c r="AC56" i="10"/>
  <c r="X56" i="10" s="1"/>
  <c r="AN56" i="5"/>
  <c r="AR56" i="5" s="1"/>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V58" i="5" l="1"/>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BP61" i="5" a="1"/>
  <c r="BP61" i="5" s="1"/>
  <c r="J61" i="2" s="1"/>
  <c r="O66" i="1"/>
  <c r="BX57" i="8"/>
  <c r="CE57" i="8" s="1"/>
  <c r="BT57" i="8"/>
  <c r="BO57" i="8"/>
  <c r="BP57" i="8"/>
  <c r="BM57" i="8"/>
  <c r="BN57" i="8"/>
  <c r="AN57" i="5"/>
  <c r="AR57" i="5" s="1"/>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V59" i="5" l="1"/>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BP62" i="5" a="1"/>
  <c r="BP62" i="5" s="1"/>
  <c r="J62" i="2" s="1"/>
  <c r="O67" i="1"/>
  <c r="CD57" i="8"/>
  <c r="BX58" i="8"/>
  <c r="CD58" i="8" s="1"/>
  <c r="BT58" i="8"/>
  <c r="BO58" i="8"/>
  <c r="BP58" i="8"/>
  <c r="BM58" i="8"/>
  <c r="BN58" i="8"/>
  <c r="BK58" i="8"/>
  <c r="BL58" i="8"/>
  <c r="BJ58" i="8"/>
  <c r="AC58" i="10"/>
  <c r="X58" i="10" s="1"/>
  <c r="AM58" i="5"/>
  <c r="AN58" i="5"/>
  <c r="AR58" i="5"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V60" i="5" l="1"/>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BP63" i="5" a="1"/>
  <c r="BP63" i="5" s="1"/>
  <c r="J63" i="2" s="1"/>
  <c r="O68" i="1"/>
  <c r="CE58" i="8"/>
  <c r="CX58" i="8" s="1"/>
  <c r="CY58" i="8" s="1"/>
  <c r="BX59" i="8"/>
  <c r="CD59" i="8" s="1"/>
  <c r="BT59" i="8"/>
  <c r="BO59" i="8"/>
  <c r="BP59" i="8"/>
  <c r="BM59" i="8"/>
  <c r="BN59" i="8"/>
  <c r="BK59" i="8"/>
  <c r="BL59" i="8"/>
  <c r="BJ59" i="8"/>
  <c r="AC59" i="10"/>
  <c r="X59" i="10" s="1"/>
  <c r="AM59" i="5"/>
  <c r="AN59" i="5"/>
  <c r="AR59" i="5"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V61" i="5" l="1"/>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AO60" i="5"/>
  <c r="BP64" i="5" a="1"/>
  <c r="BP64" i="5" s="1"/>
  <c r="J64" i="2" s="1"/>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V62" i="5" l="1"/>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BP65" i="5" a="1"/>
  <c r="BP65" i="5" s="1"/>
  <c r="J65" i="2"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V63" i="5" l="1"/>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BP66" i="5" a="1"/>
  <c r="BP66" i="5" s="1"/>
  <c r="J66" i="2"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V64" i="5" l="1"/>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BP67" i="5" a="1"/>
  <c r="BP67" i="5" s="1"/>
  <c r="J67" i="2" s="1"/>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V65" i="5" l="1"/>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AO64" i="5"/>
  <c r="BP68" i="5" a="1"/>
  <c r="BP68" i="5" s="1"/>
  <c r="J68" i="2"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V66" i="5" l="1"/>
  <c r="AW66" i="5"/>
  <c r="AF64" i="7"/>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O65" i="5"/>
  <c r="BP69" i="5" a="1"/>
  <c r="BP69" i="5" s="1"/>
  <c r="J69" i="2" s="1"/>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V67" i="5" l="1"/>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BP70" i="5" a="1"/>
  <c r="BP70" i="5" s="1"/>
  <c r="J70" i="2" s="1"/>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V68" i="5" l="1"/>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V69" i="5" l="1"/>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BP72" i="5" a="1"/>
  <c r="BP72" i="5" s="1"/>
  <c r="J72" i="2"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V70" i="5" l="1"/>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BP73" i="5" a="1"/>
  <c r="BP73" i="5" s="1"/>
  <c r="J73" i="2" s="1"/>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V71" i="5" l="1"/>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BP74" i="5" a="1"/>
  <c r="BP74" i="5" s="1"/>
  <c r="J74" i="2" s="1"/>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V72" i="5" l="1"/>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AO71"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V73" i="5" l="1"/>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BP76" i="5" a="1"/>
  <c r="BP76" i="5" s="1"/>
  <c r="J76" i="2" s="1"/>
  <c r="O81" i="1"/>
  <c r="CE71" i="8"/>
  <c r="CX71" i="8" s="1"/>
  <c r="CY71" i="8" s="1"/>
  <c r="BX72" i="8"/>
  <c r="CD72" i="8" s="1"/>
  <c r="BT72" i="8"/>
  <c r="BO72" i="8"/>
  <c r="BP72" i="8"/>
  <c r="BM72" i="8"/>
  <c r="BN72" i="8"/>
  <c r="BK72" i="8"/>
  <c r="BL72" i="8"/>
  <c r="BJ72" i="8"/>
  <c r="AC72" i="10"/>
  <c r="X72" i="10" s="1"/>
  <c r="AM72" i="5"/>
  <c r="AN72" i="5"/>
  <c r="AR72" i="5"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V74" i="5" l="1"/>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BP77" i="5" a="1"/>
  <c r="BP77" i="5" s="1"/>
  <c r="J77" i="2"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V75" i="5" l="1"/>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V76" i="5" l="1"/>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BP79" i="5" a="1"/>
  <c r="BP79" i="5" s="1"/>
  <c r="J79" i="2" s="1"/>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V77" i="5" l="1"/>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V78" i="5" l="1"/>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BP81" i="5" a="1"/>
  <c r="BP81" i="5" s="1"/>
  <c r="J81" i="2" s="1"/>
  <c r="O86" i="1"/>
  <c r="BX77" i="8"/>
  <c r="CE77" i="8" s="1"/>
  <c r="BT77" i="8"/>
  <c r="BO77" i="8"/>
  <c r="BP77" i="8"/>
  <c r="BM77" i="8"/>
  <c r="BN77" i="8"/>
  <c r="BK77" i="8"/>
  <c r="BL77" i="8"/>
  <c r="AN77" i="5"/>
  <c r="AR77" i="5" s="1"/>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V79" i="5" l="1"/>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BP82" i="5" a="1"/>
  <c r="BP82" i="5" s="1"/>
  <c r="J82" i="2" s="1"/>
  <c r="O87" i="1"/>
  <c r="F42" i="4"/>
  <c r="F40" i="4"/>
  <c r="CD77" i="8"/>
  <c r="BX78" i="8"/>
  <c r="CE78" i="8" s="1"/>
  <c r="BT78" i="8"/>
  <c r="BO78" i="8"/>
  <c r="BP78" i="8"/>
  <c r="BM78" i="8"/>
  <c r="BN78" i="8"/>
  <c r="BK78" i="8"/>
  <c r="BL78" i="8"/>
  <c r="BJ78" i="8"/>
  <c r="AC78" i="10"/>
  <c r="X78" i="10" s="1"/>
  <c r="AM78" i="5"/>
  <c r="AN78" i="5"/>
  <c r="AR78" i="5"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V80" i="5" l="1"/>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BP83" i="5" a="1"/>
  <c r="BP83" i="5" s="1"/>
  <c r="J83" i="2" s="1"/>
  <c r="O88" i="1"/>
  <c r="CD78" i="8"/>
  <c r="AH83" i="11"/>
  <c r="BT79" i="8"/>
  <c r="BU79" i="8"/>
  <c r="BO79" i="8"/>
  <c r="BP79" i="8"/>
  <c r="BM79" i="8"/>
  <c r="BN79" i="8"/>
  <c r="BK79" i="8"/>
  <c r="BL79" i="8"/>
  <c r="BJ79" i="8"/>
  <c r="AC79" i="10"/>
  <c r="X79" i="10" s="1"/>
  <c r="AN79" i="5"/>
  <c r="AR79" i="5" s="1"/>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V81" i="5" l="1"/>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BP84" i="5" a="1"/>
  <c r="BP84" i="5" s="1"/>
  <c r="J84" i="2" s="1"/>
  <c r="O89" i="1"/>
  <c r="BX80" i="8"/>
  <c r="CD80" i="8" s="1"/>
  <c r="BT80" i="8"/>
  <c r="BO80" i="8"/>
  <c r="BP80" i="8"/>
  <c r="BM80" i="8"/>
  <c r="BN80" i="8"/>
  <c r="BK80" i="8"/>
  <c r="BL80" i="8"/>
  <c r="BJ80" i="8"/>
  <c r="AC80" i="10"/>
  <c r="X80" i="10" s="1"/>
  <c r="AN80" i="5"/>
  <c r="AR80" i="5" s="1"/>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V82" i="5" l="1"/>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BP85" i="5" a="1"/>
  <c r="BP85" i="5" s="1"/>
  <c r="J85" i="2" s="1"/>
  <c r="O90" i="1"/>
  <c r="CE80" i="8"/>
  <c r="CX80" i="8" s="1"/>
  <c r="CY80" i="8" s="1"/>
  <c r="BX81" i="8"/>
  <c r="CD81" i="8" s="1"/>
  <c r="BT81" i="8"/>
  <c r="BO81" i="8"/>
  <c r="BP81" i="8"/>
  <c r="BM81" i="8"/>
  <c r="BN81" i="8"/>
  <c r="BK81" i="8"/>
  <c r="BL81" i="8"/>
  <c r="BJ81" i="8"/>
  <c r="AN81" i="5"/>
  <c r="AR81" i="5" s="1"/>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V83" i="5" l="1"/>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BP86" i="5" a="1"/>
  <c r="BP86" i="5" s="1"/>
  <c r="J86" i="2" s="1"/>
  <c r="O91" i="1"/>
  <c r="CE81" i="8"/>
  <c r="CX81" i="8" s="1"/>
  <c r="CY81" i="8" s="1"/>
  <c r="BX82" i="8"/>
  <c r="CE82" i="8" s="1"/>
  <c r="BT82" i="8"/>
  <c r="BO82" i="8"/>
  <c r="BP82" i="8"/>
  <c r="BM82" i="8"/>
  <c r="BN82" i="8"/>
  <c r="BK82" i="8"/>
  <c r="BL82" i="8"/>
  <c r="BJ82" i="8"/>
  <c r="AC82" i="10"/>
  <c r="X82" i="10" s="1"/>
  <c r="AM82" i="5"/>
  <c r="AN82" i="5"/>
  <c r="AR82" i="5"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V84" i="5" l="1"/>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BP87" i="5" a="1"/>
  <c r="BP87" i="5" s="1"/>
  <c r="J87" i="2" s="1"/>
  <c r="O92" i="1"/>
  <c r="CD82" i="8"/>
  <c r="BX83" i="8"/>
  <c r="CE83" i="8" s="1"/>
  <c r="BT83" i="8"/>
  <c r="BO83" i="8"/>
  <c r="BP83" i="8"/>
  <c r="BM83" i="8"/>
  <c r="BN83" i="8"/>
  <c r="BK83" i="8"/>
  <c r="BL83" i="8"/>
  <c r="BJ83" i="8"/>
  <c r="AC83" i="10"/>
  <c r="X83" i="10" s="1"/>
  <c r="AM83" i="5"/>
  <c r="AN83" i="5"/>
  <c r="AR83" i="5"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V85" i="5" l="1"/>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BP88" i="5" a="1"/>
  <c r="BP88" i="5" s="1"/>
  <c r="J88" i="2" s="1"/>
  <c r="BT85" i="5"/>
  <c r="O93" i="1"/>
  <c r="CD83" i="8"/>
  <c r="BX84" i="8"/>
  <c r="CD84" i="8" s="1"/>
  <c r="BT84" i="8"/>
  <c r="BO84" i="8"/>
  <c r="BP84" i="8"/>
  <c r="BM84" i="8"/>
  <c r="BN84" i="8"/>
  <c r="BK84" i="8"/>
  <c r="BL84" i="8"/>
  <c r="BJ84" i="8"/>
  <c r="AC84" i="10"/>
  <c r="X84" i="10" s="1"/>
  <c r="AM84" i="5"/>
  <c r="AN84" i="5"/>
  <c r="AR84" i="5"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V86" i="5" l="1"/>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BP89" i="5" a="1"/>
  <c r="BP89" i="5" s="1"/>
  <c r="J89" i="2" s="1"/>
  <c r="O94" i="1"/>
  <c r="CE84" i="8"/>
  <c r="CX84" i="8" s="1"/>
  <c r="CY84" i="8" s="1"/>
  <c r="BX85" i="8"/>
  <c r="CE85" i="8" s="1"/>
  <c r="BT85" i="8"/>
  <c r="BO85" i="8"/>
  <c r="BP85" i="8"/>
  <c r="BM85" i="8"/>
  <c r="BN85" i="8"/>
  <c r="BK85" i="8"/>
  <c r="BL85" i="8"/>
  <c r="BJ85" i="8"/>
  <c r="AC85" i="10"/>
  <c r="X85" i="10" s="1"/>
  <c r="AN85" i="5"/>
  <c r="AR85" i="5" s="1"/>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AI85" i="7" s="1"/>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V87" i="5" l="1"/>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BP90" i="5" a="1"/>
  <c r="BP90" i="5" s="1"/>
  <c r="J90" i="2" s="1"/>
  <c r="AC87" i="8"/>
  <c r="BQ87" i="8" s="1"/>
  <c r="O95" i="1"/>
  <c r="CD85" i="8"/>
  <c r="BX86" i="8"/>
  <c r="CD86" i="8" s="1"/>
  <c r="BT86" i="8"/>
  <c r="BO86" i="8"/>
  <c r="BP86" i="8"/>
  <c r="BM86" i="8"/>
  <c r="BN86" i="8"/>
  <c r="BK86" i="8"/>
  <c r="BL86" i="8"/>
  <c r="BJ86" i="8"/>
  <c r="AC86" i="10"/>
  <c r="X86" i="10" s="1"/>
  <c r="AN86" i="5"/>
  <c r="AR86" i="5" s="1"/>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V88" i="5" l="1"/>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BL87" i="8"/>
  <c r="BK87" i="8"/>
  <c r="BP91" i="5" a="1"/>
  <c r="BP91" i="5" s="1"/>
  <c r="J91" i="2" s="1"/>
  <c r="BN87" i="8"/>
  <c r="O96" i="1"/>
  <c r="CE86" i="8"/>
  <c r="CX86" i="8" s="1"/>
  <c r="CY86" i="8" s="1"/>
  <c r="BX87" i="8"/>
  <c r="CD87" i="8" s="1"/>
  <c r="BT87" i="8"/>
  <c r="AC87" i="10"/>
  <c r="X87" i="10" s="1"/>
  <c r="AN87" i="5"/>
  <c r="AR87" i="5" s="1"/>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V89" i="5" l="1"/>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BP92" i="5" a="1"/>
  <c r="BP92" i="5" s="1"/>
  <c r="J92" i="2" s="1"/>
  <c r="O97" i="1"/>
  <c r="CE87" i="8"/>
  <c r="CX87" i="8" s="1"/>
  <c r="CY87" i="8" s="1"/>
  <c r="BT88" i="8"/>
  <c r="BO88" i="8"/>
  <c r="BP88" i="8"/>
  <c r="BM88" i="8"/>
  <c r="BN88" i="8"/>
  <c r="BK88" i="8"/>
  <c r="BL88" i="8"/>
  <c r="BJ88" i="8"/>
  <c r="AN88" i="5"/>
  <c r="AR88" i="5" s="1"/>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V90" i="5" l="1"/>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BP93" i="5" a="1"/>
  <c r="BP93" i="5" s="1"/>
  <c r="J93" i="2" s="1"/>
  <c r="O98" i="1"/>
  <c r="BX89" i="8"/>
  <c r="CE89" i="8" s="1"/>
  <c r="BT89" i="8"/>
  <c r="BO89" i="8"/>
  <c r="BP89" i="8"/>
  <c r="BM89" i="8"/>
  <c r="BN89" i="8"/>
  <c r="AN89" i="5"/>
  <c r="AR89" i="5" s="1"/>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V91" i="5" l="1"/>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BP94" i="5" a="1"/>
  <c r="BP94" i="5" s="1"/>
  <c r="J94" i="2" s="1"/>
  <c r="O99" i="1"/>
  <c r="CD89" i="8"/>
  <c r="BT90" i="8"/>
  <c r="BO90" i="8"/>
  <c r="BP90" i="8"/>
  <c r="BM90" i="8"/>
  <c r="BN90" i="8"/>
  <c r="BK90" i="8"/>
  <c r="BL90" i="8"/>
  <c r="BJ90" i="8"/>
  <c r="AC90" i="10"/>
  <c r="X90" i="10" s="1"/>
  <c r="AM90" i="5"/>
  <c r="AN90" i="5"/>
  <c r="AR90" i="5"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V92" i="5" l="1"/>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BP95" i="5" a="1"/>
  <c r="BP95" i="5" s="1"/>
  <c r="J95" i="2" s="1"/>
  <c r="O100" i="1"/>
  <c r="BX91" i="8"/>
  <c r="CD91" i="8" s="1"/>
  <c r="BT91" i="8"/>
  <c r="BO91" i="8"/>
  <c r="BP91" i="8"/>
  <c r="BM91" i="8"/>
  <c r="BN91" i="8"/>
  <c r="BK91" i="8"/>
  <c r="BL91" i="8"/>
  <c r="BJ91" i="8"/>
  <c r="AC91" i="10"/>
  <c r="X91" i="10" s="1"/>
  <c r="AM91" i="5"/>
  <c r="AN91" i="5"/>
  <c r="AR91" i="5"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V93" i="5" l="1"/>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BP96" i="5" a="1"/>
  <c r="BP96" i="5" s="1"/>
  <c r="J96" i="2" s="1"/>
  <c r="O101" i="1"/>
  <c r="CE91" i="8"/>
  <c r="CX91" i="8" s="1"/>
  <c r="CY91" i="8" s="1"/>
  <c r="BX92" i="8"/>
  <c r="CE92" i="8" s="1"/>
  <c r="BT92" i="8"/>
  <c r="BO92" i="8"/>
  <c r="BP92" i="8"/>
  <c r="BM92" i="8"/>
  <c r="BN92" i="8"/>
  <c r="BK92" i="8"/>
  <c r="BL92" i="8"/>
  <c r="BJ92" i="8"/>
  <c r="AC92" i="10"/>
  <c r="X92" i="10" s="1"/>
  <c r="AM92" i="5"/>
  <c r="AN92" i="5"/>
  <c r="AR92" i="5"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V94" i="5" l="1"/>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BP97" i="5" a="1"/>
  <c r="BP97" i="5" s="1"/>
  <c r="J97" i="2" s="1"/>
  <c r="B94" i="7"/>
  <c r="AE94" i="7" s="1"/>
  <c r="O102" i="1"/>
  <c r="CD92" i="8"/>
  <c r="BX93" i="8"/>
  <c r="CE93" i="8" s="1"/>
  <c r="BT93" i="8"/>
  <c r="BO93" i="8"/>
  <c r="BP93" i="8"/>
  <c r="BM93" i="8"/>
  <c r="BN93" i="8"/>
  <c r="BK93" i="8"/>
  <c r="BL93" i="8"/>
  <c r="BJ93" i="8"/>
  <c r="AC93" i="10"/>
  <c r="X93" i="10" s="1"/>
  <c r="AN93" i="5"/>
  <c r="AR93" i="5" s="1"/>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V95" i="5" l="1"/>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AO94" i="5"/>
  <c r="BP98" i="5" a="1"/>
  <c r="BP98" i="5" s="1"/>
  <c r="J98" i="2" s="1"/>
  <c r="O103" i="1"/>
  <c r="CD93" i="8"/>
  <c r="BX94" i="8"/>
  <c r="CE94" i="8" s="1"/>
  <c r="BT94" i="8"/>
  <c r="BO94" i="8"/>
  <c r="BP94" i="8"/>
  <c r="BM94" i="8"/>
  <c r="BN94" i="8"/>
  <c r="BK94" i="8"/>
  <c r="BL94" i="8"/>
  <c r="BJ94" i="8"/>
  <c r="AC94" i="10"/>
  <c r="X94" i="10" s="1"/>
  <c r="AN94" i="5"/>
  <c r="AR94" i="5" s="1"/>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V96" i="5" l="1"/>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BP99" i="5" a="1"/>
  <c r="BP99" i="5" s="1"/>
  <c r="J99" i="2" s="1"/>
  <c r="AJ96" i="5"/>
  <c r="AP96" i="5" s="1"/>
  <c r="O104" i="1"/>
  <c r="AN95" i="5"/>
  <c r="AR95" i="5" s="1"/>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V97" i="5" l="1"/>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AO96" i="5"/>
  <c r="BP100" i="5" a="1"/>
  <c r="BP100" i="5" s="1"/>
  <c r="J100" i="2" s="1"/>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V98" i="5" l="1"/>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BP101" i="5" a="1"/>
  <c r="BP101" i="5" s="1"/>
  <c r="J101" i="2" s="1"/>
  <c r="O106" i="1"/>
  <c r="CE96" i="8"/>
  <c r="CX96" i="8" s="1"/>
  <c r="CY96" i="8" s="1"/>
  <c r="BX97" i="8"/>
  <c r="CE97" i="8" s="1"/>
  <c r="BT97" i="8"/>
  <c r="BO97" i="8"/>
  <c r="BP97" i="8"/>
  <c r="BM97" i="8"/>
  <c r="BN97" i="8"/>
  <c r="BK97" i="8"/>
  <c r="BL97" i="8"/>
  <c r="BJ97" i="8"/>
  <c r="AC97" i="10"/>
  <c r="X97" i="10" s="1"/>
  <c r="AM97" i="5"/>
  <c r="AN97" i="5"/>
  <c r="AR97" i="5"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I97" i="7" s="1"/>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V99" i="5" l="1"/>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O98" i="5"/>
  <c r="BP102" i="5" a="1"/>
  <c r="BP102" i="5" s="1"/>
  <c r="J102" i="2" s="1"/>
  <c r="O107" i="1"/>
  <c r="CD97" i="8"/>
  <c r="BX98" i="8"/>
  <c r="CE98" i="8" s="1"/>
  <c r="BT98" i="8"/>
  <c r="BO98" i="8"/>
  <c r="BP98" i="8"/>
  <c r="BM98" i="8"/>
  <c r="BN98" i="8"/>
  <c r="BK98" i="8"/>
  <c r="BL98" i="8"/>
  <c r="BJ98" i="8"/>
  <c r="AM98" i="5"/>
  <c r="AN98" i="5"/>
  <c r="AR98" i="5" s="1"/>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V100" i="5" l="1"/>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BP103" i="5" a="1"/>
  <c r="BP103" i="5" s="1"/>
  <c r="J103" i="2" s="1"/>
  <c r="DH100" i="8"/>
  <c r="DI100" i="8" s="1"/>
  <c r="O108" i="1"/>
  <c r="CD98" i="8"/>
  <c r="BT99" i="8"/>
  <c r="BU99" i="8"/>
  <c r="BO99" i="8"/>
  <c r="BP99" i="8"/>
  <c r="BM99" i="8"/>
  <c r="BN99" i="8"/>
  <c r="BK99" i="8"/>
  <c r="BL99" i="8"/>
  <c r="BJ99" i="8"/>
  <c r="AC99" i="10"/>
  <c r="X99" i="10" s="1"/>
  <c r="AN99" i="5"/>
  <c r="AR99" i="5" s="1"/>
  <c r="AM99"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V101" i="5" l="1"/>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BP104" i="5" a="1"/>
  <c r="BP104" i="5" s="1"/>
  <c r="J104" i="2" s="1"/>
  <c r="O109" i="1"/>
  <c r="BX100" i="8"/>
  <c r="CE100" i="8" s="1"/>
  <c r="BT100" i="8"/>
  <c r="BO100" i="8"/>
  <c r="BP100" i="8"/>
  <c r="BM100" i="8"/>
  <c r="BN100" i="8"/>
  <c r="BK100" i="8"/>
  <c r="BL100" i="8"/>
  <c r="BJ100" i="8"/>
  <c r="AC100" i="10"/>
  <c r="X100" i="10" s="1"/>
  <c r="AN100" i="5"/>
  <c r="AR100" i="5" s="1"/>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V102" i="5" l="1"/>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BP105" i="5" a="1"/>
  <c r="BP105" i="5" s="1"/>
  <c r="J105" i="2" s="1"/>
  <c r="O110" i="1"/>
  <c r="CD100" i="8"/>
  <c r="BT101" i="8"/>
  <c r="BO101" i="8"/>
  <c r="BP101" i="8"/>
  <c r="BM101" i="8"/>
  <c r="BN101" i="8"/>
  <c r="BK101" i="8"/>
  <c r="BL101" i="8"/>
  <c r="BJ101" i="8"/>
  <c r="AC101" i="10"/>
  <c r="X101" i="10" s="1"/>
  <c r="AN101" i="5"/>
  <c r="AR101" i="5" s="1"/>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V103" i="5" l="1"/>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BP106" i="5" a="1"/>
  <c r="BP106" i="5" s="1"/>
  <c r="J106" i="2" s="1"/>
  <c r="O111" i="1"/>
  <c r="BX102" i="8"/>
  <c r="CE102" i="8" s="1"/>
  <c r="BT102" i="8"/>
  <c r="BO102" i="8"/>
  <c r="BP102" i="8"/>
  <c r="BM102" i="8"/>
  <c r="BN102" i="8"/>
  <c r="BK102" i="8"/>
  <c r="BL102" i="8"/>
  <c r="BJ102" i="8"/>
  <c r="AC102" i="10"/>
  <c r="X102" i="10" s="1"/>
  <c r="AN102" i="5"/>
  <c r="AR102" i="5" s="1"/>
  <c r="AM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I102" i="7" l="1"/>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BP107" i="5" a="1"/>
  <c r="BP107" i="5" s="1"/>
  <c r="J107" i="2" s="1"/>
  <c r="DH104" i="8"/>
  <c r="DI104" i="8" s="1"/>
  <c r="O112" i="1"/>
  <c r="CD102" i="8"/>
  <c r="BX103" i="8"/>
  <c r="CD103" i="8" s="1"/>
  <c r="BT103" i="8"/>
  <c r="BO103" i="8"/>
  <c r="BP103" i="8"/>
  <c r="BM103" i="8"/>
  <c r="BN103" i="8"/>
  <c r="BK103" i="8"/>
  <c r="BL103" i="8"/>
  <c r="BJ103" i="8"/>
  <c r="AC103" i="10"/>
  <c r="X103" i="10" s="1"/>
  <c r="AN103" i="5"/>
  <c r="AR103" i="5" s="1"/>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V105" i="5" l="1"/>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BP108" i="5" a="1"/>
  <c r="BP108" i="5" s="1"/>
  <c r="J108" i="2" s="1"/>
  <c r="O113" i="1"/>
  <c r="CE103" i="8"/>
  <c r="CX103" i="8" s="1"/>
  <c r="CY103" i="8" s="1"/>
  <c r="BX104" i="8"/>
  <c r="CD104" i="8" s="1"/>
  <c r="BT104" i="8"/>
  <c r="BO104" i="8"/>
  <c r="BP104" i="8"/>
  <c r="BM104" i="8"/>
  <c r="BN104" i="8"/>
  <c r="BK104" i="8"/>
  <c r="BL104" i="8"/>
  <c r="BJ104" i="8"/>
  <c r="AC104" i="10"/>
  <c r="X104" i="10" s="1"/>
  <c r="AM104" i="5"/>
  <c r="AN104" i="5"/>
  <c r="AR104" i="5"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V106" i="5" l="1"/>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AO105" i="5"/>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M105" i="5"/>
  <c r="AN105" i="5"/>
  <c r="AR105" i="5"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V107" i="5" l="1"/>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BP110" i="5" a="1"/>
  <c r="BP110" i="5" s="1"/>
  <c r="J110" i="2" s="1"/>
  <c r="BI107" i="8"/>
  <c r="O115" i="1"/>
  <c r="CE105" i="8"/>
  <c r="CX105" i="8" s="1"/>
  <c r="CY105" i="8" s="1"/>
  <c r="BX106" i="8"/>
  <c r="CE106" i="8" s="1"/>
  <c r="BT106" i="8"/>
  <c r="BO106" i="8"/>
  <c r="BP106" i="8"/>
  <c r="BM106" i="8"/>
  <c r="BN106" i="8"/>
  <c r="BK106" i="8"/>
  <c r="BL106" i="8"/>
  <c r="BJ106" i="8"/>
  <c r="AC106" i="10"/>
  <c r="X106" i="10" s="1"/>
  <c r="AM106" i="5"/>
  <c r="AN106" i="5"/>
  <c r="AR106" i="5"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V108" i="5" l="1"/>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BP111" i="5" a="1"/>
  <c r="BP111" i="5" s="1"/>
  <c r="J111" i="2" s="1"/>
  <c r="O116" i="1"/>
  <c r="CD106" i="8"/>
  <c r="BX107" i="8"/>
  <c r="CD107" i="8" s="1"/>
  <c r="BT107" i="8"/>
  <c r="BO107" i="8"/>
  <c r="BP107" i="8"/>
  <c r="BM107" i="8"/>
  <c r="BN107" i="8"/>
  <c r="BK107" i="8"/>
  <c r="BL107" i="8"/>
  <c r="BJ107" i="8"/>
  <c r="AC107" i="10"/>
  <c r="X107" i="10" s="1"/>
  <c r="AM107" i="5"/>
  <c r="AN107" i="5"/>
  <c r="AR107" i="5" s="1"/>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V109" i="5" l="1"/>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BP112" i="5" a="1"/>
  <c r="BP112" i="5" s="1"/>
  <c r="J112" i="2" s="1"/>
  <c r="O117" i="1"/>
  <c r="CE107" i="8"/>
  <c r="CX107" i="8" s="1"/>
  <c r="CY107" i="8" s="1"/>
  <c r="BT108" i="8"/>
  <c r="BO108" i="8"/>
  <c r="BP108" i="8"/>
  <c r="BM108" i="8"/>
  <c r="BN108" i="8"/>
  <c r="BK108" i="8"/>
  <c r="BL108" i="8"/>
  <c r="BJ108" i="8"/>
  <c r="AC108" i="10"/>
  <c r="X108" i="10" s="1"/>
  <c r="AM108" i="5"/>
  <c r="AN108" i="5"/>
  <c r="AR108" i="5"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V110" i="5" l="1"/>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BP113" i="5" a="1"/>
  <c r="BP113" i="5" s="1"/>
  <c r="J113" i="2" s="1"/>
  <c r="O118" i="1"/>
  <c r="BX109" i="8"/>
  <c r="CD109" i="8" s="1"/>
  <c r="BT109" i="8"/>
  <c r="BO109" i="8"/>
  <c r="BP109" i="8"/>
  <c r="BM109" i="8"/>
  <c r="BN109" i="8"/>
  <c r="BK109" i="8"/>
  <c r="BL109" i="8"/>
  <c r="BJ109" i="8"/>
  <c r="AC109" i="10"/>
  <c r="X109" i="10" s="1"/>
  <c r="AM109" i="5"/>
  <c r="AN109" i="5"/>
  <c r="AR109" i="5"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V111" i="5" l="1"/>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BP114" i="5" a="1"/>
  <c r="BP114" i="5" s="1"/>
  <c r="J114" i="2" s="1"/>
  <c r="O119" i="1"/>
  <c r="CE109" i="8"/>
  <c r="CX109" i="8" s="1"/>
  <c r="CY109" i="8" s="1"/>
  <c r="BT110" i="8"/>
  <c r="BO110" i="8"/>
  <c r="BP110" i="8"/>
  <c r="BM110" i="8"/>
  <c r="BN110" i="8"/>
  <c r="BK110" i="8"/>
  <c r="BL110" i="8"/>
  <c r="BJ110" i="8"/>
  <c r="AC110" i="10"/>
  <c r="X110" i="10" s="1"/>
  <c r="AM110" i="5"/>
  <c r="AN110" i="5"/>
  <c r="AR110" i="5"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V112" i="5" l="1"/>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BP115" i="5" a="1"/>
  <c r="BP115" i="5" s="1"/>
  <c r="J115" i="2" s="1"/>
  <c r="O120" i="1"/>
  <c r="BX111" i="8"/>
  <c r="CD111" i="8" s="1"/>
  <c r="BT111" i="8"/>
  <c r="BO111" i="8"/>
  <c r="BP111" i="8"/>
  <c r="BM111" i="8"/>
  <c r="BN111" i="8"/>
  <c r="BK111" i="8"/>
  <c r="BL111" i="8"/>
  <c r="BJ111" i="8"/>
  <c r="AC111" i="10"/>
  <c r="X111" i="10" s="1"/>
  <c r="AM111" i="5"/>
  <c r="AN111" i="5"/>
  <c r="AR111" i="5"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V113" i="5" l="1"/>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BP116" i="5" a="1"/>
  <c r="BP116" i="5" s="1"/>
  <c r="J116" i="2" s="1"/>
  <c r="O121" i="1"/>
  <c r="CE111" i="8"/>
  <c r="CX111" i="8" s="1"/>
  <c r="CY111" i="8" s="1"/>
  <c r="BX112" i="8"/>
  <c r="CE112" i="8" s="1"/>
  <c r="BT112" i="8"/>
  <c r="BO112" i="8"/>
  <c r="BP112" i="8"/>
  <c r="BM112" i="8"/>
  <c r="BN112" i="8"/>
  <c r="BK112" i="8"/>
  <c r="BL112" i="8"/>
  <c r="BJ112" i="8"/>
  <c r="AC112" i="10"/>
  <c r="X112" i="10" s="1"/>
  <c r="AM112" i="5"/>
  <c r="AN112" i="5"/>
  <c r="AR112" i="5" s="1"/>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V114" i="5" l="1"/>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BP117" i="5" a="1"/>
  <c r="BP117" i="5" s="1"/>
  <c r="J117" i="2" s="1"/>
  <c r="O122" i="1"/>
  <c r="CD112" i="8"/>
  <c r="BX113" i="8"/>
  <c r="CD113" i="8" s="1"/>
  <c r="BT113" i="8"/>
  <c r="BO113" i="8"/>
  <c r="BP113" i="8"/>
  <c r="BM113" i="8"/>
  <c r="BN113" i="8"/>
  <c r="BK113" i="8"/>
  <c r="BL113" i="8"/>
  <c r="BJ113" i="8"/>
  <c r="AC113" i="10"/>
  <c r="X113" i="10" s="1"/>
  <c r="AM113" i="5"/>
  <c r="AN113" i="5"/>
  <c r="AR113" i="5" s="1"/>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V115" i="5" l="1"/>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BP118" i="5" a="1"/>
  <c r="BP118" i="5" s="1"/>
  <c r="J118" i="2" s="1"/>
  <c r="BH115" i="8"/>
  <c r="BU115" i="8" s="1"/>
  <c r="O123" i="1"/>
  <c r="CE113" i="8"/>
  <c r="CX113" i="8" s="1"/>
  <c r="CY113" i="8" s="1"/>
  <c r="BT114" i="8"/>
  <c r="BO114" i="8"/>
  <c r="BP114" i="8"/>
  <c r="BM114" i="8"/>
  <c r="BN114" i="8"/>
  <c r="BK114" i="8"/>
  <c r="BL114" i="8"/>
  <c r="BJ114" i="8"/>
  <c r="AC114" i="10"/>
  <c r="X114" i="10" s="1"/>
  <c r="AM114" i="5"/>
  <c r="AN114" i="5"/>
  <c r="AR114" i="5"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V116" i="5" l="1"/>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BP119" i="5" a="1"/>
  <c r="BP119" i="5" s="1"/>
  <c r="J119" i="2" s="1"/>
  <c r="O124" i="1"/>
  <c r="BO115" i="8"/>
  <c r="BP115" i="8"/>
  <c r="BM115" i="8"/>
  <c r="BN115" i="8"/>
  <c r="BK115" i="8"/>
  <c r="BL115" i="8"/>
  <c r="BJ115" i="8"/>
  <c r="AC115" i="10"/>
  <c r="X115" i="10" s="1"/>
  <c r="AM115" i="5"/>
  <c r="AN115" i="5"/>
  <c r="AR115" i="5"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I115" i="7" s="1"/>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V117" i="5" l="1"/>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BP120" i="5" a="1"/>
  <c r="BP120" i="5" s="1"/>
  <c r="J120" i="2" s="1"/>
  <c r="DH117" i="8"/>
  <c r="DI117" i="8" s="1"/>
  <c r="O125" i="1"/>
  <c r="BX116" i="8"/>
  <c r="CE116" i="8" s="1"/>
  <c r="BT116" i="8"/>
  <c r="BO116" i="8"/>
  <c r="BP116" i="8"/>
  <c r="BM116" i="8"/>
  <c r="BN116" i="8"/>
  <c r="BK116" i="8"/>
  <c r="BL116" i="8"/>
  <c r="BJ116" i="8"/>
  <c r="AC116" i="10"/>
  <c r="X116" i="10" s="1"/>
  <c r="AN116" i="5"/>
  <c r="AR116" i="5" s="1"/>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V118" i="5" l="1"/>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BP121" i="5" a="1"/>
  <c r="BP121" i="5" s="1"/>
  <c r="J121" i="2" s="1"/>
  <c r="O126" i="1"/>
  <c r="CD116" i="8"/>
  <c r="BX117" i="8"/>
  <c r="CD117" i="8" s="1"/>
  <c r="BT117" i="8"/>
  <c r="BO117" i="8"/>
  <c r="BP117" i="8"/>
  <c r="BM117" i="8"/>
  <c r="BN117" i="8"/>
  <c r="BK117" i="8"/>
  <c r="BL117" i="8"/>
  <c r="BJ117" i="8"/>
  <c r="AC117" i="10"/>
  <c r="X117" i="10" s="1"/>
  <c r="AN117" i="5"/>
  <c r="AR117" i="5" s="1"/>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I117" i="7" l="1"/>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BP122" i="5" a="1"/>
  <c r="BP122" i="5" s="1"/>
  <c r="J122" i="2" s="1"/>
  <c r="O127" i="1"/>
  <c r="CE117" i="8"/>
  <c r="CX117" i="8" s="1"/>
  <c r="CY117" i="8" s="1"/>
  <c r="BX118" i="8"/>
  <c r="CE118" i="8" s="1"/>
  <c r="BT118" i="8"/>
  <c r="BO118" i="8"/>
  <c r="BP118" i="8"/>
  <c r="BM118" i="8"/>
  <c r="BN118" i="8"/>
  <c r="BK118" i="8"/>
  <c r="BL118" i="8"/>
  <c r="BJ118" i="8"/>
  <c r="AC118" i="10"/>
  <c r="X118" i="10" s="1"/>
  <c r="AN118" i="5"/>
  <c r="AR118" i="5" s="1"/>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V120" i="5" l="1"/>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BP123" i="5" a="1"/>
  <c r="BP123" i="5" s="1"/>
  <c r="J123" i="2" s="1"/>
  <c r="O128" i="1"/>
  <c r="CD118" i="8"/>
  <c r="AK123" i="11"/>
  <c r="BX119" i="8"/>
  <c r="CD119" i="8" s="1"/>
  <c r="BT119" i="8"/>
  <c r="BO119" i="8"/>
  <c r="BP119" i="8"/>
  <c r="BM119" i="8"/>
  <c r="BN119" i="8"/>
  <c r="BK119" i="8"/>
  <c r="BL119" i="8"/>
  <c r="BJ119" i="8"/>
  <c r="AC119" i="10"/>
  <c r="X119" i="10" s="1"/>
  <c r="AM119" i="5"/>
  <c r="AN119" i="5"/>
  <c r="AR119" i="5"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V121" i="5" l="1"/>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BP124" i="5" a="1"/>
  <c r="BP124" i="5" s="1"/>
  <c r="J124" i="2" s="1"/>
  <c r="O129" i="1"/>
  <c r="AK124" i="11"/>
  <c r="CE119" i="8"/>
  <c r="CX119" i="8" s="1"/>
  <c r="CY119" i="8" s="1"/>
  <c r="BT120" i="8"/>
  <c r="BU120" i="8"/>
  <c r="BO120" i="8"/>
  <c r="BP120" i="8"/>
  <c r="BM120" i="8"/>
  <c r="BN120" i="8"/>
  <c r="BK120" i="8"/>
  <c r="BL120" i="8"/>
  <c r="BJ120" i="8"/>
  <c r="AN120" i="5"/>
  <c r="AR120" i="5" s="1"/>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V122" i="5" l="1"/>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BP125" i="5" a="1"/>
  <c r="BP125" i="5" s="1"/>
  <c r="J125" i="2" s="1"/>
  <c r="O130" i="1"/>
  <c r="AK125" i="11"/>
  <c r="BX121" i="8"/>
  <c r="CE121" i="8" s="1"/>
  <c r="BT121" i="8"/>
  <c r="BO121" i="8"/>
  <c r="BP121" i="8"/>
  <c r="BM121" i="8"/>
  <c r="BN121" i="8"/>
  <c r="BK121" i="8"/>
  <c r="BL121" i="8"/>
  <c r="BJ121" i="8"/>
  <c r="AC121" i="10"/>
  <c r="X121" i="10" s="1"/>
  <c r="AM121" i="5"/>
  <c r="AN121" i="5"/>
  <c r="AR121" i="5"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I121" i="7" l="1"/>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BP126" i="5" a="1"/>
  <c r="BP126" i="5" s="1"/>
  <c r="J126" i="2" s="1"/>
  <c r="AK126" i="11"/>
  <c r="O131" i="1"/>
  <c r="CD121" i="8"/>
  <c r="BT122" i="8"/>
  <c r="BO122" i="8"/>
  <c r="BP122" i="8"/>
  <c r="BM122" i="8"/>
  <c r="BN122" i="8"/>
  <c r="BK122" i="8"/>
  <c r="BL122" i="8"/>
  <c r="BJ122" i="8"/>
  <c r="AC122" i="10"/>
  <c r="X122" i="10" s="1"/>
  <c r="AM122" i="5"/>
  <c r="AN122" i="5"/>
  <c r="AR122" i="5"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V124" i="5" l="1"/>
  <c r="AW124" i="5"/>
  <c r="AF122" i="7"/>
  <c r="AG122" i="7"/>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BP127" i="5" a="1"/>
  <c r="BP127" i="5" s="1"/>
  <c r="J127" i="2" s="1"/>
  <c r="AK127" i="11"/>
  <c r="E124" i="1"/>
  <c r="AI122" i="7"/>
  <c r="O132" i="1"/>
  <c r="BX123" i="8"/>
  <c r="CE123" i="8" s="1"/>
  <c r="BT123" i="8"/>
  <c r="BO123" i="8"/>
  <c r="BP123" i="8"/>
  <c r="BM123" i="8"/>
  <c r="BN123" i="8"/>
  <c r="BK123" i="8"/>
  <c r="BL123" i="8"/>
  <c r="BJ123" i="8"/>
  <c r="AN123" i="5"/>
  <c r="AR123" i="5" s="1"/>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V125" i="5" l="1"/>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K128" i="11"/>
  <c r="BP128" i="5" a="1"/>
  <c r="BP128" i="5" s="1"/>
  <c r="J128" i="2" s="1"/>
  <c r="O133" i="1"/>
  <c r="CD123" i="8"/>
  <c r="BT124" i="8"/>
  <c r="BO124" i="8"/>
  <c r="BP124" i="8"/>
  <c r="BM124" i="8"/>
  <c r="BN124" i="8"/>
  <c r="BK124" i="8"/>
  <c r="BL124" i="8"/>
  <c r="BJ124" i="8"/>
  <c r="AC124" i="10"/>
  <c r="X124" i="10" s="1"/>
  <c r="AM124" i="5"/>
  <c r="AN124" i="5"/>
  <c r="AR124" i="5" s="1"/>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V126" i="5" l="1"/>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BP129" i="5" a="1"/>
  <c r="BP129" i="5" s="1"/>
  <c r="J129" i="2" s="1"/>
  <c r="O134" i="1"/>
  <c r="BX125" i="8"/>
  <c r="CE125" i="8" s="1"/>
  <c r="BT125" i="8"/>
  <c r="BO125" i="8"/>
  <c r="BP125" i="8"/>
  <c r="BM125" i="8"/>
  <c r="BN125" i="8"/>
  <c r="BK125" i="8"/>
  <c r="BL125" i="8"/>
  <c r="BJ125" i="8"/>
  <c r="AC125" i="10"/>
  <c r="X125" i="10" s="1"/>
  <c r="AM125" i="5"/>
  <c r="AN125" i="5"/>
  <c r="AR125" i="5" s="1"/>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V127" i="5" l="1"/>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BP130" i="5" a="1"/>
  <c r="BP130" i="5" s="1"/>
  <c r="J130" i="2" s="1"/>
  <c r="O135" i="1"/>
  <c r="CD125" i="8"/>
  <c r="BT126" i="8"/>
  <c r="BO126" i="8"/>
  <c r="BP126" i="8"/>
  <c r="BM126" i="8"/>
  <c r="BN126" i="8"/>
  <c r="BK126" i="8"/>
  <c r="BL126" i="8"/>
  <c r="BJ126" i="8"/>
  <c r="AC126" i="10"/>
  <c r="X126" i="10" s="1"/>
  <c r="AN126" i="5"/>
  <c r="AR126" i="5" s="1"/>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V128" i="5" l="1"/>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BP131" i="5" a="1"/>
  <c r="BP131" i="5" s="1"/>
  <c r="J131" i="2" s="1"/>
  <c r="O136" i="1"/>
  <c r="BX127" i="8"/>
  <c r="CD127" i="8" s="1"/>
  <c r="BT127" i="8"/>
  <c r="BO127" i="8"/>
  <c r="BP127" i="8"/>
  <c r="BM127" i="8"/>
  <c r="BN127" i="8"/>
  <c r="BK127" i="8"/>
  <c r="BL127" i="8"/>
  <c r="BJ127" i="8"/>
  <c r="AN127" i="5"/>
  <c r="AR127" i="5" s="1"/>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V129" i="5" l="1"/>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AO128" i="5"/>
  <c r="BP132" i="5" a="1"/>
  <c r="BP132" i="5" s="1"/>
  <c r="J132" i="2" s="1"/>
  <c r="CE127" i="8"/>
  <c r="CX127" i="8" s="1"/>
  <c r="CY127" i="8" s="1"/>
  <c r="AN128" i="5"/>
  <c r="AR128" i="5" s="1"/>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V130" i="5" l="1"/>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BP133" i="5" a="1"/>
  <c r="BP133" i="5" s="1"/>
  <c r="J133" i="2" s="1"/>
  <c r="CE128" i="8"/>
  <c r="CX128" i="8" s="1"/>
  <c r="CY128" i="8" s="1"/>
  <c r="BX129" i="8"/>
  <c r="CE129" i="8" s="1"/>
  <c r="BT129" i="8"/>
  <c r="BO129" i="8"/>
  <c r="BP129" i="8"/>
  <c r="BM129" i="8"/>
  <c r="BN129" i="8"/>
  <c r="BK129" i="8"/>
  <c r="BL129" i="8"/>
  <c r="BJ129" i="8"/>
  <c r="AC129" i="10"/>
  <c r="X129" i="10" s="1"/>
  <c r="AM129" i="5"/>
  <c r="AN129" i="5"/>
  <c r="AR129" i="5"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V131" i="5" l="1"/>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BP134" i="5" a="1"/>
  <c r="BP134" i="5" s="1"/>
  <c r="J134" i="2" s="1"/>
  <c r="CD129" i="8"/>
  <c r="BX130" i="8"/>
  <c r="CD130" i="8" s="1"/>
  <c r="BT130" i="8"/>
  <c r="BO130" i="8"/>
  <c r="BP130" i="8"/>
  <c r="BM130" i="8"/>
  <c r="BN130" i="8"/>
  <c r="BK130" i="8"/>
  <c r="BL130" i="8"/>
  <c r="BJ130" i="8"/>
  <c r="AC130" i="10"/>
  <c r="X130" i="10" s="1"/>
  <c r="AM130" i="5"/>
  <c r="AN130" i="5"/>
  <c r="AR130" i="5" s="1"/>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F130" i="7" l="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DG132" i="5" a="1"/>
  <c r="DG132" i="5" s="1"/>
  <c r="CE130" i="8"/>
  <c r="CX130" i="8" s="1"/>
  <c r="CY130" i="8" s="1"/>
  <c r="BT131" i="8"/>
  <c r="BO131" i="8"/>
  <c r="BP131" i="8"/>
  <c r="BM131" i="8"/>
  <c r="BN131" i="8"/>
  <c r="BK131" i="8"/>
  <c r="BL131" i="8"/>
  <c r="BJ131" i="8"/>
  <c r="AC131" i="10"/>
  <c r="X131" i="10" s="1"/>
  <c r="AM131" i="5"/>
  <c r="AN131" i="5"/>
  <c r="AR131" i="5"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V133" i="5" l="1"/>
  <c r="AW133" i="5"/>
  <c r="CL133" i="8"/>
  <c r="CC132" i="8"/>
  <c r="CV132" i="8" s="1"/>
  <c r="CW132" i="8" s="1"/>
  <c r="AC132" i="1"/>
  <c r="BR132" i="8"/>
  <c r="BS132" i="8"/>
  <c r="AS136" i="5"/>
  <c r="V135" i="2"/>
  <c r="AO132" i="5"/>
  <c r="DG134" i="5" a="1"/>
  <c r="DG134" i="5" s="1"/>
  <c r="BX132" i="8"/>
  <c r="CE132" i="8" s="1"/>
  <c r="BT132" i="8"/>
  <c r="BO132" i="8"/>
  <c r="BP132" i="8"/>
  <c r="BM132" i="8"/>
  <c r="BN132" i="8"/>
  <c r="BK132" i="8"/>
  <c r="BL132" i="8"/>
  <c r="BJ132" i="8"/>
  <c r="AC132" i="10"/>
  <c r="X132" i="10" s="1"/>
  <c r="AM132" i="5"/>
  <c r="AN132" i="5"/>
  <c r="AR132" i="5"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V134" i="5" l="1"/>
  <c r="AW134" i="5"/>
  <c r="AF133" i="7"/>
  <c r="AG133" i="7"/>
  <c r="AF132" i="7"/>
  <c r="AG132" i="7"/>
  <c r="AI132" i="7" s="1"/>
  <c r="CL134" i="8"/>
  <c r="CC133" i="8"/>
  <c r="CV133" i="8" s="1"/>
  <c r="CW133" i="8" s="1"/>
  <c r="AC133" i="1"/>
  <c r="BR133" i="8"/>
  <c r="BS133" i="8"/>
  <c r="CZ136" i="5"/>
  <c r="V136" i="2"/>
  <c r="AO133" i="5"/>
  <c r="CD132" i="8"/>
  <c r="DG135" i="5" a="1"/>
  <c r="DG135" i="5" s="1"/>
  <c r="BX133" i="8"/>
  <c r="CE133" i="8" s="1"/>
  <c r="BT133" i="8"/>
  <c r="BO133" i="8"/>
  <c r="BP133" i="8"/>
  <c r="BM133" i="8"/>
  <c r="BN133" i="8"/>
  <c r="BK133" i="8"/>
  <c r="BL133" i="8"/>
  <c r="BJ133" i="8"/>
  <c r="AC133" i="10"/>
  <c r="X133" i="10" s="1"/>
  <c r="AM133" i="5"/>
  <c r="AN133" i="5"/>
  <c r="AR133" i="5"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V135" i="5" l="1"/>
  <c r="AW135" i="5"/>
  <c r="AI133" i="7"/>
  <c r="CL135" i="8"/>
  <c r="CC134" i="8"/>
  <c r="CV134" i="8" s="1"/>
  <c r="CW134" i="8" s="1"/>
  <c r="AC134" i="1"/>
  <c r="DG136" i="5" a="1"/>
  <c r="DG136" i="5" s="1"/>
  <c r="BR134" i="8"/>
  <c r="BS134" i="8"/>
  <c r="CX132" i="8"/>
  <c r="CY132" i="8" s="1"/>
  <c r="AO134" i="5"/>
  <c r="AN134" i="5"/>
  <c r="AR134" i="5" s="1"/>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V136" i="5" l="1"/>
  <c r="AW136" i="5"/>
  <c r="AF134" i="7"/>
  <c r="AG134" i="7"/>
  <c r="CL136" i="8"/>
  <c r="CB135" i="8"/>
  <c r="CT135" i="8" s="1"/>
  <c r="AC135" i="1"/>
  <c r="BR135" i="8"/>
  <c r="BS135" i="8"/>
  <c r="CE134" i="8"/>
  <c r="CX134" i="8" s="1"/>
  <c r="CY134" i="8" s="1"/>
  <c r="CX133" i="8"/>
  <c r="CY133" i="8" s="1"/>
  <c r="AO135" i="5"/>
  <c r="AI134" i="7"/>
  <c r="BX135" i="8"/>
  <c r="CD135" i="8" s="1"/>
  <c r="BT135" i="8"/>
  <c r="BO135" i="8"/>
  <c r="BP135" i="8"/>
  <c r="BM135" i="8"/>
  <c r="BN135" i="8"/>
  <c r="BK135" i="8"/>
  <c r="BL135" i="8"/>
  <c r="BJ135" i="8"/>
  <c r="AC135" i="10"/>
  <c r="X135" i="10" s="1"/>
  <c r="AM135" i="5"/>
  <c r="AN135" i="5"/>
  <c r="AR135" i="5"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F136" i="7" l="1"/>
  <c r="AG136" i="7"/>
  <c r="AF135" i="7"/>
  <c r="AG135" i="7"/>
  <c r="AI135" i="7" s="1"/>
  <c r="CA136" i="8"/>
  <c r="AC136" i="1"/>
  <c r="BR136" i="8"/>
  <c r="BS136" i="8"/>
  <c r="AO136" i="5"/>
  <c r="CE135" i="8"/>
  <c r="CX135" i="8" s="1"/>
  <c r="CY135" i="8" s="1"/>
  <c r="BX136" i="8"/>
  <c r="CD136" i="8" s="1"/>
  <c r="BT136" i="8"/>
  <c r="BO136" i="8"/>
  <c r="BP136" i="8"/>
  <c r="BM136" i="8"/>
  <c r="BN136" i="8"/>
  <c r="BK136" i="8"/>
  <c r="BL136" i="8"/>
  <c r="BJ136" i="8"/>
  <c r="AC136" i="10"/>
  <c r="X136" i="10" s="1"/>
  <c r="AM136" i="5"/>
  <c r="AN136" i="5"/>
  <c r="AR136" i="5"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I136" i="7" l="1"/>
  <c r="I65" i="4"/>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AQ4" i="1" l="1"/>
  <c r="I67" i="4"/>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I66" i="4" s="1"/>
  <c r="AT52" i="8"/>
  <c r="AW52" i="1" s="1"/>
  <c r="L51" i="1" l="1"/>
  <c r="E51" i="11" s="1"/>
  <c r="BM50" i="1"/>
  <c r="M52" i="1"/>
  <c r="AT52" i="1"/>
  <c r="AU52" i="1"/>
  <c r="AS53" i="8"/>
  <c r="AT53" i="8"/>
  <c r="AW53" i="1" s="1"/>
  <c r="F52" i="11" l="1"/>
  <c r="B68" i="4"/>
  <c r="L52" i="1"/>
  <c r="BM51" i="1"/>
  <c r="M53" i="1"/>
  <c r="F53" i="11" s="1"/>
  <c r="AU53" i="1"/>
  <c r="AT53" i="1"/>
  <c r="AT54" i="8"/>
  <c r="AW54" i="1" s="1"/>
  <c r="AS54" i="8"/>
  <c r="E52" i="11" l="1"/>
  <c r="B67" i="4"/>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U4" i="2" s="1"/>
  <c r="C4" i="2" s="1"/>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F4" i="1" l="1"/>
  <c r="H4" i="2"/>
  <c r="I4" i="2"/>
  <c r="AA4" i="1" s="1"/>
  <c r="S4" i="1" s="1"/>
  <c r="H5" i="1" s="1"/>
  <c r="S4" i="8"/>
  <c r="F4" i="2"/>
  <c r="J4" i="11" s="1"/>
  <c r="BM135" i="1"/>
  <c r="L136" i="1"/>
  <c r="E136" i="11" s="1"/>
  <c r="K4" i="1"/>
  <c r="AR4" i="8" s="1"/>
  <c r="AK5" i="5" l="1"/>
  <c r="AC5" i="7"/>
  <c r="V5" i="10"/>
  <c r="C5" i="11"/>
  <c r="BI5" i="1"/>
  <c r="AQ5" i="8"/>
  <c r="AP4" i="1"/>
  <c r="T4" i="1" s="1"/>
  <c r="I5" i="1" s="1"/>
  <c r="G4" i="2"/>
  <c r="I4" i="11"/>
  <c r="O4" i="7"/>
  <c r="T4" i="8"/>
  <c r="W4" i="8" s="1"/>
  <c r="V4" i="8"/>
  <c r="BM136" i="1"/>
  <c r="P4" i="7"/>
  <c r="F4" i="9"/>
  <c r="AR4" i="1"/>
  <c r="V4" i="1" s="1"/>
  <c r="K5" i="1" s="1"/>
  <c r="AR5" i="1" s="1"/>
  <c r="V5" i="1" s="1"/>
  <c r="K6" i="1" s="1"/>
  <c r="AR6" i="1" s="1"/>
  <c r="C4" i="9"/>
  <c r="BL4" i="1"/>
  <c r="E41" i="4"/>
  <c r="E40" i="4"/>
  <c r="AO5" i="1" l="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M21" i="8" l="1"/>
  <c r="CG21" i="8"/>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CM22" i="8" l="1"/>
  <c r="M22" i="2"/>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CM23" i="8" l="1"/>
  <c r="M23" i="2"/>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CM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M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CM26" i="8" s="1"/>
  <c r="AQ14" i="8"/>
  <c r="J13" i="11"/>
  <c r="P13" i="7" s="1"/>
  <c r="O13" i="7"/>
  <c r="I13" i="11"/>
  <c r="BI14" i="1"/>
  <c r="V14" i="10"/>
  <c r="AK14" i="5"/>
  <c r="AC14" i="7"/>
  <c r="C14" i="11"/>
  <c r="C13" i="8"/>
  <c r="BJ14" i="1"/>
  <c r="AA14" i="8" l="1"/>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CM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CM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CM29" i="8" s="1"/>
  <c r="E30" i="8" l="1"/>
  <c r="CM30" i="8" s="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8" i="4"/>
  <c r="C39" i="4" s="1"/>
  <c r="C93" i="4"/>
  <c r="C42" i="4" s="1"/>
  <c r="E42" i="4" s="1"/>
  <c r="P76" i="8"/>
  <c r="R76" i="8" s="1"/>
  <c r="CM77" i="8"/>
  <c r="F39" i="4"/>
  <c r="H39" i="4" s="1"/>
  <c r="H43" i="4" s="1"/>
  <c r="J52" i="4" s="1"/>
  <c r="DF77" i="8"/>
  <c r="G77" i="1" s="1"/>
  <c r="N77" i="8" s="1"/>
  <c r="CG77" i="8"/>
  <c r="M77" i="2"/>
  <c r="E78" i="8"/>
  <c r="B60" i="4" l="1"/>
  <c r="C43" i="4"/>
  <c r="I51" i="4" s="1"/>
  <c r="E39" i="4"/>
  <c r="E43" i="4" s="1"/>
  <c r="B61" i="4" s="1"/>
  <c r="CM78" i="8"/>
  <c r="P77" i="8"/>
  <c r="R77" i="8" s="1"/>
  <c r="F43" i="4"/>
  <c r="I52" i="4" s="1"/>
  <c r="M78" i="2"/>
  <c r="E79" i="8"/>
  <c r="DF78" i="8"/>
  <c r="G78" i="1" s="1"/>
  <c r="N78" i="8" s="1"/>
  <c r="CG78" i="8"/>
  <c r="C65" i="2"/>
  <c r="S65" i="8" s="1"/>
  <c r="J51"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<sst xmlns="http://schemas.openxmlformats.org/spreadsheetml/2006/main" count="3095" uniqueCount="1165">
  <si>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</si>
  <si>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</si>
  <si>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</si>
  <si>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</si>
  <si>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</si>
  <si>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</si>
  <si>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</si>
  <si>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</si>
  <si>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</si>
  <si>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</si>
  <si>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</si>
  <si>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</si>
  <si>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</si>
  <si>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</si>
  <si>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</si>
  <si>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</si>
  <si>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</si>
  <si>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</si>
  <si>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</si>
  <si>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</si>
  <si>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</si>
  <si>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</si>
  <si>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</si>
  <si>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</si>
  <si>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</si>
  <si>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</si>
  <si>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</si>
  <si>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</si>
  <si>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</si>
  <si>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</si>
  <si>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</si>
  <si>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</si>
  <si>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</si>
  <si>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</si>
  <si>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</si>
  <si>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</si>
  <si>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</si>
  <si>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</si>
  <si>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</si>
  <si>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</si>
  <si>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</si>
  <si>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</si>
  <si>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</si>
  <si>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</si>
  <si>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</si>
  <si>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</si>
  <si>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</si>
  <si>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</si>
  <si>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</si>
  <si>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</si>
  <si>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</si>
  <si>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</si>
  <si>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</si>
  <si>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</si>
  <si>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</si>
  <si>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</si>
  <si>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</si>
  <si>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</si>
  <si>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</si>
  <si>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</si>
  <si>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</si>
  <si>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</si>
  <si>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</si>
  <si>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</si>
  <si>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</si>
  <si>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</si>
  <si>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</si>
  <si>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</si>
  <si>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</si>
  <si>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</si>
  <si>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</si>
  <si>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</si>
  <si>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</si>
  <si>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</si>
  <si>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</si>
  <si>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</si>
  <si>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</si>
  <si>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</si>
  <si>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</si>
  <si>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</si>
  <si>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</si>
  <si>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</si>
  <si>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</si>
  <si>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</si>
  <si>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</si>
  <si>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</si>
  <si>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</si>
  <si>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</si>
  <si>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</si>
  <si>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</si>
  <si>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</si>
  <si>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</si>
  <si>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</si>
  <si>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</si>
  <si>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</si>
  <si>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</si>
  <si>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</si>
  <si>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</si>
  <si>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</si>
  <si>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</si>
  <si>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</si>
  <si>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</si>
  <si>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</si>
  <si>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</si>
  <si>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</si>
  <si>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</si>
  <si>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</si>
  <si>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</si>
  <si>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</si>
  <si>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</si>
  <si>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</si>
  <si>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</si>
  <si>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</si>
  <si>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</si>
  <si>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</si>
  <si>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</si>
  <si>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</si>
  <si>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</si>
  <si>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</si>
  <si>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</si>
  <si>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</si>
  <si>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</si>
  <si>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</si>
  <si>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</si>
  <si>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</si>
  <si>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</si>
  <si>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</si>
  <si>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</si>
  <si>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</si>
  <si>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</si>
  <si>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</si>
  <si>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</si>
  <si>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</si>
  <si>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</si>
  <si>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</si>
  <si>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</si>
  <si>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</si>
  <si>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</si>
  <si>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</si>
  <si>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</si>
  <si>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</si>
  <si>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</si>
  <si>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</si>
  <si>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</si>
  <si>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</si>
  <si>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</si>
  <si>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</si>
  <si>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</si>
  <si>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</si>
  <si>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</si>
  <si>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</si>
  <si>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</si>
  <si>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</si>
  <si>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</si>
  <si>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</si>
  <si>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</si>
  <si>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</si>
  <si>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</si>
  <si>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</si>
  <si>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</si>
  <si>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</si>
  <si>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</si>
  <si>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</si>
  <si>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</si>
  <si>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</si>
  <si>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</si>
  <si>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</si>
  <si>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</si>
  <si>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</si>
  <si>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</si>
  <si>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</si>
  <si>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</si>
  <si>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</si>
  <si>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</si>
  <si>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</si>
  <si>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</si>
  <si>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</si>
  <si>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</si>
  <si>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</si>
  <si>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</si>
  <si>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</si>
  <si>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</si>
  <si>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</si>
  <si>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</si>
  <si>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</si>
  <si>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</si>
  <si>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</si>
  <si>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</si>
  <si>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</si>
  <si>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</si>
  <si>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</si>
  <si>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</si>
  <si>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</si>
  <si>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</si>
  <si>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</si>
  <si>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</si>
  <si>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</si>
  <si>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</si>
  <si>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</si>
  <si>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</si>
  <si>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</si>
  <si>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</si>
  <si>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</si>
  <si>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</si>
  <si>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</si>
  <si>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</si>
  <si>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</si>
  <si>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</si>
  <si>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</si>
  <si>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</si>
  <si>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</si>
  <si>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</si>
  <si>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</si>
  <si>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</si>
  <si>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</si>
  <si>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</si>
  <si>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</si>
  <si>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</si>
  <si>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</si>
  <si>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</si>
  <si>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</si>
  <si>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</si>
  <si>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</si>
  <si>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</si>
  <si>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</si>
  <si>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</si>
  <si>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</si>
  <si>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</si>
  <si>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</si>
  <si>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</si>
  <si>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</si>
  <si>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</si>
  <si>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</si>
  <si>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</si>
  <si>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</si>
  <si>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</si>
  <si>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</si>
  <si>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</si>
  <si>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</si>
  <si>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</si>
  <si>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</si>
  <si>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</si>
  <si>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</si>
  <si>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</si>
  <si>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</si>
  <si>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</si>
  <si>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</si>
  <si>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</si>
  <si>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</si>
  <si>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</si>
  <si>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</si>
  <si>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</si>
  <si>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</si>
  <si>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</si>
  <si>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</si>
  <si>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</si>
  <si>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</si>
  <si>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</si>
  <si>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</si>
  <si>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</si>
  <si>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</si>
  <si>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</si>
  <si>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</si>
  <si>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</si>
  <si>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</si>
  <si>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</si>
  <si>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</si>
  <si>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</si>
  <si>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</si>
  <si>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</si>
  <si>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</si>
  <si>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</si>
  <si>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</si>
  <si>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</si>
  <si>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</si>
  <si>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</si>
  <si>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</si>
  <si>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</si>
  <si>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</si>
  <si>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</si>
  <si>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</si>
  <si>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</si>
  <si>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</si>
  <si>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</si>
  <si>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</si>
  <si>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</si>
  <si>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</si>
  <si>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</si>
  <si>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</si>
  <si>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</si>
  <si>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</si>
  <si>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</si>
  <si>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</si>
  <si>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</si>
  <si>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</si>
  <si>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</si>
  <si>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</si>
  <si>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</si>
  <si>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</si>
  <si>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</si>
  <si>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</si>
  <si>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</si>
  <si>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</si>
  <si>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</si>
  <si>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</si>
  <si>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</si>
  <si>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</si>
  <si>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</si>
  <si>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</si>
  <si>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</si>
  <si>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</si>
  <si>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</si>
  <si>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</si>
  <si>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</si>
  <si>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</si>
  <si>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</si>
  <si>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</si>
  <si>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</si>
  <si>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</si>
  <si>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</si>
  <si>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</si>
  <si>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</si>
  <si>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</si>
  <si>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</si>
  <si>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</si>
  <si>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</si>
  <si>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</si>
  <si>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</si>
  <si>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</si>
  <si>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</si>
  <si>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</si>
  <si>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</si>
  <si>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</si>
  <si>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</si>
  <si>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</si>
  <si>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</si>
  <si>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</si>
  <si>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</si>
  <si>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</si>
  <si>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</si>
  <si>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</si>
  <si>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</si>
  <si>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</si>
  <si>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</si>
  <si>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</si>
  <si>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</si>
  <si>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</si>
  <si>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</si>
  <si>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</si>
  <si>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</si>
  <si>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</si>
  <si>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</si>
  <si>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</si>
  <si>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</si>
  <si>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</si>
  <si>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</si>
  <si>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</si>
  <si>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</si>
  <si>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</si>
  <si>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</si>
  <si>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</si>
  <si>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</si>
  <si>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</si>
  <si>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</si>
  <si>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</si>
  <si>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</si>
  <si>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</si>
  <si>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</si>
  <si>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</si>
  <si>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</si>
  <si>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</si>
  <si>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</si>
  <si>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</si>
  <si>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</si>
  <si>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</si>
  <si>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</si>
  <si>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</si>
  <si>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</si>
  <si>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</si>
  <si>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</si>
  <si>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</si>
  <si>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</si>
  <si>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</si>
  <si>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</si>
  <si>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</si>
  <si>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</si>
  <si>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</si>
  <si>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</si>
  <si>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</si>
  <si>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</si>
  <si>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</si>
  <si>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</si>
  <si>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</si>
  <si>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</si>
  <si>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</si>
  <si>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</si>
  <si>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</si>
  <si>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</si>
  <si>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</si>
  <si>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</si>
  <si>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</si>
  <si>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</si>
  <si>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</si>
  <si>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</si>
  <si>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</si>
  <si>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</si>
  <si>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</si>
  <si>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</si>
  <si>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</si>
  <si>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</si>
  <si>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</si>
  <si>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</si>
  <si>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</si>
  <si>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</si>
  <si>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</si>
  <si>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</si>
  <si>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</si>
  <si>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</si>
  <si>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</si>
  <si>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</si>
  <si>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</si>
  <si>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</si>
  <si>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</si>
  <si>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</si>
  <si>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</si>
  <si>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</si>
  <si>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</si>
  <si>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</si>
  <si>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</si>
  <si>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</si>
  <si>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</si>
  <si>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</si>
  <si>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</si>
  <si>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</si>
  <si>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</si>
  <si>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</si>
  <si>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</si>
  <si>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</si>
  <si>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</si>
  <si>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</si>
  <si>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</si>
  <si>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</si>
  <si>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</si>
  <si>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</si>
  <si>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</si>
  <si>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</si>
  <si>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</si>
  <si>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</si>
  <si>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</si>
  <si>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</si>
  <si>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</si>
  <si>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</si>
  <si>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</si>
  <si>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</si>
  <si>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</si>
  <si>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</si>
  <si>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</si>
  <si>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</si>
  <si>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</si>
  <si>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</si>
  <si>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</si>
  <si>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</si>
  <si>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</si>
  <si>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</si>
  <si>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</si>
  <si>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</si>
  <si>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</si>
  <si>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</si>
  <si>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</si>
  <si>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</si>
  <si>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</si>
  <si>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</si>
  <si>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</si>
  <si>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</si>
  <si>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</si>
  <si>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</si>
  <si>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</si>
  <si>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</si>
  <si>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</si>
  <si>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</si>
  <si>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</si>
  <si>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</si>
  <si>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</si>
  <si>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</si>
  <si>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</si>
  <si>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</si>
  <si>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</si>
  <si>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</si>
  <si>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</si>
  <si>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</si>
  <si>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</si>
  <si>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</si>
  <si>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</si>
  <si>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</si>
  <si>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</si>
  <si>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</si>
  <si>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</si>
  <si>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</si>
  <si>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</si>
  <si>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</si>
  <si>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</si>
  <si>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</si>
  <si>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</si>
  <si>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</si>
  <si>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</si>
  <si>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</si>
  <si>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</si>
  <si>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</si>
  <si>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</si>
  <si>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</si>
  <si>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</si>
  <si>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</si>
  <si>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</si>
  <si>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</si>
  <si>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</si>
  <si>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</si>
  <si>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</si>
  <si>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</si>
  <si>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</si>
  <si>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</si>
  <si>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</si>
  <si>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</si>
  <si>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</si>
  <si>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</si>
  <si>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</si>
  <si>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</si>
  <si>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</si>
  <si>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</si>
  <si>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</si>
  <si>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</si>
  <si>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</si>
  <si>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</si>
  <si>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</si>
  <si>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</si>
  <si>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</si>
  <si>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</si>
  <si>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</si>
  <si>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</si>
  <si>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</si>
  <si>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</si>
  <si>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</si>
  <si>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</si>
  <si>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</si>
  <si>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</si>
  <si>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</si>
  <si>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</si>
  <si>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</si>
  <si>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</si>
  <si>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</si>
  <si>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</si>
  <si>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</si>
  <si>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</si>
  <si>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</si>
  <si>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</si>
  <si>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</si>
  <si>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</si>
  <si>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</si>
  <si>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</si>
  <si>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</si>
  <si>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</si>
  <si>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</si>
  <si>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</si>
  <si>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</si>
  <si>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</si>
  <si>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</si>
  <si>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</si>
  <si>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</si>
  <si>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</si>
  <si>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</si>
  <si>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</si>
  <si>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</si>
  <si>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</si>
  <si>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</si>
  <si>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</si>
  <si>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</si>
  <si>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</si>
  <si>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</si>
  <si>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</si>
  <si>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</si>
  <si>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</si>
  <si>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</si>
  <si>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</si>
  <si>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</si>
  <si>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</si>
  <si>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</si>
  <si>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</si>
  <si>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</si>
  <si>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</si>
  <si>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</si>
  <si>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</si>
  <si>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</si>
  <si>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</si>
  <si>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</si>
  <si>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</si>
  <si>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</si>
  <si>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</si>
  <si>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</si>
  <si>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</si>
  <si>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</si>
  <si>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</si>
  <si>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</si>
  <si>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</si>
  <si>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</si>
  <si>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</si>
  <si>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</si>
  <si>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</si>
  <si>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</si>
  <si>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</si>
  <si>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</si>
  <si>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</si>
  <si>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</si>
  <si>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</si>
  <si>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</si>
  <si>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</si>
  <si>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</si>
  <si>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</si>
  <si>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</si>
  <si>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</si>
  <si>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</si>
  <si>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</si>
  <si>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</si>
  <si>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</si>
  <si>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</si>
  <si>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</si>
  <si>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</si>
  <si>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</si>
  <si>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</si>
  <si>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</si>
  <si>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</si>
  <si>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</si>
  <si>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</si>
  <si>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</si>
  <si>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</si>
  <si>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</si>
  <si>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</si>
  <si>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</si>
  <si>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</si>
  <si>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</si>
  <si>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</si>
  <si>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</si>
  <si>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</si>
  <si>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</si>
  <si>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</si>
  <si>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</si>
  <si>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</si>
  <si>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</si>
  <si>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</si>
  <si>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</si>
  <si>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</si>
  <si>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</si>
  <si>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</si>
  <si>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</si>
  <si>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</si>
  <si>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</si>
  <si>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</si>
  <si>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</si>
  <si>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</si>
  <si>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</si>
  <si>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</si>
  <si>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</si>
  <si>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</si>
  <si>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</si>
  <si>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</si>
  <si>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</si>
  <si>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</si>
  <si>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</si>
  <si>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</si>
  <si>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</si>
  <si>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</si>
  <si>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</si>
  <si>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</si>
  <si>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</si>
  <si>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</si>
  <si>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</si>
  <si>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</si>
  <si>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</si>
  <si>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</si>
  <si>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</si>
  <si>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</si>
  <si>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</si>
  <si>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</si>
  <si>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</si>
  <si>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</si>
  <si>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</si>
  <si>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</si>
  <si>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</si>
  <si>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</si>
  <si>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</si>
  <si>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</si>
  <si>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</si>
  <si>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</si>
  <si>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</si>
  <si>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</si>
  <si>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</si>
  <si>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</si>
  <si>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</si>
  <si>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</si>
  <si>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</si>
  <si>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</si>
  <si>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</si>
  <si>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</si>
  <si>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</si>
  <si>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</si>
  <si>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</si>
  <si>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</si>
  <si>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</si>
  <si>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</si>
  <si>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</si>
  <si>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</si>
  <si>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</si>
  <si>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</si>
  <si>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</si>
  <si>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</si>
  <si>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</si>
  <si>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</si>
  <si>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</si>
  <si>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</si>
  <si>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</si>
  <si>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</si>
  <si>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</si>
  <si>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</si>
  <si>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</si>
  <si>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</si>
  <si>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</si>
  <si>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</si>
  <si>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</si>
  <si>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</si>
  <si>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</si>
  <si>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</si>
  <si>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</si>
  <si>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</si>
  <si>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</si>
  <si>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</si>
  <si>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</si>
  <si>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</si>
  <si>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</si>
  <si>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</si>
  <si>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</si>
  <si>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</si>
  <si>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</si>
  <si>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</si>
  <si>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</si>
  <si>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</si>
  <si>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</si>
  <si>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</si>
  <si>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</si>
  <si>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</si>
  <si>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</si>
  <si>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</si>
  <si>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</si>
  <si>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</si>
  <si>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</si>
  <si>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</si>
  <si>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</si>
  <si>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</si>
  <si>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</si>
  <si>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</si>
  <si>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</si>
  <si>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</si>
  <si>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</si>
  <si>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</si>
  <si>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</si>
  <si>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</si>
  <si>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</si>
  <si>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</si>
  <si>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</si>
  <si>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</si>
  <si>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</si>
  <si>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</si>
  <si>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</si>
  <si>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</si>
  <si>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</si>
  <si>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</si>
  <si>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</si>
  <si>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</si>
  <si>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</si>
  <si>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</si>
  <si>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</si>
  <si>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</si>
  <si>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</si>
  <si>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</si>
  <si>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</si>
  <si>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</si>
  <si>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</si>
  <si>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</si>
  <si>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</si>
  <si>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</si>
  <si>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</si>
  <si>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</si>
  <si>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</si>
  <si>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</si>
  <si>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</si>
  <si>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</si>
  <si>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</si>
  <si>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</si>
  <si>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</si>
  <si>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</si>
  <si>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</si>
  <si>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</si>
  <si>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</si>
  <si>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</si>
  <si>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</si>
  <si>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</si>
  <si>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</si>
  <si>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</si>
  <si>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</si>
  <si>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</si>
  <si>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</si>
  <si>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</si>
  <si>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</si>
  <si>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</si>
  <si>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</si>
  <si>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</si>
  <si>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</si>
  <si>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</si>
  <si>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</si>
  <si>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</si>
  <si>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</si>
  <si>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</si>
  <si>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</si>
  <si>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</si>
  <si>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</si>
  <si>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</si>
  <si>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</si>
  <si>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</si>
  <si>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</si>
  <si>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</si>
  <si>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</si>
  <si>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</si>
  <si>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</si>
  <si>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</si>
  <si>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</si>
  <si>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</si>
  <si>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</si>
  <si>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</si>
  <si>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</si>
  <si>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</si>
  <si>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</si>
  <si>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</si>
  <si>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</si>
  <si>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</si>
  <si>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</si>
  <si>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</si>
  <si>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</si>
  <si>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</si>
  <si>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</si>
  <si>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</si>
  <si>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</si>
  <si>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</si>
  <si>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</si>
  <si>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</si>
  <si>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</si>
  <si>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</si>
  <si>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</si>
  <si>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</si>
  <si>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</si>
  <si>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</si>
  <si>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</si>
  <si>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</si>
  <si>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</si>
  <si>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</si>
  <si>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</si>
  <si>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</si>
  <si>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</si>
  <si>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</si>
  <si>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</si>
  <si>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</si>
  <si>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</si>
  <si>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</si>
  <si>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</si>
  <si>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</si>
  <si>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</si>
  <si>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</si>
  <si>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</si>
  <si>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</si>
  <si>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</si>
  <si>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</si>
  <si>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</si>
  <si>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</si>
  <si>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</si>
  <si>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</si>
  <si>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</si>
  <si>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</si>
  <si>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</si>
  <si>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</si>
  <si>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</si>
  <si>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</si>
  <si>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</si>
  <si>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</si>
  <si>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</si>
  <si>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</si>
  <si>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</si>
  <si>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</si>
  <si>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</si>
  <si>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</si>
  <si>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</si>
  <si>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</si>
  <si>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</si>
  <si>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</si>
  <si>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</si>
  <si>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</si>
  <si>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</si>
  <si>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</si>
  <si>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</si>
  <si>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</si>
  <si>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</si>
  <si>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</si>
  <si>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</si>
  <si>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</si>
  <si>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</si>
  <si>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</si>
  <si>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</si>
  <si>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</si>
  <si>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</si>
  <si>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</si>
  <si>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</si>
  <si>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</si>
  <si>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</si>
  <si>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</si>
  <si>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</si>
  <si>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</si>
  <si>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</si>
  <si>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</si>
  <si>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</si>
  <si>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</si>
  <si>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</si>
  <si>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</si>
  <si>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</si>
  <si>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</si>
  <si>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</si>
  <si>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</si>
  <si>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</si>
  <si>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</si>
  <si>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</si>
  <si>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</si>
  <si>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</si>
  <si>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</si>
  <si>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</si>
  <si>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</si>
  <si>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</si>
  <si>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</si>
  <si>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</si>
  <si>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</si>
  <si>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</si>
  <si>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</si>
  <si>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</si>
  <si>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</si>
  <si>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</si>
  <si>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</si>
  <si>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</si>
  <si>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</si>
  <si>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</si>
  <si>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</si>
  <si>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</si>
  <si>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</si>
  <si>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</si>
  <si>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</si>
  <si>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</si>
  <si>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</si>
  <si>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</si>
  <si>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</si>
  <si>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</si>
  <si>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</si>
  <si>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</si>
  <si>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</si>
  <si>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</si>
  <si>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</si>
  <si>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</si>
  <si>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</si>
  <si>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</si>
  <si>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</si>
  <si>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</si>
  <si>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</si>
  <si>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</si>
  <si>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</si>
  <si>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</si>
  <si>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</si>
  <si>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</si>
  <si>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</si>
  <si>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</si>
  <si>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</si>
  <si>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</si>
  <si>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</si>
  <si>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</si>
  <si>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</si>
  <si>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</si>
  <si>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</si>
  <si>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</si>
  <si>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</si>
  <si>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</si>
  <si>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</si>
  <si>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</si>
  <si>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</si>
  <si>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</si>
  <si>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</si>
  <si>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</si>
  <si>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</si>
  <si>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</si>
  <si>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</si>
  <si>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</si>
  <si>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</si>
  <si>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</si>
  <si>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</si>
  <si>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</si>
  <si>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</si>
  <si>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</si>
  <si>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</si>
  <si>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</si>
  <si>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</si>
  <si>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</si>
  <si>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</si>
  <si>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</si>
  <si>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</si>
  <si>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</si>
  <si>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</si>
  <si>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</si>
  <si>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</si>
  <si>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</si>
  <si>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</si>
  <si>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</si>
  <si>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</si>
  <si>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</si>
  <si>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</si>
  <si>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</si>
  <si>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</si>
  <si>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</si>
  <si>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</si>
  <si>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</si>
  <si>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</si>
  <si>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</si>
  <si>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</si>
  <si>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</si>
  <si>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</si>
  <si>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</si>
  <si>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</si>
  <si>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</si>
  <si>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</si>
  <si>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</si>
  <si>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</si>
  <si>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</si>
  <si>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</si>
  <si>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</si>
  <si>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</si>
  <si>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</si>
  <si>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</si>
  <si>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</si>
  <si>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</si>
  <si>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</si>
  <si>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</si>
  <si>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</si>
  <si>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</si>
  <si>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</si>
  <si>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</si>
  <si>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</si>
  <si>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</si>
  <si>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</si>
  <si>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</si>
  <si>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</si>
  <si>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</si>
  <si>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</si>
  <si>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</si>
  <si>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</si>
  <si>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</si>
  <si>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</si>
  <si>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</si>
  <si>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</si>
  <si>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</si>
  <si>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</si>
  <si>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</si>
  <si>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</si>
  <si>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</si>
  <si>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</si>
  <si>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</si>
  <si>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</si>
  <si>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</si>
  <si>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</si>
  <si>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</si>
  <si>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</si>
  <si>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</si>
  <si>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</si>
  <si>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</si>
  <si>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</si>
  <si>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</si>
  <si>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</si>
  <si>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</si>
  <si>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</si>
  <si>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</si>
  <si>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</si>
  <si>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</si>
  <si>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</si>
  <si>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</si>
  <si>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</si>
  <si>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</si>
  <si>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</si>
  <si>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</si>
  <si>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</si>
  <si>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</si>
  <si>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</si>
  <si>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</si>
  <si>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</si>
  <si>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</si>
  <si>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</si>
  <si>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</si>
  <si>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</si>
  <si>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</si>
  <si>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</si>
  <si>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</si>
  <si>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</si>
  <si>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</si>
  <si>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</si>
  <si>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</si>
  <si>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</si>
  <si>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</si>
  <si>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</si>
  <si>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</si>
  <si>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</si>
  <si>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</si>
  <si>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</si>
  <si>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</si>
  <si>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</si>
  <si>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</si>
  <si>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</si>
  <si>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</si>
  <si>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</si>
  <si>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</si>
  <si>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</si>
  <si>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</si>
  <si>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</si>
  <si>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</si>
  <si>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</si>
  <si>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</si>
  <si>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</si>
  <si>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</si>
  <si>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</si>
  <si>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</si>
  <si>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</si>
  <si>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</si>
  <si>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</si>
  <si>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</si>
  <si>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</si>
  <si>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</si>
  <si>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</si>
  <si>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</si>
  <si>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OD Round 46</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</si>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</sst>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1036</v>
      </c>
      <c r="N1" s="497"/>
      <c r="O1" s="498"/>
    </row>
    <row r="2" spans="1:15" s="44" customFormat="1" ht="12.75" customHeight="1" x14ac:dyDescent="0.2">
      <c r="A2" s="525" t="s">
        <v>1073</v>
      </c>
      <c r="B2" s="526"/>
      <c r="C2" s="526"/>
      <c r="D2" s="526"/>
      <c r="E2" s="526"/>
      <c r="F2" s="526"/>
      <c r="G2" s="526"/>
      <c r="H2" s="526"/>
      <c r="I2" s="526"/>
      <c r="J2" s="526"/>
      <c r="K2" s="526"/>
      <c r="L2" s="527"/>
      <c r="M2" s="513" t="s">
        <v>1104</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1143</v>
      </c>
      <c r="K8" s="500"/>
      <c r="L8" s="501"/>
      <c r="M8" s="516"/>
      <c r="N8" s="517"/>
      <c r="O8" s="518"/>
    </row>
    <row r="9" spans="1:15" s="44" customFormat="1" ht="12.75" customHeight="1" x14ac:dyDescent="0.2">
      <c r="A9" s="494" t="s">
        <v>1159</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769</v>
      </c>
      <c r="F14" s="44"/>
      <c r="G14" s="44"/>
      <c r="K14" s="44" t="s">
        <v>1157</v>
      </c>
      <c r="L14" s="44"/>
      <c r="M14" s="44"/>
      <c r="O14" s="79"/>
    </row>
    <row r="15" spans="1:15" s="44" customFormat="1" ht="12.75" customHeight="1" x14ac:dyDescent="0.2">
      <c r="A15" s="45" t="s">
        <v>446</v>
      </c>
      <c r="B15" s="131">
        <v>45815</v>
      </c>
      <c r="D15" s="45" t="s">
        <v>322</v>
      </c>
      <c r="E15" s="53">
        <f>B15+(1+B16-1)/24+B18-0/24</f>
        <v>45815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45869.458387962964</v>
      </c>
      <c r="H16" s="45" t="s">
        <v>163</v>
      </c>
      <c r="I16" s="54">
        <f>INDEX(TblRaces[[Max population]:[Explore Cost]],MATCH(race,TblRaces[Race],0),MATCH(Table4[[#This Row],[Race Bonuses]],TblRaces[[#Headers],[Max population]:[Explore Cost]],0))</f>
        <v>0</v>
      </c>
      <c r="K16" s="45" t="s">
        <v>170</v>
      </c>
      <c r="L16" s="478">
        <v>50</v>
      </c>
      <c r="M16" s="482" t="s">
        <v>1160</v>
      </c>
      <c r="O16" s="51"/>
    </row>
    <row r="17" spans="1:15" s="44" customFormat="1" ht="12.75" customHeight="1" thickBot="1" x14ac:dyDescent="0.25">
      <c r="A17" s="45" t="s">
        <v>319</v>
      </c>
      <c r="B17" s="55">
        <f ca="1">TODAY()</f>
        <v>45869</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50</v>
      </c>
      <c r="M17" s="481" t="s">
        <v>1161</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1162</v>
      </c>
      <c r="O18" s="51"/>
    </row>
    <row r="19" spans="1:15" s="44" customFormat="1" x14ac:dyDescent="0.2">
      <c r="H19" s="45" t="s">
        <v>107</v>
      </c>
      <c r="I19" s="54">
        <f>INDEX(TblRaces[[Max population]:[Explore Cost]],MATCH(race,TblRaces[Race],0),MATCH(Table4[[#This Row],[Race Bonuses]],TblRaces[[#Headers],[Max population]:[Explore Cost]],0))</f>
        <v>0.05</v>
      </c>
      <c r="J19" s="49"/>
      <c r="K19" s="45" t="s">
        <v>1154</v>
      </c>
      <c r="L19" s="476">
        <v>0</v>
      </c>
      <c r="M19" s="481" t="s">
        <v>1163</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1150</v>
      </c>
      <c r="L20" s="476">
        <v>0</v>
      </c>
      <c r="M20" s="481" t="s">
        <v>1164</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1151</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1148</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1147</v>
      </c>
      <c r="L26" s="477">
        <v>0</v>
      </c>
      <c r="M26" s="468"/>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1149</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1153</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50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1155</v>
      </c>
      <c r="L30" s="476">
        <v>50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1156</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1146</v>
      </c>
      <c r="L32" s="476">
        <v>50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1152</v>
      </c>
      <c r="L33" s="476">
        <v>50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350</v>
      </c>
      <c r="M35" s="480" t="str">
        <f>IF(L35=start_acres,"Construction Complete!",IF(L35&lt;start_acres,"Construct additional buildings!","You have built too many buildings!"))</f>
        <v>Construction Complete!</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2577</v>
      </c>
      <c r="C44" s="101"/>
      <c r="E44" s="102"/>
      <c r="F44" s="94">
        <f ca="1">Military!AA52</f>
        <v>2577</v>
      </c>
      <c r="H44" s="94">
        <f ca="1">F44*(1+$G$39)</f>
        <v>2577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2577</v>
      </c>
      <c r="H46" s="100">
        <f ca="1">H44+H43+H45</f>
        <v>2577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1145</v>
      </c>
      <c r="B49" s="415">
        <f ca="1">Military!J52</f>
        <v>0</v>
      </c>
      <c r="C49" s="44"/>
      <c r="D49" s="5" t="s">
        <v>252</v>
      </c>
      <c r="E49" s="57" t="s">
        <v>353</v>
      </c>
      <c r="F49" s="45" t="s">
        <v>1009</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370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50</v>
      </c>
      <c r="F51" s="110">
        <f ca="1">E51/$E$50</f>
        <v>0.13513513513513514</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50</v>
      </c>
      <c r="F52" s="110">
        <f ca="1">E52/$E$50</f>
        <v>0.13513513513513514</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8.1081081081081086E-2</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1</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370</v>
      </c>
      <c r="C56" s="44"/>
      <c r="D56" s="108" t="str">
        <f>Construction!BD3</f>
        <v>Tot Ly</v>
      </c>
      <c r="E56" s="45">
        <f ca="1">Construction!BD52</f>
        <v>20</v>
      </c>
      <c r="F56" s="110">
        <f t="shared" ca="1" si="0"/>
        <v>5.4054054054054057E-2</v>
      </c>
      <c r="G56" s="44"/>
      <c r="H56" s="50" t="s">
        <v>2</v>
      </c>
      <c r="I56" s="44"/>
      <c r="J56" s="44"/>
      <c r="K56" s="44"/>
      <c r="L56" s="210"/>
      <c r="M56" s="470"/>
      <c r="N56" s="210"/>
      <c r="O56" s="51"/>
    </row>
    <row r="57" spans="1:15" x14ac:dyDescent="0.2">
      <c r="A57" s="114" t="s">
        <v>21</v>
      </c>
      <c r="B57" s="400">
        <f ca="1">Population!C52</f>
        <v>3676</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2577</v>
      </c>
      <c r="C58" s="44"/>
      <c r="D58" s="108" t="str">
        <f>Construction!BF3</f>
        <v>Tot OM</v>
      </c>
      <c r="E58" s="45">
        <f ca="1">Construction!BF52</f>
        <v>0</v>
      </c>
      <c r="F58" s="110">
        <f t="shared" ca="1" si="0"/>
        <v>0</v>
      </c>
      <c r="G58" s="44"/>
      <c r="H58" s="116">
        <v>37</v>
      </c>
      <c r="I58" s="61">
        <f ca="1">Production!H40</f>
        <v>688754</v>
      </c>
      <c r="J58" s="61">
        <f ca="1">Production!H40+SUM(Military!AS4:AS40)</f>
        <v>688754</v>
      </c>
      <c r="K58" s="44"/>
      <c r="L58" s="210"/>
      <c r="M58" s="470"/>
      <c r="N58" s="210"/>
      <c r="O58" s="51"/>
    </row>
    <row r="59" spans="1:15" x14ac:dyDescent="0.2">
      <c r="A59" s="114" t="s">
        <v>230</v>
      </c>
      <c r="B59" s="400">
        <f ca="1">Production!G52</f>
        <v>9150</v>
      </c>
      <c r="C59" s="44"/>
      <c r="D59" s="108" t="str">
        <f>Construction!BG3</f>
        <v>Tot GN</v>
      </c>
      <c r="E59" s="45">
        <f ca="1">Construction!BG52</f>
        <v>0</v>
      </c>
      <c r="F59" s="110">
        <f t="shared" ca="1" si="0"/>
        <v>0</v>
      </c>
      <c r="G59" s="44"/>
      <c r="H59" s="116">
        <v>40</v>
      </c>
      <c r="I59" s="61">
        <f ca="1">Production!H43</f>
        <v>728761</v>
      </c>
      <c r="J59" s="61">
        <f ca="1">Production!H43+SUM(Military!AS5:AS43)</f>
        <v>728761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842974</v>
      </c>
      <c r="J60" s="61">
        <f ca="1">Production!H52+SUM(Military!AS4:AS52)</f>
        <v>842974</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12175</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842974</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48189</v>
      </c>
      <c r="C64" s="44"/>
      <c r="D64" s="108" t="str">
        <f>Construction!BL3</f>
        <v>Tot Tow</v>
      </c>
      <c r="E64" s="45">
        <f ca="1">Construction!BL52</f>
        <v>50</v>
      </c>
      <c r="F64" s="110">
        <f t="shared" ca="1" si="0"/>
        <v>0.13513513513513514</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50</v>
      </c>
      <c r="F65" s="110">
        <f t="shared" ca="1" si="0"/>
        <v>0.13513513513513514</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38801</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50</v>
      </c>
      <c r="F67" s="110">
        <f t="shared" ca="1" si="0"/>
        <v>0.13513513513513514</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36000</v>
      </c>
      <c r="C68" s="44"/>
      <c r="D68" s="108" t="str">
        <f>Construction!BP3</f>
        <v>Tot Sch</v>
      </c>
      <c r="E68" s="45">
        <f ca="1">Construction!BP52</f>
        <v>50</v>
      </c>
      <c r="F68" s="110">
        <f t="shared" ca="1" si="0"/>
        <v>0.13513513513513514</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150</v>
      </c>
      <c r="F70" s="120">
        <f ca="1">E70/E50</f>
        <v>0.40540540540540543</v>
      </c>
      <c r="G70" s="44"/>
      <c r="I70" s="44"/>
      <c r="K70" s="44"/>
      <c r="L70" s="44"/>
      <c r="M70" s="44"/>
      <c r="N70" s="44"/>
      <c r="O70" s="51"/>
    </row>
    <row r="71" spans="1:15" x14ac:dyDescent="0.2">
      <c r="A71" s="114" t="s">
        <v>274</v>
      </c>
      <c r="B71" s="400">
        <f>Construction!D52</f>
        <v>0</v>
      </c>
      <c r="C71" s="44"/>
      <c r="D71" s="5" t="s">
        <v>357</v>
      </c>
      <c r="E71" s="35">
        <f ca="1">E50-SUM(E51:E69)-B71</f>
        <v>20</v>
      </c>
      <c r="F71" s="123">
        <f ca="1">E71/E50</f>
        <v>5.4054054054054057E-2</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2.0270270270270272</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2.0270270270270272</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1141</v>
      </c>
      <c r="C89" s="124"/>
      <c r="D89" s="128">
        <f ca="1">MIN(F64/abyss_enforce_bonus,abyss_enforcer_cap)</f>
        <v>1</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MIN(B39,B42)*demonic_pact_oppair*IF(Magic!AQ76&gt;0,1,0)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45815</v>
      </c>
      <c r="C4" s="378">
        <f ca="1">TblPop[[#This Row],[Net max]]-300</f>
        <v>5850</v>
      </c>
      <c r="D4" s="94">
        <f ca="1">TblMili[[#This Row],[Military]]</f>
        <v>300</v>
      </c>
      <c r="E4" s="94">
        <f ca="1">TblMili[[#This Row],[Draftees]]</f>
        <v>300</v>
      </c>
      <c r="F4" s="94">
        <f ca="1">TblPop[[#This Row],[Peasants]]+TblPop[[#This Row],[Military]]</f>
        <v>6150</v>
      </c>
      <c r="G4" s="139">
        <f ca="1">TblPop[[#This Row],[Military]]/TblPop[[#This Row],[Total]]</f>
        <v>4.878048780487805E-2</v>
      </c>
      <c r="H4" s="140">
        <f ca="1">MIN(TblPop[[#This Row],[Peasants]],TblPop[[#This Row],[Jobs]])</f>
        <v>5850</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6000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6150</v>
      </c>
      <c r="V4" s="94">
        <f ca="1">(TblConstr[[#This Row],[Tot Hom]]+TblConstr[[#This Row],[Dest Hom]])*pop_in_home+(SUM(TblConstr[[#This Row],[Tot Alc]:[Tot Doc]])+TblConstr[[#This Row],[Incoming]]-TblConstr[[#This Row],[Tot Bar]])*pop_in_building+(SUM(TblConstr[[#This Row],[Plain]:[Water]])-TblExplore[[#This Row],[Land Bonus]]*20)*pop_on_barren</f>
        <v>6000</v>
      </c>
      <c r="W4" s="94">
        <f ca="1">MAX(-5%*TblPop[[#This Row],[Peasants]]-TblPop[[#This Row],[Draft Growth]],MIN(OFFSET(TblPop[[#This Row],[Net max]],1,0)-TblPop[[#This Row],[Peasants]]-TblPop[[#This Row],[Military]]-TblPop[[#This Row],[Draft Growth]],TblPop[[#This Row],[Modded Birth]]-TblPop[[#This Row],[Draft Growth]]))</f>
        <v>44</v>
      </c>
      <c r="X4" s="94">
        <f ca="1">ROUND(TblPop[[#This Row],[Raw Birth]]*(1+TblPop[[#This Row],[Growth]]),0)</f>
        <v>315</v>
      </c>
      <c r="Y4" s="94">
        <f ca="1">(TblPop[[#This Row],[Peasants]]-TblPop[[#This Row],[Draft Growth]])*raw_pop_growth</f>
        <v>173.73</v>
      </c>
      <c r="Z4" s="94">
        <f ca="1">ROUND(IF(TblPop[[#This Row],[Military%]]&lt;TblMili[[#This Row],[Draftrate]],ROUND(TblPop[[#This Row],[Peasants]]*Constants!$B$55,0), 0) * IF(AND(TblMagic[[#This Row],[Active DnD]]&lt;=12,TblMagic[[#This Row],[Active DnD]]&gt;6),1.6,1),0)</f>
        <v>59</v>
      </c>
      <c r="AA4" s="142"/>
      <c r="AB4" s="143">
        <f ca="1">Overview!$I$17 + IF(Magic!AF4&gt;0,Constants!$F$78) + ROUND(6*(Construction!BM5+Construction!CK4)/IF(Explore!S5&gt;0,Construction!F5-20,Construction!F5),4) + tech_6_5_2*Techs!BJ4 + tech_8_4*Techs!BT4</f>
        <v>0.81079999999999997</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45815.041666666664</v>
      </c>
      <c r="C5" s="94">
        <f ca="1">OFFSET(TblPop[[#This Row],[Peasants]],-1,0)+OFFSET(TblPop[[#This Row],[Net Peasant]],-1,0)+TblMili[[#This Row],[Release Draft]]</f>
        <v>5894</v>
      </c>
      <c r="D5" s="94">
        <f ca="1">TblMili[[#This Row],[Military]]</f>
        <v>359</v>
      </c>
      <c r="E5" s="94">
        <f ca="1">TblMili[[#This Row],[Draftees]]</f>
        <v>359</v>
      </c>
      <c r="F5" s="94">
        <f ca="1">TblPop[[#This Row],[Peasants]]+TblPop[[#This Row],[Military]]</f>
        <v>6253</v>
      </c>
      <c r="G5" s="139">
        <f ca="1">TblPop[[#This Row],[Military]]/TblPop[[#This Row],[Total]]</f>
        <v>5.7412442027826645E-2</v>
      </c>
      <c r="H5" s="140">
        <f ca="1">MIN(TblPop[[#This Row],[Peasants]],TblPop[[#This Row],[Jobs]])</f>
        <v>5894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6000</v>
      </c>
      <c r="K5" s="141"/>
      <c r="L5" s="61">
        <f ca="1">TblPop[[#This Row],[Draftees]]</f>
        <v>359</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6253</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5" s="94">
        <f ca="1">MAX(-5%*TblPop[[#This Row],[Peasants]]-TblPop[[#This Row],[Draft Growth]],MIN(OFFSET(TblPop[[#This Row],[Net max]],1,0)-TblPop[[#This Row],[Peasants]]-TblPop[[#This Row],[Military]]-TblPop[[#This Row],[Draft Growth]],TblPop[[#This Row],[Modded Birth]]-TblPop[[#This Row],[Draft Growth]]))</f>
        <v>-59</v>
      </c>
      <c r="X5" s="94">
        <f ca="1">ROUND(TblPop[[#This Row],[Raw Birth]]*(1+TblPop[[#This Row],[Growth]]),0)</f>
        <v>317</v>
      </c>
      <c r="Y5" s="94">
        <f ca="1">(TblPop[[#This Row],[Peasants]]-TblPop[[#This Row],[Draft Growth]])*raw_pop_growth</f>
        <v>175.04999999999998</v>
      </c>
      <c r="Z5" s="94">
        <f ca="1">ROUND(IF(TblPop[[#This Row],[Military%]]&lt;TblMili[[#This Row],[Draftrate]],ROUND(TblPop[[#This Row],[Peasants]]*Constants!$B$55,0), 0) * IF(AND(TblMagic[[#This Row],[Active DnD]]&lt;=12,TblMagic[[#This Row],[Active DnD]]&gt;6),1.6,1),0)</f>
        <v>59</v>
      </c>
      <c r="AA5" s="142"/>
      <c r="AB5" s="143">
        <f ca="1">Overview!$I$17 + IF(Magic!AF5&gt;0,Constants!$F$78) + ROUND(6*(Construction!BM6+Construction!CK5)/IF(Explore!S6&gt;0,Construction!F6-20,Construction!F6),4) + tech_6_5_2*Techs!BJ5 + tech_8_4*Techs!BT5</f>
        <v>0.81079999999999997</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45815.083333333328</v>
      </c>
      <c r="C6" s="94">
        <f ca="1">OFFSET(TblPop[[#This Row],[Peasants]],-1,0)+OFFSET(TblPop[[#This Row],[Net Peasant]],-1,0)+TblMili[[#This Row],[Release Draft]]</f>
        <v>5835</v>
      </c>
      <c r="D6" s="94">
        <f ca="1">TblMili[[#This Row],[Military]]</f>
        <v>418</v>
      </c>
      <c r="E6" s="94">
        <f ca="1">TblMili[[#This Row],[Draftees]]</f>
        <v>418</v>
      </c>
      <c r="F6" s="94">
        <f ca="1">TblPop[[#This Row],[Peasants]]+TblPop[[#This Row],[Military]]</f>
        <v>6253</v>
      </c>
      <c r="G6" s="139">
        <f ca="1">TblPop[[#This Row],[Military]]/TblPop[[#This Row],[Total]]</f>
        <v>6.6847913001759157E-2</v>
      </c>
      <c r="H6" s="140">
        <f ca="1">MIN(TblPop[[#This Row],[Peasants]],TblPop[[#This Row],[Jobs]])</f>
        <v>5835</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6000</v>
      </c>
      <c r="K6" s="141"/>
      <c r="L6" s="61">
        <f ca="1">TblPop[[#This Row],[Draftees]]</f>
        <v>418</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6253</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6" s="94">
        <f ca="1">MAX(-5%*TblPop[[#This Row],[Peasants]]-TblPop[[#This Row],[Draft Growth]],MIN(OFFSET(TblPop[[#This Row],[Net max]],1,0)-TblPop[[#This Row],[Peasants]]-TblPop[[#This Row],[Military]]-TblPop[[#This Row],[Draft Growth]],TblPop[[#This Row],[Modded Birth]]-TblPop[[#This Row],[Draft Growth]]))</f>
        <v>-58</v>
      </c>
      <c r="X6" s="94">
        <f ca="1">ROUND(TblPop[[#This Row],[Raw Birth]]*(1+TblPop[[#This Row],[Growth]]),0)</f>
        <v>314</v>
      </c>
      <c r="Y6" s="94">
        <f ca="1">(TblPop[[#This Row],[Peasants]]-TblPop[[#This Row],[Draft Growth]])*raw_pop_growth</f>
        <v>173.31</v>
      </c>
      <c r="Z6" s="94">
        <f ca="1">ROUND(IF(TblPop[[#This Row],[Military%]]&lt;TblMili[[#This Row],[Draftrate]],ROUND(TblPop[[#This Row],[Peasants]]*Constants!$B$55,0), 0) * IF(AND(TblMagic[[#This Row],[Active DnD]]&lt;=12,TblMagic[[#This Row],[Active DnD]]&gt;6),1.6,1),0)</f>
        <v>58</v>
      </c>
      <c r="AA6" s="142"/>
      <c r="AB6" s="143">
        <f ca="1">Overview!$I$17 + IF(Magic!AF6&gt;0,Constants!$F$78) + ROUND(6*(Construction!BM7+Construction!CK6)/IF(Explore!S7&gt;0,Construction!F7-20,Construction!F7),4) + tech_6_5_2*Techs!BJ6 + tech_8_4*Techs!BT6</f>
        <v>0.81079999999999997</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45815.124999999993</v>
      </c>
      <c r="C7" s="94">
        <f ca="1">OFFSET(TblPop[[#This Row],[Peasants]],-1,0)+OFFSET(TblPop[[#This Row],[Net Peasant]],-1,0)+TblMili[[#This Row],[Release Draft]]</f>
        <v>5777</v>
      </c>
      <c r="D7" s="94">
        <f ca="1">TblMili[[#This Row],[Military]]</f>
        <v>476</v>
      </c>
      <c r="E7" s="94">
        <f ca="1">TblMili[[#This Row],[Draftees]]</f>
        <v>476</v>
      </c>
      <c r="F7" s="94">
        <f ca="1">TblPop[[#This Row],[Peasants]]+TblPop[[#This Row],[Military]]</f>
        <v>6253</v>
      </c>
      <c r="G7" s="139">
        <f ca="1">TblPop[[#This Row],[Military]]/TblPop[[#This Row],[Total]]</f>
        <v>7.612346073884535E-2</v>
      </c>
      <c r="H7" s="140">
        <f ca="1">MIN(TblPop[[#This Row],[Peasants]],TblPop[[#This Row],[Jobs]])</f>
        <v>5777</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6000</v>
      </c>
      <c r="K7" s="141"/>
      <c r="L7" s="61">
        <f ca="1">TblPop[[#This Row],[Draftees]]</f>
        <v>476</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6253</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7" s="94">
        <f ca="1">MAX(-5%*TblPop[[#This Row],[Peasants]]-TblPop[[#This Row],[Draft Growth]],MIN(OFFSET(TblPop[[#This Row],[Net max]],1,0)-TblPop[[#This Row],[Peasants]]-TblPop[[#This Row],[Military]]-TblPop[[#This Row],[Draft Growth]],TblPop[[#This Row],[Modded Birth]]-TblPop[[#This Row],[Draft Growth]]))</f>
        <v>-58</v>
      </c>
      <c r="X7" s="94">
        <f ca="1">ROUND(TblPop[[#This Row],[Raw Birth]]*(1+TblPop[[#This Row],[Growth]]),0)</f>
        <v>311</v>
      </c>
      <c r="Y7" s="94">
        <f ca="1">(TblPop[[#This Row],[Peasants]]-TblPop[[#This Row],[Draft Growth]])*raw_pop_growth</f>
        <v>171.57</v>
      </c>
      <c r="Z7" s="94">
        <f ca="1">ROUND(IF(TblPop[[#This Row],[Military%]]&lt;TblMili[[#This Row],[Draftrate]],ROUND(TblPop[[#This Row],[Peasants]]*Constants!$B$55,0), 0) * IF(AND(TblMagic[[#This Row],[Active DnD]]&lt;=12,TblMagic[[#This Row],[Active DnD]]&gt;6),1.6,1),0)</f>
        <v>58</v>
      </c>
      <c r="AA7" s="142"/>
      <c r="AB7" s="143">
        <f ca="1">Overview!$I$17 + IF(Magic!AF7&gt;0,Constants!$F$78) + ROUND(6*(Construction!BM8+Construction!CK7)/IF(Explore!S8&gt;0,Construction!F8-20,Construction!F8),4) + tech_6_5_2*Techs!BJ7 + tech_8_4*Techs!BT7</f>
        <v>0.81079999999999997</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45815.166666666657</v>
      </c>
      <c r="C8" s="94">
        <f ca="1">OFFSET(TblPop[[#This Row],[Peasants]],-1,0)+OFFSET(TblPop[[#This Row],[Net Peasant]],-1,0)+TblMili[[#This Row],[Release Draft]]</f>
        <v>5719</v>
      </c>
      <c r="D8" s="94">
        <f ca="1">TblMili[[#This Row],[Military]]</f>
        <v>534</v>
      </c>
      <c r="E8" s="94">
        <f ca="1">TblMili[[#This Row],[Draftees]]</f>
        <v>534</v>
      </c>
      <c r="F8" s="94">
        <f ca="1">TblPop[[#This Row],[Peasants]]+TblPop[[#This Row],[Military]]</f>
        <v>6253</v>
      </c>
      <c r="G8" s="139">
        <f ca="1">TblPop[[#This Row],[Military]]/TblPop[[#This Row],[Total]]</f>
        <v>8.5399008475931557E-2</v>
      </c>
      <c r="H8" s="140">
        <f ca="1">MIN(TblPop[[#This Row],[Peasants]],TblPop[[#This Row],[Jobs]])</f>
        <v>5719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6000</v>
      </c>
      <c r="K8" s="141"/>
      <c r="L8" s="61">
        <f ca="1">TblPop[[#This Row],[Draftees]]</f>
        <v>534</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6253</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8" s="94">
        <f ca="1">MAX(-5%*TblPop[[#This Row],[Peasants]]-TblPop[[#This Row],[Draft Growth]],MIN(OFFSET(TblPop[[#This Row],[Net max]],1,0)-TblPop[[#This Row],[Peasants]]-TblPop[[#This Row],[Military]]-TblPop[[#This Row],[Draft Growth]],TblPop[[#This Row],[Modded Birth]]-TblPop[[#This Row],[Draft Growth]]))</f>
        <v>-57</v>
      </c>
      <c r="X8" s="94">
        <f ca="1">ROUND(TblPop[[#This Row],[Raw Birth]]*(1+TblPop[[#This Row],[Growth]]),0)</f>
        <v>308</v>
      </c>
      <c r="Y8" s="94">
        <f ca="1">(TblPop[[#This Row],[Peasants]]-TblPop[[#This Row],[Draft Growth]])*raw_pop_growth</f>
        <v>169.85999999999999</v>
      </c>
      <c r="Z8" s="94">
        <f ca="1">ROUND(IF(TblPop[[#This Row],[Military%]]&lt;TblMili[[#This Row],[Draftrate]],ROUND(TblPop[[#This Row],[Peasants]]*Constants!$B$55,0), 0) * IF(AND(TblMagic[[#This Row],[Active DnD]]&lt;=12,TblMagic[[#This Row],[Active DnD]]&gt;6),1.6,1),0)</f>
        <v>57</v>
      </c>
      <c r="AA8" s="142"/>
      <c r="AB8" s="143">
        <f ca="1">Overview!$I$17 + IF(Magic!AF8&gt;0,Constants!$F$78) + ROUND(6*(Construction!BM9+Construction!CK8)/IF(Explore!S9&gt;0,Construction!F9-20,Construction!F9),4) + tech_6_5_2*Techs!BJ8 + tech_8_4*Techs!BT8</f>
        <v>0.81079999999999997</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45815.208333333321</v>
      </c>
      <c r="C9" s="94">
        <f ca="1">OFFSET(TblPop[[#This Row],[Peasants]],-1,0)+OFFSET(TblPop[[#This Row],[Net Peasant]],-1,0)+TblMili[[#This Row],[Release Draft]]</f>
        <v>5662</v>
      </c>
      <c r="D9" s="94">
        <f ca="1">TblMili[[#This Row],[Military]]</f>
        <v>591</v>
      </c>
      <c r="E9" s="94">
        <f ca="1">TblMili[[#This Row],[Draftees]]</f>
        <v>591</v>
      </c>
      <c r="F9" s="94">
        <f ca="1">TblPop[[#This Row],[Peasants]]+TblPop[[#This Row],[Military]]</f>
        <v>6253</v>
      </c>
      <c r="G9" s="139">
        <f ca="1">TblPop[[#This Row],[Military]]/TblPop[[#This Row],[Total]]</f>
        <v>9.4514632976171437E-2</v>
      </c>
      <c r="H9" s="140">
        <f ca="1">MIN(TblPop[[#This Row],[Peasants]],TblPop[[#This Row],[Jobs]])</f>
        <v>5662</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6000</v>
      </c>
      <c r="K9" s="141"/>
      <c r="L9" s="61">
        <f ca="1">TblPop[[#This Row],[Draftees]]</f>
        <v>591</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6253</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9" s="94">
        <f ca="1">MAX(-5%*TblPop[[#This Row],[Peasants]]-TblPop[[#This Row],[Draft Growth]],MIN(OFFSET(TblPop[[#This Row],[Net max]],1,0)-TblPop[[#This Row],[Peasants]]-TblPop[[#This Row],[Military]]-TblPop[[#This Row],[Draft Growth]],TblPop[[#This Row],[Modded Birth]]-TblPop[[#This Row],[Draft Growth]]))</f>
        <v>-57</v>
      </c>
      <c r="X9" s="94">
        <f ca="1">ROUND(TblPop[[#This Row],[Raw Birth]]*(1+TblPop[[#This Row],[Growth]]),0)</f>
        <v>304</v>
      </c>
      <c r="Y9" s="94">
        <f ca="1">(TblPop[[#This Row],[Peasants]]-TblPop[[#This Row],[Draft Growth]])*raw_pop_growth</f>
        <v>168.15</v>
      </c>
      <c r="Z9" s="94">
        <f ca="1">ROUND(IF(TblPop[[#This Row],[Military%]]&lt;TblMili[[#This Row],[Draftrate]],ROUND(TblPop[[#This Row],[Peasants]]*Constants!$B$55,0), 0) * IF(AND(TblMagic[[#This Row],[Active DnD]]&lt;=12,TblMagic[[#This Row],[Active DnD]]&gt;6),1.6,1),0)</f>
        <v>57</v>
      </c>
      <c r="AA9" s="142"/>
      <c r="AB9" s="143">
        <f ca="1">Overview!$I$17 + IF(Magic!AF9&gt;0,Constants!$F$78) + ROUND(6*(Construction!BM10+Construction!CK9)/IF(Explore!S10&gt;0,Construction!F10-20,Construction!F10),4) + tech_6_5_2*Techs!BJ9 + tech_8_4*Techs!BT9</f>
        <v>0.81079999999999997</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45815.249999999985</v>
      </c>
      <c r="C10" s="94">
        <f ca="1">OFFSET(TblPop[[#This Row],[Peasants]],-1,0)+OFFSET(TblPop[[#This Row],[Net Peasant]],-1,0)+TblMili[[#This Row],[Release Draft]]</f>
        <v>5605</v>
      </c>
      <c r="D10" s="94">
        <f ca="1">TblMili[[#This Row],[Military]]</f>
        <v>648</v>
      </c>
      <c r="E10" s="94">
        <f ca="1">TblMili[[#This Row],[Draftees]]</f>
        <v>648</v>
      </c>
      <c r="F10" s="94">
        <f ca="1">TblPop[[#This Row],[Peasants]]+TblPop[[#This Row],[Military]]</f>
        <v>6253</v>
      </c>
      <c r="G10" s="139">
        <f ca="1">TblPop[[#This Row],[Military]]/TblPop[[#This Row],[Total]]</f>
        <v>0.10363025747641132</v>
      </c>
      <c r="H10" s="140">
        <f ca="1">MIN(TblPop[[#This Row],[Peasants]],TblPop[[#This Row],[Jobs]])</f>
        <v>5605</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6000</v>
      </c>
      <c r="K10" s="141"/>
      <c r="L10" s="61">
        <f ca="1">TblPop[[#This Row],[Draftees]]</f>
        <v>648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6253</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0" s="94">
        <f ca="1">MAX(-5%*TblPop[[#This Row],[Peasants]]-TblPop[[#This Row],[Draft Growth]],MIN(OFFSET(TblPop[[#This Row],[Net max]],1,0)-TblPop[[#This Row],[Peasants]]-TblPop[[#This Row],[Military]]-TblPop[[#This Row],[Draft Growth]],TblPop[[#This Row],[Modded Birth]]-TblPop[[#This Row],[Draft Growth]]))</f>
        <v>-56</v>
      </c>
      <c r="X10" s="94">
        <f ca="1">ROUND(TblPop[[#This Row],[Raw Birth]]*(1+TblPop[[#This Row],[Growth]]),0)</f>
        <v>301</v>
      </c>
      <c r="Y10" s="94">
        <f ca="1">(TblPop[[#This Row],[Peasants]]-TblPop[[#This Row],[Draft Growth]])*raw_pop_growth</f>
        <v>166.47</v>
      </c>
      <c r="Z10" s="94">
        <f ca="1">ROUND(IF(TblPop[[#This Row],[Military%]]&lt;TblMili[[#This Row],[Draftrate]],ROUND(TblPop[[#This Row],[Peasants]]*Constants!$B$55,0), 0) * IF(AND(TblMagic[[#This Row],[Active DnD]]&lt;=12,TblMagic[[#This Row],[Active DnD]]&gt;6),1.6,1),0)</f>
        <v>56</v>
      </c>
      <c r="AA10" s="142"/>
      <c r="AB10" s="143">
        <f ca="1">Overview!$I$17 + IF(Magic!AF10&gt;0,Constants!$F$78) + ROUND(6*(Construction!BM11+Construction!CK10)/IF(Explore!S11&gt;0,Construction!F11-20,Construction!F11),4) + tech_6_5_2*Techs!BJ10 + tech_8_4*Techs!BT10</f>
        <v>0.81079999999999997</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45815.29166666665</v>
      </c>
      <c r="C11" s="94">
        <f ca="1">OFFSET(TblPop[[#This Row],[Peasants]],-1,0)+OFFSET(TblPop[[#This Row],[Net Peasant]],-1,0)+TblMili[[#This Row],[Release Draft]]</f>
        <v>5549</v>
      </c>
      <c r="D11" s="94">
        <f ca="1">TblMili[[#This Row],[Military]]</f>
        <v>704</v>
      </c>
      <c r="E11" s="94">
        <f ca="1">TblMili[[#This Row],[Draftees]]</f>
        <v>704</v>
      </c>
      <c r="F11" s="94">
        <f ca="1">TblPop[[#This Row],[Peasants]]+TblPop[[#This Row],[Military]]</f>
        <v>6253</v>
      </c>
      <c r="G11" s="139">
        <f ca="1">TblPop[[#This Row],[Military]]/TblPop[[#This Row],[Total]]</f>
        <v>0.1125859587398049</v>
      </c>
      <c r="H11" s="140">
        <f ca="1">MIN(TblPop[[#This Row],[Peasants]],TblPop[[#This Row],[Jobs]])</f>
        <v>5549</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6000</v>
      </c>
      <c r="K11" s="141"/>
      <c r="L11" s="61">
        <f ca="1">TblPop[[#This Row],[Draftees]]</f>
        <v>704</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6253</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1" s="94">
        <f ca="1">MAX(-5%*TblPop[[#This Row],[Peasants]]-TblPop[[#This Row],[Draft Growth]],MIN(OFFSET(TblPop[[#This Row],[Net max]],1,0)-TblPop[[#This Row],[Peasants]]-TblPop[[#This Row],[Military]]-TblPop[[#This Row],[Draft Growth]],TblPop[[#This Row],[Modded Birth]]-TblPop[[#This Row],[Draft Growth]]))</f>
        <v>-55</v>
      </c>
      <c r="X11" s="94">
        <f ca="1">ROUND(TblPop[[#This Row],[Raw Birth]]*(1+TblPop[[#This Row],[Growth]]),0)</f>
        <v>298</v>
      </c>
      <c r="Y11" s="94">
        <f ca="1">(TblPop[[#This Row],[Peasants]]-TblPop[[#This Row],[Draft Growth]])*raw_pop_growth</f>
        <v>164.82</v>
      </c>
      <c r="Z11" s="94">
        <f ca="1">ROUND(IF(TblPop[[#This Row],[Military%]]&lt;TblMili[[#This Row],[Draftrate]],ROUND(TblPop[[#This Row],[Peasants]]*Constants!$B$55,0), 0) * IF(AND(TblMagic[[#This Row],[Active DnD]]&lt;=12,TblMagic[[#This Row],[Active DnD]]&gt;6),1.6,1),0)</f>
        <v>55</v>
      </c>
      <c r="AA11" s="142"/>
      <c r="AB11" s="143">
        <f ca="1">Overview!$I$17 + IF(Magic!AF11&gt;0,Constants!$F$78) + ROUND(6*(Construction!BM12+Construction!CK11)/IF(Explore!S12&gt;0,Construction!F12-20,Construction!F12),4) + tech_6_5_2*Techs!BJ11 + tech_8_4*Techs!BT11</f>
        <v>0.81079999999999997</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45815.333333333314</v>
      </c>
      <c r="C12" s="94">
        <f ca="1">OFFSET(TblPop[[#This Row],[Peasants]],-1,0)+OFFSET(TblPop[[#This Row],[Net Peasant]],-1,0)+TblMili[[#This Row],[Release Draft]]</f>
        <v>5494</v>
      </c>
      <c r="D12" s="94">
        <f ca="1">TblMili[[#This Row],[Military]]</f>
        <v>759</v>
      </c>
      <c r="E12" s="94">
        <f ca="1">TblMili[[#This Row],[Draftees]]</f>
        <v>759</v>
      </c>
      <c r="F12" s="94">
        <f ca="1">TblPop[[#This Row],[Peasants]]+TblPop[[#This Row],[Military]]</f>
        <v>6253</v>
      </c>
      <c r="G12" s="139">
        <f ca="1">TblPop[[#This Row],[Military]]/TblPop[[#This Row],[Total]]</f>
        <v>0.12138173676635215</v>
      </c>
      <c r="H12" s="140">
        <f ca="1">MIN(TblPop[[#This Row],[Peasants]],TblPop[[#This Row],[Jobs]])</f>
        <v>5494</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6000</v>
      </c>
      <c r="K12" s="141"/>
      <c r="L12" s="61">
        <f ca="1">TblPop[[#This Row],[Draftees]]</f>
        <v>759</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6253</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2" s="94">
        <f ca="1">MAX(-5%*TblPop[[#This Row],[Peasants]]-TblPop[[#This Row],[Draft Growth]],MIN(OFFSET(TblPop[[#This Row],[Net max]],1,0)-TblPop[[#This Row],[Peasants]]-TblPop[[#This Row],[Military]]-TblPop[[#This Row],[Draft Growth]],TblPop[[#This Row],[Modded Birth]]-TblPop[[#This Row],[Draft Growth]]))</f>
        <v>-55</v>
      </c>
      <c r="X12" s="94">
        <f ca="1">ROUND(TblPop[[#This Row],[Raw Birth]]*(1+TblPop[[#This Row],[Growth]]),0)</f>
        <v>295</v>
      </c>
      <c r="Y12" s="94">
        <f ca="1">(TblPop[[#This Row],[Peasants]]-TblPop[[#This Row],[Draft Growth]])*raw_pop_growth</f>
        <v>163.16999999999999</v>
      </c>
      <c r="Z12" s="94">
        <f ca="1">ROUND(IF(TblPop[[#This Row],[Military%]]&lt;TblMili[[#This Row],[Draftrate]],ROUND(TblPop[[#This Row],[Peasants]]*Constants!$B$55,0), 0) * IF(AND(TblMagic[[#This Row],[Active DnD]]&lt;=12,TblMagic[[#This Row],[Active DnD]]&gt;6),1.6,1),0)</f>
        <v>55</v>
      </c>
      <c r="AA12" s="142"/>
      <c r="AB12" s="143">
        <f ca="1">Overview!$I$17 + IF(Magic!AF12&gt;0,Constants!$F$78) + ROUND(6*(Construction!BM13+Construction!CK12)/IF(Explore!S13&gt;0,Construction!F13-20,Construction!F13),4) + tech_6_5_2*Techs!BJ12 + tech_8_4*Techs!BT12</f>
        <v>0.81079999999999997</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45815.374999999978</v>
      </c>
      <c r="C13" s="94">
        <f ca="1">OFFSET(TblPop[[#This Row],[Peasants]],-1,0)+OFFSET(TblPop[[#This Row],[Net Peasant]],-1,0)+TblMili[[#This Row],[Release Draft]]</f>
        <v>5439</v>
      </c>
      <c r="D13" s="94">
        <f ca="1">TblMili[[#This Row],[Military]]</f>
        <v>814</v>
      </c>
      <c r="E13" s="94">
        <f ca="1">TblMili[[#This Row],[Draftees]]</f>
        <v>814</v>
      </c>
      <c r="F13" s="94">
        <f ca="1">TblPop[[#This Row],[Peasants]]+TblPop[[#This Row],[Military]]</f>
        <v>6253</v>
      </c>
      <c r="G13" s="139">
        <f ca="1">TblPop[[#This Row],[Military]]/TblPop[[#This Row],[Total]]</f>
        <v>0.13017751479289941</v>
      </c>
      <c r="H13" s="140">
        <f ca="1">MIN(TblPop[[#This Row],[Peasants]],TblPop[[#This Row],[Jobs]])</f>
        <v>5439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6000</v>
      </c>
      <c r="K13" s="141"/>
      <c r="L13" s="61">
        <f ca="1">TblPop[[#This Row],[Draftees]]</f>
        <v>814</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6253</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3" s="94">
        <f ca="1">MAX(-5%*TblPop[[#This Row],[Peasants]]-TblPop[[#This Row],[Draft Growth]],MIN(OFFSET(TblPop[[#This Row],[Net max]],1,0)-TblPop[[#This Row],[Peasants]]-TblPop[[#This Row],[Military]]-TblPop[[#This Row],[Draft Growth]],TblPop[[#This Row],[Modded Birth]]-TblPop[[#This Row],[Draft Growth]]))</f>
        <v>-54</v>
      </c>
      <c r="X13" s="94">
        <f ca="1">ROUND(TblPop[[#This Row],[Raw Birth]]*(1+TblPop[[#This Row],[Growth]]),0)</f>
        <v>293</v>
      </c>
      <c r="Y13" s="94">
        <f ca="1">(TblPop[[#This Row],[Peasants]]-TblPop[[#This Row],[Draft Growth]])*raw_pop_growth</f>
        <v>161.54999999999998</v>
      </c>
      <c r="Z13" s="94">
        <f ca="1">ROUND(IF(TblPop[[#This Row],[Military%]]&lt;TblMili[[#This Row],[Draftrate]],ROUND(TblPop[[#This Row],[Peasants]]*Constants!$B$55,0), 0) * IF(AND(TblMagic[[#This Row],[Active DnD]]&lt;=12,TblMagic[[#This Row],[Active DnD]]&gt;6),1.6,1),0)</f>
        <v>54</v>
      </c>
      <c r="AA13" s="142"/>
      <c r="AB13" s="143">
        <f ca="1">Overview!$I$17 + IF(Magic!AF13&gt;0,Constants!$F$78) + ROUND(6*(Construction!BM14+Construction!CK13)/IF(Explore!S14&gt;0,Construction!F14-20,Construction!F14),4) + tech_6_5_2*Techs!BJ13 + tech_8_4*Techs!BT13</f>
        <v>0.81079999999999997</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45815.416666666642</v>
      </c>
      <c r="C14" s="94">
        <f ca="1">OFFSET(TblPop[[#This Row],[Peasants]],-1,0)+OFFSET(TblPop[[#This Row],[Net Peasant]],-1,0)+TblMili[[#This Row],[Release Draft]]</f>
        <v>5385</v>
      </c>
      <c r="D14" s="94">
        <f ca="1">TblMili[[#This Row],[Military]]</f>
        <v>868</v>
      </c>
      <c r="E14" s="94">
        <f ca="1">TblMili[[#This Row],[Draftees]]</f>
        <v>868</v>
      </c>
      <c r="F14" s="94">
        <f ca="1">TblPop[[#This Row],[Peasants]]+TblPop[[#This Row],[Military]]</f>
        <v>6253</v>
      </c>
      <c r="G14" s="139">
        <f ca="1">TblPop[[#This Row],[Military]]/TblPop[[#This Row],[Total]]</f>
        <v>0.13881336958260035</v>
      </c>
      <c r="H14" s="140">
        <f ca="1">MIN(TblPop[[#This Row],[Peasants]],TblPop[[#This Row],[Jobs]])</f>
        <v>5385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6000</v>
      </c>
      <c r="K14" s="141"/>
      <c r="L14" s="61">
        <f ca="1">TblPop[[#This Row],[Draftees]]</f>
        <v>868</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6253</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4" s="94">
        <f ca="1">MAX(-5%*TblPop[[#This Row],[Peasants]]-TblPop[[#This Row],[Draft Growth]],MIN(OFFSET(TblPop[[#This Row],[Net max]],1,0)-TblPop[[#This Row],[Peasants]]-TblPop[[#This Row],[Military]]-TblPop[[#This Row],[Draft Growth]],TblPop[[#This Row],[Modded Birth]]-TblPop[[#This Row],[Draft Growth]]))</f>
        <v>-54</v>
      </c>
      <c r="X14" s="94">
        <f ca="1">ROUND(TblPop[[#This Row],[Raw Birth]]*(1+TblPop[[#This Row],[Growth]]),0)</f>
        <v>290</v>
      </c>
      <c r="Y14" s="94">
        <f ca="1">(TblPop[[#This Row],[Peasants]]-TblPop[[#This Row],[Draft Growth]])*raw_pop_growth</f>
        <v>159.93</v>
      </c>
      <c r="Z14" s="94">
        <f ca="1">ROUND(IF(TblPop[[#This Row],[Military%]]&lt;TblMili[[#This Row],[Draftrate]],ROUND(TblPop[[#This Row],[Peasants]]*Constants!$B$55,0), 0) * IF(AND(TblMagic[[#This Row],[Active DnD]]&lt;=12,TblMagic[[#This Row],[Active DnD]]&gt;6),1.6,1),0)</f>
        <v>54</v>
      </c>
      <c r="AA14" s="142"/>
      <c r="AB14" s="143">
        <f ca="1">Overview!$I$17 + IF(Magic!AF14&gt;0,Constants!$F$78) + ROUND(6*(Construction!BM15+Construction!CK14)/IF(Explore!S15&gt;0,Construction!F15-20,Construction!F15),4) + tech_6_5_2*Techs!BJ14 + tech_8_4*Techs!BT14</f>
        <v>0.81079999999999997</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45815.458333333307</v>
      </c>
      <c r="C15" s="94">
        <f ca="1">OFFSET(TblPop[[#This Row],[Peasants]],-1,0)+OFFSET(TblPop[[#This Row],[Net Peasant]],-1,0)+TblMili[[#This Row],[Release Draft]]</f>
        <v>5331</v>
      </c>
      <c r="D15" s="94">
        <f ca="1">TblMili[[#This Row],[Military]]</f>
        <v>922</v>
      </c>
      <c r="E15" s="94">
        <f ca="1">TblMili[[#This Row],[Draftees]]</f>
        <v>922</v>
      </c>
      <c r="F15" s="94">
        <f ca="1">TblPop[[#This Row],[Peasants]]+TblPop[[#This Row],[Military]]</f>
        <v>6253</v>
      </c>
      <c r="G15" s="139">
        <f ca="1">TblPop[[#This Row],[Military]]/TblPop[[#This Row],[Total]]</f>
        <v>0.14744922437230129</v>
      </c>
      <c r="H15" s="140">
        <f ca="1">MIN(TblPop[[#This Row],[Peasants]],TblPop[[#This Row],[Jobs]])</f>
        <v>5331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6000</v>
      </c>
      <c r="K15" s="141"/>
      <c r="L15" s="61">
        <f ca="1">TblPop[[#This Row],[Draftees]]</f>
        <v>922</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6253</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5" s="94">
        <f ca="1">MAX(-5%*TblPop[[#This Row],[Peasants]]-TblPop[[#This Row],[Draft Growth]],MIN(OFFSET(TblPop[[#This Row],[Net max]],1,0)-TblPop[[#This Row],[Peasants]]-TblPop[[#This Row],[Military]]-TblPop[[#This Row],[Draft Growth]],TblPop[[#This Row],[Modded Birth]]-TblPop[[#This Row],[Draft Growth]]))</f>
        <v>-53</v>
      </c>
      <c r="X15" s="94">
        <f ca="1">ROUND(TblPop[[#This Row],[Raw Birth]]*(1+TblPop[[#This Row],[Growth]]),0)</f>
        <v>287</v>
      </c>
      <c r="Y15" s="94">
        <f ca="1">(TblPop[[#This Row],[Peasants]]-TblPop[[#This Row],[Draft Growth]])*raw_pop_growth</f>
        <v>158.34</v>
      </c>
      <c r="Z15" s="94">
        <f ca="1">ROUND(IF(TblPop[[#This Row],[Military%]]&lt;TblMili[[#This Row],[Draftrate]],ROUND(TblPop[[#This Row],[Peasants]]*Constants!$B$55,0), 0) * IF(AND(TblMagic[[#This Row],[Active DnD]]&lt;=12,TblMagic[[#This Row],[Active DnD]]&gt;6),1.6,1),0)</f>
        <v>53</v>
      </c>
      <c r="AA15" s="142"/>
      <c r="AB15" s="143">
        <f ca="1">Overview!$I$17 + IF(Magic!AF15&gt;0,Constants!$F$78) + ROUND(6*(Construction!BM16+Construction!CK15)/IF(Explore!S16&gt;0,Construction!F16-20,Construction!F16),4) + tech_6_5_2*Techs!BJ15 + tech_8_4*Techs!BT15</f>
        <v>0.81079999999999997</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45815.499999999971</v>
      </c>
      <c r="C16" s="94">
        <f ca="1">OFFSET(TblPop[[#This Row],[Peasants]],-1,0)+OFFSET(TblPop[[#This Row],[Net Peasant]],-1,0)+TblMili[[#This Row],[Release Draft]]</f>
        <v>5278</v>
      </c>
      <c r="D16" s="94">
        <f ca="1">TblMili[[#This Row],[Military]]</f>
        <v>975</v>
      </c>
      <c r="E16" s="94">
        <f ca="1">TblMili[[#This Row],[Draftees]]</f>
        <v>975</v>
      </c>
      <c r="F16" s="94">
        <f ca="1">TblPop[[#This Row],[Peasants]]+TblPop[[#This Row],[Military]]</f>
        <v>6253</v>
      </c>
      <c r="G16" s="139">
        <f ca="1">TblPop[[#This Row],[Military]]/TblPop[[#This Row],[Total]]</f>
        <v>0.15592515592515593</v>
      </c>
      <c r="H16" s="140">
        <f ca="1">MIN(TblPop[[#This Row],[Peasants]],TblPop[[#This Row],[Jobs]])</f>
        <v>5278</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6000</v>
      </c>
      <c r="K16" s="141"/>
      <c r="L16" s="61">
        <f ca="1">TblPop[[#This Row],[Draftees]]</f>
        <v>975</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6253</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6" s="94">
        <f ca="1">MAX(-5%*TblPop[[#This Row],[Peasants]]-TblPop[[#This Row],[Draft Growth]],MIN(OFFSET(TblPop[[#This Row],[Net max]],1,0)-TblPop[[#This Row],[Peasants]]-TblPop[[#This Row],[Military]]-TblPop[[#This Row],[Draft Growth]],TblPop[[#This Row],[Modded Birth]]-TblPop[[#This Row],[Draft Growth]]))</f>
        <v>-53</v>
      </c>
      <c r="X16" s="94">
        <f ca="1">ROUND(TblPop[[#This Row],[Raw Birth]]*(1+TblPop[[#This Row],[Growth]]),0)</f>
        <v>284</v>
      </c>
      <c r="Y16" s="94">
        <f ca="1">(TblPop[[#This Row],[Peasants]]-TblPop[[#This Row],[Draft Growth]])*raw_pop_growth</f>
        <v>156.75</v>
      </c>
      <c r="Z16" s="94">
        <f ca="1">ROUND(IF(TblPop[[#This Row],[Military%]]&lt;TblMili[[#This Row],[Draftrate]],ROUND(TblPop[[#This Row],[Peasants]]*Constants!$B$55,0), 0) * IF(AND(TblMagic[[#This Row],[Active DnD]]&lt;=12,TblMagic[[#This Row],[Active DnD]]&gt;6),1.6,1),0)</f>
        <v>53</v>
      </c>
      <c r="AA16" s="142"/>
      <c r="AB16" s="143">
        <f ca="1">Overview!$I$17 + IF(Magic!AF16&gt;0,Constants!$F$78) + ROUND(6*(Construction!BM17+Construction!CK16)/IF(Explore!S17&gt;0,Construction!F17-20,Construction!F17),4) + tech_6_5_2*Techs!BJ16 + tech_8_4*Techs!BT16</f>
        <v>0.81079999999999997</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45815.541666666635</v>
      </c>
      <c r="C17" s="94">
        <f ca="1">OFFSET(TblPop[[#This Row],[Peasants]],-1,0)+OFFSET(TblPop[[#This Row],[Net Peasant]],-1,0)+TblMili[[#This Row],[Release Draft]]</f>
        <v>5225</v>
      </c>
      <c r="D17" s="94">
        <f ca="1">TblMili[[#This Row],[Military]]</f>
        <v>1028</v>
      </c>
      <c r="E17" s="94">
        <f ca="1">TblMili[[#This Row],[Draftees]]</f>
        <v>1028</v>
      </c>
      <c r="F17" s="94">
        <f ca="1">TblPop[[#This Row],[Peasants]]+TblPop[[#This Row],[Military]]</f>
        <v>6253</v>
      </c>
      <c r="G17" s="139">
        <f ca="1">TblPop[[#This Row],[Military]]/TblPop[[#This Row],[Total]]</f>
        <v>0.16440108747801055</v>
      </c>
      <c r="H17" s="140">
        <f ca="1">MIN(TblPop[[#This Row],[Peasants]],TblPop[[#This Row],[Jobs]])</f>
        <v>5225</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6000</v>
      </c>
      <c r="K17" s="141"/>
      <c r="L17" s="61">
        <f ca="1">TblPop[[#This Row],[Draftees]]</f>
        <v>1028</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6253</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7" s="94">
        <f ca="1">MAX(-5%*TblPop[[#This Row],[Peasants]]-TblPop[[#This Row],[Draft Growth]],MIN(OFFSET(TblPop[[#This Row],[Net max]],1,0)-TblPop[[#This Row],[Peasants]]-TblPop[[#This Row],[Military]]-TblPop[[#This Row],[Draft Growth]],TblPop[[#This Row],[Modded Birth]]-TblPop[[#This Row],[Draft Growth]]))</f>
        <v>-52</v>
      </c>
      <c r="X17" s="94">
        <f ca="1">ROUND(TblPop[[#This Row],[Raw Birth]]*(1+TblPop[[#This Row],[Growth]]),0)</f>
        <v>281</v>
      </c>
      <c r="Y17" s="94">
        <f ca="1">(TblPop[[#This Row],[Peasants]]-TblPop[[#This Row],[Draft Growth]])*raw_pop_growth</f>
        <v>155.19</v>
      </c>
      <c r="Z17" s="94">
        <f ca="1">ROUND(IF(TblPop[[#This Row],[Military%]]&lt;TblMili[[#This Row],[Draftrate]],ROUND(TblPop[[#This Row],[Peasants]]*Constants!$B$55,0), 0) * IF(AND(TblMagic[[#This Row],[Active DnD]]&lt;=12,TblMagic[[#This Row],[Active DnD]]&gt;6),1.6,1),0)</f>
        <v>52</v>
      </c>
      <c r="AA17" s="142"/>
      <c r="AB17" s="143">
        <f ca="1">Overview!$I$17 + IF(Magic!AF17&gt;0,Constants!$F$78) + ROUND(6*(Construction!BM18+Construction!CK17)/IF(Explore!S18&gt;0,Construction!F18-20,Construction!F18),4) + tech_6_5_2*Techs!BJ17 + tech_8_4*Techs!BT17</f>
        <v>0.81079999999999997</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45815.583333333299</v>
      </c>
      <c r="C18" s="94">
        <f ca="1">OFFSET(TblPop[[#This Row],[Peasants]],-1,0)+OFFSET(TblPop[[#This Row],[Net Peasant]],-1,0)+TblMili[[#This Row],[Release Draft]]</f>
        <v>5173</v>
      </c>
      <c r="D18" s="94">
        <f ca="1">TblMili[[#This Row],[Military]]</f>
        <v>1080</v>
      </c>
      <c r="E18" s="94">
        <f ca="1">TblMili[[#This Row],[Draftees]]</f>
        <v>1080</v>
      </c>
      <c r="F18" s="94">
        <f ca="1">TblPop[[#This Row],[Peasants]]+TblPop[[#This Row],[Military]]</f>
        <v>6253</v>
      </c>
      <c r="G18" s="139">
        <f ca="1">TblPop[[#This Row],[Military]]/TblPop[[#This Row],[Total]]</f>
        <v>0.17271709579401887</v>
      </c>
      <c r="H18" s="140">
        <f ca="1">MIN(TblPop[[#This Row],[Peasants]],TblPop[[#This Row],[Jobs]])</f>
        <v>5173</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6000</v>
      </c>
      <c r="K18" s="141"/>
      <c r="L18" s="61">
        <f ca="1">TblPop[[#This Row],[Draftees]]</f>
        <v>1080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6253</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8" s="94">
        <f ca="1">MAX(-5%*TblPop[[#This Row],[Peasants]]-TblPop[[#This Row],[Draft Growth]],MIN(OFFSET(TblPop[[#This Row],[Net max]],1,0)-TblPop[[#This Row],[Peasants]]-TblPop[[#This Row],[Military]]-TblPop[[#This Row],[Draft Growth]],TblPop[[#This Row],[Modded Birth]]-TblPop[[#This Row],[Draft Growth]]))</f>
        <v>-52</v>
      </c>
      <c r="X18" s="94">
        <f ca="1">ROUND(TblPop[[#This Row],[Raw Birth]]*(1+TblPop[[#This Row],[Growth]]),0)</f>
        <v>278</v>
      </c>
      <c r="Y18" s="94">
        <f ca="1">(TblPop[[#This Row],[Peasants]]-TblPop[[#This Row],[Draft Growth]])*raw_pop_growth</f>
        <v>153.63</v>
      </c>
      <c r="Z18" s="94">
        <f ca="1">ROUND(IF(TblPop[[#This Row],[Military%]]&lt;TblMili[[#This Row],[Draftrate]],ROUND(TblPop[[#This Row],[Peasants]]*Constants!$B$55,0), 0) * IF(AND(TblMagic[[#This Row],[Active DnD]]&lt;=12,TblMagic[[#This Row],[Active DnD]]&gt;6),1.6,1),0)</f>
        <v>52</v>
      </c>
      <c r="AA18" s="142"/>
      <c r="AB18" s="143">
        <f ca="1">Overview!$I$17 + IF(Magic!AF18&gt;0,Constants!$F$78) + ROUND(6*(Construction!BM19+Construction!CK18)/IF(Explore!S19&gt;0,Construction!F19-20,Construction!F19),4) + tech_6_5_2*Techs!BJ18 + tech_8_4*Techs!BT18</f>
        <v>0.81079999999999997</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45815.624999999964</v>
      </c>
      <c r="C19" s="94">
        <f ca="1">OFFSET(TblPop[[#This Row],[Peasants]],-1,0)+OFFSET(TblPop[[#This Row],[Net Peasant]],-1,0)+TblMili[[#This Row],[Release Draft]]</f>
        <v>5121</v>
      </c>
      <c r="D19" s="94">
        <f ca="1">TblMili[[#This Row],[Military]]</f>
        <v>1132</v>
      </c>
      <c r="E19" s="94">
        <f ca="1">TblMili[[#This Row],[Draftees]]</f>
        <v>1132</v>
      </c>
      <c r="F19" s="94">
        <f ca="1">TblPop[[#This Row],[Peasants]]+TblPop[[#This Row],[Military]]</f>
        <v>6253</v>
      </c>
      <c r="G19" s="139">
        <f ca="1">TblPop[[#This Row],[Military]]/TblPop[[#This Row],[Total]]</f>
        <v>0.18103310411002718</v>
      </c>
      <c r="H19" s="140">
        <f ca="1">MIN(TblPop[[#This Row],[Peasants]],TblPop[[#This Row],[Jobs]])</f>
        <v>5121</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6000</v>
      </c>
      <c r="K19" s="141"/>
      <c r="L19" s="61">
        <f ca="1">TblPop[[#This Row],[Draftees]]</f>
        <v>1132</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6253</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9" s="94">
        <f ca="1">MAX(-5%*TblPop[[#This Row],[Peasants]]-TblPop[[#This Row],[Draft Growth]],MIN(OFFSET(TblPop[[#This Row],[Net max]],1,0)-TblPop[[#This Row],[Peasants]]-TblPop[[#This Row],[Military]]-TblPop[[#This Row],[Draft Growth]],TblPop[[#This Row],[Modded Birth]]-TblPop[[#This Row],[Draft Growth]]))</f>
        <v>-51</v>
      </c>
      <c r="X19" s="94">
        <f ca="1">ROUND(TblPop[[#This Row],[Raw Birth]]*(1+TblPop[[#This Row],[Growth]]),0)</f>
        <v>275</v>
      </c>
      <c r="Y19" s="94">
        <f ca="1">(TblPop[[#This Row],[Peasants]]-TblPop[[#This Row],[Draft Growth]])*raw_pop_growth</f>
        <v>152.1</v>
      </c>
      <c r="Z19" s="94">
        <f ca="1">ROUND(IF(TblPop[[#This Row],[Military%]]&lt;TblMili[[#This Row],[Draftrate]],ROUND(TblPop[[#This Row],[Peasants]]*Constants!$B$55,0), 0) * IF(AND(TblMagic[[#This Row],[Active DnD]]&lt;=12,TblMagic[[#This Row],[Active DnD]]&gt;6),1.6,1),0)</f>
        <v>51</v>
      </c>
      <c r="AA19" s="142"/>
      <c r="AB19" s="143">
        <f ca="1">Overview!$I$17 + IF(Magic!AF19&gt;0,Constants!$F$78) + ROUND(6*(Construction!BM20+Construction!CK19)/IF(Explore!S20&gt;0,Construction!F20-20,Construction!F20),4) + tech_6_5_2*Techs!BJ19 + tech_8_4*Techs!BT19</f>
        <v>0.81079999999999997</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45815.666666666628</v>
      </c>
      <c r="C20" s="94">
        <f ca="1">OFFSET(TblPop[[#This Row],[Peasants]],-1,0)+OFFSET(TblPop[[#This Row],[Net Peasant]],-1,0)+TblMili[[#This Row],[Release Draft]]</f>
        <v>5070</v>
      </c>
      <c r="D20" s="94">
        <f ca="1">TblMili[[#This Row],[Military]]</f>
        <v>1183</v>
      </c>
      <c r="E20" s="94">
        <f ca="1">TblMili[[#This Row],[Draftees]]</f>
        <v>1183</v>
      </c>
      <c r="F20" s="94">
        <f ca="1">TblPop[[#This Row],[Peasants]]+TblPop[[#This Row],[Military]]</f>
        <v>6253</v>
      </c>
      <c r="G20" s="139">
        <f ca="1">TblPop[[#This Row],[Military]]/TblPop[[#This Row],[Total]]</f>
        <v>0.1891891891891892</v>
      </c>
      <c r="H20" s="140">
        <f ca="1">MIN(TblPop[[#This Row],[Peasants]],TblPop[[#This Row],[Jobs]])</f>
        <v>5070</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6000</v>
      </c>
      <c r="K20" s="141"/>
      <c r="L20" s="61">
        <f ca="1">TblPop[[#This Row],[Draftees]]</f>
        <v>1183</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6253</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20" s="94">
        <f ca="1">MAX(-5%*TblPop[[#This Row],[Peasants]]-TblPop[[#This Row],[Draft Growth]],MIN(OFFSET(TblPop[[#This Row],[Net max]],1,0)-TblPop[[#This Row],[Peasants]]-TblPop[[#This Row],[Military]]-TblPop[[#This Row],[Draft Growth]],TblPop[[#This Row],[Modded Birth]]-TblPop[[#This Row],[Draft Growth]]))</f>
        <v>-51</v>
      </c>
      <c r="X20" s="94">
        <f ca="1">ROUND(TblPop[[#This Row],[Raw Birth]]*(1+TblPop[[#This Row],[Growth]]),0)</f>
        <v>273</v>
      </c>
      <c r="Y20" s="94">
        <f ca="1">(TblPop[[#This Row],[Peasants]]-TblPop[[#This Row],[Draft Growth]])*raw_pop_growth</f>
        <v>150.57</v>
      </c>
      <c r="Z20" s="94">
        <f ca="1">ROUND(IF(TblPop[[#This Row],[Military%]]&lt;TblMili[[#This Row],[Draftrate]],ROUND(TblPop[[#This Row],[Peasants]]*Constants!$B$55,0), 0) * IF(AND(TblMagic[[#This Row],[Active DnD]]&lt;=12,TblMagic[[#This Row],[Active DnD]]&gt;6),1.6,1),0)</f>
        <v>51</v>
      </c>
      <c r="AA20" s="142"/>
      <c r="AB20" s="143">
        <f ca="1">Overview!$I$17 + IF(Magic!AF20&gt;0,Constants!$F$78) + ROUND(6*(Construction!BM21+Construction!CK20)/IF(Explore!S21&gt;0,Construction!F21-20,Construction!F21),4) + tech_6_5_2*Techs!BJ20 + tech_8_4*Techs!BT20</f>
        <v>0.81079999999999997</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45815.708333333292</v>
      </c>
      <c r="C21" s="94">
        <f ca="1">OFFSET(TblPop[[#This Row],[Peasants]],-1,0)+OFFSET(TblPop[[#This Row],[Net Peasant]],-1,0)+TblMili[[#This Row],[Release Draft]]</f>
        <v>5019</v>
      </c>
      <c r="D21" s="94">
        <f ca="1">TblMili[[#This Row],[Military]]</f>
        <v>1234</v>
      </c>
      <c r="E21" s="94">
        <f ca="1">TblMili[[#This Row],[Draftees]]</f>
        <v>1234</v>
      </c>
      <c r="F21" s="94">
        <f ca="1">TblPop[[#This Row],[Peasants]]+TblPop[[#This Row],[Military]]</f>
        <v>6253</v>
      </c>
      <c r="G21" s="139">
        <f ca="1">TblPop[[#This Row],[Military]]/TblPop[[#This Row],[Total]]</f>
        <v>0.19734527426835119</v>
      </c>
      <c r="H21" s="140">
        <f ca="1">MIN(TblPop[[#This Row],[Peasants]],TblPop[[#This Row],[Jobs]])</f>
        <v>5019</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6000</v>
      </c>
      <c r="K21" s="141"/>
      <c r="L21" s="61">
        <f ca="1">TblPop[[#This Row],[Draftees]]</f>
        <v>1234</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6253</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21" s="94">
        <f ca="1">MAX(-5%*TblPop[[#This Row],[Peasants]]-TblPop[[#This Row],[Draft Growth]],MIN(OFFSET(TblPop[[#This Row],[Net max]],1,0)-TblPop[[#This Row],[Peasants]]-TblPop[[#This Row],[Military]]-TblPop[[#This Row],[Draft Growth]],TblPop[[#This Row],[Modded Birth]]-TblPop[[#This Row],[Draft Growth]]))</f>
        <v>-50</v>
      </c>
      <c r="X21" s="94">
        <f ca="1">ROUND(TblPop[[#This Row],[Raw Birth]]*(1+TblPop[[#This Row],[Growth]]),0)</f>
        <v>270</v>
      </c>
      <c r="Y21" s="94">
        <f ca="1">(TblPop[[#This Row],[Peasants]]-TblPop[[#This Row],[Draft Growth]])*raw_pop_growth</f>
        <v>149.07</v>
      </c>
      <c r="Z21" s="94">
        <f ca="1">ROUND(IF(TblPop[[#This Row],[Military%]]&lt;TblMili[[#This Row],[Draftrate]],ROUND(TblPop[[#This Row],[Peasants]]*Constants!$B$55,0), 0) * IF(AND(TblMagic[[#This Row],[Active DnD]]&lt;=12,TblMagic[[#This Row],[Active DnD]]&gt;6),1.6,1),0)</f>
        <v>50</v>
      </c>
      <c r="AA21" s="142"/>
      <c r="AB21" s="143">
        <f ca="1">Overview!$I$17 + IF(Magic!AF21&gt;0,Constants!$F$78) + ROUND(6*(Construction!BM22+Construction!CK21)/IF(Explore!S22&gt;0,Construction!F22-20,Construction!F22),4) + tech_6_5_2*Techs!BJ21 + tech_8_4*Techs!BT21</f>
        <v>0.81079999999999997</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45815.749999999956</v>
      </c>
      <c r="C22" s="94">
        <f ca="1">OFFSET(TblPop[[#This Row],[Peasants]],-1,0)+OFFSET(TblPop[[#This Row],[Net Peasant]],-1,0)+TblMili[[#This Row],[Release Draft]]</f>
        <v>4969</v>
      </c>
      <c r="D22" s="94">
        <f ca="1">TblMili[[#This Row],[Military]]</f>
        <v>1284</v>
      </c>
      <c r="E22" s="94">
        <f ca="1">TblMili[[#This Row],[Draftees]]</f>
        <v>1284</v>
      </c>
      <c r="F22" s="94">
        <f ca="1">TblPop[[#This Row],[Peasants]]+TblPop[[#This Row],[Military]]</f>
        <v>6253</v>
      </c>
      <c r="G22" s="139">
        <f ca="1">TblPop[[#This Row],[Military]]/TblPop[[#This Row],[Total]]</f>
        <v>0.20534143611066688</v>
      </c>
      <c r="H22" s="140">
        <f ca="1">MIN(TblPop[[#This Row],[Peasants]],TblPop[[#This Row],[Jobs]])</f>
        <v>4969</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6000</v>
      </c>
      <c r="K22" s="141"/>
      <c r="L22" s="61">
        <f ca="1">TblPop[[#This Row],[Draftees]]</f>
        <v>1284</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6253</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22" s="94">
        <f ca="1">MAX(-5%*TblPop[[#This Row],[Peasants]]-TblPop[[#This Row],[Draft Growth]],MIN(OFFSET(TblPop[[#This Row],[Net max]],1,0)-TblPop[[#This Row],[Peasants]]-TblPop[[#This Row],[Military]]-TblPop[[#This Row],[Draft Growth]],TblPop[[#This Row],[Modded Birth]]-TblPop[[#This Row],[Draft Growth]]))</f>
        <v>-50</v>
      </c>
      <c r="X22" s="94">
        <f ca="1">ROUND(TblPop[[#This Row],[Raw Birth]]*(1+TblPop[[#This Row],[Growth]]),0)</f>
        <v>267</v>
      </c>
      <c r="Y22" s="94">
        <f ca="1">(TblPop[[#This Row],[Peasants]]-TblPop[[#This Row],[Draft Growth]])*raw_pop_growth</f>
        <v>147.57</v>
      </c>
      <c r="Z22" s="94">
        <f ca="1">ROUND(IF(TblPop[[#This Row],[Military%]]&lt;TblMili[[#This Row],[Draftrate]],ROUND(TblPop[[#This Row],[Peasants]]*Constants!$B$55,0), 0) * IF(AND(TblMagic[[#This Row],[Active DnD]]&lt;=12,TblMagic[[#This Row],[Active DnD]]&gt;6),1.6,1),0)</f>
        <v>50</v>
      </c>
      <c r="AA22" s="142"/>
      <c r="AB22" s="143">
        <f ca="1">Overview!$I$17 + IF(Magic!AF22&gt;0,Constants!$F$78) + ROUND(6*(Construction!BM23+Construction!CK22)/IF(Explore!S23&gt;0,Construction!F23-20,Construction!F23),4) + tech_6_5_2*Techs!BJ22 + tech_8_4*Techs!BT22</f>
        <v>0.81079999999999997</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45815.791666666621</v>
      </c>
      <c r="C23" s="94">
        <f ca="1">OFFSET(TblPop[[#This Row],[Peasants]],-1,0)+OFFSET(TblPop[[#This Row],[Net Peasant]],-1,0)+TblMili[[#This Row],[Release Draft]]</f>
        <v>4919</v>
      </c>
      <c r="D23" s="94">
        <f ca="1">TblMili[[#This Row],[Military]]</f>
        <v>1334</v>
      </c>
      <c r="E23" s="94">
        <f ca="1">TblMili[[#This Row],[Draftees]]</f>
        <v>1334</v>
      </c>
      <c r="F23" s="94">
        <f ca="1">TblPop[[#This Row],[Peasants]]+TblPop[[#This Row],[Military]]</f>
        <v>6253</v>
      </c>
      <c r="G23" s="139">
        <f ca="1">TblPop[[#This Row],[Military]]/TblPop[[#This Row],[Total]]</f>
        <v>0.21333759795298257</v>
      </c>
      <c r="H23" s="140">
        <f ca="1">MIN(TblPop[[#This Row],[Peasants]],TblPop[[#This Row],[Jobs]])</f>
        <v>4919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6000</v>
      </c>
      <c r="K23" s="141"/>
      <c r="L23" s="61">
        <f ca="1">TblPop[[#This Row],[Draftees]]</f>
        <v>1334</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6253</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23" s="94">
        <f ca="1">MAX(-5%*TblPop[[#This Row],[Peasants]]-TblPop[[#This Row],[Draft Growth]],MIN(OFFSET(TblPop[[#This Row],[Net max]],1,0)-TblPop[[#This Row],[Peasants]]-TblPop[[#This Row],[Military]]-TblPop[[#This Row],[Draft Growth]],TblPop[[#This Row],[Modded Birth]]-TblPop[[#This Row],[Draft Growth]]))</f>
        <v>-49</v>
      </c>
      <c r="X23" s="94">
        <f ca="1">ROUND(TblPop[[#This Row],[Raw Birth]]*(1+TblPop[[#This Row],[Growth]]),0)</f>
        <v>265</v>
      </c>
      <c r="Y23" s="94">
        <f ca="1">(TblPop[[#This Row],[Peasants]]-TblPop[[#This Row],[Draft Growth]])*raw_pop_growth</f>
        <v>146.1</v>
      </c>
      <c r="Z23" s="94">
        <f ca="1">ROUND(IF(TblPop[[#This Row],[Military%]]&lt;TblMili[[#This Row],[Draftrate]],ROUND(TblPop[[#This Row],[Peasants]]*Constants!$B$55,0), 0) * IF(AND(TblMagic[[#This Row],[Active DnD]]&lt;=12,TblMagic[[#This Row],[Active DnD]]&gt;6),1.6,1),0)</f>
        <v>49</v>
      </c>
      <c r="AA23" s="142"/>
      <c r="AB23" s="143">
        <f ca="1">Overview!$I$17 + IF(Magic!AF23&gt;0,Constants!$F$78) + ROUND(6*(Construction!BM24+Construction!CK23)/IF(Explore!S24&gt;0,Construction!F24-20,Construction!F24),4) + tech_6_5_2*Techs!BJ23 + tech_8_4*Techs!BT23</f>
        <v>0.81079999999999997</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45815.833333333285</v>
      </c>
      <c r="C24" s="94">
        <f ca="1">OFFSET(TblPop[[#This Row],[Peasants]],-1,0)+OFFSET(TblPop[[#This Row],[Net Peasant]],-1,0)+TblMili[[#This Row],[Release Draft]]</f>
        <v>4870</v>
      </c>
      <c r="D24" s="94">
        <f ca="1">TblMili[[#This Row],[Military]]</f>
        <v>1383</v>
      </c>
      <c r="E24" s="94">
        <f ca="1">TblMili[[#This Row],[Draftees]]</f>
        <v>1383</v>
      </c>
      <c r="F24" s="94">
        <f ca="1">TblPop[[#This Row],[Peasants]]+TblPop[[#This Row],[Military]]</f>
        <v>6253</v>
      </c>
      <c r="G24" s="139">
        <f ca="1">TblPop[[#This Row],[Military]]/TblPop[[#This Row],[Total]]</f>
        <v>0.22117383655845194</v>
      </c>
      <c r="H24" s="140">
        <f ca="1">MIN(TblPop[[#This Row],[Peasants]],TblPop[[#This Row],[Jobs]])</f>
        <v>4870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6000</v>
      </c>
      <c r="K24" s="141"/>
      <c r="L24" s="61">
        <f ca="1">TblPop[[#This Row],[Draftees]]</f>
        <v>1383</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6253</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24" s="94">
        <f ca="1">MAX(-5%*TblPop[[#This Row],[Peasants]]-TblPop[[#This Row],[Draft Growth]],MIN(OFFSET(TblPop[[#This Row],[Net max]],1,0)-TblPop[[#This Row],[Peasants]]-TblPop[[#This Row],[Military]]-TblPop[[#This Row],[Draft Growth]],TblPop[[#This Row],[Modded Birth]]-TblPop[[#This Row],[Draft Growth]]))</f>
        <v>-49</v>
      </c>
      <c r="X24" s="94">
        <f ca="1">ROUND(TblPop[[#This Row],[Raw Birth]]*(1+TblPop[[#This Row],[Growth]]),0)</f>
        <v>262</v>
      </c>
      <c r="Y24" s="94">
        <f ca="1">(TblPop[[#This Row],[Peasants]]-TblPop[[#This Row],[Draft Growth]])*raw_pop_growth</f>
        <v>144.63</v>
      </c>
      <c r="Z24" s="94">
        <f ca="1">ROUND(IF(TblPop[[#This Row],[Military%]]&lt;TblMili[[#This Row],[Draftrate]],ROUND(TblPop[[#This Row],[Peasants]]*Constants!$B$55,0), 0) * IF(AND(TblMagic[[#This Row],[Active DnD]]&lt;=12,TblMagic[[#This Row],[Active DnD]]&gt;6),1.6,1),0)</f>
        <v>49</v>
      </c>
      <c r="AA24" s="142"/>
      <c r="AB24" s="143">
        <f ca="1">Overview!$I$17 + IF(Magic!AF24&gt;0,Constants!$F$78) + ROUND(6*(Construction!BM25+Construction!CK24)/IF(Explore!S25&gt;0,Construction!F25-20,Construction!F25),4) + tech_6_5_2*Techs!BJ24 + tech_8_4*Techs!BT24</f>
        <v>0.81079999999999997</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45815.874999999949</v>
      </c>
      <c r="C25" s="94">
        <f ca="1">OFFSET(TblPop[[#This Row],[Peasants]],-1,0)+OFFSET(TblPop[[#This Row],[Net Peasant]],-1,0)+TblMili[[#This Row],[Release Draft]]</f>
        <v>4821</v>
      </c>
      <c r="D25" s="94">
        <f ca="1">TblMili[[#This Row],[Military]]</f>
        <v>1432</v>
      </c>
      <c r="E25" s="94">
        <f ca="1">TblMili[[#This Row],[Draftees]]</f>
        <v>1432</v>
      </c>
      <c r="F25" s="94">
        <f ca="1">TblPop[[#This Row],[Peasants]]+TblPop[[#This Row],[Military]]</f>
        <v>6253</v>
      </c>
      <c r="G25" s="139">
        <f ca="1">TblPop[[#This Row],[Military]]/TblPop[[#This Row],[Total]]</f>
        <v>0.22901007516392133</v>
      </c>
      <c r="H25" s="140">
        <f ca="1">MIN(TblPop[[#This Row],[Peasants]],TblPop[[#This Row],[Jobs]])</f>
        <v>4821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6000</v>
      </c>
      <c r="K25" s="141"/>
      <c r="L25" s="61">
        <f ca="1">TblPop[[#This Row],[Draftees]]</f>
        <v>1432</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6253</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25" s="94">
        <f ca="1">MAX(-5%*TblPop[[#This Row],[Peasants]]-TblPop[[#This Row],[Draft Growth]],MIN(OFFSET(TblPop[[#This Row],[Net max]],1,0)-TblPop[[#This Row],[Peasants]]-TblPop[[#This Row],[Military]]-TblPop[[#This Row],[Draft Growth]],TblPop[[#This Row],[Modded Birth]]-TblPop[[#This Row],[Draft Growth]]))</f>
        <v>-48</v>
      </c>
      <c r="X25" s="94">
        <f ca="1">ROUND(TblPop[[#This Row],[Raw Birth]]*(1+TblPop[[#This Row],[Growth]]),0)</f>
        <v>259</v>
      </c>
      <c r="Y25" s="94">
        <f ca="1">(TblPop[[#This Row],[Peasants]]-TblPop[[#This Row],[Draft Growth]])*raw_pop_growth</f>
        <v>143.19</v>
      </c>
      <c r="Z25" s="94">
        <f ca="1">ROUND(IF(TblPop[[#This Row],[Military%]]&lt;TblMili[[#This Row],[Draftrate]],ROUND(TblPop[[#This Row],[Peasants]]*Constants!$B$55,0), 0) * IF(AND(TblMagic[[#This Row],[Active DnD]]&lt;=12,TblMagic[[#This Row],[Active DnD]]&gt;6),1.6,1),0)</f>
        <v>48</v>
      </c>
      <c r="AA25" s="142"/>
      <c r="AB25" s="143">
        <f ca="1">Overview!$I$17 + IF(Magic!AF25&gt;0,Constants!$F$78) + ROUND(6*(Construction!BM26+Construction!CK25)/IF(Explore!S26&gt;0,Construction!F26-20,Construction!F26),4) + tech_6_5_2*Techs!BJ25 + tech_8_4*Techs!BT25</f>
        <v>0.81079999999999997</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45815.916666666613</v>
      </c>
      <c r="C26" s="94">
        <f ca="1">OFFSET(TblPop[[#This Row],[Peasants]],-1,0)+OFFSET(TblPop[[#This Row],[Net Peasant]],-1,0)+TblMili[[#This Row],[Release Draft]]</f>
        <v>4773</v>
      </c>
      <c r="D26" s="94">
        <f ca="1">TblMili[[#This Row],[Military]]</f>
        <v>1480</v>
      </c>
      <c r="E26" s="94">
        <f ca="1">TblMili[[#This Row],[Draftees]]</f>
        <v>1480</v>
      </c>
      <c r="F26" s="94">
        <f ca="1">TblPop[[#This Row],[Peasants]]+TblPop[[#This Row],[Military]]</f>
        <v>6253</v>
      </c>
      <c r="G26" s="139">
        <f ca="1">TblPop[[#This Row],[Military]]/TblPop[[#This Row],[Total]]</f>
        <v>0.23668639053254437</v>
      </c>
      <c r="H26" s="140">
        <f ca="1">MIN(TblPop[[#This Row],[Peasants]],TblPop[[#This Row],[Jobs]])</f>
        <v>4773</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6000</v>
      </c>
      <c r="K26" s="141"/>
      <c r="L26" s="61">
        <f ca="1">TblPop[[#This Row],[Draftees]]</f>
        <v>1480</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6253</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26" s="94">
        <f ca="1">MAX(-5%*TblPop[[#This Row],[Peasants]]-TblPop[[#This Row],[Draft Growth]],MIN(OFFSET(TblPop[[#This Row],[Net max]],1,0)-TblPop[[#This Row],[Peasants]]-TblPop[[#This Row],[Military]]-TblPop[[#This Row],[Draft Growth]],TblPop[[#This Row],[Modded Birth]]-TblPop[[#This Row],[Draft Growth]]))</f>
        <v>-48</v>
      </c>
      <c r="X26" s="94">
        <f ca="1">ROUND(TblPop[[#This Row],[Raw Birth]]*(1+TblPop[[#This Row],[Growth]]),0)</f>
        <v>257</v>
      </c>
      <c r="Y26" s="94">
        <f ca="1">(TblPop[[#This Row],[Peasants]]-TblPop[[#This Row],[Draft Growth]])*raw_pop_growth</f>
        <v>141.75</v>
      </c>
      <c r="Z26" s="94">
        <f ca="1">ROUND(IF(TblPop[[#This Row],[Military%]]&lt;TblMili[[#This Row],[Draftrate]],ROUND(TblPop[[#This Row],[Peasants]]*Constants!$B$55,0), 0) * IF(AND(TblMagic[[#This Row],[Active DnD]]&lt;=12,TblMagic[[#This Row],[Active DnD]]&gt;6),1.6,1),0)</f>
        <v>48</v>
      </c>
      <c r="AA26" s="142"/>
      <c r="AB26" s="143">
        <f ca="1">Overview!$I$17 + IF(Magic!AF26&gt;0,Constants!$F$78) + ROUND(6*(Construction!BM27+Construction!CK26)/IF(Explore!S27&gt;0,Construction!F27-20,Construction!F27),4) + tech_6_5_2*Techs!BJ26 + tech_8_4*Techs!BT26</f>
        <v>0.81079999999999997</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45815.958333333278</v>
      </c>
      <c r="C27" s="94">
        <f ca="1">OFFSET(TblPop[[#This Row],[Peasants]],-1,0)+OFFSET(TblPop[[#This Row],[Net Peasant]],-1,0)+TblMili[[#This Row],[Release Draft]]</f>
        <v>4725</v>
      </c>
      <c r="D27" s="94">
        <f ca="1">TblMili[[#This Row],[Military]]</f>
        <v>1528</v>
      </c>
      <c r="E27" s="94">
        <f ca="1">TblMili[[#This Row],[Draftees]]</f>
        <v>1528</v>
      </c>
      <c r="F27" s="94">
        <f ca="1">TblPop[[#This Row],[Peasants]]+TblPop[[#This Row],[Military]]</f>
        <v>6253</v>
      </c>
      <c r="G27" s="139">
        <f ca="1">TblPop[[#This Row],[Military]]/TblPop[[#This Row],[Total]]</f>
        <v>0.24436270590116743</v>
      </c>
      <c r="H27" s="140">
        <f ca="1">MIN(TblPop[[#This Row],[Peasants]],TblPop[[#This Row],[Jobs]])</f>
        <v>4725</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6000</v>
      </c>
      <c r="K27" s="141"/>
      <c r="L27" s="61">
        <f ca="1">TblPop[[#This Row],[Draftees]]</f>
        <v>1528</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6253</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27" s="94">
        <f ca="1">MAX(-5%*TblPop[[#This Row],[Peasants]]-TblPop[[#This Row],[Draft Growth]],MIN(OFFSET(TblPop[[#This Row],[Net max]],1,0)-TblPop[[#This Row],[Peasants]]-TblPop[[#This Row],[Military]]-TblPop[[#This Row],[Draft Growth]],TblPop[[#This Row],[Modded Birth]]-TblPop[[#This Row],[Draft Growth]]))</f>
        <v>-47</v>
      </c>
      <c r="X27" s="94">
        <f ca="1">ROUND(TblPop[[#This Row],[Raw Birth]]*(1+TblPop[[#This Row],[Growth]]),0)</f>
        <v>254</v>
      </c>
      <c r="Y27" s="94">
        <f ca="1">(TblPop[[#This Row],[Peasants]]-TblPop[[#This Row],[Draft Growth]])*raw_pop_growth</f>
        <v>140.34</v>
      </c>
      <c r="Z27" s="94">
        <f ca="1">ROUND(IF(TblPop[[#This Row],[Military%]]&lt;TblMili[[#This Row],[Draftrate]],ROUND(TblPop[[#This Row],[Peasants]]*Constants!$B$55,0), 0) * IF(AND(TblMagic[[#This Row],[Active DnD]]&lt;=12,TblMagic[[#This Row],[Active DnD]]&gt;6),1.6,1),0)</f>
        <v>47</v>
      </c>
      <c r="AA27" s="142"/>
      <c r="AB27" s="143">
        <f ca="1">Overview!$I$17 + IF(Magic!AF27&gt;0,Constants!$F$78) + ROUND(6*(Construction!BM28+Construction!CK27)/IF(Explore!S28&gt;0,Construction!F28-20,Construction!F28),4) + tech_6_5_2*Techs!BJ27 + tech_8_4*Techs!BT27</f>
        <v>0.81079999999999997</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45815.999999999942</v>
      </c>
      <c r="C28" s="94">
        <f ca="1">OFFSET(TblPop[[#This Row],[Peasants]],-1,0)+OFFSET(TblPop[[#This Row],[Net Peasant]],-1,0)+TblMili[[#This Row],[Release Draft]]</f>
        <v>4678</v>
      </c>
      <c r="D28" s="94">
        <f ca="1">TblMili[[#This Row],[Military]]</f>
        <v>1575</v>
      </c>
      <c r="E28" s="94">
        <f ca="1">TblMili[[#This Row],[Draftees]]</f>
        <v>1575</v>
      </c>
      <c r="F28" s="94">
        <f ca="1">TblPop[[#This Row],[Peasants]]+TblPop[[#This Row],[Military]]</f>
        <v>6253</v>
      </c>
      <c r="G28" s="139">
        <f ca="1">TblPop[[#This Row],[Military]]/TblPop[[#This Row],[Total]]</f>
        <v>0.25187909803294417</v>
      </c>
      <c r="H28" s="140">
        <f ca="1">MIN(TblPop[[#This Row],[Peasants]],TblPop[[#This Row],[Jobs]])</f>
        <v>4678</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6000</v>
      </c>
      <c r="K28" s="141"/>
      <c r="L28" s="61">
        <f ca="1">TblPop[[#This Row],[Draftees]]</f>
        <v>1575</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6253</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28" s="94">
        <f ca="1">MAX(-5%*TblPop[[#This Row],[Peasants]]-TblPop[[#This Row],[Draft Growth]],MIN(OFFSET(TblPop[[#This Row],[Net max]],1,0)-TblPop[[#This Row],[Peasants]]-TblPop[[#This Row],[Military]]-TblPop[[#This Row],[Draft Growth]],TblPop[[#This Row],[Modded Birth]]-TblPop[[#This Row],[Draft Growth]]))</f>
        <v>-47</v>
      </c>
      <c r="X28" s="94">
        <f ca="1">ROUND(TblPop[[#This Row],[Raw Birth]]*(1+TblPop[[#This Row],[Growth]]),0)</f>
        <v>252</v>
      </c>
      <c r="Y28" s="94">
        <f ca="1">(TblPop[[#This Row],[Peasants]]-TblPop[[#This Row],[Draft Growth]])*raw_pop_growth</f>
        <v>138.93</v>
      </c>
      <c r="Z28" s="94">
        <f ca="1">ROUND(IF(TblPop[[#This Row],[Military%]]&lt;TblMili[[#This Row],[Draftrate]],ROUND(TblPop[[#This Row],[Peasants]]*Constants!$B$55,0), 0) * IF(AND(TblMagic[[#This Row],[Active DnD]]&lt;=12,TblMagic[[#This Row],[Active DnD]]&gt;6),1.6,1),0)</f>
        <v>47</v>
      </c>
      <c r="AA28" s="142"/>
      <c r="AB28" s="143">
        <f ca="1">Overview!$I$17 + IF(Magic!AF28&gt;0,Constants!$F$78) + ROUND(6*(Construction!BM29+Construction!CK28)/IF(Explore!S29&gt;0,Construction!F29-20,Construction!F29),4) + tech_6_5_2*Techs!BJ28 + tech_8_4*Techs!BT28</f>
        <v>0.81079999999999997</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45816.041666666606</v>
      </c>
      <c r="C29" s="94">
        <f ca="1">OFFSET(TblPop[[#This Row],[Peasants]],-1,0)+OFFSET(TblPop[[#This Row],[Net Peasant]],-1,0)+TblMili[[#This Row],[Release Draft]]</f>
        <v>4631</v>
      </c>
      <c r="D29" s="94">
        <f ca="1">TblMili[[#This Row],[Military]]</f>
        <v>1622</v>
      </c>
      <c r="E29" s="94">
        <f ca="1">TblMili[[#This Row],[Draftees]]</f>
        <v>1622</v>
      </c>
      <c r="F29" s="94">
        <f ca="1">TblPop[[#This Row],[Peasants]]+TblPop[[#This Row],[Military]]</f>
        <v>6253</v>
      </c>
      <c r="G29" s="139">
        <f ca="1">TblPop[[#This Row],[Military]]/TblPop[[#This Row],[Total]]</f>
        <v>0.25939549016472091</v>
      </c>
      <c r="H29" s="140">
        <f ca="1">MIN(TblPop[[#This Row],[Peasants]],TblPop[[#This Row],[Jobs]])</f>
        <v>4631</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6000</v>
      </c>
      <c r="K29" s="141"/>
      <c r="L29" s="61">
        <f ca="1">TblPop[[#This Row],[Draftees]]</f>
        <v>1622</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6253</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29" s="94">
        <f ca="1">MAX(-5%*TblPop[[#This Row],[Peasants]]-TblPop[[#This Row],[Draft Growth]],MIN(OFFSET(TblPop[[#This Row],[Net max]],1,0)-TblPop[[#This Row],[Peasants]]-TblPop[[#This Row],[Military]]-TblPop[[#This Row],[Draft Growth]],TblPop[[#This Row],[Modded Birth]]-TblPop[[#This Row],[Draft Growth]]))</f>
        <v>-46</v>
      </c>
      <c r="X29" s="94">
        <f ca="1">ROUND(TblPop[[#This Row],[Raw Birth]]*(1+TblPop[[#This Row],[Growth]]),0)</f>
        <v>249</v>
      </c>
      <c r="Y29" s="94">
        <f ca="1">(TblPop[[#This Row],[Peasants]]-TblPop[[#This Row],[Draft Growth]])*raw_pop_growth</f>
        <v>137.54999999999998</v>
      </c>
      <c r="Z29" s="94">
        <f ca="1">ROUND(IF(TblPop[[#This Row],[Military%]]&lt;TblMili[[#This Row],[Draftrate]],ROUND(TblPop[[#This Row],[Peasants]]*Constants!$B$55,0), 0) * IF(AND(TblMagic[[#This Row],[Active DnD]]&lt;=12,TblMagic[[#This Row],[Active DnD]]&gt;6),1.6,1),0)</f>
        <v>46</v>
      </c>
      <c r="AA29" s="142"/>
      <c r="AB29" s="143">
        <f ca="1">Overview!$I$17 + IF(Magic!AF29&gt;0,Constants!$F$78) + ROUND(6*(Construction!BM30+Construction!CK29)/IF(Explore!S30&gt;0,Construction!F30-20,Construction!F30),4) + tech_6_5_2*Techs!BJ29 + tech_8_4*Techs!BT29</f>
        <v>0.81079999999999997</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45816.08333333327</v>
      </c>
      <c r="C30" s="94">
        <f ca="1">OFFSET(TblPop[[#This Row],[Peasants]],-1,0)+OFFSET(TblPop[[#This Row],[Net Peasant]],-1,0)+TblMili[[#This Row],[Release Draft]]</f>
        <v>4585</v>
      </c>
      <c r="D30" s="94">
        <f ca="1">TblMili[[#This Row],[Military]]</f>
        <v>1668</v>
      </c>
      <c r="E30" s="94">
        <f ca="1">TblMili[[#This Row],[Draftees]]</f>
        <v>1668</v>
      </c>
      <c r="F30" s="94">
        <f ca="1">TblPop[[#This Row],[Peasants]]+TblPop[[#This Row],[Military]]</f>
        <v>6253</v>
      </c>
      <c r="G30" s="139">
        <f ca="1">TblPop[[#This Row],[Military]]/TblPop[[#This Row],[Total]]</f>
        <v>0.26675195905965138</v>
      </c>
      <c r="H30" s="140">
        <f ca="1">MIN(TblPop[[#This Row],[Peasants]],TblPop[[#This Row],[Jobs]])</f>
        <v>4585</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6000</v>
      </c>
      <c r="K30" s="141"/>
      <c r="L30" s="61">
        <f ca="1">TblPop[[#This Row],[Draftees]]</f>
        <v>1668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6253</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30" s="94">
        <f ca="1">MAX(-5%*TblPop[[#This Row],[Peasants]]-TblPop[[#This Row],[Draft Growth]],MIN(OFFSET(TblPop[[#This Row],[Net max]],1,0)-TblPop[[#This Row],[Peasants]]-TblPop[[#This Row],[Military]]-TblPop[[#This Row],[Draft Growth]],TblPop[[#This Row],[Modded Birth]]-TblPop[[#This Row],[Draft Growth]]))</f>
        <v>-46</v>
      </c>
      <c r="X30" s="94">
        <f ca="1">ROUND(TblPop[[#This Row],[Raw Birth]]*(1+TblPop[[#This Row],[Growth]]),0)</f>
        <v>247</v>
      </c>
      <c r="Y30" s="94">
        <f ca="1">(TblPop[[#This Row],[Peasants]]-TblPop[[#This Row],[Draft Growth]])*raw_pop_growth</f>
        <v>136.16999999999999</v>
      </c>
      <c r="Z30" s="94">
        <f ca="1">ROUND(IF(TblPop[[#This Row],[Military%]]&lt;TblMili[[#This Row],[Draftrate]],ROUND(TblPop[[#This Row],[Peasants]]*Constants!$B$55,0), 0) * IF(AND(TblMagic[[#This Row],[Active DnD]]&lt;=12,TblMagic[[#This Row],[Active DnD]]&gt;6),1.6,1),0)</f>
        <v>46</v>
      </c>
      <c r="AA30" s="142"/>
      <c r="AB30" s="143">
        <f ca="1">Overview!$I$17 + IF(Magic!AF30&gt;0,Constants!$F$78) + ROUND(6*(Construction!BM31+Construction!CK30)/IF(Explore!S31&gt;0,Construction!F31-20,Construction!F31),4) + tech_6_5_2*Techs!BJ30 + tech_8_4*Techs!BT30</f>
        <v>0.81079999999999997</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45816.124999999935</v>
      </c>
      <c r="C31" s="94">
        <f ca="1">OFFSET(TblPop[[#This Row],[Peasants]],-1,0)+OFFSET(TblPop[[#This Row],[Net Peasant]],-1,0)+TblMili[[#This Row],[Release Draft]]</f>
        <v>4539</v>
      </c>
      <c r="D31" s="94">
        <f ca="1">TblMili[[#This Row],[Military]]</f>
        <v>1714</v>
      </c>
      <c r="E31" s="94">
        <f ca="1">TblMili[[#This Row],[Draftees]]</f>
        <v>1714</v>
      </c>
      <c r="F31" s="94">
        <f ca="1">TblPop[[#This Row],[Peasants]]+TblPop[[#This Row],[Military]]</f>
        <v>6253</v>
      </c>
      <c r="G31" s="139">
        <f ca="1">TblPop[[#This Row],[Military]]/TblPop[[#This Row],[Total]]</f>
        <v>0.27410842795458179</v>
      </c>
      <c r="H31" s="140">
        <f ca="1">MIN(TblPop[[#This Row],[Peasants]],TblPop[[#This Row],[Jobs]])</f>
        <v>4539</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6000</v>
      </c>
      <c r="K31" s="141"/>
      <c r="L31" s="61">
        <f ca="1">TblPop[[#This Row],[Draftees]]</f>
        <v>1714</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6253</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31" s="94">
        <f ca="1">MAX(-5%*TblPop[[#This Row],[Peasants]]-TblPop[[#This Row],[Draft Growth]],MIN(OFFSET(TblPop[[#This Row],[Net max]],1,0)-TblPop[[#This Row],[Peasants]]-TblPop[[#This Row],[Military]]-TblPop[[#This Row],[Draft Growth]],TblPop[[#This Row],[Modded Birth]]-TblPop[[#This Row],[Draft Growth]]))</f>
        <v>-45</v>
      </c>
      <c r="X31" s="94">
        <f ca="1">ROUND(TblPop[[#This Row],[Raw Birth]]*(1+TblPop[[#This Row],[Growth]]),0)</f>
        <v>244</v>
      </c>
      <c r="Y31" s="94">
        <f ca="1">(TblPop[[#This Row],[Peasants]]-TblPop[[#This Row],[Draft Growth]])*raw_pop_growth</f>
        <v>134.82</v>
      </c>
      <c r="Z31" s="94">
        <f ca="1">ROUND(IF(TblPop[[#This Row],[Military%]]&lt;TblMili[[#This Row],[Draftrate]],ROUND(TblPop[[#This Row],[Peasants]]*Constants!$B$55,0), 0) * IF(AND(TblMagic[[#This Row],[Active DnD]]&lt;=12,TblMagic[[#This Row],[Active DnD]]&gt;6),1.6,1),0)</f>
        <v>45</v>
      </c>
      <c r="AA31" s="142"/>
      <c r="AB31" s="143">
        <f ca="1">Overview!$I$17 + IF(Magic!AF31&gt;0,Constants!$F$78) + ROUND(6*(Construction!BM32+Construction!CK31)/IF(Explore!S32&gt;0,Construction!F32-20,Construction!F32),4) + tech_6_5_2*Techs!BJ31 + tech_8_4*Techs!BT31</f>
        <v>0.81079999999999997</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45816.166666666599</v>
      </c>
      <c r="C32" s="94">
        <f ca="1">OFFSET(TblPop[[#This Row],[Peasants]],-1,0)+OFFSET(TblPop[[#This Row],[Net Peasant]],-1,0)+TblMili[[#This Row],[Release Draft]]</f>
        <v>4494</v>
      </c>
      <c r="D32" s="94">
        <f ca="1">TblMili[[#This Row],[Military]]</f>
        <v>1759</v>
      </c>
      <c r="E32" s="94">
        <f ca="1">TblMili[[#This Row],[Draftees]]</f>
        <v>1759</v>
      </c>
      <c r="F32" s="94">
        <f ca="1">TblPop[[#This Row],[Peasants]]+TblPop[[#This Row],[Military]]</f>
        <v>6253</v>
      </c>
      <c r="G32" s="139">
        <f ca="1">TblPop[[#This Row],[Military]]/TblPop[[#This Row],[Total]]</f>
        <v>0.28130497361266593</v>
      </c>
      <c r="H32" s="140">
        <f ca="1">MIN(TblPop[[#This Row],[Peasants]],TblPop[[#This Row],[Jobs]])</f>
        <v>4494</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6000</v>
      </c>
      <c r="K32" s="141"/>
      <c r="L32" s="61">
        <f ca="1">TblPop[[#This Row],[Draftees]]</f>
        <v>1759</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6253</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32" s="94">
        <f ca="1">MAX(-5%*TblPop[[#This Row],[Peasants]]-TblPop[[#This Row],[Draft Growth]],MIN(OFFSET(TblPop[[#This Row],[Net max]],1,0)-TblPop[[#This Row],[Peasants]]-TblPop[[#This Row],[Military]]-TblPop[[#This Row],[Draft Growth]],TblPop[[#This Row],[Modded Birth]]-TblPop[[#This Row],[Draft Growth]]))</f>
        <v>-45</v>
      </c>
      <c r="X32" s="94">
        <f ca="1">ROUND(TblPop[[#This Row],[Raw Birth]]*(1+TblPop[[#This Row],[Growth]]),0)</f>
        <v>242</v>
      </c>
      <c r="Y32" s="94">
        <f ca="1">(TblPop[[#This Row],[Peasants]]-TblPop[[#This Row],[Draft Growth]])*raw_pop_growth</f>
        <v>133.47</v>
      </c>
      <c r="Z32" s="94">
        <f ca="1">ROUND(IF(TblPop[[#This Row],[Military%]]&lt;TblMili[[#This Row],[Draftrate]],ROUND(TblPop[[#This Row],[Peasants]]*Constants!$B$55,0), 0) * IF(AND(TblMagic[[#This Row],[Active DnD]]&lt;=12,TblMagic[[#This Row],[Active DnD]]&gt;6),1.6,1),0)</f>
        <v>45</v>
      </c>
      <c r="AA32" s="142"/>
      <c r="AB32" s="143">
        <f ca="1">Overview!$I$17 + IF(Magic!AF32&gt;0,Constants!$F$78) + ROUND(6*(Construction!BM33+Construction!CK32)/IF(Explore!S33&gt;0,Construction!F33-20,Construction!F33),4) + tech_6_5_2*Techs!BJ32 + tech_8_4*Techs!BT32</f>
        <v>0.81079999999999997</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45816.208333333263</v>
      </c>
      <c r="C33" s="94">
        <f ca="1">OFFSET(TblPop[[#This Row],[Peasants]],-1,0)+OFFSET(TblPop[[#This Row],[Net Peasant]],-1,0)+TblMili[[#This Row],[Release Draft]]</f>
        <v>4449</v>
      </c>
      <c r="D33" s="94">
        <f ca="1">TblMili[[#This Row],[Military]]</f>
        <v>1804</v>
      </c>
      <c r="E33" s="94">
        <f ca="1">TblMili[[#This Row],[Draftees]]</f>
        <v>1804</v>
      </c>
      <c r="F33" s="94">
        <f ca="1">TblPop[[#This Row],[Peasants]]+TblPop[[#This Row],[Military]]</f>
        <v>6253</v>
      </c>
      <c r="G33" s="139">
        <f ca="1">TblPop[[#This Row],[Military]]/TblPop[[#This Row],[Total]]</f>
        <v>0.28850151927075002</v>
      </c>
      <c r="H33" s="140">
        <f ca="1">MIN(TblPop[[#This Row],[Peasants]],TblPop[[#This Row],[Jobs]])</f>
        <v>4449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6000</v>
      </c>
      <c r="K33" s="141"/>
      <c r="L33" s="61">
        <f ca="1">TblPop[[#This Row],[Draftees]]</f>
        <v>1804</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6253</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33" s="94">
        <f ca="1">MAX(-5%*TblPop[[#This Row],[Peasants]]-TblPop[[#This Row],[Draft Growth]],MIN(OFFSET(TblPop[[#This Row],[Net max]],1,0)-TblPop[[#This Row],[Peasants]]-TblPop[[#This Row],[Military]]-TblPop[[#This Row],[Draft Growth]],TblPop[[#This Row],[Modded Birth]]-TblPop[[#This Row],[Draft Growth]]))</f>
        <v>-44</v>
      </c>
      <c r="X33" s="94">
        <f ca="1">ROUND(TblPop[[#This Row],[Raw Birth]]*(1+TblPop[[#This Row],[Growth]]),0)</f>
        <v>239</v>
      </c>
      <c r="Y33" s="94">
        <f ca="1">(TblPop[[#This Row],[Peasants]]-TblPop[[#This Row],[Draft Growth]])*raw_pop_growth</f>
        <v>132.15</v>
      </c>
      <c r="Z33" s="94">
        <f ca="1">ROUND(IF(TblPop[[#This Row],[Military%]]&lt;TblMili[[#This Row],[Draftrate]],ROUND(TblPop[[#This Row],[Peasants]]*Constants!$B$55,0), 0) * IF(AND(TblMagic[[#This Row],[Active DnD]]&lt;=12,TblMagic[[#This Row],[Active DnD]]&gt;6),1.6,1),0)</f>
        <v>44</v>
      </c>
      <c r="AA33" s="142"/>
      <c r="AB33" s="143">
        <f ca="1">Overview!$I$17 + IF(Magic!AF33&gt;0,Constants!$F$78) + ROUND(6*(Construction!BM34+Construction!CK33)/IF(Explore!S34&gt;0,Construction!F34-20,Construction!F34),4) + tech_6_5_2*Techs!BJ33 + tech_8_4*Techs!BT33</f>
        <v>0.81079999999999997</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45816.249999999927</v>
      </c>
      <c r="C34" s="94">
        <f ca="1">OFFSET(TblPop[[#This Row],[Peasants]],-1,0)+OFFSET(TblPop[[#This Row],[Net Peasant]],-1,0)+TblMili[[#This Row],[Release Draft]]</f>
        <v>4405</v>
      </c>
      <c r="D34" s="94">
        <f ca="1">TblMili[[#This Row],[Military]]</f>
        <v>1848</v>
      </c>
      <c r="E34" s="94">
        <f ca="1">TblMili[[#This Row],[Draftees]]</f>
        <v>1848</v>
      </c>
      <c r="F34" s="94">
        <f ca="1">TblPop[[#This Row],[Peasants]]+TblPop[[#This Row],[Military]]</f>
        <v>6253</v>
      </c>
      <c r="G34" s="139">
        <f ca="1">TblPop[[#This Row],[Military]]/TblPop[[#This Row],[Total]]</f>
        <v>0.29553814169198783</v>
      </c>
      <c r="H34" s="140">
        <f ca="1">MIN(TblPop[[#This Row],[Peasants]],TblPop[[#This Row],[Jobs]])</f>
        <v>4405</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6000</v>
      </c>
      <c r="K34" s="141"/>
      <c r="L34" s="61">
        <f ca="1">TblPop[[#This Row],[Draftees]]</f>
        <v>1848</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6253</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34" s="94">
        <f ca="1">MAX(-5%*TblPop[[#This Row],[Peasants]]-TblPop[[#This Row],[Draft Growth]],MIN(OFFSET(TblPop[[#This Row],[Net max]],1,0)-TblPop[[#This Row],[Peasants]]-TblPop[[#This Row],[Military]]-TblPop[[#This Row],[Draft Growth]],TblPop[[#This Row],[Modded Birth]]-TblPop[[#This Row],[Draft Growth]]))</f>
        <v>-44</v>
      </c>
      <c r="X34" s="94">
        <f ca="1">ROUND(TblPop[[#This Row],[Raw Birth]]*(1+TblPop[[#This Row],[Growth]]),0)</f>
        <v>237</v>
      </c>
      <c r="Y34" s="94">
        <f ca="1">(TblPop[[#This Row],[Peasants]]-TblPop[[#This Row],[Draft Growth]])*raw_pop_growth</f>
        <v>130.82999999999998</v>
      </c>
      <c r="Z34" s="94">
        <f ca="1">ROUND(IF(TblPop[[#This Row],[Military%]]&lt;TblMili[[#This Row],[Draftrate]],ROUND(TblPop[[#This Row],[Peasants]]*Constants!$B$55,0), 0) * IF(AND(TblMagic[[#This Row],[Active DnD]]&lt;=12,TblMagic[[#This Row],[Active DnD]]&gt;6),1.6,1),0)</f>
        <v>44</v>
      </c>
      <c r="AA34" s="142"/>
      <c r="AB34" s="143">
        <f ca="1">Overview!$I$17 + IF(Magic!AF34&gt;0,Constants!$F$78) + ROUND(6*(Construction!BM35+Construction!CK34)/IF(Explore!S35&gt;0,Construction!F35-20,Construction!F35),4) + tech_6_5_2*Techs!BJ34 + tech_8_4*Techs!BT34</f>
        <v>0.81079999999999997</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45816.291666666591</v>
      </c>
      <c r="C35" s="94">
        <f ca="1">OFFSET(TblPop[[#This Row],[Peasants]],-1,0)+OFFSET(TblPop[[#This Row],[Net Peasant]],-1,0)+TblMili[[#This Row],[Release Draft]]</f>
        <v>4361</v>
      </c>
      <c r="D35" s="94">
        <f ca="1">TblMili[[#This Row],[Military]]</f>
        <v>1892</v>
      </c>
      <c r="E35" s="94">
        <f ca="1">TblMili[[#This Row],[Draftees]]</f>
        <v>1892</v>
      </c>
      <c r="F35" s="94">
        <f ca="1">TblPop[[#This Row],[Peasants]]+TblPop[[#This Row],[Military]]</f>
        <v>6253</v>
      </c>
      <c r="G35" s="139">
        <f ca="1">TblPop[[#This Row],[Military]]/TblPop[[#This Row],[Total]]</f>
        <v>0.30257476411322565</v>
      </c>
      <c r="H35" s="140">
        <f ca="1">MIN(TblPop[[#This Row],[Peasants]],TblPop[[#This Row],[Jobs]])</f>
        <v>4361</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6000</v>
      </c>
      <c r="K35" s="141"/>
      <c r="L35" s="61">
        <f ca="1">TblPop[[#This Row],[Draftees]]</f>
        <v>1892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6253</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35" s="94">
        <f ca="1">MAX(-5%*TblPop[[#This Row],[Peasants]]-TblPop[[#This Row],[Draft Growth]],MIN(OFFSET(TblPop[[#This Row],[Net max]],1,0)-TblPop[[#This Row],[Peasants]]-TblPop[[#This Row],[Military]]-TblPop[[#This Row],[Draft Growth]],TblPop[[#This Row],[Modded Birth]]-TblPop[[#This Row],[Draft Growth]]))</f>
        <v>-44</v>
      </c>
      <c r="X35" s="94">
        <f ca="1">ROUND(TblPop[[#This Row],[Raw Birth]]*(1+TblPop[[#This Row],[Growth]]),0)</f>
        <v>235</v>
      </c>
      <c r="Y35" s="94">
        <f ca="1">(TblPop[[#This Row],[Peasants]]-TblPop[[#This Row],[Draft Growth]])*raw_pop_growth</f>
        <v>129.51</v>
      </c>
      <c r="Z35" s="94">
        <f ca="1">ROUND(IF(TblPop[[#This Row],[Military%]]&lt;TblMili[[#This Row],[Draftrate]],ROUND(TblPop[[#This Row],[Peasants]]*Constants!$B$55,0), 0) * IF(AND(TblMagic[[#This Row],[Active DnD]]&lt;=12,TblMagic[[#This Row],[Active DnD]]&gt;6),1.6,1),0)</f>
        <v>44</v>
      </c>
      <c r="AA35" s="142"/>
      <c r="AB35" s="143">
        <f ca="1">Overview!$I$17 + IF(Magic!AF35&gt;0,Constants!$F$78) + ROUND(6*(Construction!BM36+Construction!CK35)/IF(Explore!S36&gt;0,Construction!F36-20,Construction!F36),4) + tech_6_5_2*Techs!BJ35 + tech_8_4*Techs!BT35</f>
        <v>0.81079999999999997</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45816.333333333256</v>
      </c>
      <c r="C36" s="94">
        <f ca="1">OFFSET(TblPop[[#This Row],[Peasants]],-1,0)+OFFSET(TblPop[[#This Row],[Net Peasant]],-1,0)+TblMili[[#This Row],[Release Draft]]</f>
        <v>4317</v>
      </c>
      <c r="D36" s="94">
        <f ca="1">TblMili[[#This Row],[Military]]</f>
        <v>1936</v>
      </c>
      <c r="E36" s="94">
        <f ca="1">TblMili[[#This Row],[Draftees]]</f>
        <v>1936</v>
      </c>
      <c r="F36" s="94">
        <f ca="1">TblPop[[#This Row],[Peasants]]+TblPop[[#This Row],[Military]]</f>
        <v>6253</v>
      </c>
      <c r="G36" s="139">
        <f ca="1">TblPop[[#This Row],[Military]]/TblPop[[#This Row],[Total]]</f>
        <v>0.30961138653446346</v>
      </c>
      <c r="H36" s="140">
        <f ca="1">MIN(TblPop[[#This Row],[Peasants]],TblPop[[#This Row],[Jobs]])</f>
        <v>4317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6000</v>
      </c>
      <c r="K36" s="141"/>
      <c r="L36" s="61">
        <f ca="1">TblPop[[#This Row],[Draftees]]</f>
        <v>1936</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6253</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36" s="94">
        <f ca="1">MAX(-5%*TblPop[[#This Row],[Peasants]]-TblPop[[#This Row],[Draft Growth]],MIN(OFFSET(TblPop[[#This Row],[Net max]],1,0)-TblPop[[#This Row],[Peasants]]-TblPop[[#This Row],[Military]]-TblPop[[#This Row],[Draft Growth]],TblPop[[#This Row],[Modded Birth]]-TblPop[[#This Row],[Draft Growth]]))</f>
        <v>-43</v>
      </c>
      <c r="X36" s="94">
        <f ca="1">ROUND(TblPop[[#This Row],[Raw Birth]]*(1+TblPop[[#This Row],[Growth]]),0)</f>
        <v>232</v>
      </c>
      <c r="Y36" s="94">
        <f ca="1">(TblPop[[#This Row],[Peasants]]-TblPop[[#This Row],[Draft Growth]])*raw_pop_growth</f>
        <v>128.22</v>
      </c>
      <c r="Z36" s="94">
        <f ca="1">ROUND(IF(TblPop[[#This Row],[Military%]]&lt;TblMili[[#This Row],[Draftrate]],ROUND(TblPop[[#This Row],[Peasants]]*Constants!$B$55,0), 0) * IF(AND(TblMagic[[#This Row],[Active DnD]]&lt;=12,TblMagic[[#This Row],[Active DnD]]&gt;6),1.6,1),0)</f>
        <v>43</v>
      </c>
      <c r="AA36" s="142"/>
      <c r="AB36" s="143">
        <f ca="1">Overview!$I$17 + IF(Magic!AF36&gt;0,Constants!$F$78) + ROUND(6*(Construction!BM37+Construction!CK36)/IF(Explore!S37&gt;0,Construction!F37-20,Construction!F37),4) + tech_6_5_2*Techs!BJ36 + tech_8_4*Techs!BT36</f>
        <v>0.81079999999999997</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45816.37499999992</v>
      </c>
      <c r="C37" s="94">
        <f ca="1">OFFSET(TblPop[[#This Row],[Peasants]],-1,0)+OFFSET(TblPop[[#This Row],[Net Peasant]],-1,0)+TblMili[[#This Row],[Release Draft]]</f>
        <v>4274</v>
      </c>
      <c r="D37" s="94">
        <f ca="1">TblMili[[#This Row],[Military]]</f>
        <v>1979</v>
      </c>
      <c r="E37" s="94">
        <f ca="1">TblMili[[#This Row],[Draftees]]</f>
        <v>1979</v>
      </c>
      <c r="F37" s="94">
        <f ca="1">TblPop[[#This Row],[Peasants]]+TblPop[[#This Row],[Military]]</f>
        <v>6253</v>
      </c>
      <c r="G37" s="139">
        <f ca="1">TblPop[[#This Row],[Military]]/TblPop[[#This Row],[Total]]</f>
        <v>0.31648808571885495</v>
      </c>
      <c r="H37" s="140">
        <f ca="1">MIN(TblPop[[#This Row],[Peasants]],TblPop[[#This Row],[Jobs]])</f>
        <v>4274</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6000</v>
      </c>
      <c r="K37" s="141"/>
      <c r="L37" s="61">
        <f ca="1">TblPop[[#This Row],[Draftees]]</f>
        <v>1979</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6253</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37" s="94">
        <f ca="1">MAX(-5%*TblPop[[#This Row],[Peasants]]-TblPop[[#This Row],[Draft Growth]],MIN(OFFSET(TblPop[[#This Row],[Net max]],1,0)-TblPop[[#This Row],[Peasants]]-TblPop[[#This Row],[Military]]-TblPop[[#This Row],[Draft Growth]],TblPop[[#This Row],[Modded Birth]]-TblPop[[#This Row],[Draft Growth]]))</f>
        <v>-43</v>
      </c>
      <c r="X37" s="94">
        <f ca="1">ROUND(TblPop[[#This Row],[Raw Birth]]*(1+TblPop[[#This Row],[Growth]]),0)</f>
        <v>230</v>
      </c>
      <c r="Y37" s="94">
        <f ca="1">(TblPop[[#This Row],[Peasants]]-TblPop[[#This Row],[Draft Growth]])*raw_pop_growth</f>
        <v>126.92999999999999</v>
      </c>
      <c r="Z37" s="94">
        <f ca="1">ROUND(IF(TblPop[[#This Row],[Military%]]&lt;TblMili[[#This Row],[Draftrate]],ROUND(TblPop[[#This Row],[Peasants]]*Constants!$B$55,0), 0) * IF(AND(TblMagic[[#This Row],[Active DnD]]&lt;=12,TblMagic[[#This Row],[Active DnD]]&gt;6),1.6,1),0)</f>
        <v>43</v>
      </c>
      <c r="AA37" s="142"/>
      <c r="AB37" s="143">
        <f ca="1">Overview!$I$17 + IF(Magic!AF37&gt;0,Constants!$F$78) + ROUND(6*(Construction!BM38+Construction!CK37)/IF(Explore!S38&gt;0,Construction!F38-20,Construction!F38),4) + tech_6_5_2*Techs!BJ37 + tech_8_4*Techs!BT37</f>
        <v>0.81079999999999997</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45816.416666666584</v>
      </c>
      <c r="C38" s="94">
        <f ca="1">OFFSET(TblPop[[#This Row],[Peasants]],-1,0)+OFFSET(TblPop[[#This Row],[Net Peasant]],-1,0)+TblMili[[#This Row],[Release Draft]]</f>
        <v>4231</v>
      </c>
      <c r="D38" s="94">
        <f ca="1">TblMili[[#This Row],[Military]]</f>
        <v>2022</v>
      </c>
      <c r="E38" s="94">
        <f ca="1">TblMili[[#This Row],[Draftees]]</f>
        <v>2022</v>
      </c>
      <c r="F38" s="94">
        <f ca="1">TblPop[[#This Row],[Peasants]]+TblPop[[#This Row],[Military]]</f>
        <v>6253</v>
      </c>
      <c r="G38" s="139">
        <f ca="1">TblPop[[#This Row],[Military]]/TblPop[[#This Row],[Total]]</f>
        <v>0.32336478490324644</v>
      </c>
      <c r="H38" s="140">
        <f ca="1">MIN(TblPop[[#This Row],[Peasants]],TblPop[[#This Row],[Jobs]])</f>
        <v>4231</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6000</v>
      </c>
      <c r="K38" s="141"/>
      <c r="L38" s="61">
        <f ca="1">TblPop[[#This Row],[Draftees]]</f>
        <v>2022</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6253</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38" s="94">
        <f ca="1">MAX(-5%*TblPop[[#This Row],[Peasants]]-TblPop[[#This Row],[Draft Growth]],MIN(OFFSET(TblPop[[#This Row],[Net max]],1,0)-TblPop[[#This Row],[Peasants]]-TblPop[[#This Row],[Military]]-TblPop[[#This Row],[Draft Growth]],TblPop[[#This Row],[Modded Birth]]-TblPop[[#This Row],[Draft Growth]]))</f>
        <v>-42</v>
      </c>
      <c r="X38" s="94">
        <f ca="1">ROUND(TblPop[[#This Row],[Raw Birth]]*(1+TblPop[[#This Row],[Growth]]),0)</f>
        <v>228</v>
      </c>
      <c r="Y38" s="94">
        <f ca="1">(TblPop[[#This Row],[Peasants]]-TblPop[[#This Row],[Draft Growth]])*raw_pop_growth</f>
        <v>125.67</v>
      </c>
      <c r="Z38" s="94">
        <f ca="1">ROUND(IF(TblPop[[#This Row],[Military%]]&lt;TblMili[[#This Row],[Draftrate]],ROUND(TblPop[[#This Row],[Peasants]]*Constants!$B$55,0), 0) * IF(AND(TblMagic[[#This Row],[Active DnD]]&lt;=12,TblMagic[[#This Row],[Active DnD]]&gt;6),1.6,1),0)</f>
        <v>42</v>
      </c>
      <c r="AA38" s="142"/>
      <c r="AB38" s="143">
        <f ca="1">Overview!$I$17 + IF(Magic!AF38&gt;0,Constants!$F$78) + ROUND(6*(Construction!BM39+Construction!CK38)/IF(Explore!S39&gt;0,Construction!F39-20,Construction!F39),4) + tech_6_5_2*Techs!BJ38 + tech_8_4*Techs!BT38</f>
        <v>0.81079999999999997</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45816.458333333248</v>
      </c>
      <c r="C39" s="94">
        <f ca="1">OFFSET(TblPop[[#This Row],[Peasants]],-1,0)+OFFSET(TblPop[[#This Row],[Net Peasant]],-1,0)+TblMili[[#This Row],[Release Draft]]</f>
        <v>4189</v>
      </c>
      <c r="D39" s="94">
        <f ca="1">TblMili[[#This Row],[Military]]</f>
        <v>2064</v>
      </c>
      <c r="E39" s="94">
        <f ca="1">TblMili[[#This Row],[Draftees]]</f>
        <v>2064</v>
      </c>
      <c r="F39" s="94">
        <f ca="1">TblPop[[#This Row],[Peasants]]+TblPop[[#This Row],[Military]]</f>
        <v>6253</v>
      </c>
      <c r="G39" s="139">
        <f ca="1">TblPop[[#This Row],[Military]]/TblPop[[#This Row],[Total]]</f>
        <v>0.3300815608507916</v>
      </c>
      <c r="H39" s="140">
        <f ca="1">MIN(TblPop[[#This Row],[Peasants]],TblPop[[#This Row],[Jobs]])</f>
        <v>4189</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6000</v>
      </c>
      <c r="K39" s="141"/>
      <c r="L39" s="61">
        <f ca="1">TblPop[[#This Row],[Draftees]]</f>
        <v>2064</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6253</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39" s="94">
        <f ca="1">MAX(-5%*TblPop[[#This Row],[Peasants]]-TblPop[[#This Row],[Draft Growth]],MIN(OFFSET(TblPop[[#This Row],[Net max]],1,0)-TblPop[[#This Row],[Peasants]]-TblPop[[#This Row],[Military]]-TblPop[[#This Row],[Draft Growth]],TblPop[[#This Row],[Modded Birth]]-TblPop[[#This Row],[Draft Growth]]))</f>
        <v>-42</v>
      </c>
      <c r="X39" s="94">
        <f ca="1">ROUND(TblPop[[#This Row],[Raw Birth]]*(1+TblPop[[#This Row],[Growth]]),0)</f>
        <v>225</v>
      </c>
      <c r="Y39" s="94">
        <f ca="1">(TblPop[[#This Row],[Peasants]]-TblPop[[#This Row],[Draft Growth]])*raw_pop_growth</f>
        <v>124.41</v>
      </c>
      <c r="Z39" s="94">
        <f ca="1">ROUND(IF(TblPop[[#This Row],[Military%]]&lt;TblMili[[#This Row],[Draftrate]],ROUND(TblPop[[#This Row],[Peasants]]*Constants!$B$55,0), 0) * IF(AND(TblMagic[[#This Row],[Active DnD]]&lt;=12,TblMagic[[#This Row],[Active DnD]]&gt;6),1.6,1),0)</f>
        <v>42</v>
      </c>
      <c r="AA39" s="142"/>
      <c r="AB39" s="143">
        <f ca="1">Overview!$I$17 + IF(Magic!AF39&gt;0,Constants!$F$78) + ROUND(6*(Construction!BM40+Construction!CK39)/IF(Explore!S40&gt;0,Construction!F40-20,Construction!F40),4) + tech_6_5_2*Techs!BJ39 + tech_8_4*Techs!BT39</f>
        <v>0.81079999999999997</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45816.499999999913</v>
      </c>
      <c r="C40" s="94">
        <f ca="1">OFFSET(TblPop[[#This Row],[Peasants]],-1,0)+OFFSET(TblPop[[#This Row],[Net Peasant]],-1,0)+TblMili[[#This Row],[Release Draft]]</f>
        <v>4147</v>
      </c>
      <c r="D40" s="94">
        <f ca="1">TblMili[[#This Row],[Military]]</f>
        <v>2106</v>
      </c>
      <c r="E40" s="94">
        <f ca="1">TblMili[[#This Row],[Draftees]]</f>
        <v>2106</v>
      </c>
      <c r="F40" s="94">
        <f ca="1">TblPop[[#This Row],[Peasants]]+TblPop[[#This Row],[Military]]</f>
        <v>6253</v>
      </c>
      <c r="G40" s="139">
        <f ca="1">TblPop[[#This Row],[Military]]/TblPop[[#This Row],[Total]]</f>
        <v>0.33679833679833682</v>
      </c>
      <c r="H40" s="140">
        <f ca="1">MIN(TblPop[[#This Row],[Peasants]],TblPop[[#This Row],[Jobs]])</f>
        <v>4147</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6000</v>
      </c>
      <c r="K40" s="141"/>
      <c r="L40" s="61">
        <f ca="1">TblPop[[#This Row],[Draftees]]</f>
        <v>2106</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6253</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40" s="94">
        <f ca="1">MAX(-5%*TblPop[[#This Row],[Peasants]]-TblPop[[#This Row],[Draft Growth]],MIN(OFFSET(TblPop[[#This Row],[Net max]],1,0)-TblPop[[#This Row],[Peasants]]-TblPop[[#This Row],[Military]]-TblPop[[#This Row],[Draft Growth]],TblPop[[#This Row],[Modded Birth]]-TblPop[[#This Row],[Draft Growth]]))</f>
        <v>-41</v>
      </c>
      <c r="X40" s="94">
        <f ca="1">ROUND(TblPop[[#This Row],[Raw Birth]]*(1+TblPop[[#This Row],[Growth]]),0)</f>
        <v>223</v>
      </c>
      <c r="Y40" s="94">
        <f ca="1">(TblPop[[#This Row],[Peasants]]-TblPop[[#This Row],[Draft Growth]])*raw_pop_growth</f>
        <v>123.17999999999999</v>
      </c>
      <c r="Z40" s="94">
        <f ca="1">ROUND(IF(TblPop[[#This Row],[Military%]]&lt;TblMili[[#This Row],[Draftrate]],ROUND(TblPop[[#This Row],[Peasants]]*Constants!$B$55,0), 0) * IF(AND(TblMagic[[#This Row],[Active DnD]]&lt;=12,TblMagic[[#This Row],[Active DnD]]&gt;6),1.6,1),0)</f>
        <v>41</v>
      </c>
      <c r="AA40" s="142"/>
      <c r="AB40" s="143">
        <f ca="1">Overview!$I$17 + IF(Magic!AF40&gt;0,Constants!$F$78) + ROUND(6*(Construction!BM41+Construction!CK40)/IF(Explore!S41&gt;0,Construction!F41-20,Construction!F41),4) + tech_6_5_2*Techs!BJ40 + tech_8_4*Techs!BT40</f>
        <v>0.81079999999999997</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45816.541666666577</v>
      </c>
      <c r="C41" s="94">
        <f ca="1">OFFSET(TblPop[[#This Row],[Peasants]],-1,0)+OFFSET(TblPop[[#This Row],[Net Peasant]],-1,0)+TblMili[[#This Row],[Release Draft]]</f>
        <v>4106</v>
      </c>
      <c r="D41" s="94">
        <f ca="1">TblMili[[#This Row],[Military]]</f>
        <v>2147</v>
      </c>
      <c r="E41" s="94">
        <f ca="1">TblMili[[#This Row],[Draftees]]</f>
        <v>2147</v>
      </c>
      <c r="F41" s="94">
        <f ca="1">TblPop[[#This Row],[Peasants]]+TblPop[[#This Row],[Military]]</f>
        <v>6253</v>
      </c>
      <c r="G41" s="139">
        <f ca="1">TblPop[[#This Row],[Military]]/TblPop[[#This Row],[Total]]</f>
        <v>0.34335518950903565</v>
      </c>
      <c r="H41" s="140">
        <f ca="1">MIN(TblPop[[#This Row],[Peasants]],TblPop[[#This Row],[Jobs]])</f>
        <v>4106</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6000</v>
      </c>
      <c r="K41" s="141"/>
      <c r="L41" s="61">
        <f ca="1">TblPop[[#This Row],[Draftees]]</f>
        <v>2147</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6253</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41" s="94">
        <f ca="1">MAX(-5%*TblPop[[#This Row],[Peasants]]-TblPop[[#This Row],[Draft Growth]],MIN(OFFSET(TblPop[[#This Row],[Net max]],1,0)-TblPop[[#This Row],[Peasants]]-TblPop[[#This Row],[Military]]-TblPop[[#This Row],[Draft Growth]],TblPop[[#This Row],[Modded Birth]]-TblPop[[#This Row],[Draft Growth]]))</f>
        <v>-41</v>
      </c>
      <c r="X41" s="94">
        <f ca="1">ROUND(TblPop[[#This Row],[Raw Birth]]*(1+TblPop[[#This Row],[Growth]]),0)</f>
        <v>221</v>
      </c>
      <c r="Y41" s="94">
        <f ca="1">(TblPop[[#This Row],[Peasants]]-TblPop[[#This Row],[Draft Growth]])*raw_pop_growth</f>
        <v>121.94999999999999</v>
      </c>
      <c r="Z41" s="94">
        <f ca="1">ROUND(IF(TblPop[[#This Row],[Military%]]&lt;TblMili[[#This Row],[Draftrate]],ROUND(TblPop[[#This Row],[Peasants]]*Constants!$B$55,0), 0) * IF(AND(TblMagic[[#This Row],[Active DnD]]&lt;=12,TblMagic[[#This Row],[Active DnD]]&gt;6),1.6,1),0)</f>
        <v>41</v>
      </c>
      <c r="AA41" s="142"/>
      <c r="AB41" s="143">
        <f ca="1">Overview!$I$17 + IF(Magic!AF41&gt;0,Constants!$F$78) + ROUND(6*(Construction!BM42+Construction!CK41)/IF(Explore!S42&gt;0,Construction!F42-20,Construction!F42),4) + tech_6_5_2*Techs!BJ41 + tech_8_4*Techs!BT41</f>
        <v>0.81079999999999997</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45816.583333333241</v>
      </c>
      <c r="C42" s="94">
        <f ca="1">OFFSET(TblPop[[#This Row],[Peasants]],-1,0)+OFFSET(TblPop[[#This Row],[Net Peasant]],-1,0)+TblMili[[#This Row],[Release Draft]]</f>
        <v>4065</v>
      </c>
      <c r="D42" s="94">
        <f ca="1">TblMili[[#This Row],[Military]]</f>
        <v>2188</v>
      </c>
      <c r="E42" s="94">
        <f ca="1">TblMili[[#This Row],[Draftees]]</f>
        <v>2188</v>
      </c>
      <c r="F42" s="94">
        <f ca="1">TblPop[[#This Row],[Peasants]]+TblPop[[#This Row],[Military]]</f>
        <v>6253</v>
      </c>
      <c r="G42" s="139">
        <f ca="1">TblPop[[#This Row],[Military]]/TblPop[[#This Row],[Total]]</f>
        <v>0.34991204221973454</v>
      </c>
      <c r="H42" s="140">
        <f ca="1">MIN(TblPop[[#This Row],[Peasants]],TblPop[[#This Row],[Jobs]])</f>
        <v>4065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6000</v>
      </c>
      <c r="K42" s="141"/>
      <c r="L42" s="61">
        <f ca="1">TblPop[[#This Row],[Draftees]]</f>
        <v>2188</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6253</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42" s="94">
        <f ca="1">MAX(-5%*TblPop[[#This Row],[Peasants]]-TblPop[[#This Row],[Draft Growth]],MIN(OFFSET(TblPop[[#This Row],[Net max]],1,0)-TblPop[[#This Row],[Peasants]]-TblPop[[#This Row],[Military]]-TblPop[[#This Row],[Draft Growth]],TblPop[[#This Row],[Modded Birth]]-TblPop[[#This Row],[Draft Growth]]))</f>
        <v>-41</v>
      </c>
      <c r="X42" s="94">
        <f ca="1">ROUND(TblPop[[#This Row],[Raw Birth]]*(1+TblPop[[#This Row],[Growth]]),0)</f>
        <v>219</v>
      </c>
      <c r="Y42" s="94">
        <f ca="1">(TblPop[[#This Row],[Peasants]]-TblPop[[#This Row],[Draft Growth]])*raw_pop_growth</f>
        <v>120.72</v>
      </c>
      <c r="Z42" s="94">
        <f ca="1">ROUND(IF(TblPop[[#This Row],[Military%]]&lt;TblMili[[#This Row],[Draftrate]],ROUND(TblPop[[#This Row],[Peasants]]*Constants!$B$55,0), 0) * IF(AND(TblMagic[[#This Row],[Active DnD]]&lt;=12,TblMagic[[#This Row],[Active DnD]]&gt;6),1.6,1),0)</f>
        <v>41</v>
      </c>
      <c r="AA42" s="142"/>
      <c r="AB42" s="143">
        <f ca="1">Overview!$I$17 + IF(Magic!AF42&gt;0,Constants!$F$78) + ROUND(6*(Construction!BM43+Construction!CK42)/IF(Explore!S43&gt;0,Construction!F43-20,Construction!F43),4) + tech_6_5_2*Techs!BJ42 + tech_8_4*Techs!BT42</f>
        <v>0.81079999999999997</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45816.624999999905</v>
      </c>
      <c r="C43" s="94">
        <f ca="1">OFFSET(TblPop[[#This Row],[Peasants]],-1,0)+OFFSET(TblPop[[#This Row],[Net Peasant]],-1,0)+TblMili[[#This Row],[Release Draft]]</f>
        <v>4024</v>
      </c>
      <c r="D43" s="94">
        <f ca="1">TblMili[[#This Row],[Military]]</f>
        <v>2229</v>
      </c>
      <c r="E43" s="94">
        <f ca="1">TblMili[[#This Row],[Draftees]]</f>
        <v>2229</v>
      </c>
      <c r="F43" s="94">
        <f ca="1">TblPop[[#This Row],[Peasants]]+TblPop[[#This Row],[Military]]</f>
        <v>6253</v>
      </c>
      <c r="G43" s="139">
        <f ca="1">TblPop[[#This Row],[Military]]/TblPop[[#This Row],[Total]]</f>
        <v>0.35646889493043338</v>
      </c>
      <c r="H43" s="140">
        <f ca="1">MIN(TblPop[[#This Row],[Peasants]],TblPop[[#This Row],[Jobs]])</f>
        <v>4024</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6000</v>
      </c>
      <c r="K43" s="141"/>
      <c r="L43" s="61">
        <f ca="1">TblPop[[#This Row],[Draftees]]</f>
        <v>2229</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6253</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43" s="94">
        <f ca="1">MAX(-5%*TblPop[[#This Row],[Peasants]]-TblPop[[#This Row],[Draft Growth]],MIN(OFFSET(TblPop[[#This Row],[Net max]],1,0)-TblPop[[#This Row],[Peasants]]-TblPop[[#This Row],[Military]]-TblPop[[#This Row],[Draft Growth]],TblPop[[#This Row],[Modded Birth]]-TblPop[[#This Row],[Draft Growth]]))</f>
        <v>-40</v>
      </c>
      <c r="X43" s="94">
        <f ca="1">ROUND(TblPop[[#This Row],[Raw Birth]]*(1+TblPop[[#This Row],[Growth]]),0)</f>
        <v>216</v>
      </c>
      <c r="Y43" s="94">
        <f ca="1">(TblPop[[#This Row],[Peasants]]-TblPop[[#This Row],[Draft Growth]])*raw_pop_growth</f>
        <v>119.52</v>
      </c>
      <c r="Z43" s="94">
        <f ca="1">ROUND(IF(TblPop[[#This Row],[Military%]]&lt;TblMili[[#This Row],[Draftrate]],ROUND(TblPop[[#This Row],[Peasants]]*Constants!$B$55,0), 0) * IF(AND(TblMagic[[#This Row],[Active DnD]]&lt;=12,TblMagic[[#This Row],[Active DnD]]&gt;6),1.6,1),0)</f>
        <v>40</v>
      </c>
      <c r="AA43" s="142"/>
      <c r="AB43" s="143">
        <f ca="1">Overview!$I$17 + IF(Magic!AF43&gt;0,Constants!$F$78) + ROUND(6*(Construction!BM44+Construction!CK43)/IF(Explore!S44&gt;0,Construction!F44-20,Construction!F44),4) + tech_6_5_2*Techs!BJ43 + tech_8_4*Techs!BT43</f>
        <v>0.81079999999999997</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45816.66666666657</v>
      </c>
      <c r="C44" s="94">
        <f ca="1">OFFSET(TblPop[[#This Row],[Peasants]],-1,0)+OFFSET(TblPop[[#This Row],[Net Peasant]],-1,0)+TblMili[[#This Row],[Release Draft]]</f>
        <v>3984</v>
      </c>
      <c r="D44" s="94">
        <f ca="1">TblMili[[#This Row],[Military]]</f>
        <v>2269</v>
      </c>
      <c r="E44" s="94">
        <f ca="1">TblMili[[#This Row],[Draftees]]</f>
        <v>2269</v>
      </c>
      <c r="F44" s="94">
        <f ca="1">TblPop[[#This Row],[Peasants]]+TblPop[[#This Row],[Military]]</f>
        <v>6253</v>
      </c>
      <c r="G44" s="139">
        <f ca="1">TblPop[[#This Row],[Military]]/TblPop[[#This Row],[Total]]</f>
        <v>0.36286582440428594</v>
      </c>
      <c r="H44" s="140">
        <f ca="1">MIN(TblPop[[#This Row],[Peasants]],TblPop[[#This Row],[Jobs]])</f>
        <v>3984</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6000</v>
      </c>
      <c r="K44" s="141"/>
      <c r="L44" s="61">
        <f ca="1">TblPop[[#This Row],[Draftees]]</f>
        <v>2269</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6253</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44" s="94">
        <f ca="1">MAX(-5%*TblPop[[#This Row],[Peasants]]-TblPop[[#This Row],[Draft Growth]],MIN(OFFSET(TblPop[[#This Row],[Net max]],1,0)-TblPop[[#This Row],[Peasants]]-TblPop[[#This Row],[Military]]-TblPop[[#This Row],[Draft Growth]],TblPop[[#This Row],[Modded Birth]]-TblPop[[#This Row],[Draft Growth]]))</f>
        <v>-40</v>
      </c>
      <c r="X44" s="94">
        <f ca="1">ROUND(TblPop[[#This Row],[Raw Birth]]*(1+TblPop[[#This Row],[Growth]]),0)</f>
        <v>214</v>
      </c>
      <c r="Y44" s="94">
        <f ca="1">(TblPop[[#This Row],[Peasants]]-TblPop[[#This Row],[Draft Growth]])*raw_pop_growth</f>
        <v>118.32</v>
      </c>
      <c r="Z44" s="94">
        <f ca="1">ROUND(IF(TblPop[[#This Row],[Military%]]&lt;TblMili[[#This Row],[Draftrate]],ROUND(TblPop[[#This Row],[Peasants]]*Constants!$B$55,0), 0) * IF(AND(TblMagic[[#This Row],[Active DnD]]&lt;=12,TblMagic[[#This Row],[Active DnD]]&gt;6),1.6,1),0)</f>
        <v>40</v>
      </c>
      <c r="AA44" s="142"/>
      <c r="AB44" s="143">
        <f ca="1">Overview!$I$17 + IF(Magic!AF44&gt;0,Constants!$F$78) + ROUND(6*(Construction!BM45+Construction!CK44)/IF(Explore!S45&gt;0,Construction!F45-20,Construction!F45),4) + tech_6_5_2*Techs!BJ44 + tech_8_4*Techs!BT44</f>
        <v>0.81079999999999997</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45816.708333333234</v>
      </c>
      <c r="C45" s="94">
        <f ca="1">OFFSET(TblPop[[#This Row],[Peasants]],-1,0)+OFFSET(TblPop[[#This Row],[Net Peasant]],-1,0)+TblMili[[#This Row],[Release Draft]]</f>
        <v>3944</v>
      </c>
      <c r="D45" s="94">
        <f ca="1">TblMili[[#This Row],[Military]]</f>
        <v>2309</v>
      </c>
      <c r="E45" s="94">
        <f ca="1">TblMili[[#This Row],[Draftees]]</f>
        <v>2309</v>
      </c>
      <c r="F45" s="94">
        <f ca="1">TblPop[[#This Row],[Peasants]]+TblPop[[#This Row],[Military]]</f>
        <v>6253</v>
      </c>
      <c r="G45" s="139">
        <f ca="1">TblPop[[#This Row],[Military]]/TblPop[[#This Row],[Total]]</f>
        <v>0.36926275387813851</v>
      </c>
      <c r="H45" s="140">
        <f ca="1">MIN(TblPop[[#This Row],[Peasants]],TblPop[[#This Row],[Jobs]])</f>
        <v>3944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6000</v>
      </c>
      <c r="K45" s="141"/>
      <c r="L45" s="61">
        <f ca="1">TblPop[[#This Row],[Draftees]]</f>
        <v>2309</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6253</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45" s="94">
        <f ca="1">MAX(-5%*TblPop[[#This Row],[Peasants]]-TblPop[[#This Row],[Draft Growth]],MIN(OFFSET(TblPop[[#This Row],[Net max]],1,0)-TblPop[[#This Row],[Peasants]]-TblPop[[#This Row],[Military]]-TblPop[[#This Row],[Draft Growth]],TblPop[[#This Row],[Modded Birth]]-TblPop[[#This Row],[Draft Growth]]))</f>
        <v>-39</v>
      </c>
      <c r="X45" s="94">
        <f ca="1">ROUND(TblPop[[#This Row],[Raw Birth]]*(1+TblPop[[#This Row],[Growth]]),0)</f>
        <v>212</v>
      </c>
      <c r="Y45" s="94">
        <f ca="1">(TblPop[[#This Row],[Peasants]]-TblPop[[#This Row],[Draft Growth]])*raw_pop_growth</f>
        <v>117.14999999999999</v>
      </c>
      <c r="Z45" s="94">
        <f ca="1">ROUND(IF(TblPop[[#This Row],[Military%]]&lt;TblMili[[#This Row],[Draftrate]],ROUND(TblPop[[#This Row],[Peasants]]*Constants!$B$55,0), 0) * IF(AND(TblMagic[[#This Row],[Active DnD]]&lt;=12,TblMagic[[#This Row],[Active DnD]]&gt;6),1.6,1),0)</f>
        <v>39</v>
      </c>
      <c r="AA45" s="142"/>
      <c r="AB45" s="143">
        <f ca="1">Overview!$I$17 + IF(Magic!AF45&gt;0,Constants!$F$78) + ROUND(6*(Construction!BM46+Construction!CK45)/IF(Explore!S46&gt;0,Construction!F46-20,Construction!F46),4) + tech_6_5_2*Techs!BJ45 + tech_8_4*Techs!BT45</f>
        <v>0.81079999999999997</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45816.749999999898</v>
      </c>
      <c r="C46" s="94">
        <f ca="1">OFFSET(TblPop[[#This Row],[Peasants]],-1,0)+OFFSET(TblPop[[#This Row],[Net Peasant]],-1,0)+TblMili[[#This Row],[Release Draft]]</f>
        <v>3905</v>
      </c>
      <c r="D46" s="94">
        <f ca="1">TblMili[[#This Row],[Military]]</f>
        <v>2348</v>
      </c>
      <c r="E46" s="94">
        <f ca="1">TblMili[[#This Row],[Draftees]]</f>
        <v>2348</v>
      </c>
      <c r="F46" s="94">
        <f ca="1">TblPop[[#This Row],[Peasants]]+TblPop[[#This Row],[Military]]</f>
        <v>6253</v>
      </c>
      <c r="G46" s="139">
        <f ca="1">TblPop[[#This Row],[Military]]/TblPop[[#This Row],[Total]]</f>
        <v>0.37549976011514474</v>
      </c>
      <c r="H46" s="140">
        <f ca="1">MIN(TblPop[[#This Row],[Peasants]],TblPop[[#This Row],[Jobs]])</f>
        <v>3905</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6000</v>
      </c>
      <c r="K46" s="141"/>
      <c r="L46" s="61">
        <f ca="1">TblPop[[#This Row],[Draftees]]</f>
        <v>2348</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6253</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46" s="94">
        <f ca="1">MAX(-5%*TblPop[[#This Row],[Peasants]]-TblPop[[#This Row],[Draft Growth]],MIN(OFFSET(TblPop[[#This Row],[Net max]],1,0)-TblPop[[#This Row],[Peasants]]-TblPop[[#This Row],[Military]]-TblPop[[#This Row],[Draft Growth]],TblPop[[#This Row],[Modded Birth]]-TblPop[[#This Row],[Draft Growth]]))</f>
        <v>-39</v>
      </c>
      <c r="X46" s="94">
        <f ca="1">ROUND(TblPop[[#This Row],[Raw Birth]]*(1+TblPop[[#This Row],[Growth]]),0)</f>
        <v>210</v>
      </c>
      <c r="Y46" s="94">
        <f ca="1">(TblPop[[#This Row],[Peasants]]-TblPop[[#This Row],[Draft Growth]])*raw_pop_growth</f>
        <v>115.97999999999999</v>
      </c>
      <c r="Z46" s="94">
        <f ca="1">ROUND(IF(TblPop[[#This Row],[Military%]]&lt;TblMili[[#This Row],[Draftrate]],ROUND(TblPop[[#This Row],[Peasants]]*Constants!$B$55,0), 0) * IF(AND(TblMagic[[#This Row],[Active DnD]]&lt;=12,TblMagic[[#This Row],[Active DnD]]&gt;6),1.6,1),0)</f>
        <v>39</v>
      </c>
      <c r="AA46" s="142"/>
      <c r="AB46" s="143">
        <f ca="1">Overview!$I$17 + IF(Magic!AF46&gt;0,Constants!$F$78) + ROUND(6*(Construction!BM47+Construction!CK46)/IF(Explore!S47&gt;0,Construction!F47-20,Construction!F47),4) + tech_6_5_2*Techs!BJ46 + tech_8_4*Techs!BT46</f>
        <v>0.81079999999999997</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45816.791666666562</v>
      </c>
      <c r="C47" s="94">
        <f ca="1">OFFSET(TblPop[[#This Row],[Peasants]],-1,0)+OFFSET(TblPop[[#This Row],[Net Peasant]],-1,0)+TblMili[[#This Row],[Release Draft]]</f>
        <v>3866</v>
      </c>
      <c r="D47" s="94">
        <f ca="1">TblMili[[#This Row],[Military]]</f>
        <v>2387</v>
      </c>
      <c r="E47" s="94">
        <f ca="1">TblMili[[#This Row],[Draftees]]</f>
        <v>2387</v>
      </c>
      <c r="F47" s="94">
        <f ca="1">TblPop[[#This Row],[Peasants]]+TblPop[[#This Row],[Military]]</f>
        <v>6253</v>
      </c>
      <c r="G47" s="139">
        <f ca="1">TblPop[[#This Row],[Military]]/TblPop[[#This Row],[Total]]</f>
        <v>0.38173676635215098</v>
      </c>
      <c r="H47" s="140">
        <f ca="1">MIN(TblPop[[#This Row],[Peasants]],TblPop[[#This Row],[Jobs]])</f>
        <v>3866</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6000</v>
      </c>
      <c r="K47" s="141"/>
      <c r="L47" s="61">
        <f ca="1">TblPop[[#This Row],[Draftees]]</f>
        <v>2387</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6253</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47" s="94">
        <f ca="1">MAX(-5%*TblPop[[#This Row],[Peasants]]-TblPop[[#This Row],[Draft Growth]],MIN(OFFSET(TblPop[[#This Row],[Net max]],1,0)-TblPop[[#This Row],[Peasants]]-TblPop[[#This Row],[Military]]-TblPop[[#This Row],[Draft Growth]],TblPop[[#This Row],[Modded Birth]]-TblPop[[#This Row],[Draft Growth]]))</f>
        <v>-39</v>
      </c>
      <c r="X47" s="94">
        <f ca="1">ROUND(TblPop[[#This Row],[Raw Birth]]*(1+TblPop[[#This Row],[Growth]]),0)</f>
        <v>208</v>
      </c>
      <c r="Y47" s="94">
        <f ca="1">(TblPop[[#This Row],[Peasants]]-TblPop[[#This Row],[Draft Growth]])*raw_pop_growth</f>
        <v>114.81</v>
      </c>
      <c r="Z47" s="94">
        <f ca="1">ROUND(IF(TblPop[[#This Row],[Military%]]&lt;TblMili[[#This Row],[Draftrate]],ROUND(TblPop[[#This Row],[Peasants]]*Constants!$B$55,0), 0) * IF(AND(TblMagic[[#This Row],[Active DnD]]&lt;=12,TblMagic[[#This Row],[Active DnD]]&gt;6),1.6,1),0)</f>
        <v>39</v>
      </c>
      <c r="AA47" s="142"/>
      <c r="AB47" s="143">
        <f ca="1">Overview!$I$17 + IF(Magic!AF47&gt;0,Constants!$F$78) + ROUND(6*(Construction!BM48+Construction!CK47)/IF(Explore!S48&gt;0,Construction!F48-20,Construction!F48),4) + tech_6_5_2*Techs!BJ47 + tech_8_4*Techs!BT47</f>
        <v>0.81079999999999997</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45816.833333333227</v>
      </c>
      <c r="C48" s="94">
        <f ca="1">OFFSET(TblPop[[#This Row],[Peasants]],-1,0)+OFFSET(TblPop[[#This Row],[Net Peasant]],-1,0)+TblMili[[#This Row],[Release Draft]]</f>
        <v>3827</v>
      </c>
      <c r="D48" s="94">
        <f ca="1">TblMili[[#This Row],[Military]]</f>
        <v>2426</v>
      </c>
      <c r="E48" s="94">
        <f ca="1">TblMili[[#This Row],[Draftees]]</f>
        <v>2426</v>
      </c>
      <c r="F48" s="94">
        <f ca="1">TblPop[[#This Row],[Peasants]]+TblPop[[#This Row],[Military]]</f>
        <v>6253</v>
      </c>
      <c r="G48" s="139">
        <f ca="1">TblPop[[#This Row],[Military]]/TblPop[[#This Row],[Total]]</f>
        <v>0.38797377258915722</v>
      </c>
      <c r="H48" s="140">
        <f ca="1">MIN(TblPop[[#This Row],[Peasants]],TblPop[[#This Row],[Jobs]])</f>
        <v>3827</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6000</v>
      </c>
      <c r="K48" s="141"/>
      <c r="L48" s="61">
        <f ca="1">TblPop[[#This Row],[Draftees]]</f>
        <v>2426</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6253</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48" s="94">
        <f ca="1">MAX(-5%*TblPop[[#This Row],[Peasants]]-TblPop[[#This Row],[Draft Growth]],MIN(OFFSET(TblPop[[#This Row],[Net max]],1,0)-TblPop[[#This Row],[Peasants]]-TblPop[[#This Row],[Military]]-TblPop[[#This Row],[Draft Growth]],TblPop[[#This Row],[Modded Birth]]-TblPop[[#This Row],[Draft Growth]]))</f>
        <v>-38</v>
      </c>
      <c r="X48" s="94">
        <f ca="1">ROUND(TblPop[[#This Row],[Raw Birth]]*(1+TblPop[[#This Row],[Growth]]),0)</f>
        <v>206</v>
      </c>
      <c r="Y48" s="94">
        <f ca="1">(TblPop[[#This Row],[Peasants]]-TblPop[[#This Row],[Draft Growth]])*raw_pop_growth</f>
        <v>113.67</v>
      </c>
      <c r="Z48" s="94">
        <f ca="1">ROUND(IF(TblPop[[#This Row],[Military%]]&lt;TblMili[[#This Row],[Draftrate]],ROUND(TblPop[[#This Row],[Peasants]]*Constants!$B$55,0), 0) * IF(AND(TblMagic[[#This Row],[Active DnD]]&lt;=12,TblMagic[[#This Row],[Active DnD]]&gt;6),1.6,1),0)</f>
        <v>38</v>
      </c>
      <c r="AA48" s="142"/>
      <c r="AB48" s="143">
        <f ca="1">Overview!$I$17 + IF(Magic!AF48&gt;0,Constants!$F$78) + ROUND(6*(Construction!BM49+Construction!CK48)/IF(Explore!S49&gt;0,Construction!F49-20,Construction!F49),4) + tech_6_5_2*Techs!BJ48 + tech_8_4*Techs!BT48</f>
        <v>0.81079999999999997</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45816.874999999891</v>
      </c>
      <c r="C49" s="94">
        <f ca="1">OFFSET(TblPop[[#This Row],[Peasants]],-1,0)+OFFSET(TblPop[[#This Row],[Net Peasant]],-1,0)+TblMili[[#This Row],[Release Draft]]</f>
        <v>3789</v>
      </c>
      <c r="D49" s="94">
        <f ca="1">TblMili[[#This Row],[Military]]</f>
        <v>2464</v>
      </c>
      <c r="E49" s="94">
        <f ca="1">TblMili[[#This Row],[Draftees]]</f>
        <v>2464</v>
      </c>
      <c r="F49" s="94">
        <f ca="1">TblPop[[#This Row],[Peasants]]+TblPop[[#This Row],[Military]]</f>
        <v>6253</v>
      </c>
      <c r="G49" s="139">
        <f ca="1">TblPop[[#This Row],[Military]]/TblPop[[#This Row],[Total]]</f>
        <v>0.39405085558931713</v>
      </c>
      <c r="H49" s="140">
        <f ca="1">MIN(TblPop[[#This Row],[Peasants]],TblPop[[#This Row],[Jobs]])</f>
        <v>3789</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6000</v>
      </c>
      <c r="K49" s="141"/>
      <c r="L49" s="61">
        <f ca="1">TblPop[[#This Row],[Draftees]]</f>
        <v>2464</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6253</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49" s="94">
        <f ca="1">MAX(-5%*TblPop[[#This Row],[Peasants]]-TblPop[[#This Row],[Draft Growth]],MIN(OFFSET(TblPop[[#This Row],[Net max]],1,0)-TblPop[[#This Row],[Peasants]]-TblPop[[#This Row],[Military]]-TblPop[[#This Row],[Draft Growth]],TblPop[[#This Row],[Modded Birth]]-TblPop[[#This Row],[Draft Growth]]))</f>
        <v>-38</v>
      </c>
      <c r="X49" s="94">
        <f ca="1">ROUND(TblPop[[#This Row],[Raw Birth]]*(1+TblPop[[#This Row],[Growth]]),0)</f>
        <v>204</v>
      </c>
      <c r="Y49" s="94">
        <f ca="1">(TblPop[[#This Row],[Peasants]]-TblPop[[#This Row],[Draft Growth]])*raw_pop_growth</f>
        <v>112.53</v>
      </c>
      <c r="Z49" s="94">
        <f ca="1">ROUND(IF(TblPop[[#This Row],[Military%]]&lt;TblMili[[#This Row],[Draftrate]],ROUND(TblPop[[#This Row],[Peasants]]*Constants!$B$55,0), 0) * IF(AND(TblMagic[[#This Row],[Active DnD]]&lt;=12,TblMagic[[#This Row],[Active DnD]]&gt;6),1.6,1),0)</f>
        <v>38</v>
      </c>
      <c r="AA49" s="142"/>
      <c r="AB49" s="143">
        <f ca="1">Overview!$I$17 + IF(Magic!AF49&gt;0,Constants!$F$78) + ROUND(6*(Construction!BM50+Construction!CK49)/IF(Explore!S50&gt;0,Construction!F50-20,Construction!F50),4) + tech_6_5_2*Techs!BJ49 + tech_8_4*Techs!BT49</f>
        <v>0.81079999999999997</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45816.916666666555</v>
      </c>
      <c r="C50" s="94">
        <f ca="1">OFFSET(TblPop[[#This Row],[Peasants]],-1,0)+OFFSET(TblPop[[#This Row],[Net Peasant]],-1,0)+TblMili[[#This Row],[Release Draft]]</f>
        <v>3751</v>
      </c>
      <c r="D50" s="94">
        <f ca="1">TblMili[[#This Row],[Military]]</f>
        <v>2502</v>
      </c>
      <c r="E50" s="94">
        <f ca="1">TblMili[[#This Row],[Draftees]]</f>
        <v>2502</v>
      </c>
      <c r="F50" s="94">
        <f ca="1">TblPop[[#This Row],[Peasants]]+TblPop[[#This Row],[Military]]</f>
        <v>6253</v>
      </c>
      <c r="G50" s="139">
        <f ca="1">TblPop[[#This Row],[Military]]/TblPop[[#This Row],[Total]]</f>
        <v>0.40012793858947704</v>
      </c>
      <c r="H50" s="140">
        <f ca="1">MIN(TblPop[[#This Row],[Peasants]],TblPop[[#This Row],[Jobs]])</f>
        <v>3751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6000</v>
      </c>
      <c r="K50" s="141"/>
      <c r="L50" s="61">
        <f ca="1">TblPop[[#This Row],[Draftees]]</f>
        <v>2502</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6253</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50" s="94">
        <f ca="1">MAX(-5%*TblPop[[#This Row],[Peasants]]-TblPop[[#This Row],[Draft Growth]],MIN(OFFSET(TblPop[[#This Row],[Net max]],1,0)-TblPop[[#This Row],[Peasants]]-TblPop[[#This Row],[Military]]-TblPop[[#This Row],[Draft Growth]],TblPop[[#This Row],[Modded Birth]]-TblPop[[#This Row],[Draft Growth]]))</f>
        <v>-38</v>
      </c>
      <c r="X50" s="94">
        <f ca="1">ROUND(TblPop[[#This Row],[Raw Birth]]*(1+TblPop[[#This Row],[Growth]]),0)</f>
        <v>202</v>
      </c>
      <c r="Y50" s="94">
        <f ca="1">(TblPop[[#This Row],[Peasants]]-TblPop[[#This Row],[Draft Growth]])*raw_pop_growth</f>
        <v>111.39</v>
      </c>
      <c r="Z50" s="94">
        <f ca="1">ROUND(IF(TblPop[[#This Row],[Military%]]&lt;TblMili[[#This Row],[Draftrate]],ROUND(TblPop[[#This Row],[Peasants]]*Constants!$B$55,0), 0) * IF(AND(TblMagic[[#This Row],[Active DnD]]&lt;=12,TblMagic[[#This Row],[Active DnD]]&gt;6),1.6,1),0)</f>
        <v>38</v>
      </c>
      <c r="AA50" s="142"/>
      <c r="AB50" s="143">
        <f ca="1">Overview!$I$17 + IF(Magic!AF50&gt;0,Constants!$F$78) + ROUND(6*(Construction!BM51+Construction!CK50)/IF(Explore!S51&gt;0,Construction!F51-20,Construction!F51),4) + tech_6_5_2*Techs!BJ50 + tech_8_4*Techs!BT50</f>
        <v>0.81079999999999997</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45816.958333333219</v>
      </c>
      <c r="C51" s="94">
        <f ca="1">OFFSET(TblPop[[#This Row],[Peasants]],-1,0)+OFFSET(TblPop[[#This Row],[Net Peasant]],-1,0)+TblMili[[#This Row],[Release Draft]]</f>
        <v>3713</v>
      </c>
      <c r="D51" s="94">
        <f ca="1">TblMili[[#This Row],[Military]]</f>
        <v>2540</v>
      </c>
      <c r="E51" s="94">
        <f ca="1">TblMili[[#This Row],[Draftees]]</f>
        <v>2540</v>
      </c>
      <c r="F51" s="94">
        <f ca="1">TblPop[[#This Row],[Peasants]]+TblPop[[#This Row],[Military]]</f>
        <v>6253</v>
      </c>
      <c r="G51" s="139">
        <f ca="1">TblPop[[#This Row],[Military]]/TblPop[[#This Row],[Total]]</f>
        <v>0.40620502158963695</v>
      </c>
      <c r="H51" s="140">
        <f ca="1">MIN(TblPop[[#This Row],[Peasants]],TblPop[[#This Row],[Jobs]])</f>
        <v>3713</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6000</v>
      </c>
      <c r="K51" s="141"/>
      <c r="L51" s="61">
        <f ca="1">TblPop[[#This Row],[Draftees]]</f>
        <v>2540</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6253</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51" s="94">
        <f ca="1">MAX(-5%*TblPop[[#This Row],[Peasants]]-TblPop[[#This Row],[Draft Growth]],MIN(OFFSET(TblPop[[#This Row],[Net max]],1,0)-TblPop[[#This Row],[Peasants]]-TblPop[[#This Row],[Military]]-TblPop[[#This Row],[Draft Growth]],TblPop[[#This Row],[Modded Birth]]-TblPop[[#This Row],[Draft Growth]]))</f>
        <v>-37</v>
      </c>
      <c r="X51" s="94">
        <f ca="1">ROUND(TblPop[[#This Row],[Raw Birth]]*(1+TblPop[[#This Row],[Growth]]),0)</f>
        <v>200</v>
      </c>
      <c r="Y51" s="94">
        <f ca="1">(TblPop[[#This Row],[Peasants]]-TblPop[[#This Row],[Draft Growth]])*raw_pop_growth</f>
        <v>110.28</v>
      </c>
      <c r="Z51" s="94">
        <f ca="1">ROUND(IF(TblPop[[#This Row],[Military%]]&lt;TblMili[[#This Row],[Draftrate]],ROUND(TblPop[[#This Row],[Peasants]]*Constants!$B$55,0), 0) * IF(AND(TblMagic[[#This Row],[Active DnD]]&lt;=12,TblMagic[[#This Row],[Active DnD]]&gt;6),1.6,1),0)</f>
        <v>37</v>
      </c>
      <c r="AA51" s="142"/>
      <c r="AB51" s="143">
        <f ca="1">Overview!$I$17 + IF(Magic!AF51&gt;0,Constants!$F$78) + ROUND(6*(Construction!BM52+Construction!CK51)/IF(Explore!S52&gt;0,Construction!F52-20,Construction!F52),4) + tech_6_5_2*Techs!BJ51 + tech_8_4*Techs!BT51</f>
        <v>0.81079999999999997</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45816.999999999884</v>
      </c>
      <c r="C52" s="35">
        <f ca="1">OFFSET(TblPop[[#This Row],[Peasants]],-1,0)+OFFSET(TblPop[[#This Row],[Net Peasant]],-1,0)+TblMili[[#This Row],[Release Draft]]</f>
        <v>3676</v>
      </c>
      <c r="D52" s="35">
        <f ca="1">TblMili[[#This Row],[Military]]</f>
        <v>2577</v>
      </c>
      <c r="E52" s="35">
        <f ca="1">TblMili[[#This Row],[Draftees]]</f>
        <v>2577</v>
      </c>
      <c r="F52" s="35">
        <f ca="1">TblPop[[#This Row],[Peasants]]+TblPop[[#This Row],[Military]]</f>
        <v>6253</v>
      </c>
      <c r="G52" s="146">
        <f ca="1">TblPop[[#This Row],[Military]]/TblPop[[#This Row],[Total]]</f>
        <v>0.41212218135295059</v>
      </c>
      <c r="H52" s="147">
        <f ca="1">MIN(TblPop[[#This Row],[Peasants]],TblPop[[#This Row],[Jobs]])</f>
        <v>3676</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6000</v>
      </c>
      <c r="K52" s="425"/>
      <c r="L52" s="148">
        <f ca="1">TblPop[[#This Row],[Draftees]]</f>
        <v>2577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6253</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52" s="35">
        <f ca="1">MAX(-5%*TblPop[[#This Row],[Peasants]]-TblPop[[#This Row],[Draft Growth]],MIN(OFFSET(TblPop[[#This Row],[Net max]],1,0)-TblPop[[#This Row],[Peasants]]-TblPop[[#This Row],[Military]]-TblPop[[#This Row],[Draft Growth]],TblPop[[#This Row],[Modded Birth]]-TblPop[[#This Row],[Draft Growth]]))</f>
        <v>-37</v>
      </c>
      <c r="X52" s="35">
        <f ca="1">ROUND(TblPop[[#This Row],[Raw Birth]]*(1+TblPop[[#This Row],[Growth]]),0)</f>
        <v>198</v>
      </c>
      <c r="Y52" s="35">
        <f ca="1">(TblPop[[#This Row],[Peasants]]-TblPop[[#This Row],[Draft Growth]])*raw_pop_growth</f>
        <v>109.17</v>
      </c>
      <c r="Z52" s="35">
        <f ca="1">ROUND(IF(TblPop[[#This Row],[Military%]]&lt;TblMili[[#This Row],[Draftrate]],ROUND(TblPop[[#This Row],[Peasants]]*Constants!$B$55,0), 0) * IF(AND(TblMagic[[#This Row],[Active DnD]]&lt;=12,TblMagic[[#This Row],[Active DnD]]&gt;6),1.6,1),0)</f>
        <v>37</v>
      </c>
      <c r="AA52" s="149"/>
      <c r="AB52" s="150">
        <f ca="1">Overview!$I$17 + IF(Magic!AF52&gt;0,Constants!$F$78) + ROUND(6*(Construction!BM53+Construction!CK52)/IF(Explore!S53&gt;0,Construction!F53-20,Construction!F53),4) + tech_6_5_2*Techs!BJ52 + tech_8_4*Techs!BT52</f>
        <v>0.81079999999999997</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45817.041666666548</v>
      </c>
      <c r="C53" s="94">
        <f ca="1">OFFSET(TblPop[[#This Row],[Peasants]],-1,0)+OFFSET(TblPop[[#This Row],[Net Peasant]],-1,0)+TblMili[[#This Row],[Release Draft]]</f>
        <v>3639</v>
      </c>
      <c r="D53" s="94">
        <f ca="1">TblMili[[#This Row],[Military]]</f>
        <v>2614</v>
      </c>
      <c r="E53" s="94">
        <f ca="1">TblMili[[#This Row],[Draftees]]</f>
        <v>2614</v>
      </c>
      <c r="F53" s="94">
        <f ca="1">TblPop[[#This Row],[Peasants]]+TblPop[[#This Row],[Military]]</f>
        <v>6253</v>
      </c>
      <c r="G53" s="139">
        <f ca="1">TblPop[[#This Row],[Military]]/TblPop[[#This Row],[Total]]</f>
        <v>0.41803934111626417</v>
      </c>
      <c r="H53" s="140">
        <f ca="1">MIN(TblPop[[#This Row],[Peasants]],TblPop[[#This Row],[Jobs]])</f>
        <v>3639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6000</v>
      </c>
      <c r="K53" s="141"/>
      <c r="L53" s="61">
        <f ca="1">TblPop[[#This Row],[Draftees]]</f>
        <v>2614</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6253</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53" s="94">
        <f ca="1">MAX(-5%*TblPop[[#This Row],[Peasants]]-TblPop[[#This Row],[Draft Growth]],MIN(OFFSET(TblPop[[#This Row],[Net max]],1,0)-TblPop[[#This Row],[Peasants]]-TblPop[[#This Row],[Military]]-TblPop[[#This Row],[Draft Growth]],TblPop[[#This Row],[Modded Birth]]-TblPop[[#This Row],[Draft Growth]]))</f>
        <v>-36</v>
      </c>
      <c r="X53" s="94">
        <f ca="1">ROUND(TblPop[[#This Row],[Raw Birth]]*(1+TblPop[[#This Row],[Growth]]),0)</f>
        <v>196</v>
      </c>
      <c r="Y53" s="94">
        <f ca="1">(TblPop[[#This Row],[Peasants]]-TblPop[[#This Row],[Draft Growth]])*raw_pop_growth</f>
        <v>108.08999999999999</v>
      </c>
      <c r="Z53" s="94">
        <f ca="1">ROUND(IF(TblPop[[#This Row],[Military%]]&lt;TblMili[[#This Row],[Draftrate]],ROUND(TblPop[[#This Row],[Peasants]]*Constants!$B$55,0), 0) * IF(AND(TblMagic[[#This Row],[Active DnD]]&lt;=12,TblMagic[[#This Row],[Active DnD]]&gt;6),1.6,1),0)</f>
        <v>36</v>
      </c>
      <c r="AA53" s="142"/>
      <c r="AB53" s="143">
        <f ca="1">Overview!$I$17 + IF(Magic!AF53&gt;0,Constants!$F$78) + ROUND(6*(Construction!BM54+Construction!CK53)/IF(Explore!S54&gt;0,Construction!F54-20,Construction!F54),4) + tech_6_5_2*Techs!BJ53 + tech_8_4*Techs!BT53</f>
        <v>0.81079999999999997</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45817.083333333212</v>
      </c>
      <c r="C54" s="94">
        <f ca="1">OFFSET(TblPop[[#This Row],[Peasants]],-1,0)+OFFSET(TblPop[[#This Row],[Net Peasant]],-1,0)+TblMili[[#This Row],[Release Draft]]</f>
        <v>3603</v>
      </c>
      <c r="D54" s="94">
        <f ca="1">TblMili[[#This Row],[Military]]</f>
        <v>2650</v>
      </c>
      <c r="E54" s="94">
        <f ca="1">TblMili[[#This Row],[Draftees]]</f>
        <v>2650</v>
      </c>
      <c r="F54" s="94">
        <f ca="1">TblPop[[#This Row],[Peasants]]+TblPop[[#This Row],[Military]]</f>
        <v>6253</v>
      </c>
      <c r="G54" s="139">
        <f ca="1">TblPop[[#This Row],[Military]]/TblPop[[#This Row],[Total]]</f>
        <v>0.42379657764273149</v>
      </c>
      <c r="H54" s="140">
        <f ca="1">MIN(TblPop[[#This Row],[Peasants]],TblPop[[#This Row],[Jobs]])</f>
        <v>3603</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6000</v>
      </c>
      <c r="K54" s="141"/>
      <c r="L54" s="61">
        <f ca="1">TblPop[[#This Row],[Draftees]]</f>
        <v>2650</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6253</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54" s="94">
        <f ca="1">MAX(-5%*TblPop[[#This Row],[Peasants]]-TblPop[[#This Row],[Draft Growth]],MIN(OFFSET(TblPop[[#This Row],[Net max]],1,0)-TblPop[[#This Row],[Peasants]]-TblPop[[#This Row],[Military]]-TblPop[[#This Row],[Draft Growth]],TblPop[[#This Row],[Modded Birth]]-TblPop[[#This Row],[Draft Growth]]))</f>
        <v>-36</v>
      </c>
      <c r="X54" s="94">
        <f ca="1">ROUND(TblPop[[#This Row],[Raw Birth]]*(1+TblPop[[#This Row],[Growth]]),0)</f>
        <v>194</v>
      </c>
      <c r="Y54" s="94">
        <f ca="1">(TblPop[[#This Row],[Peasants]]-TblPop[[#This Row],[Draft Growth]])*raw_pop_growth</f>
        <v>107.00999999999999</v>
      </c>
      <c r="Z54" s="94">
        <f ca="1">ROUND(IF(TblPop[[#This Row],[Military%]]&lt;TblMili[[#This Row],[Draftrate]],ROUND(TblPop[[#This Row],[Peasants]]*Constants!$B$55,0), 0) * IF(AND(TblMagic[[#This Row],[Active DnD]]&lt;=12,TblMagic[[#This Row],[Active DnD]]&gt;6),1.6,1),0)</f>
        <v>36</v>
      </c>
      <c r="AA54" s="142"/>
      <c r="AB54" s="143">
        <f ca="1">Overview!$I$17 + IF(Magic!AF54&gt;0,Constants!$F$78) + ROUND(6*(Construction!BM55+Construction!CK54)/IF(Explore!S55&gt;0,Construction!F55-20,Construction!F55),4) + tech_6_5_2*Techs!BJ54 + tech_8_4*Techs!BT54</f>
        <v>0.81079999999999997</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45817.124999999876</v>
      </c>
      <c r="C55" s="94">
        <f ca="1">OFFSET(TblPop[[#This Row],[Peasants]],-1,0)+OFFSET(TblPop[[#This Row],[Net Peasant]],-1,0)+TblMili[[#This Row],[Release Draft]]</f>
        <v>3567</v>
      </c>
      <c r="D55" s="94">
        <f ca="1">TblMili[[#This Row],[Military]]</f>
        <v>2686</v>
      </c>
      <c r="E55" s="94">
        <f ca="1">TblMili[[#This Row],[Draftees]]</f>
        <v>2686</v>
      </c>
      <c r="F55" s="94">
        <f ca="1">TblPop[[#This Row],[Peasants]]+TblPop[[#This Row],[Military]]</f>
        <v>6253</v>
      </c>
      <c r="G55" s="139">
        <f ca="1">TblPop[[#This Row],[Military]]/TblPop[[#This Row],[Total]]</f>
        <v>0.4295538141691988</v>
      </c>
      <c r="H55" s="140">
        <f ca="1">MIN(TblPop[[#This Row],[Peasants]],TblPop[[#This Row],[Jobs]])</f>
        <v>3567</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6000</v>
      </c>
      <c r="K55" s="141"/>
      <c r="L55" s="61">
        <f ca="1">TblPop[[#This Row],[Draftees]]</f>
        <v>2686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6253</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55" s="94">
        <f ca="1">MAX(-5%*TblPop[[#This Row],[Peasants]]-TblPop[[#This Row],[Draft Growth]],MIN(OFFSET(TblPop[[#This Row],[Net max]],1,0)-TblPop[[#This Row],[Peasants]]-TblPop[[#This Row],[Military]]-TblPop[[#This Row],[Draft Growth]],TblPop[[#This Row],[Modded Birth]]-TblPop[[#This Row],[Draft Growth]]))</f>
        <v>-36</v>
      </c>
      <c r="X55" s="94">
        <f ca="1">ROUND(TblPop[[#This Row],[Raw Birth]]*(1+TblPop[[#This Row],[Growth]]),0)</f>
        <v>192</v>
      </c>
      <c r="Y55" s="94">
        <f ca="1">(TblPop[[#This Row],[Peasants]]-TblPop[[#This Row],[Draft Growth]])*raw_pop_growth</f>
        <v>105.92999999999999</v>
      </c>
      <c r="Z55" s="94">
        <f ca="1">ROUND(IF(TblPop[[#This Row],[Military%]]&lt;TblMili[[#This Row],[Draftrate]],ROUND(TblPop[[#This Row],[Peasants]]*Constants!$B$55,0), 0) * IF(AND(TblMagic[[#This Row],[Active DnD]]&lt;=12,TblMagic[[#This Row],[Active DnD]]&gt;6),1.6,1),0)</f>
        <v>36</v>
      </c>
      <c r="AA55" s="142"/>
      <c r="AB55" s="143">
        <f ca="1">Overview!$I$17 + IF(Magic!AF55&gt;0,Constants!$F$78) + ROUND(6*(Construction!BM56+Construction!CK55)/IF(Explore!S56&gt;0,Construction!F56-20,Construction!F56),4) + tech_6_5_2*Techs!BJ55 + tech_8_4*Techs!BT55</f>
        <v>0.81079999999999997</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45817.166666666541</v>
      </c>
      <c r="C56" s="94">
        <f ca="1">OFFSET(TblPop[[#This Row],[Peasants]],-1,0)+OFFSET(TblPop[[#This Row],[Net Peasant]],-1,0)+TblMili[[#This Row],[Release Draft]]</f>
        <v>3531</v>
      </c>
      <c r="D56" s="94">
        <f ca="1">TblMili[[#This Row],[Military]]</f>
        <v>2722</v>
      </c>
      <c r="E56" s="94">
        <f ca="1">TblMili[[#This Row],[Draftees]]</f>
        <v>2722</v>
      </c>
      <c r="F56" s="94">
        <f ca="1">TblPop[[#This Row],[Peasants]]+TblPop[[#This Row],[Military]]</f>
        <v>6253</v>
      </c>
      <c r="G56" s="139">
        <f ca="1">TblPop[[#This Row],[Military]]/TblPop[[#This Row],[Total]]</f>
        <v>0.43531105069566606</v>
      </c>
      <c r="H56" s="140">
        <f ca="1">MIN(TblPop[[#This Row],[Peasants]],TblPop[[#This Row],[Jobs]])</f>
        <v>3531</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6000</v>
      </c>
      <c r="K56" s="141"/>
      <c r="L56" s="61">
        <f ca="1">TblPop[[#This Row],[Draftees]]</f>
        <v>2722</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6253</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56" s="94">
        <f ca="1">MAX(-5%*TblPop[[#This Row],[Peasants]]-TblPop[[#This Row],[Draft Growth]],MIN(OFFSET(TblPop[[#This Row],[Net max]],1,0)-TblPop[[#This Row],[Peasants]]-TblPop[[#This Row],[Military]]-TblPop[[#This Row],[Draft Growth]],TblPop[[#This Row],[Modded Birth]]-TblPop[[#This Row],[Draft Growth]]))</f>
        <v>-35</v>
      </c>
      <c r="X56" s="94">
        <f ca="1">ROUND(TblPop[[#This Row],[Raw Birth]]*(1+TblPop[[#This Row],[Growth]]),0)</f>
        <v>190</v>
      </c>
      <c r="Y56" s="94">
        <f ca="1">(TblPop[[#This Row],[Peasants]]-TblPop[[#This Row],[Draft Growth]])*raw_pop_growth</f>
        <v>104.88</v>
      </c>
      <c r="Z56" s="94">
        <f ca="1">ROUND(IF(TblPop[[#This Row],[Military%]]&lt;TblMili[[#This Row],[Draftrate]],ROUND(TblPop[[#This Row],[Peasants]]*Constants!$B$55,0), 0) * IF(AND(TblMagic[[#This Row],[Active DnD]]&lt;=12,TblMagic[[#This Row],[Active DnD]]&gt;6),1.6,1),0)</f>
        <v>35</v>
      </c>
      <c r="AA56" s="142"/>
      <c r="AB56" s="143">
        <f ca="1">Overview!$I$17 + IF(Magic!AF56&gt;0,Constants!$F$78) + ROUND(6*(Construction!BM57+Construction!CK56)/IF(Explore!S57&gt;0,Construction!F57-20,Construction!F57),4) + tech_6_5_2*Techs!BJ56 + tech_8_4*Techs!BT56</f>
        <v>0.81079999999999997</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45817.208333333205</v>
      </c>
      <c r="C57" s="94">
        <f ca="1">OFFSET(TblPop[[#This Row],[Peasants]],-1,0)+OFFSET(TblPop[[#This Row],[Net Peasant]],-1,0)+TblMili[[#This Row],[Release Draft]]</f>
        <v>3496</v>
      </c>
      <c r="D57" s="94">
        <f ca="1">TblMili[[#This Row],[Military]]</f>
        <v>2757</v>
      </c>
      <c r="E57" s="94">
        <f ca="1">TblMili[[#This Row],[Draftees]]</f>
        <v>2757</v>
      </c>
      <c r="F57" s="94">
        <f ca="1">TblPop[[#This Row],[Peasants]]+TblPop[[#This Row],[Military]]</f>
        <v>6253</v>
      </c>
      <c r="G57" s="139">
        <f ca="1">TblPop[[#This Row],[Military]]/TblPop[[#This Row],[Total]]</f>
        <v>0.44090836398528704</v>
      </c>
      <c r="H57" s="140">
        <f ca="1">MIN(TblPop[[#This Row],[Peasants]],TblPop[[#This Row],[Jobs]])</f>
        <v>3496</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6000</v>
      </c>
      <c r="K57" s="141"/>
      <c r="L57" s="61">
        <f ca="1">TblPop[[#This Row],[Draftees]]</f>
        <v>2757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6253</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57" s="94">
        <f ca="1">MAX(-5%*TblPop[[#This Row],[Peasants]]-TblPop[[#This Row],[Draft Growth]],MIN(OFFSET(TblPop[[#This Row],[Net max]],1,0)-TblPop[[#This Row],[Peasants]]-TblPop[[#This Row],[Military]]-TblPop[[#This Row],[Draft Growth]],TblPop[[#This Row],[Modded Birth]]-TblPop[[#This Row],[Draft Growth]]))</f>
        <v>-35</v>
      </c>
      <c r="X57" s="94">
        <f ca="1">ROUND(TblPop[[#This Row],[Raw Birth]]*(1+TblPop[[#This Row],[Growth]]),0)</f>
        <v>188</v>
      </c>
      <c r="Y57" s="94">
        <f ca="1">(TblPop[[#This Row],[Peasants]]-TblPop[[#This Row],[Draft Growth]])*raw_pop_growth</f>
        <v>103.83</v>
      </c>
      <c r="Z57" s="94">
        <f ca="1">ROUND(IF(TblPop[[#This Row],[Military%]]&lt;TblMili[[#This Row],[Draftrate]],ROUND(TblPop[[#This Row],[Peasants]]*Constants!$B$55,0), 0) * IF(AND(TblMagic[[#This Row],[Active DnD]]&lt;=12,TblMagic[[#This Row],[Active DnD]]&gt;6),1.6,1),0)</f>
        <v>35</v>
      </c>
      <c r="AA57" s="142"/>
      <c r="AB57" s="143">
        <f ca="1">Overview!$I$17 + IF(Magic!AF57&gt;0,Constants!$F$78) + ROUND(6*(Construction!BM58+Construction!CK57)/IF(Explore!S58&gt;0,Construction!F58-20,Construction!F58),4) + tech_6_5_2*Techs!BJ57 + tech_8_4*Techs!BT57</f>
        <v>0.81079999999999997</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45817.249999999869</v>
      </c>
      <c r="C58" s="94">
        <f ca="1">OFFSET(TblPop[[#This Row],[Peasants]],-1,0)+OFFSET(TblPop[[#This Row],[Net Peasant]],-1,0)+TblMili[[#This Row],[Release Draft]]</f>
        <v>3461</v>
      </c>
      <c r="D58" s="94">
        <f ca="1">TblMili[[#This Row],[Military]]</f>
        <v>2792</v>
      </c>
      <c r="E58" s="94">
        <f ca="1">TblMili[[#This Row],[Draftees]]</f>
        <v>2792</v>
      </c>
      <c r="F58" s="94">
        <f ca="1">TblPop[[#This Row],[Peasants]]+TblPop[[#This Row],[Military]]</f>
        <v>6253</v>
      </c>
      <c r="G58" s="139">
        <f ca="1">TblPop[[#This Row],[Military]]/TblPop[[#This Row],[Total]]</f>
        <v>0.44650567727490803</v>
      </c>
      <c r="H58" s="140">
        <f ca="1">MIN(TblPop[[#This Row],[Peasants]],TblPop[[#This Row],[Jobs]])</f>
        <v>3461</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6000</v>
      </c>
      <c r="K58" s="141"/>
      <c r="L58" s="61">
        <f ca="1">TblPop[[#This Row],[Draftees]]</f>
        <v>2792</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6253</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58" s="94">
        <f ca="1">MAX(-5%*TblPop[[#This Row],[Peasants]]-TblPop[[#This Row],[Draft Growth]],MIN(OFFSET(TblPop[[#This Row],[Net max]],1,0)-TblPop[[#This Row],[Peasants]]-TblPop[[#This Row],[Military]]-TblPop[[#This Row],[Draft Growth]],TblPop[[#This Row],[Modded Birth]]-TblPop[[#This Row],[Draft Growth]]))</f>
        <v>-35</v>
      </c>
      <c r="X58" s="94">
        <f ca="1">ROUND(TblPop[[#This Row],[Raw Birth]]*(1+TblPop[[#This Row],[Growth]]),0)</f>
        <v>186</v>
      </c>
      <c r="Y58" s="94">
        <f ca="1">(TblPop[[#This Row],[Peasants]]-TblPop[[#This Row],[Draft Growth]])*raw_pop_growth</f>
        <v>102.78</v>
      </c>
      <c r="Z58" s="94">
        <f ca="1">ROUND(IF(TblPop[[#This Row],[Military%]]&lt;TblMili[[#This Row],[Draftrate]],ROUND(TblPop[[#This Row],[Peasants]]*Constants!$B$55,0), 0) * IF(AND(TblMagic[[#This Row],[Active DnD]]&lt;=12,TblMagic[[#This Row],[Active DnD]]&gt;6),1.6,1),0)</f>
        <v>35</v>
      </c>
      <c r="AA58" s="142"/>
      <c r="AB58" s="143">
        <f ca="1">Overview!$I$17 + IF(Magic!AF58&gt;0,Constants!$F$78) + ROUND(6*(Construction!BM59+Construction!CK58)/IF(Explore!S59&gt;0,Construction!F59-20,Construction!F59),4) + tech_6_5_2*Techs!BJ58 + tech_8_4*Techs!BT58</f>
        <v>0.81079999999999997</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45817.291666666533</v>
      </c>
      <c r="C59" s="94">
        <f ca="1">OFFSET(TblPop[[#This Row],[Peasants]],-1,0)+OFFSET(TblPop[[#This Row],[Net Peasant]],-1,0)+TblMili[[#This Row],[Release Draft]]</f>
        <v>3426</v>
      </c>
      <c r="D59" s="94">
        <f ca="1">TblMili[[#This Row],[Military]]</f>
        <v>2827</v>
      </c>
      <c r="E59" s="94">
        <f ca="1">TblMili[[#This Row],[Draftees]]</f>
        <v>2827</v>
      </c>
      <c r="F59" s="94">
        <f ca="1">TblPop[[#This Row],[Peasants]]+TblPop[[#This Row],[Military]]</f>
        <v>6253</v>
      </c>
      <c r="G59" s="139">
        <f ca="1">TblPop[[#This Row],[Military]]/TblPop[[#This Row],[Total]]</f>
        <v>0.45210299056452902</v>
      </c>
      <c r="H59" s="140">
        <f ca="1">MIN(TblPop[[#This Row],[Peasants]],TblPop[[#This Row],[Jobs]])</f>
        <v>3426</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6000</v>
      </c>
      <c r="K59" s="141"/>
      <c r="L59" s="61">
        <f ca="1">TblPop[[#This Row],[Draftees]]</f>
        <v>2827</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6253</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59" s="94">
        <f ca="1">MAX(-5%*TblPop[[#This Row],[Peasants]]-TblPop[[#This Row],[Draft Growth]],MIN(OFFSET(TblPop[[#This Row],[Net max]],1,0)-TblPop[[#This Row],[Peasants]]-TblPop[[#This Row],[Military]]-TblPop[[#This Row],[Draft Growth]],TblPop[[#This Row],[Modded Birth]]-TblPop[[#This Row],[Draft Growth]]))</f>
        <v>-34</v>
      </c>
      <c r="X59" s="94">
        <f ca="1">ROUND(TblPop[[#This Row],[Raw Birth]]*(1+TblPop[[#This Row],[Growth]]),0)</f>
        <v>184</v>
      </c>
      <c r="Y59" s="94">
        <f ca="1">(TblPop[[#This Row],[Peasants]]-TblPop[[#This Row],[Draft Growth]])*raw_pop_growth</f>
        <v>101.75999999999999</v>
      </c>
      <c r="Z59" s="94">
        <f ca="1">ROUND(IF(TblPop[[#This Row],[Military%]]&lt;TblMili[[#This Row],[Draftrate]],ROUND(TblPop[[#This Row],[Peasants]]*Constants!$B$55,0), 0) * IF(AND(TblMagic[[#This Row],[Active DnD]]&lt;=12,TblMagic[[#This Row],[Active DnD]]&gt;6),1.6,1),0)</f>
        <v>34</v>
      </c>
      <c r="AA59" s="142"/>
      <c r="AB59" s="143">
        <f ca="1">Overview!$I$17 + IF(Magic!AF59&gt;0,Constants!$F$78) + ROUND(6*(Construction!BM60+Construction!CK59)/IF(Explore!S60&gt;0,Construction!F60-20,Construction!F60),4) + tech_6_5_2*Techs!BJ59 + tech_8_4*Techs!BT59</f>
        <v>0.81079999999999997</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45817.333333333198</v>
      </c>
      <c r="C60" s="94">
        <f ca="1">OFFSET(TblPop[[#This Row],[Peasants]],-1,0)+OFFSET(TblPop[[#This Row],[Net Peasant]],-1,0)+TblMili[[#This Row],[Release Draft]]</f>
        <v>3392</v>
      </c>
      <c r="D60" s="94">
        <f ca="1">TblMili[[#This Row],[Military]]</f>
        <v>2861</v>
      </c>
      <c r="E60" s="94">
        <f ca="1">TblMili[[#This Row],[Draftees]]</f>
        <v>2861</v>
      </c>
      <c r="F60" s="94">
        <f ca="1">TblPop[[#This Row],[Peasants]]+TblPop[[#This Row],[Military]]</f>
        <v>6253</v>
      </c>
      <c r="G60" s="139">
        <f ca="1">TblPop[[#This Row],[Military]]/TblPop[[#This Row],[Total]]</f>
        <v>0.45754038061730368</v>
      </c>
      <c r="H60" s="140">
        <f ca="1">MIN(TblPop[[#This Row],[Peasants]],TblPop[[#This Row],[Jobs]])</f>
        <v>3392</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6000</v>
      </c>
      <c r="K60" s="141"/>
      <c r="L60" s="61">
        <f ca="1">TblPop[[#This Row],[Draftees]]</f>
        <v>2861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6253</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60" s="94">
        <f ca="1">MAX(-5%*TblPop[[#This Row],[Peasants]]-TblPop[[#This Row],[Draft Growth]],MIN(OFFSET(TblPop[[#This Row],[Net max]],1,0)-TblPop[[#This Row],[Peasants]]-TblPop[[#This Row],[Military]]-TblPop[[#This Row],[Draft Growth]],TblPop[[#This Row],[Modded Birth]]-TblPop[[#This Row],[Draft Growth]]))</f>
        <v>-34</v>
      </c>
      <c r="X60" s="94">
        <f ca="1">ROUND(TblPop[[#This Row],[Raw Birth]]*(1+TblPop[[#This Row],[Growth]]),0)</f>
        <v>182</v>
      </c>
      <c r="Y60" s="94">
        <f ca="1">(TblPop[[#This Row],[Peasants]]-TblPop[[#This Row],[Draft Growth]])*raw_pop_growth</f>
        <v>100.74</v>
      </c>
      <c r="Z60" s="94">
        <f ca="1">ROUND(IF(TblPop[[#This Row],[Military%]]&lt;TblMili[[#This Row],[Draftrate]],ROUND(TblPop[[#This Row],[Peasants]]*Constants!$B$55,0), 0) * IF(AND(TblMagic[[#This Row],[Active DnD]]&lt;=12,TblMagic[[#This Row],[Active DnD]]&gt;6),1.6,1),0)</f>
        <v>34</v>
      </c>
      <c r="AA60" s="142"/>
      <c r="AB60" s="143">
        <f ca="1">Overview!$I$17 + IF(Magic!AF60&gt;0,Constants!$F$78) + ROUND(6*(Construction!BM61+Construction!CK60)/IF(Explore!S61&gt;0,Construction!F61-20,Construction!F61),4) + tech_6_5_2*Techs!BJ60 + tech_8_4*Techs!BT60</f>
        <v>0.81079999999999997</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45817.374999999862</v>
      </c>
      <c r="C61" s="94">
        <f ca="1">OFFSET(TblPop[[#This Row],[Peasants]],-1,0)+OFFSET(TblPop[[#This Row],[Net Peasant]],-1,0)+TblMili[[#This Row],[Release Draft]]</f>
        <v>3358</v>
      </c>
      <c r="D61" s="94">
        <f ca="1">TblMili[[#This Row],[Military]]</f>
        <v>2895</v>
      </c>
      <c r="E61" s="94">
        <f ca="1">TblMili[[#This Row],[Draftees]]</f>
        <v>2895</v>
      </c>
      <c r="F61" s="94">
        <f ca="1">TblPop[[#This Row],[Peasants]]+TblPop[[#This Row],[Military]]</f>
        <v>6253</v>
      </c>
      <c r="G61" s="139">
        <f ca="1">TblPop[[#This Row],[Military]]/TblPop[[#This Row],[Total]]</f>
        <v>0.46297777067007834</v>
      </c>
      <c r="H61" s="140">
        <f ca="1">MIN(TblPop[[#This Row],[Peasants]],TblPop[[#This Row],[Jobs]])</f>
        <v>3358</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6000</v>
      </c>
      <c r="K61" s="141"/>
      <c r="L61" s="61">
        <f ca="1">TblPop[[#This Row],[Draftees]]</f>
        <v>2895</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6253</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61" s="94">
        <f ca="1">MAX(-5%*TblPop[[#This Row],[Peasants]]-TblPop[[#This Row],[Draft Growth]],MIN(OFFSET(TblPop[[#This Row],[Net max]],1,0)-TblPop[[#This Row],[Peasants]]-TblPop[[#This Row],[Military]]-TblPop[[#This Row],[Draft Growth]],TblPop[[#This Row],[Modded Birth]]-TblPop[[#This Row],[Draft Growth]]))</f>
        <v>-34</v>
      </c>
      <c r="X61" s="94">
        <f ca="1">ROUND(TblPop[[#This Row],[Raw Birth]]*(1+TblPop[[#This Row],[Growth]]),0)</f>
        <v>181</v>
      </c>
      <c r="Y61" s="94">
        <f ca="1">(TblPop[[#This Row],[Peasants]]-TblPop[[#This Row],[Draft Growth]])*raw_pop_growth</f>
        <v>99.72</v>
      </c>
      <c r="Z61" s="94">
        <f ca="1">ROUND(IF(TblPop[[#This Row],[Military%]]&lt;TblMili[[#This Row],[Draftrate]],ROUND(TblPop[[#This Row],[Peasants]]*Constants!$B$55,0), 0) * IF(AND(TblMagic[[#This Row],[Active DnD]]&lt;=12,TblMagic[[#This Row],[Active DnD]]&gt;6),1.6,1),0)</f>
        <v>34</v>
      </c>
      <c r="AA61" s="142"/>
      <c r="AB61" s="143">
        <f ca="1">Overview!$I$17 + IF(Magic!AF61&gt;0,Constants!$F$78) + ROUND(6*(Construction!BM62+Construction!CK61)/IF(Explore!S62&gt;0,Construction!F62-20,Construction!F62),4) + tech_6_5_2*Techs!BJ61 + tech_8_4*Techs!BT61</f>
        <v>0.81079999999999997</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45817.416666666526</v>
      </c>
      <c r="C62" s="94">
        <f ca="1">OFFSET(TblPop[[#This Row],[Peasants]],-1,0)+OFFSET(TblPop[[#This Row],[Net Peasant]],-1,0)+TblMili[[#This Row],[Release Draft]]</f>
        <v>3324</v>
      </c>
      <c r="D62" s="94">
        <f ca="1">TblMili[[#This Row],[Military]]</f>
        <v>2929</v>
      </c>
      <c r="E62" s="94">
        <f ca="1">TblMili[[#This Row],[Draftees]]</f>
        <v>2929</v>
      </c>
      <c r="F62" s="94">
        <f ca="1">TblPop[[#This Row],[Peasants]]+TblPop[[#This Row],[Military]]</f>
        <v>6253</v>
      </c>
      <c r="G62" s="139">
        <f ca="1">TblPop[[#This Row],[Military]]/TblPop[[#This Row],[Total]]</f>
        <v>0.46841516072285305</v>
      </c>
      <c r="H62" s="140">
        <f ca="1">MIN(TblPop[[#This Row],[Peasants]],TblPop[[#This Row],[Jobs]])</f>
        <v>3324</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6000</v>
      </c>
      <c r="K62" s="141"/>
      <c r="L62" s="61">
        <f ca="1">TblPop[[#This Row],[Draftees]]</f>
        <v>2929</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6253</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62" s="94">
        <f ca="1">MAX(-5%*TblPop[[#This Row],[Peasants]]-TblPop[[#This Row],[Draft Growth]],MIN(OFFSET(TblPop[[#This Row],[Net max]],1,0)-TblPop[[#This Row],[Peasants]]-TblPop[[#This Row],[Military]]-TblPop[[#This Row],[Draft Growth]],TblPop[[#This Row],[Modded Birth]]-TblPop[[#This Row],[Draft Growth]]))</f>
        <v>-33</v>
      </c>
      <c r="X62" s="94">
        <f ca="1">ROUND(TblPop[[#This Row],[Raw Birth]]*(1+TblPop[[#This Row],[Growth]]),0)</f>
        <v>179</v>
      </c>
      <c r="Y62" s="94">
        <f ca="1">(TblPop[[#This Row],[Peasants]]-TblPop[[#This Row],[Draft Growth]])*raw_pop_growth</f>
        <v>98.72999999999999</v>
      </c>
      <c r="Z62" s="94">
        <f ca="1">ROUND(IF(TblPop[[#This Row],[Military%]]&lt;TblMili[[#This Row],[Draftrate]],ROUND(TblPop[[#This Row],[Peasants]]*Constants!$B$55,0), 0) * IF(AND(TblMagic[[#This Row],[Active DnD]]&lt;=12,TblMagic[[#This Row],[Active DnD]]&gt;6),1.6,1),0)</f>
        <v>33</v>
      </c>
      <c r="AA62" s="142"/>
      <c r="AB62" s="143">
        <f ca="1">Overview!$I$17 + IF(Magic!AF62&gt;0,Constants!$F$78) + ROUND(6*(Construction!BM63+Construction!CK62)/IF(Explore!S63&gt;0,Construction!F63-20,Construction!F63),4) + tech_6_5_2*Techs!BJ62 + tech_8_4*Techs!BT62</f>
        <v>0.81079999999999997</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45817.45833333319</v>
      </c>
      <c r="C63" s="94">
        <f ca="1">OFFSET(TblPop[[#This Row],[Peasants]],-1,0)+OFFSET(TblPop[[#This Row],[Net Peasant]],-1,0)+TblMili[[#This Row],[Release Draft]]</f>
        <v>3291</v>
      </c>
      <c r="D63" s="94">
        <f ca="1">TblMili[[#This Row],[Military]]</f>
        <v>2962</v>
      </c>
      <c r="E63" s="94">
        <f ca="1">TblMili[[#This Row],[Draftees]]</f>
        <v>2962</v>
      </c>
      <c r="F63" s="94">
        <f ca="1">TblPop[[#This Row],[Peasants]]+TblPop[[#This Row],[Military]]</f>
        <v>6253</v>
      </c>
      <c r="G63" s="139">
        <f ca="1">TblPop[[#This Row],[Military]]/TblPop[[#This Row],[Total]]</f>
        <v>0.47369262753878139</v>
      </c>
      <c r="H63" s="140">
        <f ca="1">MIN(TblPop[[#This Row],[Peasants]],TblPop[[#This Row],[Jobs]])</f>
        <v>3291</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6000</v>
      </c>
      <c r="K63" s="141"/>
      <c r="L63" s="61">
        <f ca="1">TblPop[[#This Row],[Draftees]]</f>
        <v>2962</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6253</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63" s="94">
        <f ca="1">MAX(-5%*TblPop[[#This Row],[Peasants]]-TblPop[[#This Row],[Draft Growth]],MIN(OFFSET(TblPop[[#This Row],[Net max]],1,0)-TblPop[[#This Row],[Peasants]]-TblPop[[#This Row],[Military]]-TblPop[[#This Row],[Draft Growth]],TblPop[[#This Row],[Modded Birth]]-TblPop[[#This Row],[Draft Growth]]))</f>
        <v>-33</v>
      </c>
      <c r="X63" s="94">
        <f ca="1">ROUND(TblPop[[#This Row],[Raw Birth]]*(1+TblPop[[#This Row],[Growth]]),0)</f>
        <v>177</v>
      </c>
      <c r="Y63" s="94">
        <f ca="1">(TblPop[[#This Row],[Peasants]]-TblPop[[#This Row],[Draft Growth]])*raw_pop_growth</f>
        <v>97.74</v>
      </c>
      <c r="Z63" s="94">
        <f ca="1">ROUND(IF(TblPop[[#This Row],[Military%]]&lt;TblMili[[#This Row],[Draftrate]],ROUND(TblPop[[#This Row],[Peasants]]*Constants!$B$55,0), 0) * IF(AND(TblMagic[[#This Row],[Active DnD]]&lt;=12,TblMagic[[#This Row],[Active DnD]]&gt;6),1.6,1),0)</f>
        <v>33</v>
      </c>
      <c r="AA63" s="142"/>
      <c r="AB63" s="143">
        <f ca="1">Overview!$I$17 + IF(Magic!AF63&gt;0,Constants!$F$78) + ROUND(6*(Construction!BM64+Construction!CK63)/IF(Explore!S64&gt;0,Construction!F64-20,Construction!F64),4) + tech_6_5_2*Techs!BJ63 + tech_8_4*Techs!BT63</f>
        <v>0.81079999999999997</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45817.499999999854</v>
      </c>
      <c r="C64" s="94">
        <f ca="1">OFFSET(TblPop[[#This Row],[Peasants]],-1,0)+OFFSET(TblPop[[#This Row],[Net Peasant]],-1,0)+TblMili[[#This Row],[Release Draft]]</f>
        <v>3258</v>
      </c>
      <c r="D64" s="94">
        <f ca="1">TblMili[[#This Row],[Military]]</f>
        <v>2995</v>
      </c>
      <c r="E64" s="94">
        <f ca="1">TblMili[[#This Row],[Draftees]]</f>
        <v>2995</v>
      </c>
      <c r="F64" s="94">
        <f ca="1">TblPop[[#This Row],[Peasants]]+TblPop[[#This Row],[Military]]</f>
        <v>6253</v>
      </c>
      <c r="G64" s="139">
        <f ca="1">TblPop[[#This Row],[Military]]/TblPop[[#This Row],[Total]]</f>
        <v>0.47897009435470972</v>
      </c>
      <c r="H64" s="140">
        <f ca="1">MIN(TblPop[[#This Row],[Peasants]],TblPop[[#This Row],[Jobs]])</f>
        <v>3258</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6000</v>
      </c>
      <c r="K64" s="141"/>
      <c r="L64" s="61">
        <f ca="1">TblPop[[#This Row],[Draftees]]</f>
        <v>2995</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6253</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64" s="94">
        <f ca="1">MAX(-5%*TblPop[[#This Row],[Peasants]]-TblPop[[#This Row],[Draft Growth]],MIN(OFFSET(TblPop[[#This Row],[Net max]],1,0)-TblPop[[#This Row],[Peasants]]-TblPop[[#This Row],[Military]]-TblPop[[#This Row],[Draft Growth]],TblPop[[#This Row],[Modded Birth]]-TblPop[[#This Row],[Draft Growth]]))</f>
        <v>-33</v>
      </c>
      <c r="X64" s="94">
        <f ca="1">ROUND(TblPop[[#This Row],[Raw Birth]]*(1+TblPop[[#This Row],[Growth]]),0)</f>
        <v>175</v>
      </c>
      <c r="Y64" s="94">
        <f ca="1">(TblPop[[#This Row],[Peasants]]-TblPop[[#This Row],[Draft Growth]])*raw_pop_growth</f>
        <v>96.75</v>
      </c>
      <c r="Z64" s="94">
        <f ca="1">ROUND(IF(TblPop[[#This Row],[Military%]]&lt;TblMili[[#This Row],[Draftrate]],ROUND(TblPop[[#This Row],[Peasants]]*Constants!$B$55,0), 0) * IF(AND(TblMagic[[#This Row],[Active DnD]]&lt;=12,TblMagic[[#This Row],[Active DnD]]&gt;6),1.6,1),0)</f>
        <v>33</v>
      </c>
      <c r="AA64" s="142"/>
      <c r="AB64" s="143">
        <f ca="1">Overview!$I$17 + IF(Magic!AF64&gt;0,Constants!$F$78) + ROUND(6*(Construction!BM65+Construction!CK64)/IF(Explore!S65&gt;0,Construction!F65-20,Construction!F65),4) + tech_6_5_2*Techs!BJ64 + tech_8_4*Techs!BT64</f>
        <v>0.81079999999999997</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45817.541666666519</v>
      </c>
      <c r="C65" s="94">
        <f ca="1">OFFSET(TblPop[[#This Row],[Peasants]],-1,0)+OFFSET(TblPop[[#This Row],[Net Peasant]],-1,0)+TblMili[[#This Row],[Release Draft]]</f>
        <v>3225</v>
      </c>
      <c r="D65" s="94">
        <f ca="1">TblMili[[#This Row],[Military]]</f>
        <v>3028</v>
      </c>
      <c r="E65" s="94">
        <f ca="1">TblMili[[#This Row],[Draftees]]</f>
        <v>3028</v>
      </c>
      <c r="F65" s="94">
        <f ca="1">TblPop[[#This Row],[Peasants]]+TblPop[[#This Row],[Military]]</f>
        <v>6253</v>
      </c>
      <c r="G65" s="139">
        <f ca="1">TblPop[[#This Row],[Military]]/TblPop[[#This Row],[Total]]</f>
        <v>0.48424756117063811</v>
      </c>
      <c r="H65" s="140">
        <f ca="1">MIN(TblPop[[#This Row],[Peasants]],TblPop[[#This Row],[Jobs]])</f>
        <v>3225</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6000</v>
      </c>
      <c r="K65" s="141"/>
      <c r="L65" s="61">
        <f ca="1">TblPop[[#This Row],[Draftees]]</f>
        <v>3028</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6253</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65" s="94">
        <f ca="1">MAX(-5%*TblPop[[#This Row],[Peasants]]-TblPop[[#This Row],[Draft Growth]],MIN(OFFSET(TblPop[[#This Row],[Net max]],1,0)-TblPop[[#This Row],[Peasants]]-TblPop[[#This Row],[Military]]-TblPop[[#This Row],[Draft Growth]],TblPop[[#This Row],[Modded Birth]]-TblPop[[#This Row],[Draft Growth]]))</f>
        <v>-32</v>
      </c>
      <c r="X65" s="94">
        <f ca="1">ROUND(TblPop[[#This Row],[Raw Birth]]*(1+TblPop[[#This Row],[Growth]]),0)</f>
        <v>173</v>
      </c>
      <c r="Y65" s="94">
        <f ca="1">(TblPop[[#This Row],[Peasants]]-TblPop[[#This Row],[Draft Growth]])*raw_pop_growth</f>
        <v>95.789999999999992</v>
      </c>
      <c r="Z65" s="94">
        <f ca="1">ROUND(IF(TblPop[[#This Row],[Military%]]&lt;TblMili[[#This Row],[Draftrate]],ROUND(TblPop[[#This Row],[Peasants]]*Constants!$B$55,0), 0) * IF(AND(TblMagic[[#This Row],[Active DnD]]&lt;=12,TblMagic[[#This Row],[Active DnD]]&gt;6),1.6,1),0)</f>
        <v>32</v>
      </c>
      <c r="AA65" s="142"/>
      <c r="AB65" s="143">
        <f ca="1">Overview!$I$17 + IF(Magic!AF65&gt;0,Constants!$F$78) + ROUND(6*(Construction!BM66+Construction!CK65)/IF(Explore!S66&gt;0,Construction!F66-20,Construction!F66),4) + tech_6_5_2*Techs!BJ65 + tech_8_4*Techs!BT65</f>
        <v>0.81079999999999997</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45817.583333333183</v>
      </c>
      <c r="C66" s="94">
        <f ca="1">OFFSET(TblPop[[#This Row],[Peasants]],-1,0)+OFFSET(TblPop[[#This Row],[Net Peasant]],-1,0)+TblMili[[#This Row],[Release Draft]]</f>
        <v>3193</v>
      </c>
      <c r="D66" s="94">
        <f ca="1">TblMili[[#This Row],[Military]]</f>
        <v>3060</v>
      </c>
      <c r="E66" s="94">
        <f ca="1">TblMili[[#This Row],[Draftees]]</f>
        <v>3060</v>
      </c>
      <c r="F66" s="94">
        <f ca="1">TblPop[[#This Row],[Peasants]]+TblPop[[#This Row],[Military]]</f>
        <v>6253</v>
      </c>
      <c r="G66" s="139">
        <f ca="1">TblPop[[#This Row],[Military]]/TblPop[[#This Row],[Total]]</f>
        <v>0.48936510474972011</v>
      </c>
      <c r="H66" s="140">
        <f ca="1">MIN(TblPop[[#This Row],[Peasants]],TblPop[[#This Row],[Jobs]])</f>
        <v>3193</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6000</v>
      </c>
      <c r="K66" s="141"/>
      <c r="L66" s="61">
        <f ca="1">TblPop[[#This Row],[Draftees]]</f>
        <v>3060</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6253</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66" s="94">
        <f ca="1">MAX(-5%*TblPop[[#This Row],[Peasants]]-TblPop[[#This Row],[Draft Growth]],MIN(OFFSET(TblPop[[#This Row],[Net max]],1,0)-TblPop[[#This Row],[Peasants]]-TblPop[[#This Row],[Military]]-TblPop[[#This Row],[Draft Growth]],TblPop[[#This Row],[Modded Birth]]-TblPop[[#This Row],[Draft Growth]]))</f>
        <v>-32</v>
      </c>
      <c r="X66" s="94">
        <f ca="1">ROUND(TblPop[[#This Row],[Raw Birth]]*(1+TblPop[[#This Row],[Growth]]),0)</f>
        <v>172</v>
      </c>
      <c r="Y66" s="94">
        <f ca="1">(TblPop[[#This Row],[Peasants]]-TblPop[[#This Row],[Draft Growth]])*raw_pop_growth</f>
        <v>94.83</v>
      </c>
      <c r="Z66" s="94">
        <f ca="1">ROUND(IF(TblPop[[#This Row],[Military%]]&lt;TblMili[[#This Row],[Draftrate]],ROUND(TblPop[[#This Row],[Peasants]]*Constants!$B$55,0), 0) * IF(AND(TblMagic[[#This Row],[Active DnD]]&lt;=12,TblMagic[[#This Row],[Active DnD]]&gt;6),1.6,1),0)</f>
        <v>32</v>
      </c>
      <c r="AA66" s="142"/>
      <c r="AB66" s="143">
        <f ca="1">Overview!$I$17 + IF(Magic!AF66&gt;0,Constants!$F$78) + ROUND(6*(Construction!BM67+Construction!CK66)/IF(Explore!S67&gt;0,Construction!F67-20,Construction!F67),4) + tech_6_5_2*Techs!BJ66 + tech_8_4*Techs!BT66</f>
        <v>0.81079999999999997</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45817.624999999847</v>
      </c>
      <c r="C67" s="94">
        <f ca="1">OFFSET(TblPop[[#This Row],[Peasants]],-1,0)+OFFSET(TblPop[[#This Row],[Net Peasant]],-1,0)+TblMili[[#This Row],[Release Draft]]</f>
        <v>3161</v>
      </c>
      <c r="D67" s="94">
        <f ca="1">TblMili[[#This Row],[Military]]</f>
        <v>3092</v>
      </c>
      <c r="E67" s="94">
        <f ca="1">TblMili[[#This Row],[Draftees]]</f>
        <v>3092</v>
      </c>
      <c r="F67" s="94">
        <f ca="1">TblPop[[#This Row],[Peasants]]+TblPop[[#This Row],[Military]]</f>
        <v>6253</v>
      </c>
      <c r="G67" s="139">
        <f ca="1">TblPop[[#This Row],[Military]]/TblPop[[#This Row],[Total]]</f>
        <v>0.49448264832880218</v>
      </c>
      <c r="H67" s="140">
        <f ca="1">MIN(TblPop[[#This Row],[Peasants]],TblPop[[#This Row],[Jobs]])</f>
        <v>3161</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6000</v>
      </c>
      <c r="K67" s="141"/>
      <c r="L67" s="61">
        <f ca="1">TblPop[[#This Row],[Draftees]]</f>
        <v>3092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6253</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67" s="94">
        <f ca="1">MAX(-5%*TblPop[[#This Row],[Peasants]]-TblPop[[#This Row],[Draft Growth]],MIN(OFFSET(TblPop[[#This Row],[Net max]],1,0)-TblPop[[#This Row],[Peasants]]-TblPop[[#This Row],[Military]]-TblPop[[#This Row],[Draft Growth]],TblPop[[#This Row],[Modded Birth]]-TblPop[[#This Row],[Draft Growth]]))</f>
        <v>-32</v>
      </c>
      <c r="X67" s="94">
        <f ca="1">ROUND(TblPop[[#This Row],[Raw Birth]]*(1+TblPop[[#This Row],[Growth]]),0)</f>
        <v>170</v>
      </c>
      <c r="Y67" s="94">
        <f ca="1">(TblPop[[#This Row],[Peasants]]-TblPop[[#This Row],[Draft Growth]])*raw_pop_growth</f>
        <v>93.86999999999999</v>
      </c>
      <c r="Z67" s="94">
        <f ca="1">ROUND(IF(TblPop[[#This Row],[Military%]]&lt;TblMili[[#This Row],[Draftrate]],ROUND(TblPop[[#This Row],[Peasants]]*Constants!$B$55,0), 0) * IF(AND(TblMagic[[#This Row],[Active DnD]]&lt;=12,TblMagic[[#This Row],[Active DnD]]&gt;6),1.6,1),0)</f>
        <v>32</v>
      </c>
      <c r="AA67" s="142"/>
      <c r="AB67" s="143">
        <f ca="1">Overview!$I$17 + IF(Magic!AF67&gt;0,Constants!$F$78) + ROUND(6*(Construction!BM68+Construction!CK67)/IF(Explore!S68&gt;0,Construction!F68-20,Construction!F68),4) + tech_6_5_2*Techs!BJ67 + tech_8_4*Techs!BT67</f>
        <v>0.81079999999999997</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45817.666666666511</v>
      </c>
      <c r="C68" s="94">
        <f ca="1">OFFSET(TblPop[[#This Row],[Peasants]],-1,0)+OFFSET(TblPop[[#This Row],[Net Peasant]],-1,0)+TblMili[[#This Row],[Release Draft]]</f>
        <v>3129</v>
      </c>
      <c r="D68" s="94">
        <f ca="1">TblMili[[#This Row],[Military]]</f>
        <v>3124</v>
      </c>
      <c r="E68" s="94">
        <f ca="1">TblMili[[#This Row],[Draftees]]</f>
        <v>3124</v>
      </c>
      <c r="F68" s="94">
        <f ca="1">TblPop[[#This Row],[Peasants]]+TblPop[[#This Row],[Military]]</f>
        <v>6253</v>
      </c>
      <c r="G68" s="139">
        <f ca="1">TblPop[[#This Row],[Military]]/TblPop[[#This Row],[Total]]</f>
        <v>0.49960019190788424</v>
      </c>
      <c r="H68" s="140">
        <f ca="1">MIN(TblPop[[#This Row],[Peasants]],TblPop[[#This Row],[Jobs]])</f>
        <v>3129</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6000</v>
      </c>
      <c r="K68" s="141"/>
      <c r="L68" s="61">
        <f ca="1">TblPop[[#This Row],[Draftees]]</f>
        <v>3124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6253</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68" s="94">
        <f ca="1">MAX(-5%*TblPop[[#This Row],[Peasants]]-TblPop[[#This Row],[Draft Growth]],MIN(OFFSET(TblPop[[#This Row],[Net max]],1,0)-TblPop[[#This Row],[Peasants]]-TblPop[[#This Row],[Military]]-TblPop[[#This Row],[Draft Growth]],TblPop[[#This Row],[Modded Birth]]-TblPop[[#This Row],[Draft Growth]]))</f>
        <v>-31</v>
      </c>
      <c r="X68" s="94">
        <f ca="1">ROUND(TblPop[[#This Row],[Raw Birth]]*(1+TblPop[[#This Row],[Growth]]),0)</f>
        <v>168</v>
      </c>
      <c r="Y68" s="94">
        <f ca="1">(TblPop[[#This Row],[Peasants]]-TblPop[[#This Row],[Draft Growth]])*raw_pop_growth</f>
        <v>92.94</v>
      </c>
      <c r="Z68" s="94">
        <f ca="1">ROUND(IF(TblPop[[#This Row],[Military%]]&lt;TblMili[[#This Row],[Draftrate]],ROUND(TblPop[[#This Row],[Peasants]]*Constants!$B$55,0), 0) * IF(AND(TblMagic[[#This Row],[Active DnD]]&lt;=12,TblMagic[[#This Row],[Active DnD]]&gt;6),1.6,1),0)</f>
        <v>31</v>
      </c>
      <c r="AA68" s="142"/>
      <c r="AB68" s="143">
        <f ca="1">Overview!$I$17 + IF(Magic!AF68&gt;0,Constants!$F$78) + ROUND(6*(Construction!BM69+Construction!CK68)/IF(Explore!S69&gt;0,Construction!F69-20,Construction!F69),4) + tech_6_5_2*Techs!BJ68 + tech_8_4*Techs!BT68</f>
        <v>0.81079999999999997</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45817.708333333176</v>
      </c>
      <c r="C69" s="94">
        <f ca="1">OFFSET(TblPop[[#This Row],[Peasants]],-1,0)+OFFSET(TblPop[[#This Row],[Net Peasant]],-1,0)+TblMili[[#This Row],[Release Draft]]</f>
        <v>3098</v>
      </c>
      <c r="D69" s="94">
        <f ca="1">TblMili[[#This Row],[Military]]</f>
        <v>3155</v>
      </c>
      <c r="E69" s="94">
        <f ca="1">TblMili[[#This Row],[Draftees]]</f>
        <v>3155</v>
      </c>
      <c r="F69" s="94">
        <f ca="1">TblPop[[#This Row],[Peasants]]+TblPop[[#This Row],[Military]]</f>
        <v>6253</v>
      </c>
      <c r="G69" s="139">
        <f ca="1">TblPop[[#This Row],[Military]]/TblPop[[#This Row],[Total]]</f>
        <v>0.50455781225011997</v>
      </c>
      <c r="H69" s="140">
        <f ca="1">MIN(TblPop[[#This Row],[Peasants]],TblPop[[#This Row],[Jobs]])</f>
        <v>3098</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6000</v>
      </c>
      <c r="K69" s="141"/>
      <c r="L69" s="61">
        <f ca="1">TblPop[[#This Row],[Draftees]]</f>
        <v>3155</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6253</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69" s="94">
        <f ca="1">MAX(-5%*TblPop[[#This Row],[Peasants]]-TblPop[[#This Row],[Draft Growth]],MIN(OFFSET(TblPop[[#This Row],[Net max]],1,0)-TblPop[[#This Row],[Peasants]]-TblPop[[#This Row],[Military]]-TblPop[[#This Row],[Draft Growth]],TblPop[[#This Row],[Modded Birth]]-TblPop[[#This Row],[Draft Growth]]))</f>
        <v>-31</v>
      </c>
      <c r="X69" s="94">
        <f ca="1">ROUND(TblPop[[#This Row],[Raw Birth]]*(1+TblPop[[#This Row],[Growth]]),0)</f>
        <v>167</v>
      </c>
      <c r="Y69" s="94">
        <f ca="1">(TblPop[[#This Row],[Peasants]]-TblPop[[#This Row],[Draft Growth]])*raw_pop_growth</f>
        <v>92.009999999999991</v>
      </c>
      <c r="Z69" s="94">
        <f ca="1">ROUND(IF(TblPop[[#This Row],[Military%]]&lt;TblMili[[#This Row],[Draftrate]],ROUND(TblPop[[#This Row],[Peasants]]*Constants!$B$55,0), 0) * IF(AND(TblMagic[[#This Row],[Active DnD]]&lt;=12,TblMagic[[#This Row],[Active DnD]]&gt;6),1.6,1),0)</f>
        <v>31</v>
      </c>
      <c r="AA69" s="142"/>
      <c r="AB69" s="143">
        <f ca="1">Overview!$I$17 + IF(Magic!AF69&gt;0,Constants!$F$78) + ROUND(6*(Construction!BM70+Construction!CK69)/IF(Explore!S70&gt;0,Construction!F70-20,Construction!F70),4) + tech_6_5_2*Techs!BJ69 + tech_8_4*Techs!BT69</f>
        <v>0.81079999999999997</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45817.74999999984</v>
      </c>
      <c r="C70" s="94">
        <f ca="1">OFFSET(TblPop[[#This Row],[Peasants]],-1,0)+OFFSET(TblPop[[#This Row],[Net Peasant]],-1,0)+TblMili[[#This Row],[Release Draft]]</f>
        <v>3067</v>
      </c>
      <c r="D70" s="94">
        <f ca="1">TblMili[[#This Row],[Military]]</f>
        <v>3186</v>
      </c>
      <c r="E70" s="94">
        <f ca="1">TblMili[[#This Row],[Draftees]]</f>
        <v>3186</v>
      </c>
      <c r="F70" s="94">
        <f ca="1">TblPop[[#This Row],[Peasants]]+TblPop[[#This Row],[Military]]</f>
        <v>6253</v>
      </c>
      <c r="G70" s="139">
        <f ca="1">TblPop[[#This Row],[Military]]/TblPop[[#This Row],[Total]]</f>
        <v>0.50951543259235565</v>
      </c>
      <c r="H70" s="140">
        <f ca="1">MIN(TblPop[[#This Row],[Peasants]],TblPop[[#This Row],[Jobs]])</f>
        <v>3067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6000</v>
      </c>
      <c r="K70" s="141"/>
      <c r="L70" s="61">
        <f ca="1">TblPop[[#This Row],[Draftees]]</f>
        <v>3186</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6253</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70" s="94">
        <f ca="1">MAX(-5%*TblPop[[#This Row],[Peasants]]-TblPop[[#This Row],[Draft Growth]],MIN(OFFSET(TblPop[[#This Row],[Net max]],1,0)-TblPop[[#This Row],[Peasants]]-TblPop[[#This Row],[Military]]-TblPop[[#This Row],[Draft Growth]],TblPop[[#This Row],[Modded Birth]]-TblPop[[#This Row],[Draft Growth]]))</f>
        <v>-31</v>
      </c>
      <c r="X70" s="94">
        <f ca="1">ROUND(TblPop[[#This Row],[Raw Birth]]*(1+TblPop[[#This Row],[Growth]]),0)</f>
        <v>165</v>
      </c>
      <c r="Y70" s="94">
        <f ca="1">(TblPop[[#This Row],[Peasants]]-TblPop[[#This Row],[Draft Growth]])*raw_pop_growth</f>
        <v>91.08</v>
      </c>
      <c r="Z70" s="94">
        <f ca="1">ROUND(IF(TblPop[[#This Row],[Military%]]&lt;TblMili[[#This Row],[Draftrate]],ROUND(TblPop[[#This Row],[Peasants]]*Constants!$B$55,0), 0) * IF(AND(TblMagic[[#This Row],[Active DnD]]&lt;=12,TblMagic[[#This Row],[Active DnD]]&gt;6),1.6,1),0)</f>
        <v>31</v>
      </c>
      <c r="AA70" s="142"/>
      <c r="AB70" s="143">
        <f ca="1">Overview!$I$17 + IF(Magic!AF70&gt;0,Constants!$F$78) + ROUND(6*(Construction!BM71+Construction!CK70)/IF(Explore!S71&gt;0,Construction!F71-20,Construction!F71),4) + tech_6_5_2*Techs!BJ70 + tech_8_4*Techs!BT70</f>
        <v>0.81079999999999997</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45817.791666666504</v>
      </c>
      <c r="C71" s="94">
        <f ca="1">OFFSET(TblPop[[#This Row],[Peasants]],-1,0)+OFFSET(TblPop[[#This Row],[Net Peasant]],-1,0)+TblMili[[#This Row],[Release Draft]]</f>
        <v>3036</v>
      </c>
      <c r="D71" s="94">
        <f ca="1">TblMili[[#This Row],[Military]]</f>
        <v>3217</v>
      </c>
      <c r="E71" s="94">
        <f ca="1">TblMili[[#This Row],[Draftees]]</f>
        <v>3217</v>
      </c>
      <c r="F71" s="94">
        <f ca="1">TblPop[[#This Row],[Peasants]]+TblPop[[#This Row],[Military]]</f>
        <v>6253</v>
      </c>
      <c r="G71" s="139">
        <f ca="1">TblPop[[#This Row],[Military]]/TblPop[[#This Row],[Total]]</f>
        <v>0.51447305293459145</v>
      </c>
      <c r="H71" s="140">
        <f ca="1">MIN(TblPop[[#This Row],[Peasants]],TblPop[[#This Row],[Jobs]])</f>
        <v>3036</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6000</v>
      </c>
      <c r="K71" s="141"/>
      <c r="L71" s="61">
        <f ca="1">TblPop[[#This Row],[Draftees]]</f>
        <v>3217</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6253</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71" s="94">
        <f ca="1">MAX(-5%*TblPop[[#This Row],[Peasants]]-TblPop[[#This Row],[Draft Growth]],MIN(OFFSET(TblPop[[#This Row],[Net max]],1,0)-TblPop[[#This Row],[Peasants]]-TblPop[[#This Row],[Military]]-TblPop[[#This Row],[Draft Growth]],TblPop[[#This Row],[Modded Birth]]-TblPop[[#This Row],[Draft Growth]]))</f>
        <v>-30</v>
      </c>
      <c r="X71" s="94">
        <f ca="1">ROUND(TblPop[[#This Row],[Raw Birth]]*(1+TblPop[[#This Row],[Growth]]),0)</f>
        <v>163</v>
      </c>
      <c r="Y71" s="94">
        <f ca="1">(TblPop[[#This Row],[Peasants]]-TblPop[[#This Row],[Draft Growth]])*raw_pop_growth</f>
        <v>90.179999999999993</v>
      </c>
      <c r="Z71" s="94">
        <f ca="1">ROUND(IF(TblPop[[#This Row],[Military%]]&lt;TblMili[[#This Row],[Draftrate]],ROUND(TblPop[[#This Row],[Peasants]]*Constants!$B$55,0), 0) * IF(AND(TblMagic[[#This Row],[Active DnD]]&lt;=12,TblMagic[[#This Row],[Active DnD]]&gt;6),1.6,1),0)</f>
        <v>30</v>
      </c>
      <c r="AA71" s="142"/>
      <c r="AB71" s="143">
        <f ca="1">Overview!$I$17 + IF(Magic!AF71&gt;0,Constants!$F$78) + ROUND(6*(Construction!BM72+Construction!CK71)/IF(Explore!S72&gt;0,Construction!F72-20,Construction!F72),4) + tech_6_5_2*Techs!BJ71 + tech_8_4*Techs!BT71</f>
        <v>0.81079999999999997</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45817.833333333168</v>
      </c>
      <c r="C72" s="94">
        <f ca="1">OFFSET(TblPop[[#This Row],[Peasants]],-1,0)+OFFSET(TblPop[[#This Row],[Net Peasant]],-1,0)+TblMili[[#This Row],[Release Draft]]</f>
        <v>3006</v>
      </c>
      <c r="D72" s="94">
        <f ca="1">TblMili[[#This Row],[Military]]</f>
        <v>3247</v>
      </c>
      <c r="E72" s="94">
        <f ca="1">TblMili[[#This Row],[Draftees]]</f>
        <v>3247</v>
      </c>
      <c r="F72" s="94">
        <f ca="1">TblPop[[#This Row],[Peasants]]+TblPop[[#This Row],[Military]]</f>
        <v>6253</v>
      </c>
      <c r="G72" s="139">
        <f ca="1">TblPop[[#This Row],[Military]]/TblPop[[#This Row],[Total]]</f>
        <v>0.5192707500399808</v>
      </c>
      <c r="H72" s="140">
        <f ca="1">MIN(TblPop[[#This Row],[Peasants]],TblPop[[#This Row],[Jobs]])</f>
        <v>3006</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6000</v>
      </c>
      <c r="K72" s="141"/>
      <c r="L72" s="61">
        <f ca="1">TblPop[[#This Row],[Draftees]]</f>
        <v>3247</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6253</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72" s="94">
        <f ca="1">MAX(-5%*TblPop[[#This Row],[Peasants]]-TblPop[[#This Row],[Draft Growth]],MIN(OFFSET(TblPop[[#This Row],[Net max]],1,0)-TblPop[[#This Row],[Peasants]]-TblPop[[#This Row],[Military]]-TblPop[[#This Row],[Draft Growth]],TblPop[[#This Row],[Modded Birth]]-TblPop[[#This Row],[Draft Growth]]))</f>
        <v>-30</v>
      </c>
      <c r="X72" s="94">
        <f ca="1">ROUND(TblPop[[#This Row],[Raw Birth]]*(1+TblPop[[#This Row],[Growth]]),0)</f>
        <v>162</v>
      </c>
      <c r="Y72" s="94">
        <f ca="1">(TblPop[[#This Row],[Peasants]]-TblPop[[#This Row],[Draft Growth]])*raw_pop_growth</f>
        <v>89.28</v>
      </c>
      <c r="Z72" s="94">
        <f ca="1">ROUND(IF(TblPop[[#This Row],[Military%]]&lt;TblMili[[#This Row],[Draftrate]],ROUND(TblPop[[#This Row],[Peasants]]*Constants!$B$55,0), 0) * IF(AND(TblMagic[[#This Row],[Active DnD]]&lt;=12,TblMagic[[#This Row],[Active DnD]]&gt;6),1.6,1),0)</f>
        <v>30</v>
      </c>
      <c r="AA72" s="142"/>
      <c r="AB72" s="143">
        <f ca="1">Overview!$I$17 + IF(Magic!AF72&gt;0,Constants!$F$78) + ROUND(6*(Construction!BM73+Construction!CK72)/IF(Explore!S73&gt;0,Construction!F73-20,Construction!F73),4) + tech_6_5_2*Techs!BJ72 + tech_8_4*Techs!BT72</f>
        <v>0.81079999999999997</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45817.874999999833</v>
      </c>
      <c r="C73" s="94">
        <f ca="1">OFFSET(TblPop[[#This Row],[Peasants]],-1,0)+OFFSET(TblPop[[#This Row],[Net Peasant]],-1,0)+TblMili[[#This Row],[Release Draft]]</f>
        <v>2976</v>
      </c>
      <c r="D73" s="94">
        <f ca="1">TblMili[[#This Row],[Military]]</f>
        <v>3277</v>
      </c>
      <c r="E73" s="94">
        <f ca="1">TblMili[[#This Row],[Draftees]]</f>
        <v>3277</v>
      </c>
      <c r="F73" s="94">
        <f ca="1">TblPop[[#This Row],[Peasants]]+TblPop[[#This Row],[Military]]</f>
        <v>6253</v>
      </c>
      <c r="G73" s="139">
        <f ca="1">TblPop[[#This Row],[Military]]/TblPop[[#This Row],[Total]]</f>
        <v>0.52406844714537026</v>
      </c>
      <c r="H73" s="140">
        <f ca="1">MIN(TblPop[[#This Row],[Peasants]],TblPop[[#This Row],[Jobs]])</f>
        <v>2976</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6000</v>
      </c>
      <c r="K73" s="141"/>
      <c r="L73" s="61">
        <f ca="1">TblPop[[#This Row],[Draftees]]</f>
        <v>3277</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6253</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73" s="94">
        <f ca="1">MAX(-5%*TblPop[[#This Row],[Peasants]]-TblPop[[#This Row],[Draft Growth]],MIN(OFFSET(TblPop[[#This Row],[Net max]],1,0)-TblPop[[#This Row],[Peasants]]-TblPop[[#This Row],[Military]]-TblPop[[#This Row],[Draft Growth]],TblPop[[#This Row],[Modded Birth]]-TblPop[[#This Row],[Draft Growth]]))</f>
        <v>-30</v>
      </c>
      <c r="X73" s="94">
        <f ca="1">ROUND(TblPop[[#This Row],[Raw Birth]]*(1+TblPop[[#This Row],[Growth]]),0)</f>
        <v>160</v>
      </c>
      <c r="Y73" s="94">
        <f ca="1">(TblPop[[#This Row],[Peasants]]-TblPop[[#This Row],[Draft Growth]])*raw_pop_growth</f>
        <v>88.38</v>
      </c>
      <c r="Z73" s="94">
        <f ca="1">ROUND(IF(TblPop[[#This Row],[Military%]]&lt;TblMili[[#This Row],[Draftrate]],ROUND(TblPop[[#This Row],[Peasants]]*Constants!$B$55,0), 0) * IF(AND(TblMagic[[#This Row],[Active DnD]]&lt;=12,TblMagic[[#This Row],[Active DnD]]&gt;6),1.6,1),0)</f>
        <v>30</v>
      </c>
      <c r="AA73" s="142"/>
      <c r="AB73" s="143">
        <f ca="1">Overview!$I$17 + IF(Magic!AF73&gt;0,Constants!$F$78) + ROUND(6*(Construction!BM74+Construction!CK73)/IF(Explore!S74&gt;0,Construction!F74-20,Construction!F74),4) + tech_6_5_2*Techs!BJ73 + tech_8_4*Techs!BT73</f>
        <v>0.81079999999999997</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45817.916666666497</v>
      </c>
      <c r="C74" s="94">
        <f ca="1">OFFSET(TblPop[[#This Row],[Peasants]],-1,0)+OFFSET(TblPop[[#This Row],[Net Peasant]],-1,0)+TblMili[[#This Row],[Release Draft]]</f>
        <v>2946</v>
      </c>
      <c r="D74" s="94">
        <f ca="1">TblMili[[#This Row],[Military]]</f>
        <v>3307</v>
      </c>
      <c r="E74" s="94">
        <f ca="1">TblMili[[#This Row],[Draftees]]</f>
        <v>3307</v>
      </c>
      <c r="F74" s="94">
        <f ca="1">TblPop[[#This Row],[Peasants]]+TblPop[[#This Row],[Military]]</f>
        <v>6253</v>
      </c>
      <c r="G74" s="139">
        <f ca="1">TblPop[[#This Row],[Military]]/TblPop[[#This Row],[Total]]</f>
        <v>0.52886614425075962</v>
      </c>
      <c r="H74" s="140">
        <f ca="1">MIN(TblPop[[#This Row],[Peasants]],TblPop[[#This Row],[Jobs]])</f>
        <v>2946</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6000</v>
      </c>
      <c r="K74" s="141"/>
      <c r="L74" s="61">
        <f ca="1">TblPop[[#This Row],[Draftees]]</f>
        <v>3307</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6253</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74" s="94">
        <f ca="1">MAX(-5%*TblPop[[#This Row],[Peasants]]-TblPop[[#This Row],[Draft Growth]],MIN(OFFSET(TblPop[[#This Row],[Net max]],1,0)-TblPop[[#This Row],[Peasants]]-TblPop[[#This Row],[Military]]-TblPop[[#This Row],[Draft Growth]],TblPop[[#This Row],[Modded Birth]]-TblPop[[#This Row],[Draft Growth]]))</f>
        <v>-29</v>
      </c>
      <c r="X74" s="94">
        <f ca="1">ROUND(TblPop[[#This Row],[Raw Birth]]*(1+TblPop[[#This Row],[Growth]]),0)</f>
        <v>158</v>
      </c>
      <c r="Y74" s="94">
        <f ca="1">(TblPop[[#This Row],[Peasants]]-TblPop[[#This Row],[Draft Growth]])*raw_pop_growth</f>
        <v>87.509999999999991</v>
      </c>
      <c r="Z74" s="94">
        <f ca="1">ROUND(IF(TblPop[[#This Row],[Military%]]&lt;TblMili[[#This Row],[Draftrate]],ROUND(TblPop[[#This Row],[Peasants]]*Constants!$B$55,0), 0) * IF(AND(TblMagic[[#This Row],[Active DnD]]&lt;=12,TblMagic[[#This Row],[Active DnD]]&gt;6),1.6,1),0)</f>
        <v>29</v>
      </c>
      <c r="AA74" s="142"/>
      <c r="AB74" s="143">
        <f ca="1">Overview!$I$17 + IF(Magic!AF74&gt;0,Constants!$F$78) + ROUND(6*(Construction!BM75+Construction!CK74)/IF(Explore!S75&gt;0,Construction!F75-20,Construction!F75),4) + tech_6_5_2*Techs!BJ74 + tech_8_4*Techs!BT74</f>
        <v>0.81079999999999997</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45817.958333333161</v>
      </c>
      <c r="C75" s="94">
        <f ca="1">OFFSET(TblPop[[#This Row],[Peasants]],-1,0)+OFFSET(TblPop[[#This Row],[Net Peasant]],-1,0)+TblMili[[#This Row],[Release Draft]]</f>
        <v>2917</v>
      </c>
      <c r="D75" s="94">
        <f ca="1">TblMili[[#This Row],[Military]]</f>
        <v>3336</v>
      </c>
      <c r="E75" s="94">
        <f ca="1">TblMili[[#This Row],[Draftees]]</f>
        <v>3336</v>
      </c>
      <c r="F75" s="94">
        <f ca="1">TblPop[[#This Row],[Peasants]]+TblPop[[#This Row],[Military]]</f>
        <v>6253</v>
      </c>
      <c r="G75" s="139">
        <f ca="1">TblPop[[#This Row],[Military]]/TblPop[[#This Row],[Total]]</f>
        <v>0.53350391811930276</v>
      </c>
      <c r="H75" s="140">
        <f ca="1">MIN(TblPop[[#This Row],[Peasants]],TblPop[[#This Row],[Jobs]])</f>
        <v>2917</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6000</v>
      </c>
      <c r="K75" s="141"/>
      <c r="L75" s="61">
        <f ca="1">TblPop[[#This Row],[Draftees]]</f>
        <v>3336</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6253</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75" s="94">
        <f ca="1">MAX(-5%*TblPop[[#This Row],[Peasants]]-TblPop[[#This Row],[Draft Growth]],MIN(OFFSET(TblPop[[#This Row],[Net max]],1,0)-TblPop[[#This Row],[Peasants]]-TblPop[[#This Row],[Military]]-TblPop[[#This Row],[Draft Growth]],TblPop[[#This Row],[Modded Birth]]-TblPop[[#This Row],[Draft Growth]]))</f>
        <v>-29</v>
      </c>
      <c r="X75" s="94">
        <f ca="1">ROUND(TblPop[[#This Row],[Raw Birth]]*(1+TblPop[[#This Row],[Growth]]),0)</f>
        <v>157</v>
      </c>
      <c r="Y75" s="94">
        <f ca="1">(TblPop[[#This Row],[Peasants]]-TblPop[[#This Row],[Draft Growth]])*raw_pop_growth</f>
        <v>86.64</v>
      </c>
      <c r="Z75" s="94">
        <f ca="1">ROUND(IF(TblPop[[#This Row],[Military%]]&lt;TblMili[[#This Row],[Draftrate]],ROUND(TblPop[[#This Row],[Peasants]]*Constants!$B$55,0), 0) * IF(AND(TblMagic[[#This Row],[Active DnD]]&lt;=12,TblMagic[[#This Row],[Active DnD]]&gt;6),1.6,1),0)</f>
        <v>29</v>
      </c>
      <c r="AA75" s="142"/>
      <c r="AB75" s="143">
        <f ca="1">Overview!$I$17 + IF(Magic!AF75&gt;0,Constants!$F$78) + ROUND(6*(Construction!BM76+Construction!CK75)/IF(Explore!S76&gt;0,Construction!F76-20,Construction!F76),4) + tech_6_5_2*Techs!BJ75 + tech_8_4*Techs!BT75</f>
        <v>0.81079999999999997</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45817.999999999825</v>
      </c>
      <c r="C76" s="94">
        <f ca="1">OFFSET(TblPop[[#This Row],[Peasants]],-1,0)+OFFSET(TblPop[[#This Row],[Net Peasant]],-1,0)+TblMili[[#This Row],[Release Draft]]</f>
        <v>2888</v>
      </c>
      <c r="D76" s="94">
        <f ca="1">TblMili[[#This Row],[Military]]</f>
        <v>3365</v>
      </c>
      <c r="E76" s="94">
        <f ca="1">TblMili[[#This Row],[Draftees]]</f>
        <v>3365</v>
      </c>
      <c r="F76" s="94">
        <f ca="1">TblPop[[#This Row],[Peasants]]+TblPop[[#This Row],[Military]]</f>
        <v>6253</v>
      </c>
      <c r="G76" s="139">
        <f ca="1">TblPop[[#This Row],[Military]]/TblPop[[#This Row],[Total]]</f>
        <v>0.53814169198784578</v>
      </c>
      <c r="H76" s="140">
        <f ca="1">MIN(TblPop[[#This Row],[Peasants]],TblPop[[#This Row],[Jobs]])</f>
        <v>2888</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6000</v>
      </c>
      <c r="K76" s="141"/>
      <c r="L76" s="61">
        <f ca="1">TblPop[[#This Row],[Draftees]]</f>
        <v>3365</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6253</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76" s="94">
        <f ca="1">MAX(-5%*TblPop[[#This Row],[Peasants]]-TblPop[[#This Row],[Draft Growth]],MIN(OFFSET(TblPop[[#This Row],[Net max]],1,0)-TblPop[[#This Row],[Peasants]]-TblPop[[#This Row],[Military]]-TblPop[[#This Row],[Draft Growth]],TblPop[[#This Row],[Modded Birth]]-TblPop[[#This Row],[Draft Growth]]))</f>
        <v>-29</v>
      </c>
      <c r="X76" s="94">
        <f ca="1">ROUND(TblPop[[#This Row],[Raw Birth]]*(1+TblPop[[#This Row],[Growth]]),0)</f>
        <v>155</v>
      </c>
      <c r="Y76" s="94">
        <f ca="1">(TblPop[[#This Row],[Peasants]]-TblPop[[#This Row],[Draft Growth]])*raw_pop_growth</f>
        <v>85.77</v>
      </c>
      <c r="Z76" s="94">
        <f ca="1">ROUND(IF(TblPop[[#This Row],[Military%]]&lt;TblMili[[#This Row],[Draftrate]],ROUND(TblPop[[#This Row],[Peasants]]*Constants!$B$55,0), 0) * IF(AND(TblMagic[[#This Row],[Active DnD]]&lt;=12,TblMagic[[#This Row],[Active DnD]]&gt;6),1.6,1),0)</f>
        <v>29</v>
      </c>
      <c r="AA76" s="142"/>
      <c r="AB76" s="143">
        <f ca="1">Overview!$I$17 + IF(Magic!AF76&gt;0,Constants!$F$78) + ROUND(6*(Construction!BM77+Construction!CK76)/IF(Explore!S77&gt;0,Construction!F77-20,Construction!F77),4) + tech_6_5_2*Techs!BJ76 + tech_8_4*Techs!BT76</f>
        <v>0.81079999999999997</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45818.04166666649</v>
      </c>
      <c r="C77" s="94">
        <f ca="1">OFFSET(TblPop[[#This Row],[Peasants]],-1,0)+OFFSET(TblPop[[#This Row],[Net Peasant]],-1,0)+TblMili[[#This Row],[Release Draft]]</f>
        <v>2859</v>
      </c>
      <c r="D77" s="94">
        <f ca="1">TblMili[[#This Row],[Military]]</f>
        <v>3394</v>
      </c>
      <c r="E77" s="94">
        <f ca="1">TblMili[[#This Row],[Draftees]]</f>
        <v>3394</v>
      </c>
      <c r="F77" s="94">
        <f ca="1">TblPop[[#This Row],[Peasants]]+TblPop[[#This Row],[Military]]</f>
        <v>6253</v>
      </c>
      <c r="G77" s="139">
        <f ca="1">TblPop[[#This Row],[Military]]/TblPop[[#This Row],[Total]]</f>
        <v>0.54277946585638892</v>
      </c>
      <c r="H77" s="140">
        <f ca="1">MIN(TblPop[[#This Row],[Peasants]],TblPop[[#This Row],[Jobs]])</f>
        <v>2859</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6000</v>
      </c>
      <c r="K77" s="141"/>
      <c r="L77" s="61">
        <f ca="1">TblPop[[#This Row],[Draftees]]</f>
        <v>3394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6253</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77" s="94">
        <f ca="1">MAX(-5%*TblPop[[#This Row],[Peasants]]-TblPop[[#This Row],[Draft Growth]],MIN(OFFSET(TblPop[[#This Row],[Net max]],1,0)-TblPop[[#This Row],[Peasants]]-TblPop[[#This Row],[Military]]-TblPop[[#This Row],[Draft Growth]],TblPop[[#This Row],[Modded Birth]]-TblPop[[#This Row],[Draft Growth]]))</f>
        <v>-29</v>
      </c>
      <c r="X77" s="94">
        <f ca="1">ROUND(TblPop[[#This Row],[Raw Birth]]*(1+TblPop[[#This Row],[Growth]]),0)</f>
        <v>154</v>
      </c>
      <c r="Y77" s="94">
        <f ca="1">(TblPop[[#This Row],[Peasants]]-TblPop[[#This Row],[Draft Growth]])*raw_pop_growth</f>
        <v>84.899999999999991</v>
      </c>
      <c r="Z77" s="94">
        <f ca="1">ROUND(IF(TblPop[[#This Row],[Military%]]&lt;TblMili[[#This Row],[Draftrate]],ROUND(TblPop[[#This Row],[Peasants]]*Constants!$B$55,0), 0) * IF(AND(TblMagic[[#This Row],[Active DnD]]&lt;=12,TblMagic[[#This Row],[Active DnD]]&gt;6),1.6,1),0)</f>
        <v>29</v>
      </c>
      <c r="AA77" s="142"/>
      <c r="AB77" s="143">
        <f ca="1">Overview!$I$17 + IF(Magic!AF77&gt;0,Constants!$F$78) + ROUND(6*(Construction!BM78+Construction!CK77)/IF(Explore!S78&gt;0,Construction!F78-20,Construction!F78),4) + tech_6_5_2*Techs!BJ77 + tech_8_4*Techs!BT77</f>
        <v>0.81079999999999997</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45818.083333333154</v>
      </c>
      <c r="C78" s="94">
        <f ca="1">OFFSET(TblPop[[#This Row],[Peasants]],-1,0)+OFFSET(TblPop[[#This Row],[Net Peasant]],-1,0)+TblMili[[#This Row],[Release Draft]]</f>
        <v>2830</v>
      </c>
      <c r="D78" s="94">
        <f ca="1">TblMili[[#This Row],[Military]]</f>
        <v>3423</v>
      </c>
      <c r="E78" s="94">
        <f ca="1">TblMili[[#This Row],[Draftees]]</f>
        <v>3423</v>
      </c>
      <c r="F78" s="94">
        <f ca="1">TblPop[[#This Row],[Peasants]]+TblPop[[#This Row],[Military]]</f>
        <v>6253</v>
      </c>
      <c r="G78" s="139">
        <f ca="1">TblPop[[#This Row],[Military]]/TblPop[[#This Row],[Total]]</f>
        <v>0.54741723972493206</v>
      </c>
      <c r="H78" s="140">
        <f ca="1">MIN(TblPop[[#This Row],[Peasants]],TblPop[[#This Row],[Jobs]])</f>
        <v>2830</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6000</v>
      </c>
      <c r="K78" s="141"/>
      <c r="L78" s="61">
        <f ca="1">TblPop[[#This Row],[Draftees]]</f>
        <v>3423</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6253</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78" s="94">
        <f ca="1">MAX(-5%*TblPop[[#This Row],[Peasants]]-TblPop[[#This Row],[Draft Growth]],MIN(OFFSET(TblPop[[#This Row],[Net max]],1,0)-TblPop[[#This Row],[Peasants]]-TblPop[[#This Row],[Military]]-TblPop[[#This Row],[Draft Growth]],TblPop[[#This Row],[Modded Birth]]-TblPop[[#This Row],[Draft Growth]]))</f>
        <v>-28</v>
      </c>
      <c r="X78" s="94">
        <f ca="1">ROUND(TblPop[[#This Row],[Raw Birth]]*(1+TblPop[[#This Row],[Growth]]),0)</f>
        <v>152</v>
      </c>
      <c r="Y78" s="94">
        <f ca="1">(TblPop[[#This Row],[Peasants]]-TblPop[[#This Row],[Draft Growth]])*raw_pop_growth</f>
        <v>84.06</v>
      </c>
      <c r="Z78" s="94">
        <f ca="1">ROUND(IF(TblPop[[#This Row],[Military%]]&lt;TblMili[[#This Row],[Draftrate]],ROUND(TblPop[[#This Row],[Peasants]]*Constants!$B$55,0), 0) * IF(AND(TblMagic[[#This Row],[Active DnD]]&lt;=12,TblMagic[[#This Row],[Active DnD]]&gt;6),1.6,1),0)</f>
        <v>28</v>
      </c>
      <c r="AA78" s="142"/>
      <c r="AB78" s="143">
        <f ca="1">Overview!$I$17 + IF(Magic!AF78&gt;0,Constants!$F$78) + ROUND(6*(Construction!BM79+Construction!CK78)/IF(Explore!S79&gt;0,Construction!F79-20,Construction!F79),4) + tech_6_5_2*Techs!BJ78 + tech_8_4*Techs!BT78</f>
        <v>0.81079999999999997</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45818.124999999818</v>
      </c>
      <c r="C79" s="94">
        <f ca="1">OFFSET(TblPop[[#This Row],[Peasants]],-1,0)+OFFSET(TblPop[[#This Row],[Net Peasant]],-1,0)+TblMili[[#This Row],[Release Draft]]</f>
        <v>2802</v>
      </c>
      <c r="D79" s="94">
        <f ca="1">TblMili[[#This Row],[Military]]</f>
        <v>3451</v>
      </c>
      <c r="E79" s="94">
        <f ca="1">TblMili[[#This Row],[Draftees]]</f>
        <v>3451</v>
      </c>
      <c r="F79" s="94">
        <f ca="1">TblPop[[#This Row],[Peasants]]+TblPop[[#This Row],[Military]]</f>
        <v>6253</v>
      </c>
      <c r="G79" s="139">
        <f ca="1">TblPop[[#This Row],[Military]]/TblPop[[#This Row],[Total]]</f>
        <v>0.55189509035662887</v>
      </c>
      <c r="H79" s="140">
        <f ca="1">MIN(TblPop[[#This Row],[Peasants]],TblPop[[#This Row],[Jobs]])</f>
        <v>2802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6000</v>
      </c>
      <c r="K79" s="141"/>
      <c r="L79" s="61">
        <f ca="1">TblPop[[#This Row],[Draftees]]</f>
        <v>3451</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6253</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79" s="94">
        <f ca="1">MAX(-5%*TblPop[[#This Row],[Peasants]]-TblPop[[#This Row],[Draft Growth]],MIN(OFFSET(TblPop[[#This Row],[Net max]],1,0)-TblPop[[#This Row],[Peasants]]-TblPop[[#This Row],[Military]]-TblPop[[#This Row],[Draft Growth]],TblPop[[#This Row],[Modded Birth]]-TblPop[[#This Row],[Draft Growth]]))</f>
        <v>-28</v>
      </c>
      <c r="X79" s="94">
        <f ca="1">ROUND(TblPop[[#This Row],[Raw Birth]]*(1+TblPop[[#This Row],[Growth]]),0)</f>
        <v>151</v>
      </c>
      <c r="Y79" s="94">
        <f ca="1">(TblPop[[#This Row],[Peasants]]-TblPop[[#This Row],[Draft Growth]])*raw_pop_growth</f>
        <v>83.22</v>
      </c>
      <c r="Z79" s="94">
        <f ca="1">ROUND(IF(TblPop[[#This Row],[Military%]]&lt;TblMili[[#This Row],[Draftrate]],ROUND(TblPop[[#This Row],[Peasants]]*Constants!$B$55,0), 0) * IF(AND(TblMagic[[#This Row],[Active DnD]]&lt;=12,TblMagic[[#This Row],[Active DnD]]&gt;6),1.6,1),0)</f>
        <v>28</v>
      </c>
      <c r="AA79" s="142"/>
      <c r="AB79" s="143">
        <f ca="1">Overview!$I$17 + IF(Magic!AF79&gt;0,Constants!$F$78) + ROUND(6*(Construction!BM80+Construction!CK79)/IF(Explore!S80&gt;0,Construction!F80-20,Construction!F80),4) + tech_6_5_2*Techs!BJ79 + tech_8_4*Techs!BT79</f>
        <v>0.81079999999999997</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45818.166666666482</v>
      </c>
      <c r="C80" s="94">
        <f ca="1">OFFSET(TblPop[[#This Row],[Peasants]],-1,0)+OFFSET(TblPop[[#This Row],[Net Peasant]],-1,0)+TblMili[[#This Row],[Release Draft]]</f>
        <v>2774</v>
      </c>
      <c r="D80" s="94">
        <f ca="1">TblMili[[#This Row],[Military]]</f>
        <v>3479</v>
      </c>
      <c r="E80" s="94">
        <f ca="1">TblMili[[#This Row],[Draftees]]</f>
        <v>3479</v>
      </c>
      <c r="F80" s="94">
        <f ca="1">TblPop[[#This Row],[Peasants]]+TblPop[[#This Row],[Military]]</f>
        <v>6253</v>
      </c>
      <c r="G80" s="139">
        <f ca="1">TblPop[[#This Row],[Military]]/TblPop[[#This Row],[Total]]</f>
        <v>0.55637294098832557</v>
      </c>
      <c r="H80" s="140">
        <f ca="1">MIN(TblPop[[#This Row],[Peasants]],TblPop[[#This Row],[Jobs]])</f>
        <v>2774</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6000</v>
      </c>
      <c r="K80" s="141"/>
      <c r="L80" s="61">
        <f ca="1">TblPop[[#This Row],[Draftees]]</f>
        <v>3479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6253</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80" s="94">
        <f ca="1">MAX(-5%*TblPop[[#This Row],[Peasants]]-TblPop[[#This Row],[Draft Growth]],MIN(OFFSET(TblPop[[#This Row],[Net max]],1,0)-TblPop[[#This Row],[Peasants]]-TblPop[[#This Row],[Military]]-TblPop[[#This Row],[Draft Growth]],TblPop[[#This Row],[Modded Birth]]-TblPop[[#This Row],[Draft Growth]]))</f>
        <v>-28</v>
      </c>
      <c r="X80" s="94">
        <f ca="1">ROUND(TblPop[[#This Row],[Raw Birth]]*(1+TblPop[[#This Row],[Growth]]),0)</f>
        <v>149</v>
      </c>
      <c r="Y80" s="94">
        <f ca="1">(TblPop[[#This Row],[Peasants]]-TblPop[[#This Row],[Draft Growth]])*raw_pop_growth</f>
        <v>82.38</v>
      </c>
      <c r="Z80" s="94">
        <f ca="1">ROUND(IF(TblPop[[#This Row],[Military%]]&lt;TblMili[[#This Row],[Draftrate]],ROUND(TblPop[[#This Row],[Peasants]]*Constants!$B$55,0), 0) * IF(AND(TblMagic[[#This Row],[Active DnD]]&lt;=12,TblMagic[[#This Row],[Active DnD]]&gt;6),1.6,1),0)</f>
        <v>28</v>
      </c>
      <c r="AA80" s="142"/>
      <c r="AB80" s="143">
        <f ca="1">Overview!$I$17 + IF(Magic!AF80&gt;0,Constants!$F$78) + ROUND(6*(Construction!BM81+Construction!CK80)/IF(Explore!S81&gt;0,Construction!F81-20,Construction!F81),4) + tech_6_5_2*Techs!BJ80 + tech_8_4*Techs!BT80</f>
        <v>0.81079999999999997</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45818.208333333147</v>
      </c>
      <c r="C81" s="94">
        <f ca="1">OFFSET(TblPop[[#This Row],[Peasants]],-1,0)+OFFSET(TblPop[[#This Row],[Net Peasant]],-1,0)+TblMili[[#This Row],[Release Draft]]</f>
        <v>2746</v>
      </c>
      <c r="D81" s="94">
        <f ca="1">TblMili[[#This Row],[Military]]</f>
        <v>3507</v>
      </c>
      <c r="E81" s="94">
        <f ca="1">TblMili[[#This Row],[Draftees]]</f>
        <v>3507</v>
      </c>
      <c r="F81" s="94">
        <f ca="1">TblPop[[#This Row],[Peasants]]+TblPop[[#This Row],[Military]]</f>
        <v>6253</v>
      </c>
      <c r="G81" s="139">
        <f ca="1">TblPop[[#This Row],[Military]]/TblPop[[#This Row],[Total]]</f>
        <v>0.56085079162002238</v>
      </c>
      <c r="H81" s="140">
        <f ca="1">MIN(TblPop[[#This Row],[Peasants]],TblPop[[#This Row],[Jobs]])</f>
        <v>2746</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6000</v>
      </c>
      <c r="K81" s="141"/>
      <c r="L81" s="61">
        <f ca="1">TblPop[[#This Row],[Draftees]]</f>
        <v>3507</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6253</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81" s="94">
        <f ca="1">MAX(-5%*TblPop[[#This Row],[Peasants]]-TblPop[[#This Row],[Draft Growth]],MIN(OFFSET(TblPop[[#This Row],[Net max]],1,0)-TblPop[[#This Row],[Peasants]]-TblPop[[#This Row],[Military]]-TblPop[[#This Row],[Draft Growth]],TblPop[[#This Row],[Modded Birth]]-TblPop[[#This Row],[Draft Growth]]))</f>
        <v>-27</v>
      </c>
      <c r="X81" s="94">
        <f ca="1">ROUND(TblPop[[#This Row],[Raw Birth]]*(1+TblPop[[#This Row],[Growth]]),0)</f>
        <v>148</v>
      </c>
      <c r="Y81" s="94">
        <f ca="1">(TblPop[[#This Row],[Peasants]]-TblPop[[#This Row],[Draft Growth]])*raw_pop_growth</f>
        <v>81.569999999999993</v>
      </c>
      <c r="Z81" s="94">
        <f ca="1">ROUND(IF(TblPop[[#This Row],[Military%]]&lt;TblMili[[#This Row],[Draftrate]],ROUND(TblPop[[#This Row],[Peasants]]*Constants!$B$55,0), 0) * IF(AND(TblMagic[[#This Row],[Active DnD]]&lt;=12,TblMagic[[#This Row],[Active DnD]]&gt;6),1.6,1),0)</f>
        <v>27</v>
      </c>
      <c r="AA81" s="142"/>
      <c r="AB81" s="143">
        <f ca="1">Overview!$I$17 + IF(Magic!AF81&gt;0,Constants!$F$78) + ROUND(6*(Construction!BM82+Construction!CK81)/IF(Explore!S82&gt;0,Construction!F82-20,Construction!F82),4) + tech_6_5_2*Techs!BJ81 + tech_8_4*Techs!BT81</f>
        <v>0.81079999999999997</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45818.249999999811</v>
      </c>
      <c r="C82" s="94">
        <f ca="1">OFFSET(TblPop[[#This Row],[Peasants]],-1,0)+OFFSET(TblPop[[#This Row],[Net Peasant]],-1,0)+TblMili[[#This Row],[Release Draft]]</f>
        <v>2719</v>
      </c>
      <c r="D82" s="94">
        <f ca="1">TblMili[[#This Row],[Military]]</f>
        <v>3534</v>
      </c>
      <c r="E82" s="94">
        <f ca="1">TblMili[[#This Row],[Draftees]]</f>
        <v>3534</v>
      </c>
      <c r="F82" s="94">
        <f ca="1">TblPop[[#This Row],[Peasants]]+TblPop[[#This Row],[Military]]</f>
        <v>6253</v>
      </c>
      <c r="G82" s="139">
        <f ca="1">TblPop[[#This Row],[Military]]/TblPop[[#This Row],[Total]]</f>
        <v>0.56516871901487287</v>
      </c>
      <c r="H82" s="140">
        <f ca="1">MIN(TblPop[[#This Row],[Peasants]],TblPop[[#This Row],[Jobs]])</f>
        <v>2719</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6000</v>
      </c>
      <c r="K82" s="141"/>
      <c r="L82" s="61">
        <f ca="1">TblPop[[#This Row],[Draftees]]</f>
        <v>3534</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6253</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82" s="94">
        <f ca="1">MAX(-5%*TblPop[[#This Row],[Peasants]]-TblPop[[#This Row],[Draft Growth]],MIN(OFFSET(TblPop[[#This Row],[Net max]],1,0)-TblPop[[#This Row],[Peasants]]-TblPop[[#This Row],[Military]]-TblPop[[#This Row],[Draft Growth]],TblPop[[#This Row],[Modded Birth]]-TblPop[[#This Row],[Draft Growth]]))</f>
        <v>-27</v>
      </c>
      <c r="X82" s="94">
        <f ca="1">ROUND(TblPop[[#This Row],[Raw Birth]]*(1+TblPop[[#This Row],[Growth]]),0)</f>
        <v>146</v>
      </c>
      <c r="Y82" s="94">
        <f ca="1">(TblPop[[#This Row],[Peasants]]-TblPop[[#This Row],[Draft Growth]])*raw_pop_growth</f>
        <v>80.759999999999991</v>
      </c>
      <c r="Z82" s="94">
        <f ca="1">ROUND(IF(TblPop[[#This Row],[Military%]]&lt;TblMili[[#This Row],[Draftrate]],ROUND(TblPop[[#This Row],[Peasants]]*Constants!$B$55,0), 0) * IF(AND(TblMagic[[#This Row],[Active DnD]]&lt;=12,TblMagic[[#This Row],[Active DnD]]&gt;6),1.6,1),0)</f>
        <v>27</v>
      </c>
      <c r="AA82" s="142"/>
      <c r="AB82" s="143">
        <f ca="1">Overview!$I$17 + IF(Magic!AF82&gt;0,Constants!$F$78) + ROUND(6*(Construction!BM83+Construction!CK82)/IF(Explore!S83&gt;0,Construction!F83-20,Construction!F83),4) + tech_6_5_2*Techs!BJ82 + tech_8_4*Techs!BT82</f>
        <v>0.81079999999999997</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45818.291666666475</v>
      </c>
      <c r="C83" s="94">
        <f ca="1">OFFSET(TblPop[[#This Row],[Peasants]],-1,0)+OFFSET(TblPop[[#This Row],[Net Peasant]],-1,0)+TblMili[[#This Row],[Release Draft]]</f>
        <v>2692</v>
      </c>
      <c r="D83" s="94">
        <f ca="1">TblMili[[#This Row],[Military]]</f>
        <v>3561</v>
      </c>
      <c r="E83" s="94">
        <f ca="1">TblMili[[#This Row],[Draftees]]</f>
        <v>3561</v>
      </c>
      <c r="F83" s="94">
        <f ca="1">TblPop[[#This Row],[Peasants]]+TblPop[[#This Row],[Military]]</f>
        <v>6253</v>
      </c>
      <c r="G83" s="139">
        <f ca="1">TblPop[[#This Row],[Military]]/TblPop[[#This Row],[Total]]</f>
        <v>0.56948664640972335</v>
      </c>
      <c r="H83" s="140">
        <f ca="1">MIN(TblPop[[#This Row],[Peasants]],TblPop[[#This Row],[Jobs]])</f>
        <v>2692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6000</v>
      </c>
      <c r="K83" s="141"/>
      <c r="L83" s="61">
        <f ca="1">TblPop[[#This Row],[Draftees]]</f>
        <v>3561</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6253</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83" s="94">
        <f ca="1">MAX(-5%*TblPop[[#This Row],[Peasants]]-TblPop[[#This Row],[Draft Growth]],MIN(OFFSET(TblPop[[#This Row],[Net max]],1,0)-TblPop[[#This Row],[Peasants]]-TblPop[[#This Row],[Military]]-TblPop[[#This Row],[Draft Growth]],TblPop[[#This Row],[Modded Birth]]-TblPop[[#This Row],[Draft Growth]]))</f>
        <v>-27</v>
      </c>
      <c r="X83" s="94">
        <f ca="1">ROUND(TblPop[[#This Row],[Raw Birth]]*(1+TblPop[[#This Row],[Growth]]),0)</f>
        <v>145</v>
      </c>
      <c r="Y83" s="94">
        <f ca="1">(TblPop[[#This Row],[Peasants]]-TblPop[[#This Row],[Draft Growth]])*raw_pop_growth</f>
        <v>79.95</v>
      </c>
      <c r="Z83" s="94">
        <f ca="1">ROUND(IF(TblPop[[#This Row],[Military%]]&lt;TblMili[[#This Row],[Draftrate]],ROUND(TblPop[[#This Row],[Peasants]]*Constants!$B$55,0), 0) * IF(AND(TblMagic[[#This Row],[Active DnD]]&lt;=12,TblMagic[[#This Row],[Active DnD]]&gt;6),1.6,1),0)</f>
        <v>27</v>
      </c>
      <c r="AA83" s="142"/>
      <c r="AB83" s="143">
        <f ca="1">Overview!$I$17 + IF(Magic!AF83&gt;0,Constants!$F$78) + ROUND(6*(Construction!BM84+Construction!CK83)/IF(Explore!S84&gt;0,Construction!F84-20,Construction!F84),4) + tech_6_5_2*Techs!BJ83 + tech_8_4*Techs!BT83</f>
        <v>0.81079999999999997</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45818.333333333139</v>
      </c>
      <c r="C84" s="94">
        <f ca="1">OFFSET(TblPop[[#This Row],[Peasants]],-1,0)+OFFSET(TblPop[[#This Row],[Net Peasant]],-1,0)+TblMili[[#This Row],[Release Draft]]</f>
        <v>2665</v>
      </c>
      <c r="D84" s="94">
        <f ca="1">TblMili[[#This Row],[Military]]</f>
        <v>3588</v>
      </c>
      <c r="E84" s="94">
        <f ca="1">TblMili[[#This Row],[Draftees]]</f>
        <v>3588</v>
      </c>
      <c r="F84" s="94">
        <f ca="1">TblPop[[#This Row],[Peasants]]+TblPop[[#This Row],[Military]]</f>
        <v>6253</v>
      </c>
      <c r="G84" s="139">
        <f ca="1">TblPop[[#This Row],[Military]]/TblPop[[#This Row],[Total]]</f>
        <v>0.57380457380457384</v>
      </c>
      <c r="H84" s="140">
        <f ca="1">MIN(TblPop[[#This Row],[Peasants]],TblPop[[#This Row],[Jobs]])</f>
        <v>2665</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6000</v>
      </c>
      <c r="K84" s="141"/>
      <c r="L84" s="61">
        <f ca="1">TblPop[[#This Row],[Draftees]]</f>
        <v>3588</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6253</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84" s="94">
        <f ca="1">MAX(-5%*TblPop[[#This Row],[Peasants]]-TblPop[[#This Row],[Draft Growth]],MIN(OFFSET(TblPop[[#This Row],[Net max]],1,0)-TblPop[[#This Row],[Peasants]]-TblPop[[#This Row],[Military]]-TblPop[[#This Row],[Draft Growth]],TblPop[[#This Row],[Modded Birth]]-TblPop[[#This Row],[Draft Growth]]))</f>
        <v>-27</v>
      </c>
      <c r="X84" s="94">
        <f ca="1">ROUND(TblPop[[#This Row],[Raw Birth]]*(1+TblPop[[#This Row],[Growth]]),0)</f>
        <v>143</v>
      </c>
      <c r="Y84" s="94">
        <f ca="1">(TblPop[[#This Row],[Peasants]]-TblPop[[#This Row],[Draft Growth]])*raw_pop_growth</f>
        <v>79.14</v>
      </c>
      <c r="Z84" s="94">
        <f ca="1">ROUND(IF(TblPop[[#This Row],[Military%]]&lt;TblMili[[#This Row],[Draftrate]],ROUND(TblPop[[#This Row],[Peasants]]*Constants!$B$55,0), 0) * IF(AND(TblMagic[[#This Row],[Active DnD]]&lt;=12,TblMagic[[#This Row],[Active DnD]]&gt;6),1.6,1),0)</f>
        <v>27</v>
      </c>
      <c r="AA84" s="142"/>
      <c r="AB84" s="143">
        <f ca="1">Overview!$I$17 + IF(Magic!AF84&gt;0,Constants!$F$78) + ROUND(6*(Construction!BM85+Construction!CK84)/IF(Explore!S85&gt;0,Construction!F85-20,Construction!F85),4) + tech_6_5_2*Techs!BJ84 + tech_8_4*Techs!BT84</f>
        <v>0.81079999999999997</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45818.374999999804</v>
      </c>
      <c r="C85" s="94">
        <f ca="1">OFFSET(TblPop[[#This Row],[Peasants]],-1,0)+OFFSET(TblPop[[#This Row],[Net Peasant]],-1,0)+TblMili[[#This Row],[Release Draft]]</f>
        <v>2638</v>
      </c>
      <c r="D85" s="94">
        <f ca="1">TblMili[[#This Row],[Military]]</f>
        <v>3615</v>
      </c>
      <c r="E85" s="94">
        <f ca="1">TblMili[[#This Row],[Draftees]]</f>
        <v>3615</v>
      </c>
      <c r="F85" s="94">
        <f ca="1">TblPop[[#This Row],[Peasants]]+TblPop[[#This Row],[Military]]</f>
        <v>6253</v>
      </c>
      <c r="G85" s="139">
        <f ca="1">TblPop[[#This Row],[Military]]/TblPop[[#This Row],[Total]]</f>
        <v>0.57812250119942432</v>
      </c>
      <c r="H85" s="140">
        <f ca="1">MIN(TblPop[[#This Row],[Peasants]],TblPop[[#This Row],[Jobs]])</f>
        <v>2638</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6000</v>
      </c>
      <c r="K85" s="141"/>
      <c r="L85" s="61">
        <f ca="1">TblPop[[#This Row],[Draftees]]</f>
        <v>3615</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6253</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85" s="94">
        <f ca="1">MAX(-5%*TblPop[[#This Row],[Peasants]]-TblPop[[#This Row],[Draft Growth]],MIN(OFFSET(TblPop[[#This Row],[Net max]],1,0)-TblPop[[#This Row],[Peasants]]-TblPop[[#This Row],[Military]]-TblPop[[#This Row],[Draft Growth]],TblPop[[#This Row],[Modded Birth]]-TblPop[[#This Row],[Draft Growth]]))</f>
        <v>-26</v>
      </c>
      <c r="X85" s="94">
        <f ca="1">ROUND(TblPop[[#This Row],[Raw Birth]]*(1+TblPop[[#This Row],[Growth]]),0)</f>
        <v>142</v>
      </c>
      <c r="Y85" s="94">
        <f ca="1">(TblPop[[#This Row],[Peasants]]-TblPop[[#This Row],[Draft Growth]])*raw_pop_growth</f>
        <v>78.36</v>
      </c>
      <c r="Z85" s="94">
        <f ca="1">ROUND(IF(TblPop[[#This Row],[Military%]]&lt;TblMili[[#This Row],[Draftrate]],ROUND(TblPop[[#This Row],[Peasants]]*Constants!$B$55,0), 0) * IF(AND(TblMagic[[#This Row],[Active DnD]]&lt;=12,TblMagic[[#This Row],[Active DnD]]&gt;6),1.6,1),0)</f>
        <v>26</v>
      </c>
      <c r="AA85" s="142"/>
      <c r="AB85" s="143">
        <f ca="1">Overview!$I$17 + IF(Magic!AF85&gt;0,Constants!$F$78) + ROUND(6*(Construction!BM86+Construction!CK85)/IF(Explore!S86&gt;0,Construction!F86-20,Construction!F86),4) + tech_6_5_2*Techs!BJ85 + tech_8_4*Techs!BT85</f>
        <v>0.81079999999999997</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45818.416666666468</v>
      </c>
      <c r="C86" s="94">
        <f ca="1">OFFSET(TblPop[[#This Row],[Peasants]],-1,0)+OFFSET(TblPop[[#This Row],[Net Peasant]],-1,0)+TblMili[[#This Row],[Release Draft]]</f>
        <v>2612</v>
      </c>
      <c r="D86" s="94">
        <f ca="1">TblMili[[#This Row],[Military]]</f>
        <v>3641</v>
      </c>
      <c r="E86" s="94">
        <f ca="1">TblMili[[#This Row],[Draftees]]</f>
        <v>3641</v>
      </c>
      <c r="F86" s="94">
        <f ca="1">TblPop[[#This Row],[Peasants]]+TblPop[[#This Row],[Military]]</f>
        <v>6253</v>
      </c>
      <c r="G86" s="139">
        <f ca="1">TblPop[[#This Row],[Military]]/TblPop[[#This Row],[Total]]</f>
        <v>0.58228050535742848</v>
      </c>
      <c r="H86" s="140">
        <f ca="1">MIN(TblPop[[#This Row],[Peasants]],TblPop[[#This Row],[Jobs]])</f>
        <v>2612</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6000</v>
      </c>
      <c r="K86" s="141"/>
      <c r="L86" s="61">
        <f ca="1">TblPop[[#This Row],[Draftees]]</f>
        <v>3641</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6253</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86" s="94">
        <f ca="1">MAX(-5%*TblPop[[#This Row],[Peasants]]-TblPop[[#This Row],[Draft Growth]],MIN(OFFSET(TblPop[[#This Row],[Net max]],1,0)-TblPop[[#This Row],[Peasants]]-TblPop[[#This Row],[Military]]-TblPop[[#This Row],[Draft Growth]],TblPop[[#This Row],[Modded Birth]]-TblPop[[#This Row],[Draft Growth]]))</f>
        <v>-26</v>
      </c>
      <c r="X86" s="94">
        <f ca="1">ROUND(TblPop[[#This Row],[Raw Birth]]*(1+TblPop[[#This Row],[Growth]]),0)</f>
        <v>140</v>
      </c>
      <c r="Y86" s="94">
        <f ca="1">(TblPop[[#This Row],[Peasants]]-TblPop[[#This Row],[Draft Growth]])*raw_pop_growth</f>
        <v>77.58</v>
      </c>
      <c r="Z86" s="94">
        <f ca="1">ROUND(IF(TblPop[[#This Row],[Military%]]&lt;TblMili[[#This Row],[Draftrate]],ROUND(TblPop[[#This Row],[Peasants]]*Constants!$B$55,0), 0) * IF(AND(TblMagic[[#This Row],[Active DnD]]&lt;=12,TblMagic[[#This Row],[Active DnD]]&gt;6),1.6,1),0)</f>
        <v>26</v>
      </c>
      <c r="AA86" s="142"/>
      <c r="AB86" s="143">
        <f ca="1">Overview!$I$17 + IF(Magic!AF86&gt;0,Constants!$F$78) + ROUND(6*(Construction!BM87+Construction!CK86)/IF(Explore!S87&gt;0,Construction!F87-20,Construction!F87),4) + tech_6_5_2*Techs!BJ86 + tech_8_4*Techs!BT86</f>
        <v>0.81079999999999997</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45818.458333333132</v>
      </c>
      <c r="C87" s="94">
        <f ca="1">OFFSET(TblPop[[#This Row],[Peasants]],-1,0)+OFFSET(TblPop[[#This Row],[Net Peasant]],-1,0)+TblMili[[#This Row],[Release Draft]]</f>
        <v>2586</v>
      </c>
      <c r="D87" s="94">
        <f ca="1">TblMili[[#This Row],[Military]]</f>
        <v>3667</v>
      </c>
      <c r="E87" s="94">
        <f ca="1">TblMili[[#This Row],[Draftees]]</f>
        <v>3667</v>
      </c>
      <c r="F87" s="94">
        <f ca="1">TblPop[[#This Row],[Peasants]]+TblPop[[#This Row],[Military]]</f>
        <v>6253</v>
      </c>
      <c r="G87" s="139">
        <f ca="1">TblPop[[#This Row],[Military]]/TblPop[[#This Row],[Total]]</f>
        <v>0.58643850951543264</v>
      </c>
      <c r="H87" s="140">
        <f ca="1">MIN(TblPop[[#This Row],[Peasants]],TblPop[[#This Row],[Jobs]])</f>
        <v>2586</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6000</v>
      </c>
      <c r="K87" s="141"/>
      <c r="L87" s="61">
        <f ca="1">TblPop[[#This Row],[Draftees]]</f>
        <v>3667</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6253</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87" s="94">
        <f ca="1">MAX(-5%*TblPop[[#This Row],[Peasants]]-TblPop[[#This Row],[Draft Growth]],MIN(OFFSET(TblPop[[#This Row],[Net max]],1,0)-TblPop[[#This Row],[Peasants]]-TblPop[[#This Row],[Military]]-TblPop[[#This Row],[Draft Growth]],TblPop[[#This Row],[Modded Birth]]-TblPop[[#This Row],[Draft Growth]]))</f>
        <v>-26</v>
      </c>
      <c r="X87" s="94">
        <f ca="1">ROUND(TblPop[[#This Row],[Raw Birth]]*(1+TblPop[[#This Row],[Growth]]),0)</f>
        <v>139</v>
      </c>
      <c r="Y87" s="94">
        <f ca="1">(TblPop[[#This Row],[Peasants]]-TblPop[[#This Row],[Draft Growth]])*raw_pop_growth</f>
        <v>76.8</v>
      </c>
      <c r="Z87" s="94">
        <f ca="1">ROUND(IF(TblPop[[#This Row],[Military%]]&lt;TblMili[[#This Row],[Draftrate]],ROUND(TblPop[[#This Row],[Peasants]]*Constants!$B$55,0), 0) * IF(AND(TblMagic[[#This Row],[Active DnD]]&lt;=12,TblMagic[[#This Row],[Active DnD]]&gt;6),1.6,1),0)</f>
        <v>26</v>
      </c>
      <c r="AA87" s="142"/>
      <c r="AB87" s="143">
        <f ca="1">Overview!$I$17 + IF(Magic!AF87&gt;0,Constants!$F$78) + ROUND(6*(Construction!BM88+Construction!CK87)/IF(Explore!S88&gt;0,Construction!F88-20,Construction!F88),4) + tech_6_5_2*Techs!BJ87 + tech_8_4*Techs!BT87</f>
        <v>0.81079999999999997</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45818.499999999796</v>
      </c>
      <c r="C88" s="94">
        <f ca="1">OFFSET(TblPop[[#This Row],[Peasants]],-1,0)+OFFSET(TblPop[[#This Row],[Net Peasant]],-1,0)+TblMili[[#This Row],[Release Draft]]</f>
        <v>2560</v>
      </c>
      <c r="D88" s="94">
        <f ca="1">TblMili[[#This Row],[Military]]</f>
        <v>3693</v>
      </c>
      <c r="E88" s="94">
        <f ca="1">TblMili[[#This Row],[Draftees]]</f>
        <v>3693</v>
      </c>
      <c r="F88" s="94">
        <f ca="1">TblPop[[#This Row],[Peasants]]+TblPop[[#This Row],[Military]]</f>
        <v>6253</v>
      </c>
      <c r="G88" s="139">
        <f ca="1">TblPop[[#This Row],[Military]]/TblPop[[#This Row],[Total]]</f>
        <v>0.5905965136734368</v>
      </c>
      <c r="H88" s="140">
        <f ca="1">MIN(TblPop[[#This Row],[Peasants]],TblPop[[#This Row],[Jobs]])</f>
        <v>2560</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6000</v>
      </c>
      <c r="K88" s="141"/>
      <c r="L88" s="61">
        <f ca="1">TblPop[[#This Row],[Draftees]]</f>
        <v>3693</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6253</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88" s="94">
        <f ca="1">MAX(-5%*TblPop[[#This Row],[Peasants]]-TblPop[[#This Row],[Draft Growth]],MIN(OFFSET(TblPop[[#This Row],[Net max]],1,0)-TblPop[[#This Row],[Peasants]]-TblPop[[#This Row],[Military]]-TblPop[[#This Row],[Draft Growth]],TblPop[[#This Row],[Modded Birth]]-TblPop[[#This Row],[Draft Growth]]))</f>
        <v>-26</v>
      </c>
      <c r="X88" s="94">
        <f ca="1">ROUND(TblPop[[#This Row],[Raw Birth]]*(1+TblPop[[#This Row],[Growth]]),0)</f>
        <v>138</v>
      </c>
      <c r="Y88" s="94">
        <f ca="1">(TblPop[[#This Row],[Peasants]]-TblPop[[#This Row],[Draft Growth]])*raw_pop_growth</f>
        <v>76.02</v>
      </c>
      <c r="Z88" s="94">
        <f ca="1">ROUND(IF(TblPop[[#This Row],[Military%]]&lt;TblMili[[#This Row],[Draftrate]],ROUND(TblPop[[#This Row],[Peasants]]*Constants!$B$55,0), 0) * IF(AND(TblMagic[[#This Row],[Active DnD]]&lt;=12,TblMagic[[#This Row],[Active DnD]]&gt;6),1.6,1),0)</f>
        <v>26</v>
      </c>
      <c r="AA88" s="142"/>
      <c r="AB88" s="143">
        <f ca="1">Overview!$I$17 + IF(Magic!AF88&gt;0,Constants!$F$78) + ROUND(6*(Construction!BM89+Construction!CK88)/IF(Explore!S89&gt;0,Construction!F89-20,Construction!F89),4) + tech_6_5_2*Techs!BJ88 + tech_8_4*Techs!BT88</f>
        <v>0.81079999999999997</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45818.541666666461</v>
      </c>
      <c r="C89" s="94">
        <f ca="1">OFFSET(TblPop[[#This Row],[Peasants]],-1,0)+OFFSET(TblPop[[#This Row],[Net Peasant]],-1,0)+TblMili[[#This Row],[Release Draft]]</f>
        <v>2534</v>
      </c>
      <c r="D89" s="94">
        <f ca="1">TblMili[[#This Row],[Military]]</f>
        <v>3719</v>
      </c>
      <c r="E89" s="94">
        <f ca="1">TblMili[[#This Row],[Draftees]]</f>
        <v>3719</v>
      </c>
      <c r="F89" s="94">
        <f ca="1">TblPop[[#This Row],[Peasants]]+TblPop[[#This Row],[Military]]</f>
        <v>6253</v>
      </c>
      <c r="G89" s="139">
        <f ca="1">TblPop[[#This Row],[Military]]/TblPop[[#This Row],[Total]]</f>
        <v>0.59475451783144095</v>
      </c>
      <c r="H89" s="140">
        <f ca="1">MIN(TblPop[[#This Row],[Peasants]],TblPop[[#This Row],[Jobs]])</f>
        <v>2534</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6000</v>
      </c>
      <c r="K89" s="141"/>
      <c r="L89" s="61">
        <f ca="1">TblPop[[#This Row],[Draftees]]</f>
        <v>3719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6253</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89" s="94">
        <f ca="1">MAX(-5%*TblPop[[#This Row],[Peasants]]-TblPop[[#This Row],[Draft Growth]],MIN(OFFSET(TblPop[[#This Row],[Net max]],1,0)-TblPop[[#This Row],[Peasants]]-TblPop[[#This Row],[Military]]-TblPop[[#This Row],[Draft Growth]],TblPop[[#This Row],[Modded Birth]]-TblPop[[#This Row],[Draft Growth]]))</f>
        <v>-25</v>
      </c>
      <c r="X89" s="94">
        <f ca="1">ROUND(TblPop[[#This Row],[Raw Birth]]*(1+TblPop[[#This Row],[Growth]]),0)</f>
        <v>136</v>
      </c>
      <c r="Y89" s="94">
        <f ca="1">(TblPop[[#This Row],[Peasants]]-TblPop[[#This Row],[Draft Growth]])*raw_pop_growth</f>
        <v>75.27</v>
      </c>
      <c r="Z89" s="94">
        <f ca="1">ROUND(IF(TblPop[[#This Row],[Military%]]&lt;TblMili[[#This Row],[Draftrate]],ROUND(TblPop[[#This Row],[Peasants]]*Constants!$B$55,0), 0) * IF(AND(TblMagic[[#This Row],[Active DnD]]&lt;=12,TblMagic[[#This Row],[Active DnD]]&gt;6),1.6,1),0)</f>
        <v>25</v>
      </c>
      <c r="AA89" s="142"/>
      <c r="AB89" s="143">
        <f ca="1">Overview!$I$17 + IF(Magic!AF89&gt;0,Constants!$F$78) + ROUND(6*(Construction!BM90+Construction!CK89)/IF(Explore!S90&gt;0,Construction!F90-20,Construction!F90),4) + tech_6_5_2*Techs!BJ89 + tech_8_4*Techs!BT89</f>
        <v>0.81079999999999997</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45818.583333333125</v>
      </c>
      <c r="C90" s="94">
        <f ca="1">OFFSET(TblPop[[#This Row],[Peasants]],-1,0)+OFFSET(TblPop[[#This Row],[Net Peasant]],-1,0)+TblMili[[#This Row],[Release Draft]]</f>
        <v>2509</v>
      </c>
      <c r="D90" s="94">
        <f ca="1">TblMili[[#This Row],[Military]]</f>
        <v>3744</v>
      </c>
      <c r="E90" s="94">
        <f ca="1">TblMili[[#This Row],[Draftees]]</f>
        <v>3744</v>
      </c>
      <c r="F90" s="94">
        <f ca="1">TblPop[[#This Row],[Peasants]]+TblPop[[#This Row],[Military]]</f>
        <v>6253</v>
      </c>
      <c r="G90" s="139">
        <f ca="1">TblPop[[#This Row],[Military]]/TblPop[[#This Row],[Total]]</f>
        <v>0.59875259875259879</v>
      </c>
      <c r="H90" s="140">
        <f ca="1">MIN(TblPop[[#This Row],[Peasants]],TblPop[[#This Row],[Jobs]])</f>
        <v>2509</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6000</v>
      </c>
      <c r="K90" s="141"/>
      <c r="L90" s="61">
        <f ca="1">TblPop[[#This Row],[Draftees]]</f>
        <v>3744</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6253</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90" s="94">
        <f ca="1">MAX(-5%*TblPop[[#This Row],[Peasants]]-TblPop[[#This Row],[Draft Growth]],MIN(OFFSET(TblPop[[#This Row],[Net max]],1,0)-TblPop[[#This Row],[Peasants]]-TblPop[[#This Row],[Military]]-TblPop[[#This Row],[Draft Growth]],TblPop[[#This Row],[Modded Birth]]-TblPop[[#This Row],[Draft Growth]]))</f>
        <v>-25</v>
      </c>
      <c r="X90" s="94">
        <f ca="1">ROUND(TblPop[[#This Row],[Raw Birth]]*(1+TblPop[[#This Row],[Growth]]),0)</f>
        <v>135</v>
      </c>
      <c r="Y90" s="94">
        <f ca="1">(TblPop[[#This Row],[Peasants]]-TblPop[[#This Row],[Draft Growth]])*raw_pop_growth</f>
        <v>74.52</v>
      </c>
      <c r="Z90" s="94">
        <f ca="1">ROUND(IF(TblPop[[#This Row],[Military%]]&lt;TblMili[[#This Row],[Draftrate]],ROUND(TblPop[[#This Row],[Peasants]]*Constants!$B$55,0), 0) * IF(AND(TblMagic[[#This Row],[Active DnD]]&lt;=12,TblMagic[[#This Row],[Active DnD]]&gt;6),1.6,1),0)</f>
        <v>25</v>
      </c>
      <c r="AA90" s="142"/>
      <c r="AB90" s="143">
        <f ca="1">Overview!$I$17 + IF(Magic!AF90&gt;0,Constants!$F$78) + ROUND(6*(Construction!BM91+Construction!CK90)/IF(Explore!S91&gt;0,Construction!F91-20,Construction!F91),4) + tech_6_5_2*Techs!BJ90 + tech_8_4*Techs!BT90</f>
        <v>0.81079999999999997</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45818.624999999789</v>
      </c>
      <c r="C91" s="94">
        <f ca="1">OFFSET(TblPop[[#This Row],[Peasants]],-1,0)+OFFSET(TblPop[[#This Row],[Net Peasant]],-1,0)+TblMili[[#This Row],[Release Draft]]</f>
        <v>2484</v>
      </c>
      <c r="D91" s="94">
        <f ca="1">TblMili[[#This Row],[Military]]</f>
        <v>3769</v>
      </c>
      <c r="E91" s="94">
        <f ca="1">TblMili[[#This Row],[Draftees]]</f>
        <v>3769</v>
      </c>
      <c r="F91" s="94">
        <f ca="1">TblPop[[#This Row],[Peasants]]+TblPop[[#This Row],[Military]]</f>
        <v>6253</v>
      </c>
      <c r="G91" s="139">
        <f ca="1">TblPop[[#This Row],[Military]]/TblPop[[#This Row],[Total]]</f>
        <v>0.60275067967375662</v>
      </c>
      <c r="H91" s="140">
        <f ca="1">MIN(TblPop[[#This Row],[Peasants]],TblPop[[#This Row],[Jobs]])</f>
        <v>2484</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6000</v>
      </c>
      <c r="K91" s="141"/>
      <c r="L91" s="61">
        <f ca="1">TblPop[[#This Row],[Draftees]]</f>
        <v>3769</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6253</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91" s="94">
        <f ca="1">MAX(-5%*TblPop[[#This Row],[Peasants]]-TblPop[[#This Row],[Draft Growth]],MIN(OFFSET(TblPop[[#This Row],[Net max]],1,0)-TblPop[[#This Row],[Peasants]]-TblPop[[#This Row],[Military]]-TblPop[[#This Row],[Draft Growth]],TblPop[[#This Row],[Modded Birth]]-TblPop[[#This Row],[Draft Growth]]))</f>
        <v>-25</v>
      </c>
      <c r="X91" s="94">
        <f ca="1">ROUND(TblPop[[#This Row],[Raw Birth]]*(1+TblPop[[#This Row],[Growth]]),0)</f>
        <v>134</v>
      </c>
      <c r="Y91" s="94">
        <f ca="1">(TblPop[[#This Row],[Peasants]]-TblPop[[#This Row],[Draft Growth]])*raw_pop_growth</f>
        <v>73.77</v>
      </c>
      <c r="Z91" s="94">
        <f ca="1">ROUND(IF(TblPop[[#This Row],[Military%]]&lt;TblMili[[#This Row],[Draftrate]],ROUND(TblPop[[#This Row],[Peasants]]*Constants!$B$55,0), 0) * IF(AND(TblMagic[[#This Row],[Active DnD]]&lt;=12,TblMagic[[#This Row],[Active DnD]]&gt;6),1.6,1),0)</f>
        <v>25</v>
      </c>
      <c r="AA91" s="142"/>
      <c r="AB91" s="143">
        <f ca="1">Overview!$I$17 + IF(Magic!AF91&gt;0,Constants!$F$78) + ROUND(6*(Construction!BM92+Construction!CK91)/IF(Explore!S92&gt;0,Construction!F92-20,Construction!F92),4) + tech_6_5_2*Techs!BJ91 + tech_8_4*Techs!BT91</f>
        <v>0.81079999999999997</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45818.666666666453</v>
      </c>
      <c r="C92" s="94">
        <f ca="1">OFFSET(TblPop[[#This Row],[Peasants]],-1,0)+OFFSET(TblPop[[#This Row],[Net Peasant]],-1,0)+TblMili[[#This Row],[Release Draft]]</f>
        <v>2459</v>
      </c>
      <c r="D92" s="94">
        <f ca="1">TblMili[[#This Row],[Military]]</f>
        <v>3794</v>
      </c>
      <c r="E92" s="94">
        <f ca="1">TblMili[[#This Row],[Draftees]]</f>
        <v>3794</v>
      </c>
      <c r="F92" s="94">
        <f ca="1">TblPop[[#This Row],[Peasants]]+TblPop[[#This Row],[Military]]</f>
        <v>6253</v>
      </c>
      <c r="G92" s="139">
        <f ca="1">TblPop[[#This Row],[Military]]/TblPop[[#This Row],[Total]]</f>
        <v>0.60674876059491445</v>
      </c>
      <c r="H92" s="140">
        <f ca="1">MIN(TblPop[[#This Row],[Peasants]],TblPop[[#This Row],[Jobs]])</f>
        <v>2459</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6000</v>
      </c>
      <c r="K92" s="141"/>
      <c r="L92" s="61">
        <f ca="1">TblPop[[#This Row],[Draftees]]</f>
        <v>3794</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6253</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92" s="94">
        <f ca="1">MAX(-5%*TblPop[[#This Row],[Peasants]]-TblPop[[#This Row],[Draft Growth]],MIN(OFFSET(TblPop[[#This Row],[Net max]],1,0)-TblPop[[#This Row],[Peasants]]-TblPop[[#This Row],[Military]]-TblPop[[#This Row],[Draft Growth]],TblPop[[#This Row],[Modded Birth]]-TblPop[[#This Row],[Draft Growth]]))</f>
        <v>-25</v>
      </c>
      <c r="X92" s="94">
        <f ca="1">ROUND(TblPop[[#This Row],[Raw Birth]]*(1+TblPop[[#This Row],[Growth]]),0)</f>
        <v>132</v>
      </c>
      <c r="Y92" s="94">
        <f ca="1">(TblPop[[#This Row],[Peasants]]-TblPop[[#This Row],[Draft Growth]])*raw_pop_growth</f>
        <v>73.02</v>
      </c>
      <c r="Z92" s="94">
        <f ca="1">ROUND(IF(TblPop[[#This Row],[Military%]]&lt;TblMili[[#This Row],[Draftrate]],ROUND(TblPop[[#This Row],[Peasants]]*Constants!$B$55,0), 0) * IF(AND(TblMagic[[#This Row],[Active DnD]]&lt;=12,TblMagic[[#This Row],[Active DnD]]&gt;6),1.6,1),0)</f>
        <v>25</v>
      </c>
      <c r="AA92" s="142"/>
      <c r="AB92" s="143">
        <f ca="1">Overview!$I$17 + IF(Magic!AF92&gt;0,Constants!$F$78) + ROUND(6*(Construction!BM93+Construction!CK92)/IF(Explore!S93&gt;0,Construction!F93-20,Construction!F93),4) + tech_6_5_2*Techs!BJ92 + tech_8_4*Techs!BT92</f>
        <v>0.81079999999999997</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45818.708333333117</v>
      </c>
      <c r="C93" s="94">
        <f ca="1">OFFSET(TblPop[[#This Row],[Peasants]],-1,0)+OFFSET(TblPop[[#This Row],[Net Peasant]],-1,0)+TblMili[[#This Row],[Release Draft]]</f>
        <v>2434</v>
      </c>
      <c r="D93" s="94">
        <f ca="1">TblMili[[#This Row],[Military]]</f>
        <v>3819</v>
      </c>
      <c r="E93" s="94">
        <f ca="1">TblMili[[#This Row],[Draftees]]</f>
        <v>3819</v>
      </c>
      <c r="F93" s="94">
        <f ca="1">TblPop[[#This Row],[Peasants]]+TblPop[[#This Row],[Military]]</f>
        <v>6253</v>
      </c>
      <c r="G93" s="139">
        <f ca="1">TblPop[[#This Row],[Military]]/TblPop[[#This Row],[Total]]</f>
        <v>0.61074684151607228</v>
      </c>
      <c r="H93" s="140">
        <f ca="1">MIN(TblPop[[#This Row],[Peasants]],TblPop[[#This Row],[Jobs]])</f>
        <v>2434</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6000</v>
      </c>
      <c r="K93" s="141"/>
      <c r="L93" s="61">
        <f ca="1">TblPop[[#This Row],[Draftees]]</f>
        <v>3819</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6253</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93" s="94">
        <f ca="1">MAX(-5%*TblPop[[#This Row],[Peasants]]-TblPop[[#This Row],[Draft Growth]],MIN(OFFSET(TblPop[[#This Row],[Net max]],1,0)-TblPop[[#This Row],[Peasants]]-TblPop[[#This Row],[Military]]-TblPop[[#This Row],[Draft Growth]],TblPop[[#This Row],[Modded Birth]]-TblPop[[#This Row],[Draft Growth]]))</f>
        <v>-24</v>
      </c>
      <c r="X93" s="94">
        <f ca="1">ROUND(TblPop[[#This Row],[Raw Birth]]*(1+TblPop[[#This Row],[Growth]]),0)</f>
        <v>131</v>
      </c>
      <c r="Y93" s="94">
        <f ca="1">(TblPop[[#This Row],[Peasants]]-TblPop[[#This Row],[Draft Growth]])*raw_pop_growth</f>
        <v>72.3</v>
      </c>
      <c r="Z93" s="94">
        <f ca="1">ROUND(IF(TblPop[[#This Row],[Military%]]&lt;TblMili[[#This Row],[Draftrate]],ROUND(TblPop[[#This Row],[Peasants]]*Constants!$B$55,0), 0) * IF(AND(TblMagic[[#This Row],[Active DnD]]&lt;=12,TblMagic[[#This Row],[Active DnD]]&gt;6),1.6,1),0)</f>
        <v>24</v>
      </c>
      <c r="AA93" s="142"/>
      <c r="AB93" s="143">
        <f ca="1">Overview!$I$17 + IF(Magic!AF93&gt;0,Constants!$F$78) + ROUND(6*(Construction!BM94+Construction!CK93)/IF(Explore!S94&gt;0,Construction!F94-20,Construction!F94),4) + tech_6_5_2*Techs!BJ93 + tech_8_4*Techs!BT93</f>
        <v>0.81079999999999997</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45818.749999999782</v>
      </c>
      <c r="C94" s="94">
        <f ca="1">OFFSET(TblPop[[#This Row],[Peasants]],-1,0)+OFFSET(TblPop[[#This Row],[Net Peasant]],-1,0)+TblMili[[#This Row],[Release Draft]]</f>
        <v>2410</v>
      </c>
      <c r="D94" s="94">
        <f ca="1">TblMili[[#This Row],[Military]]</f>
        <v>3843</v>
      </c>
      <c r="E94" s="94">
        <f ca="1">TblMili[[#This Row],[Draftees]]</f>
        <v>3843</v>
      </c>
      <c r="F94" s="94">
        <f ca="1">TblPop[[#This Row],[Peasants]]+TblPop[[#This Row],[Military]]</f>
        <v>6253</v>
      </c>
      <c r="G94" s="139">
        <f ca="1">TblPop[[#This Row],[Military]]/TblPop[[#This Row],[Total]]</f>
        <v>0.61458499920038379</v>
      </c>
      <c r="H94" s="140">
        <f ca="1">MIN(TblPop[[#This Row],[Peasants]],TblPop[[#This Row],[Jobs]])</f>
        <v>2410</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6000</v>
      </c>
      <c r="K94" s="141"/>
      <c r="L94" s="61">
        <f ca="1">TblPop[[#This Row],[Draftees]]</f>
        <v>3843</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6253</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94" s="94">
        <f ca="1">MAX(-5%*TblPop[[#This Row],[Peasants]]-TblPop[[#This Row],[Draft Growth]],MIN(OFFSET(TblPop[[#This Row],[Net max]],1,0)-TblPop[[#This Row],[Peasants]]-TblPop[[#This Row],[Military]]-TblPop[[#This Row],[Draft Growth]],TblPop[[#This Row],[Modded Birth]]-TblPop[[#This Row],[Draft Growth]]))</f>
        <v>-24</v>
      </c>
      <c r="X94" s="94">
        <f ca="1">ROUND(TblPop[[#This Row],[Raw Birth]]*(1+TblPop[[#This Row],[Growth]]),0)</f>
        <v>130</v>
      </c>
      <c r="Y94" s="94">
        <f ca="1">(TblPop[[#This Row],[Peasants]]-TblPop[[#This Row],[Draft Growth]])*raw_pop_growth</f>
        <v>71.58</v>
      </c>
      <c r="Z94" s="94">
        <f ca="1">ROUND(IF(TblPop[[#This Row],[Military%]]&lt;TblMili[[#This Row],[Draftrate]],ROUND(TblPop[[#This Row],[Peasants]]*Constants!$B$55,0), 0) * IF(AND(TblMagic[[#This Row],[Active DnD]]&lt;=12,TblMagic[[#This Row],[Active DnD]]&gt;6),1.6,1),0)</f>
        <v>24</v>
      </c>
      <c r="AA94" s="142"/>
      <c r="AB94" s="143">
        <f ca="1">Overview!$I$17 + IF(Magic!AF94&gt;0,Constants!$F$78) + ROUND(6*(Construction!BM95+Construction!CK94)/IF(Explore!S95&gt;0,Construction!F95-20,Construction!F95),4) + tech_6_5_2*Techs!BJ94 + tech_8_4*Techs!BT94</f>
        <v>0.81079999999999997</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45818.791666666446</v>
      </c>
      <c r="C95" s="94">
        <f ca="1">OFFSET(TblPop[[#This Row],[Peasants]],-1,0)+OFFSET(TblPop[[#This Row],[Net Peasant]],-1,0)+TblMili[[#This Row],[Release Draft]]</f>
        <v>2386</v>
      </c>
      <c r="D95" s="94">
        <f ca="1">TblMili[[#This Row],[Military]]</f>
        <v>3867</v>
      </c>
      <c r="E95" s="94">
        <f ca="1">TblMili[[#This Row],[Draftees]]</f>
        <v>3867</v>
      </c>
      <c r="F95" s="94">
        <f ca="1">TblPop[[#This Row],[Peasants]]+TblPop[[#This Row],[Military]]</f>
        <v>6253</v>
      </c>
      <c r="G95" s="139">
        <f ca="1">TblPop[[#This Row],[Military]]/TblPop[[#This Row],[Total]]</f>
        <v>0.61842315688469529</v>
      </c>
      <c r="H95" s="140">
        <f ca="1">MIN(TblPop[[#This Row],[Peasants]],TblPop[[#This Row],[Jobs]])</f>
        <v>2386</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6000</v>
      </c>
      <c r="K95" s="141"/>
      <c r="L95" s="61">
        <f ca="1">TblPop[[#This Row],[Draftees]]</f>
        <v>3867</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6253</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95" s="94">
        <f ca="1">MAX(-5%*TblPop[[#This Row],[Peasants]]-TblPop[[#This Row],[Draft Growth]],MIN(OFFSET(TblPop[[#This Row],[Net max]],1,0)-TblPop[[#This Row],[Peasants]]-TblPop[[#This Row],[Military]]-TblPop[[#This Row],[Draft Growth]],TblPop[[#This Row],[Modded Birth]]-TblPop[[#This Row],[Draft Growth]]))</f>
        <v>-24</v>
      </c>
      <c r="X95" s="94">
        <f ca="1">ROUND(TblPop[[#This Row],[Raw Birth]]*(1+TblPop[[#This Row],[Growth]]),0)</f>
        <v>128</v>
      </c>
      <c r="Y95" s="94">
        <f ca="1">(TblPop[[#This Row],[Peasants]]-TblPop[[#This Row],[Draft Growth]])*raw_pop_growth</f>
        <v>70.86</v>
      </c>
      <c r="Z95" s="94">
        <f ca="1">ROUND(IF(TblPop[[#This Row],[Military%]]&lt;TblMili[[#This Row],[Draftrate]],ROUND(TblPop[[#This Row],[Peasants]]*Constants!$B$55,0), 0) * IF(AND(TblMagic[[#This Row],[Active DnD]]&lt;=12,TblMagic[[#This Row],[Active DnD]]&gt;6),1.6,1),0)</f>
        <v>24</v>
      </c>
      <c r="AA95" s="142"/>
      <c r="AB95" s="143">
        <f ca="1">Overview!$I$17 + IF(Magic!AF95&gt;0,Constants!$F$78) + ROUND(6*(Construction!BM96+Construction!CK95)/IF(Explore!S96&gt;0,Construction!F96-20,Construction!F96),4) + tech_6_5_2*Techs!BJ95 + tech_8_4*Techs!BT95</f>
        <v>0.81079999999999997</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45818.83333333311</v>
      </c>
      <c r="C96" s="94">
        <f ca="1">OFFSET(TblPop[[#This Row],[Peasants]],-1,0)+OFFSET(TblPop[[#This Row],[Net Peasant]],-1,0)+TblMili[[#This Row],[Release Draft]]</f>
        <v>2362</v>
      </c>
      <c r="D96" s="94">
        <f ca="1">TblMili[[#This Row],[Military]]</f>
        <v>3891</v>
      </c>
      <c r="E96" s="94">
        <f ca="1">TblMili[[#This Row],[Draftees]]</f>
        <v>3891</v>
      </c>
      <c r="F96" s="94">
        <f ca="1">TblPop[[#This Row],[Peasants]]+TblPop[[#This Row],[Military]]</f>
        <v>6253</v>
      </c>
      <c r="G96" s="139">
        <f ca="1">TblPop[[#This Row],[Military]]/TblPop[[#This Row],[Total]]</f>
        <v>0.62226131456900691</v>
      </c>
      <c r="H96" s="140">
        <f ca="1">MIN(TblPop[[#This Row],[Peasants]],TblPop[[#This Row],[Jobs]])</f>
        <v>2362</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6000</v>
      </c>
      <c r="K96" s="141"/>
      <c r="L96" s="61">
        <f ca="1">TblPop[[#This Row],[Draftees]]</f>
        <v>3891</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6253</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96" s="94">
        <f ca="1">MAX(-5%*TblPop[[#This Row],[Peasants]]-TblPop[[#This Row],[Draft Growth]],MIN(OFFSET(TblPop[[#This Row],[Net max]],1,0)-TblPop[[#This Row],[Peasants]]-TblPop[[#This Row],[Military]]-TblPop[[#This Row],[Draft Growth]],TblPop[[#This Row],[Modded Birth]]-TblPop[[#This Row],[Draft Growth]]))</f>
        <v>-24</v>
      </c>
      <c r="X96" s="94">
        <f ca="1">ROUND(TblPop[[#This Row],[Raw Birth]]*(1+TblPop[[#This Row],[Growth]]),0)</f>
        <v>127</v>
      </c>
      <c r="Y96" s="94">
        <f ca="1">(TblPop[[#This Row],[Peasants]]-TblPop[[#This Row],[Draft Growth]])*raw_pop_growth</f>
        <v>70.14</v>
      </c>
      <c r="Z96" s="94">
        <f ca="1">ROUND(IF(TblPop[[#This Row],[Military%]]&lt;TblMili[[#This Row],[Draftrate]],ROUND(TblPop[[#This Row],[Peasants]]*Constants!$B$55,0), 0) * IF(AND(TblMagic[[#This Row],[Active DnD]]&lt;=12,TblMagic[[#This Row],[Active DnD]]&gt;6),1.6,1),0)</f>
        <v>24</v>
      </c>
      <c r="AA96" s="142"/>
      <c r="AB96" s="143">
        <f ca="1">Overview!$I$17 + IF(Magic!AF96&gt;0,Constants!$F$78) + ROUND(6*(Construction!BM97+Construction!CK96)/IF(Explore!S97&gt;0,Construction!F97-20,Construction!F97),4) + tech_6_5_2*Techs!BJ96 + tech_8_4*Techs!BT96</f>
        <v>0.81079999999999997</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45818.874999999774</v>
      </c>
      <c r="C97" s="94">
        <f ca="1">OFFSET(TblPop[[#This Row],[Peasants]],-1,0)+OFFSET(TblPop[[#This Row],[Net Peasant]],-1,0)+TblMili[[#This Row],[Release Draft]]</f>
        <v>2338</v>
      </c>
      <c r="D97" s="94">
        <f ca="1">TblMili[[#This Row],[Military]]</f>
        <v>3915</v>
      </c>
      <c r="E97" s="94">
        <f ca="1">TblMili[[#This Row],[Draftees]]</f>
        <v>3915</v>
      </c>
      <c r="F97" s="94">
        <f ca="1">TblPop[[#This Row],[Peasants]]+TblPop[[#This Row],[Military]]</f>
        <v>6253</v>
      </c>
      <c r="G97" s="139">
        <f ca="1">TblPop[[#This Row],[Military]]/TblPop[[#This Row],[Total]]</f>
        <v>0.62609947225331841</v>
      </c>
      <c r="H97" s="140">
        <f ca="1">MIN(TblPop[[#This Row],[Peasants]],TblPop[[#This Row],[Jobs]])</f>
        <v>2338</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6000</v>
      </c>
      <c r="K97" s="141"/>
      <c r="L97" s="61">
        <f ca="1">TblPop[[#This Row],[Draftees]]</f>
        <v>3915</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6253</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97" s="94">
        <f ca="1">MAX(-5%*TblPop[[#This Row],[Peasants]]-TblPop[[#This Row],[Draft Growth]],MIN(OFFSET(TblPop[[#This Row],[Net max]],1,0)-TblPop[[#This Row],[Peasants]]-TblPop[[#This Row],[Military]]-TblPop[[#This Row],[Draft Growth]],TblPop[[#This Row],[Modded Birth]]-TblPop[[#This Row],[Draft Growth]]))</f>
        <v>-23</v>
      </c>
      <c r="X97" s="94">
        <f ca="1">ROUND(TblPop[[#This Row],[Raw Birth]]*(1+TblPop[[#This Row],[Growth]]),0)</f>
        <v>126</v>
      </c>
      <c r="Y97" s="94">
        <f ca="1">(TblPop[[#This Row],[Peasants]]-TblPop[[#This Row],[Draft Growth]])*raw_pop_growth</f>
        <v>69.45</v>
      </c>
      <c r="Z97" s="94">
        <f ca="1">ROUND(IF(TblPop[[#This Row],[Military%]]&lt;TblMili[[#This Row],[Draftrate]],ROUND(TblPop[[#This Row],[Peasants]]*Constants!$B$55,0), 0) * IF(AND(TblMagic[[#This Row],[Active DnD]]&lt;=12,TblMagic[[#This Row],[Active DnD]]&gt;6),1.6,1),0)</f>
        <v>23</v>
      </c>
      <c r="AA97" s="142"/>
      <c r="AB97" s="143">
        <f ca="1">Overview!$I$17 + IF(Magic!AF97&gt;0,Constants!$F$78) + ROUND(6*(Construction!BM98+Construction!CK97)/IF(Explore!S98&gt;0,Construction!F98-20,Construction!F98),4) + tech_6_5_2*Techs!BJ97 + tech_8_4*Techs!BT97</f>
        <v>0.81079999999999997</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45818.916666666439</v>
      </c>
      <c r="C98" s="94">
        <f ca="1">OFFSET(TblPop[[#This Row],[Peasants]],-1,0)+OFFSET(TblPop[[#This Row],[Net Peasant]],-1,0)+TblMili[[#This Row],[Release Draft]]</f>
        <v>2315</v>
      </c>
      <c r="D98" s="94">
        <f ca="1">TblMili[[#This Row],[Military]]</f>
        <v>3938</v>
      </c>
      <c r="E98" s="94">
        <f ca="1">TblMili[[#This Row],[Draftees]]</f>
        <v>3938</v>
      </c>
      <c r="F98" s="94">
        <f ca="1">TblPop[[#This Row],[Peasants]]+TblPop[[#This Row],[Military]]</f>
        <v>6253</v>
      </c>
      <c r="G98" s="139">
        <f ca="1">TblPop[[#This Row],[Military]]/TblPop[[#This Row],[Total]]</f>
        <v>0.62977770670078359</v>
      </c>
      <c r="H98" s="140">
        <f ca="1">MIN(TblPop[[#This Row],[Peasants]],TblPop[[#This Row],[Jobs]])</f>
        <v>2315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6000</v>
      </c>
      <c r="K98" s="141"/>
      <c r="L98" s="61">
        <f ca="1">TblPop[[#This Row],[Draftees]]</f>
        <v>3938</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6253</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98" s="94">
        <f ca="1">MAX(-5%*TblPop[[#This Row],[Peasants]]-TblPop[[#This Row],[Draft Growth]],MIN(OFFSET(TblPop[[#This Row],[Net max]],1,0)-TblPop[[#This Row],[Peasants]]-TblPop[[#This Row],[Military]]-TblPop[[#This Row],[Draft Growth]],TblPop[[#This Row],[Modded Birth]]-TblPop[[#This Row],[Draft Growth]]))</f>
        <v>-23</v>
      </c>
      <c r="X98" s="94">
        <f ca="1">ROUND(TblPop[[#This Row],[Raw Birth]]*(1+TblPop[[#This Row],[Growth]]),0)</f>
        <v>125</v>
      </c>
      <c r="Y98" s="94">
        <f ca="1">(TblPop[[#This Row],[Peasants]]-TblPop[[#This Row],[Draft Growth]])*raw_pop_growth</f>
        <v>68.759999999999991</v>
      </c>
      <c r="Z98" s="94">
        <f ca="1">ROUND(IF(TblPop[[#This Row],[Military%]]&lt;TblMili[[#This Row],[Draftrate]],ROUND(TblPop[[#This Row],[Peasants]]*Constants!$B$55,0), 0) * IF(AND(TblMagic[[#This Row],[Active DnD]]&lt;=12,TblMagic[[#This Row],[Active DnD]]&gt;6),1.6,1),0)</f>
        <v>23</v>
      </c>
      <c r="AA98" s="142"/>
      <c r="AB98" s="143">
        <f ca="1">Overview!$I$17 + IF(Magic!AF98&gt;0,Constants!$F$78) + ROUND(6*(Construction!BM99+Construction!CK98)/IF(Explore!S99&gt;0,Construction!F99-20,Construction!F99),4) + tech_6_5_2*Techs!BJ98 + tech_8_4*Techs!BT98</f>
        <v>0.81079999999999997</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45818.958333333103</v>
      </c>
      <c r="C99" s="94">
        <f ca="1">OFFSET(TblPop[[#This Row],[Peasants]],-1,0)+OFFSET(TblPop[[#This Row],[Net Peasant]],-1,0)+TblMili[[#This Row],[Release Draft]]</f>
        <v>2292</v>
      </c>
      <c r="D99" s="94">
        <f ca="1">TblMili[[#This Row],[Military]]</f>
        <v>3961</v>
      </c>
      <c r="E99" s="94">
        <f ca="1">TblMili[[#This Row],[Draftees]]</f>
        <v>3961</v>
      </c>
      <c r="F99" s="94">
        <f ca="1">TblPop[[#This Row],[Peasants]]+TblPop[[#This Row],[Military]]</f>
        <v>6253</v>
      </c>
      <c r="G99" s="139">
        <f ca="1">TblPop[[#This Row],[Military]]/TblPop[[#This Row],[Total]]</f>
        <v>0.63345594114824888</v>
      </c>
      <c r="H99" s="140">
        <f ca="1">MIN(TblPop[[#This Row],[Peasants]],TblPop[[#This Row],[Jobs]])</f>
        <v>2292</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6000</v>
      </c>
      <c r="K99" s="141"/>
      <c r="L99" s="61">
        <f ca="1">TblPop[[#This Row],[Draftees]]</f>
        <v>3961</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6253</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99" s="94">
        <f ca="1">MAX(-5%*TblPop[[#This Row],[Peasants]]-TblPop[[#This Row],[Draft Growth]],MIN(OFFSET(TblPop[[#This Row],[Net max]],1,0)-TblPop[[#This Row],[Peasants]]-TblPop[[#This Row],[Military]]-TblPop[[#This Row],[Draft Growth]],TblPop[[#This Row],[Modded Birth]]-TblPop[[#This Row],[Draft Growth]]))</f>
        <v>-23</v>
      </c>
      <c r="X99" s="94">
        <f ca="1">ROUND(TblPop[[#This Row],[Raw Birth]]*(1+TblPop[[#This Row],[Growth]]),0)</f>
        <v>123</v>
      </c>
      <c r="Y99" s="94">
        <f ca="1">(TblPop[[#This Row],[Peasants]]-TblPop[[#This Row],[Draft Growth]])*raw_pop_growth</f>
        <v>68.069999999999993</v>
      </c>
      <c r="Z99" s="94">
        <f ca="1">ROUND(IF(TblPop[[#This Row],[Military%]]&lt;TblMili[[#This Row],[Draftrate]],ROUND(TblPop[[#This Row],[Peasants]]*Constants!$B$55,0), 0) * IF(AND(TblMagic[[#This Row],[Active DnD]]&lt;=12,TblMagic[[#This Row],[Active DnD]]&gt;6),1.6,1),0)</f>
        <v>23</v>
      </c>
      <c r="AA99" s="142"/>
      <c r="AB99" s="143">
        <f ca="1">Overview!$I$17 + IF(Magic!AF99&gt;0,Constants!$F$78) + ROUND(6*(Construction!BM100+Construction!CK99)/IF(Explore!S100&gt;0,Construction!F100-20,Construction!F100),4) + tech_6_5_2*Techs!BJ99 + tech_8_4*Techs!BT99</f>
        <v>0.81079999999999997</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45818.999999999767</v>
      </c>
      <c r="C100" s="94">
        <f ca="1">OFFSET(TblPop[[#This Row],[Peasants]],-1,0)+OFFSET(TblPop[[#This Row],[Net Peasant]],-1,0)+TblMili[[#This Row],[Release Draft]]</f>
        <v>2269</v>
      </c>
      <c r="D100" s="94">
        <f ca="1">TblMili[[#This Row],[Military]]</f>
        <v>3984</v>
      </c>
      <c r="E100" s="94">
        <f ca="1">TblMili[[#This Row],[Draftees]]</f>
        <v>3984</v>
      </c>
      <c r="F100" s="94">
        <f ca="1">TblPop[[#This Row],[Peasants]]+TblPop[[#This Row],[Military]]</f>
        <v>6253</v>
      </c>
      <c r="G100" s="139">
        <f ca="1">TblPop[[#This Row],[Military]]/TblPop[[#This Row],[Total]]</f>
        <v>0.63713417559571406</v>
      </c>
      <c r="H100" s="140">
        <f ca="1">MIN(TblPop[[#This Row],[Peasants]],TblPop[[#This Row],[Jobs]])</f>
        <v>2269</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6000</v>
      </c>
      <c r="K100" s="141"/>
      <c r="L100" s="61">
        <f ca="1">TblPop[[#This Row],[Draftees]]</f>
        <v>3984</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6253</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00" s="94">
        <f ca="1">MAX(-5%*TblPop[[#This Row],[Peasants]]-TblPop[[#This Row],[Draft Growth]],MIN(OFFSET(TblPop[[#This Row],[Net max]],1,0)-TblPop[[#This Row],[Peasants]]-TblPop[[#This Row],[Military]]-TblPop[[#This Row],[Draft Growth]],TblPop[[#This Row],[Modded Birth]]-TblPop[[#This Row],[Draft Growth]]))</f>
        <v>-23</v>
      </c>
      <c r="X100" s="94">
        <f ca="1">ROUND(TblPop[[#This Row],[Raw Birth]]*(1+TblPop[[#This Row],[Growth]]),0)</f>
        <v>122</v>
      </c>
      <c r="Y100" s="94">
        <f ca="1">(TblPop[[#This Row],[Peasants]]-TblPop[[#This Row],[Draft Growth]])*raw_pop_growth</f>
        <v>67.38</v>
      </c>
      <c r="Z100" s="94">
        <f ca="1">ROUND(IF(TblPop[[#This Row],[Military%]]&lt;TblMili[[#This Row],[Draftrate]],ROUND(TblPop[[#This Row],[Peasants]]*Constants!$B$55,0), 0) * IF(AND(TblMagic[[#This Row],[Active DnD]]&lt;=12,TblMagic[[#This Row],[Active DnD]]&gt;6),1.6,1),0)</f>
        <v>23</v>
      </c>
      <c r="AA100" s="142"/>
      <c r="AB100" s="143">
        <f ca="1">Overview!$I$17 + IF(Magic!AF100&gt;0,Constants!$F$78) + ROUND(6*(Construction!BM101+Construction!CK100)/IF(Explore!S101&gt;0,Construction!F101-20,Construction!F101),4) + tech_6_5_2*Techs!BJ100 + tech_8_4*Techs!BT100</f>
        <v>0.81079999999999997</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45819.041666666431</v>
      </c>
      <c r="C101" s="94">
        <f ca="1">OFFSET(TblPop[[#This Row],[Peasants]],-1,0)+OFFSET(TblPop[[#This Row],[Net Peasant]],-1,0)+TblMili[[#This Row],[Release Draft]]</f>
        <v>2246</v>
      </c>
      <c r="D101" s="94">
        <f ca="1">TblMili[[#This Row],[Military]]</f>
        <v>4007</v>
      </c>
      <c r="E101" s="94">
        <f ca="1">TblMili[[#This Row],[Draftees]]</f>
        <v>4007</v>
      </c>
      <c r="F101" s="94">
        <f ca="1">TblPop[[#This Row],[Peasants]]+TblPop[[#This Row],[Military]]</f>
        <v>6253</v>
      </c>
      <c r="G101" s="139">
        <f ca="1">TblPop[[#This Row],[Military]]/TblPop[[#This Row],[Total]]</f>
        <v>0.64081241004317924</v>
      </c>
      <c r="H101" s="140">
        <f ca="1">MIN(TblPop[[#This Row],[Peasants]],TblPop[[#This Row],[Jobs]])</f>
        <v>2246</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6000</v>
      </c>
      <c r="K101" s="141"/>
      <c r="L101" s="61">
        <f ca="1">TblPop[[#This Row],[Draftees]]</f>
        <v>4007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6253</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01" s="94">
        <f ca="1">MAX(-5%*TblPop[[#This Row],[Peasants]]-TblPop[[#This Row],[Draft Growth]],MIN(OFFSET(TblPop[[#This Row],[Net max]],1,0)-TblPop[[#This Row],[Peasants]]-TblPop[[#This Row],[Military]]-TblPop[[#This Row],[Draft Growth]],TblPop[[#This Row],[Modded Birth]]-TblPop[[#This Row],[Draft Growth]]))</f>
        <v>-22</v>
      </c>
      <c r="X101" s="94">
        <f ca="1">ROUND(TblPop[[#This Row],[Raw Birth]]*(1+TblPop[[#This Row],[Growth]]),0)</f>
        <v>121</v>
      </c>
      <c r="Y101" s="94">
        <f ca="1">(TblPop[[#This Row],[Peasants]]-TblPop[[#This Row],[Draft Growth]])*raw_pop_growth</f>
        <v>66.72</v>
      </c>
      <c r="Z101" s="94">
        <f ca="1">ROUND(IF(TblPop[[#This Row],[Military%]]&lt;TblMili[[#This Row],[Draftrate]],ROUND(TblPop[[#This Row],[Peasants]]*Constants!$B$55,0), 0) * IF(AND(TblMagic[[#This Row],[Active DnD]]&lt;=12,TblMagic[[#This Row],[Active DnD]]&gt;6),1.6,1),0)</f>
        <v>22</v>
      </c>
      <c r="AA101" s="142"/>
      <c r="AB101" s="143">
        <f ca="1">Overview!$I$17 + IF(Magic!AF101&gt;0,Constants!$F$78) + ROUND(6*(Construction!BM102+Construction!CK101)/IF(Explore!S102&gt;0,Construction!F102-20,Construction!F102),4) + tech_6_5_2*Techs!BJ101 + tech_8_4*Techs!BT101</f>
        <v>0.81079999999999997</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45819.083333333096</v>
      </c>
      <c r="C102" s="94">
        <f ca="1">OFFSET(TblPop[[#This Row],[Peasants]],-1,0)+OFFSET(TblPop[[#This Row],[Net Peasant]],-1,0)+TblMili[[#This Row],[Release Draft]]</f>
        <v>2224</v>
      </c>
      <c r="D102" s="94">
        <f ca="1">TblMili[[#This Row],[Military]]</f>
        <v>4029</v>
      </c>
      <c r="E102" s="94">
        <f ca="1">TblMili[[#This Row],[Draftees]]</f>
        <v>4029</v>
      </c>
      <c r="F102" s="94">
        <f ca="1">TblPop[[#This Row],[Peasants]]+TblPop[[#This Row],[Military]]</f>
        <v>6253</v>
      </c>
      <c r="G102" s="139">
        <f ca="1">TblPop[[#This Row],[Military]]/TblPop[[#This Row],[Total]]</f>
        <v>0.6443307212537982</v>
      </c>
      <c r="H102" s="140">
        <f ca="1">MIN(TblPop[[#This Row],[Peasants]],TblPop[[#This Row],[Jobs]])</f>
        <v>2224</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6000</v>
      </c>
      <c r="K102" s="141"/>
      <c r="L102" s="61">
        <f ca="1">TblPop[[#This Row],[Draftees]]</f>
        <v>4029</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6253</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02" s="94">
        <f ca="1">MAX(-5%*TblPop[[#This Row],[Peasants]]-TblPop[[#This Row],[Draft Growth]],MIN(OFFSET(TblPop[[#This Row],[Net max]],1,0)-TblPop[[#This Row],[Peasants]]-TblPop[[#This Row],[Military]]-TblPop[[#This Row],[Draft Growth]],TblPop[[#This Row],[Modded Birth]]-TblPop[[#This Row],[Draft Growth]]))</f>
        <v>-22</v>
      </c>
      <c r="X102" s="94">
        <f ca="1">ROUND(TblPop[[#This Row],[Raw Birth]]*(1+TblPop[[#This Row],[Growth]]),0)</f>
        <v>120</v>
      </c>
      <c r="Y102" s="94">
        <f ca="1">(TblPop[[#This Row],[Peasants]]-TblPop[[#This Row],[Draft Growth]])*raw_pop_growth</f>
        <v>66.06</v>
      </c>
      <c r="Z102" s="94">
        <f ca="1">ROUND(IF(TblPop[[#This Row],[Military%]]&lt;TblMili[[#This Row],[Draftrate]],ROUND(TblPop[[#This Row],[Peasants]]*Constants!$B$55,0), 0) * IF(AND(TblMagic[[#This Row],[Active DnD]]&lt;=12,TblMagic[[#This Row],[Active DnD]]&gt;6),1.6,1),0)</f>
        <v>22</v>
      </c>
      <c r="AA102" s="142"/>
      <c r="AB102" s="143">
        <f ca="1">Overview!$I$17 + IF(Magic!AF102&gt;0,Constants!$F$78) + ROUND(6*(Construction!BM103+Construction!CK102)/IF(Explore!S103&gt;0,Construction!F103-20,Construction!F103),4) + tech_6_5_2*Techs!BJ102 + tech_8_4*Techs!BT102</f>
        <v>0.81079999999999997</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45819.12499999976</v>
      </c>
      <c r="C103" s="94">
        <f ca="1">OFFSET(TblPop[[#This Row],[Peasants]],-1,0)+OFFSET(TblPop[[#This Row],[Net Peasant]],-1,0)+TblMili[[#This Row],[Release Draft]]</f>
        <v>2202</v>
      </c>
      <c r="D103" s="94">
        <f ca="1">TblMili[[#This Row],[Military]]</f>
        <v>4051</v>
      </c>
      <c r="E103" s="94">
        <f ca="1">TblMili[[#This Row],[Draftees]]</f>
        <v>4051</v>
      </c>
      <c r="F103" s="94">
        <f ca="1">TblPop[[#This Row],[Peasants]]+TblPop[[#This Row],[Military]]</f>
        <v>6253</v>
      </c>
      <c r="G103" s="139">
        <f ca="1">TblPop[[#This Row],[Military]]/TblPop[[#This Row],[Total]]</f>
        <v>0.64784903246441705</v>
      </c>
      <c r="H103" s="140">
        <f ca="1">MIN(TblPop[[#This Row],[Peasants]],TblPop[[#This Row],[Jobs]])</f>
        <v>2202</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6000</v>
      </c>
      <c r="K103" s="141"/>
      <c r="L103" s="61">
        <f ca="1">TblPop[[#This Row],[Draftees]]</f>
        <v>4051</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6253</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03" s="94">
        <f ca="1">MAX(-5%*TblPop[[#This Row],[Peasants]]-TblPop[[#This Row],[Draft Growth]],MIN(OFFSET(TblPop[[#This Row],[Net max]],1,0)-TblPop[[#This Row],[Peasants]]-TblPop[[#This Row],[Military]]-TblPop[[#This Row],[Draft Growth]],TblPop[[#This Row],[Modded Birth]]-TblPop[[#This Row],[Draft Growth]]))</f>
        <v>-22</v>
      </c>
      <c r="X103" s="94">
        <f ca="1">ROUND(TblPop[[#This Row],[Raw Birth]]*(1+TblPop[[#This Row],[Growth]]),0)</f>
        <v>118</v>
      </c>
      <c r="Y103" s="94">
        <f ca="1">(TblPop[[#This Row],[Peasants]]-TblPop[[#This Row],[Draft Growth]])*raw_pop_growth</f>
        <v>65.399999999999991</v>
      </c>
      <c r="Z103" s="94">
        <f ca="1">ROUND(IF(TblPop[[#This Row],[Military%]]&lt;TblMili[[#This Row],[Draftrate]],ROUND(TblPop[[#This Row],[Peasants]]*Constants!$B$55,0), 0) * IF(AND(TblMagic[[#This Row],[Active DnD]]&lt;=12,TblMagic[[#This Row],[Active DnD]]&gt;6),1.6,1),0)</f>
        <v>22</v>
      </c>
      <c r="AA103" s="142"/>
      <c r="AB103" s="143">
        <f ca="1">Overview!$I$17 + IF(Magic!AF103&gt;0,Constants!$F$78) + ROUND(6*(Construction!BM104+Construction!CK103)/IF(Explore!S104&gt;0,Construction!F104-20,Construction!F104),4) + tech_6_5_2*Techs!BJ103 + tech_8_4*Techs!BT103</f>
        <v>0.81079999999999997</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45819.166666666424</v>
      </c>
      <c r="C104" s="94">
        <f ca="1">OFFSET(TblPop[[#This Row],[Peasants]],-1,0)+OFFSET(TblPop[[#This Row],[Net Peasant]],-1,0)+TblMili[[#This Row],[Release Draft]]</f>
        <v>2180</v>
      </c>
      <c r="D104" s="94">
        <f ca="1">TblMili[[#This Row],[Military]]</f>
        <v>4073</v>
      </c>
      <c r="E104" s="94">
        <f ca="1">TblMili[[#This Row],[Draftees]]</f>
        <v>4073</v>
      </c>
      <c r="F104" s="94">
        <f ca="1">TblPop[[#This Row],[Peasants]]+TblPop[[#This Row],[Military]]</f>
        <v>6253</v>
      </c>
      <c r="G104" s="139">
        <f ca="1">TblPop[[#This Row],[Military]]/TblPop[[#This Row],[Total]]</f>
        <v>0.65136734367503601</v>
      </c>
      <c r="H104" s="140">
        <f ca="1">MIN(TblPop[[#This Row],[Peasants]],TblPop[[#This Row],[Jobs]])</f>
        <v>2180</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6000</v>
      </c>
      <c r="K104" s="141"/>
      <c r="L104" s="61">
        <f ca="1">TblPop[[#This Row],[Draftees]]</f>
        <v>4073</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6253</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04" s="94">
        <f ca="1">MAX(-5%*TblPop[[#This Row],[Peasants]]-TblPop[[#This Row],[Draft Growth]],MIN(OFFSET(TblPop[[#This Row],[Net max]],1,0)-TblPop[[#This Row],[Peasants]]-TblPop[[#This Row],[Military]]-TblPop[[#This Row],[Draft Growth]],TblPop[[#This Row],[Modded Birth]]-TblPop[[#This Row],[Draft Growth]]))</f>
        <v>-22</v>
      </c>
      <c r="X104" s="94">
        <f ca="1">ROUND(TblPop[[#This Row],[Raw Birth]]*(1+TblPop[[#This Row],[Growth]]),0)</f>
        <v>117</v>
      </c>
      <c r="Y104" s="94">
        <f ca="1">(TblPop[[#This Row],[Peasants]]-TblPop[[#This Row],[Draft Growth]])*raw_pop_growth</f>
        <v>64.739999999999995</v>
      </c>
      <c r="Z104" s="94">
        <f ca="1">ROUND(IF(TblPop[[#This Row],[Military%]]&lt;TblMili[[#This Row],[Draftrate]],ROUND(TblPop[[#This Row],[Peasants]]*Constants!$B$55,0), 0) * IF(AND(TblMagic[[#This Row],[Active DnD]]&lt;=12,TblMagic[[#This Row],[Active DnD]]&gt;6),1.6,1),0)</f>
        <v>22</v>
      </c>
      <c r="AA104" s="142"/>
      <c r="AB104" s="143">
        <f ca="1">Overview!$I$17 + IF(Magic!AF104&gt;0,Constants!$F$78) + ROUND(6*(Construction!BM105+Construction!CK104)/IF(Explore!S105&gt;0,Construction!F105-20,Construction!F105),4) + tech_6_5_2*Techs!BJ104 + tech_8_4*Techs!BT104</f>
        <v>0.81079999999999997</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45819.208333333088</v>
      </c>
      <c r="C105" s="94">
        <f ca="1">OFFSET(TblPop[[#This Row],[Peasants]],-1,0)+OFFSET(TblPop[[#This Row],[Net Peasant]],-1,0)+TblMili[[#This Row],[Release Draft]]</f>
        <v>2158</v>
      </c>
      <c r="D105" s="94">
        <f ca="1">TblMili[[#This Row],[Military]]</f>
        <v>4095</v>
      </c>
      <c r="E105" s="94">
        <f ca="1">TblMili[[#This Row],[Draftees]]</f>
        <v>4095</v>
      </c>
      <c r="F105" s="94">
        <f ca="1">TblPop[[#This Row],[Peasants]]+TblPop[[#This Row],[Military]]</f>
        <v>6253</v>
      </c>
      <c r="G105" s="139">
        <f ca="1">TblPop[[#This Row],[Military]]/TblPop[[#This Row],[Total]]</f>
        <v>0.65488565488565487</v>
      </c>
      <c r="H105" s="140">
        <f ca="1">MIN(TblPop[[#This Row],[Peasants]],TblPop[[#This Row],[Jobs]])</f>
        <v>2158</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6000</v>
      </c>
      <c r="K105" s="141"/>
      <c r="L105" s="61">
        <f ca="1">TblPop[[#This Row],[Draftees]]</f>
        <v>4095</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6253</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05" s="94">
        <f ca="1">MAX(-5%*TblPop[[#This Row],[Peasants]]-TblPop[[#This Row],[Draft Growth]],MIN(OFFSET(TblPop[[#This Row],[Net max]],1,0)-TblPop[[#This Row],[Peasants]]-TblPop[[#This Row],[Military]]-TblPop[[#This Row],[Draft Growth]],TblPop[[#This Row],[Modded Birth]]-TblPop[[#This Row],[Draft Growth]]))</f>
        <v>-22</v>
      </c>
      <c r="X105" s="94">
        <f ca="1">ROUND(TblPop[[#This Row],[Raw Birth]]*(1+TblPop[[#This Row],[Growth]]),0)</f>
        <v>116</v>
      </c>
      <c r="Y105" s="94">
        <f ca="1">(TblPop[[#This Row],[Peasants]]-TblPop[[#This Row],[Draft Growth]])*raw_pop_growth</f>
        <v>64.08</v>
      </c>
      <c r="Z105" s="94">
        <f ca="1">ROUND(IF(TblPop[[#This Row],[Military%]]&lt;TblMili[[#This Row],[Draftrate]],ROUND(TblPop[[#This Row],[Peasants]]*Constants!$B$55,0), 0) * IF(AND(TblMagic[[#This Row],[Active DnD]]&lt;=12,TblMagic[[#This Row],[Active DnD]]&gt;6),1.6,1),0)</f>
        <v>22</v>
      </c>
      <c r="AA105" s="142"/>
      <c r="AB105" s="143">
        <f ca="1">Overview!$I$17 + IF(Magic!AF105&gt;0,Constants!$F$78) + ROUND(6*(Construction!BM106+Construction!CK105)/IF(Explore!S106&gt;0,Construction!F106-20,Construction!F106),4) + tech_6_5_2*Techs!BJ105 + tech_8_4*Techs!BT105</f>
        <v>0.81079999999999997</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45819.249999999753</v>
      </c>
      <c r="C106" s="94">
        <f ca="1">OFFSET(TblPop[[#This Row],[Peasants]],-1,0)+OFFSET(TblPop[[#This Row],[Net Peasant]],-1,0)+TblMili[[#This Row],[Release Draft]]</f>
        <v>2136</v>
      </c>
      <c r="D106" s="94">
        <f ca="1">TblMili[[#This Row],[Military]]</f>
        <v>4117</v>
      </c>
      <c r="E106" s="94">
        <f ca="1">TblMili[[#This Row],[Draftees]]</f>
        <v>4117</v>
      </c>
      <c r="F106" s="94">
        <f ca="1">TblPop[[#This Row],[Peasants]]+TblPop[[#This Row],[Military]]</f>
        <v>6253</v>
      </c>
      <c r="G106" s="139">
        <f ca="1">TblPop[[#This Row],[Military]]/TblPop[[#This Row],[Total]]</f>
        <v>0.65840396609627383</v>
      </c>
      <c r="H106" s="140">
        <f ca="1">MIN(TblPop[[#This Row],[Peasants]],TblPop[[#This Row],[Jobs]])</f>
        <v>2136</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6000</v>
      </c>
      <c r="K106" s="141"/>
      <c r="L106" s="61">
        <f ca="1">TblPop[[#This Row],[Draftees]]</f>
        <v>4117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6253</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06" s="94">
        <f ca="1">MAX(-5%*TblPop[[#This Row],[Peasants]]-TblPop[[#This Row],[Draft Growth]],MIN(OFFSET(TblPop[[#This Row],[Net max]],1,0)-TblPop[[#This Row],[Peasants]]-TblPop[[#This Row],[Military]]-TblPop[[#This Row],[Draft Growth]],TblPop[[#This Row],[Modded Birth]]-TblPop[[#This Row],[Draft Growth]]))</f>
        <v>-21</v>
      </c>
      <c r="X106" s="94">
        <f ca="1">ROUND(TblPop[[#This Row],[Raw Birth]]*(1+TblPop[[#This Row],[Growth]]),0)</f>
        <v>115</v>
      </c>
      <c r="Y106" s="94">
        <f ca="1">(TblPop[[#This Row],[Peasants]]-TblPop[[#This Row],[Draft Growth]])*raw_pop_growth</f>
        <v>63.449999999999996</v>
      </c>
      <c r="Z106" s="94">
        <f ca="1">ROUND(IF(TblPop[[#This Row],[Military%]]&lt;TblMili[[#This Row],[Draftrate]],ROUND(TblPop[[#This Row],[Peasants]]*Constants!$B$55,0), 0) * IF(AND(TblMagic[[#This Row],[Active DnD]]&lt;=12,TblMagic[[#This Row],[Active DnD]]&gt;6),1.6,1),0)</f>
        <v>21</v>
      </c>
      <c r="AA106" s="142"/>
      <c r="AB106" s="143">
        <f ca="1">Overview!$I$17 + IF(Magic!AF106&gt;0,Constants!$F$78) + ROUND(6*(Construction!BM107+Construction!CK106)/IF(Explore!S107&gt;0,Construction!F107-20,Construction!F107),4) + tech_6_5_2*Techs!BJ106 + tech_8_4*Techs!BT106</f>
        <v>0.81079999999999997</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45819.291666666417</v>
      </c>
      <c r="C107" s="94">
        <f ca="1">OFFSET(TblPop[[#This Row],[Peasants]],-1,0)+OFFSET(TblPop[[#This Row],[Net Peasant]],-1,0)+TblMili[[#This Row],[Release Draft]]</f>
        <v>2115</v>
      </c>
      <c r="D107" s="94">
        <f ca="1">TblMili[[#This Row],[Military]]</f>
        <v>4138</v>
      </c>
      <c r="E107" s="94">
        <f ca="1">TblMili[[#This Row],[Draftees]]</f>
        <v>4138</v>
      </c>
      <c r="F107" s="94">
        <f ca="1">TblPop[[#This Row],[Peasants]]+TblPop[[#This Row],[Military]]</f>
        <v>6253</v>
      </c>
      <c r="G107" s="139">
        <f ca="1">TblPop[[#This Row],[Military]]/TblPop[[#This Row],[Total]]</f>
        <v>0.66176235407004635</v>
      </c>
      <c r="H107" s="140">
        <f ca="1">MIN(TblPop[[#This Row],[Peasants]],TblPop[[#This Row],[Jobs]])</f>
        <v>2115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6000</v>
      </c>
      <c r="K107" s="141"/>
      <c r="L107" s="61">
        <f ca="1">TblPop[[#This Row],[Draftees]]</f>
        <v>4138</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6253</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07" s="94">
        <f ca="1">MAX(-5%*TblPop[[#This Row],[Peasants]]-TblPop[[#This Row],[Draft Growth]],MIN(OFFSET(TblPop[[#This Row],[Net max]],1,0)-TblPop[[#This Row],[Peasants]]-TblPop[[#This Row],[Military]]-TblPop[[#This Row],[Draft Growth]],TblPop[[#This Row],[Modded Birth]]-TblPop[[#This Row],[Draft Growth]]))</f>
        <v>-21</v>
      </c>
      <c r="X107" s="94">
        <f ca="1">ROUND(TblPop[[#This Row],[Raw Birth]]*(1+TblPop[[#This Row],[Growth]]),0)</f>
        <v>114</v>
      </c>
      <c r="Y107" s="94">
        <f ca="1">(TblPop[[#This Row],[Peasants]]-TblPop[[#This Row],[Draft Growth]])*raw_pop_growth</f>
        <v>62.82</v>
      </c>
      <c r="Z107" s="94">
        <f ca="1">ROUND(IF(TblPop[[#This Row],[Military%]]&lt;TblMili[[#This Row],[Draftrate]],ROUND(TblPop[[#This Row],[Peasants]]*Constants!$B$55,0), 0) * IF(AND(TblMagic[[#This Row],[Active DnD]]&lt;=12,TblMagic[[#This Row],[Active DnD]]&gt;6),1.6,1),0)</f>
        <v>21</v>
      </c>
      <c r="AA107" s="142"/>
      <c r="AB107" s="143">
        <f ca="1">Overview!$I$17 + IF(Magic!AF107&gt;0,Constants!$F$78) + ROUND(6*(Construction!BM108+Construction!CK107)/IF(Explore!S108&gt;0,Construction!F108-20,Construction!F108),4) + tech_6_5_2*Techs!BJ107 + tech_8_4*Techs!BT107</f>
        <v>0.81079999999999997</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45819.333333333081</v>
      </c>
      <c r="C108" s="94">
        <f ca="1">OFFSET(TblPop[[#This Row],[Peasants]],-1,0)+OFFSET(TblPop[[#This Row],[Net Peasant]],-1,0)+TblMili[[#This Row],[Release Draft]]</f>
        <v>2094</v>
      </c>
      <c r="D108" s="94">
        <f ca="1">TblMili[[#This Row],[Military]]</f>
        <v>4159</v>
      </c>
      <c r="E108" s="94">
        <f ca="1">TblMili[[#This Row],[Draftees]]</f>
        <v>4159</v>
      </c>
      <c r="F108" s="94">
        <f ca="1">TblPop[[#This Row],[Peasants]]+TblPop[[#This Row],[Military]]</f>
        <v>6253</v>
      </c>
      <c r="G108" s="139">
        <f ca="1">TblPop[[#This Row],[Military]]/TblPop[[#This Row],[Total]]</f>
        <v>0.66512074204381899</v>
      </c>
      <c r="H108" s="140">
        <f ca="1">MIN(TblPop[[#This Row],[Peasants]],TblPop[[#This Row],[Jobs]])</f>
        <v>2094</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6000</v>
      </c>
      <c r="K108" s="141"/>
      <c r="L108" s="61">
        <f ca="1">TblPop[[#This Row],[Draftees]]</f>
        <v>4159</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6253</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08" s="94">
        <f ca="1">MAX(-5%*TblPop[[#This Row],[Peasants]]-TblPop[[#This Row],[Draft Growth]],MIN(OFFSET(TblPop[[#This Row],[Net max]],1,0)-TblPop[[#This Row],[Peasants]]-TblPop[[#This Row],[Military]]-TblPop[[#This Row],[Draft Growth]],TblPop[[#This Row],[Modded Birth]]-TblPop[[#This Row],[Draft Growth]]))</f>
        <v>-21</v>
      </c>
      <c r="X108" s="94">
        <f ca="1">ROUND(TblPop[[#This Row],[Raw Birth]]*(1+TblPop[[#This Row],[Growth]]),0)</f>
        <v>113</v>
      </c>
      <c r="Y108" s="94">
        <f ca="1">(TblPop[[#This Row],[Peasants]]-TblPop[[#This Row],[Draft Growth]])*raw_pop_growth</f>
        <v>62.19</v>
      </c>
      <c r="Z108" s="94">
        <f ca="1">ROUND(IF(TblPop[[#This Row],[Military%]]&lt;TblMili[[#This Row],[Draftrate]],ROUND(TblPop[[#This Row],[Peasants]]*Constants!$B$55,0), 0) * IF(AND(TblMagic[[#This Row],[Active DnD]]&lt;=12,TblMagic[[#This Row],[Active DnD]]&gt;6),1.6,1),0)</f>
        <v>21</v>
      </c>
      <c r="AA108" s="142"/>
      <c r="AB108" s="143">
        <f ca="1">Overview!$I$17 + IF(Magic!AF108&gt;0,Constants!$F$78) + ROUND(6*(Construction!BM109+Construction!CK108)/IF(Explore!S109&gt;0,Construction!F109-20,Construction!F109),4) + tech_6_5_2*Techs!BJ108 + tech_8_4*Techs!BT108</f>
        <v>0.81079999999999997</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45819.374999999745</v>
      </c>
      <c r="C109" s="94">
        <f ca="1">OFFSET(TblPop[[#This Row],[Peasants]],-1,0)+OFFSET(TblPop[[#This Row],[Net Peasant]],-1,0)+TblMili[[#This Row],[Release Draft]]</f>
        <v>2073</v>
      </c>
      <c r="D109" s="94">
        <f ca="1">TblMili[[#This Row],[Military]]</f>
        <v>4180</v>
      </c>
      <c r="E109" s="94">
        <f ca="1">TblMili[[#This Row],[Draftees]]</f>
        <v>4180</v>
      </c>
      <c r="F109" s="94">
        <f ca="1">TblPop[[#This Row],[Peasants]]+TblPop[[#This Row],[Military]]</f>
        <v>6253</v>
      </c>
      <c r="G109" s="139">
        <f ca="1">TblPop[[#This Row],[Military]]/TblPop[[#This Row],[Total]]</f>
        <v>0.66847913001759152</v>
      </c>
      <c r="H109" s="140">
        <f ca="1">MIN(TblPop[[#This Row],[Peasants]],TblPop[[#This Row],[Jobs]])</f>
        <v>2073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6000</v>
      </c>
      <c r="K109" s="141"/>
      <c r="L109" s="61">
        <f ca="1">TblPop[[#This Row],[Draftees]]</f>
        <v>4180</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6253</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09" s="94">
        <f ca="1">MAX(-5%*TblPop[[#This Row],[Peasants]]-TblPop[[#This Row],[Draft Growth]],MIN(OFFSET(TblPop[[#This Row],[Net max]],1,0)-TblPop[[#This Row],[Peasants]]-TblPop[[#This Row],[Military]]-TblPop[[#This Row],[Draft Growth]],TblPop[[#This Row],[Modded Birth]]-TblPop[[#This Row],[Draft Growth]]))</f>
        <v>-21</v>
      </c>
      <c r="X109" s="94">
        <f ca="1">ROUND(TblPop[[#This Row],[Raw Birth]]*(1+TblPop[[#This Row],[Growth]]),0)</f>
        <v>111</v>
      </c>
      <c r="Y109" s="94">
        <f ca="1">(TblPop[[#This Row],[Peasants]]-TblPop[[#This Row],[Draft Growth]])*raw_pop_growth</f>
        <v>61.559999999999995</v>
      </c>
      <c r="Z109" s="94">
        <f ca="1">ROUND(IF(TblPop[[#This Row],[Military%]]&lt;TblMili[[#This Row],[Draftrate]],ROUND(TblPop[[#This Row],[Peasants]]*Constants!$B$55,0), 0) * IF(AND(TblMagic[[#This Row],[Active DnD]]&lt;=12,TblMagic[[#This Row],[Active DnD]]&gt;6),1.6,1),0)</f>
        <v>21</v>
      </c>
      <c r="AA109" s="142"/>
      <c r="AB109" s="143">
        <f ca="1">Overview!$I$17 + IF(Magic!AF109&gt;0,Constants!$F$78) + ROUND(6*(Construction!BM110+Construction!CK109)/IF(Explore!S110&gt;0,Construction!F110-20,Construction!F110),4) + tech_6_5_2*Techs!BJ109 + tech_8_4*Techs!BT109</f>
        <v>0.81079999999999997</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45819.41666666641</v>
      </c>
      <c r="C110" s="94">
        <f ca="1">OFFSET(TblPop[[#This Row],[Peasants]],-1,0)+OFFSET(TblPop[[#This Row],[Net Peasant]],-1,0)+TblMili[[#This Row],[Release Draft]]</f>
        <v>2052</v>
      </c>
      <c r="D110" s="94">
        <f ca="1">TblMili[[#This Row],[Military]]</f>
        <v>4201</v>
      </c>
      <c r="E110" s="94">
        <f ca="1">TblMili[[#This Row],[Draftees]]</f>
        <v>4201</v>
      </c>
      <c r="F110" s="94">
        <f ca="1">TblPop[[#This Row],[Peasants]]+TblPop[[#This Row],[Military]]</f>
        <v>6253</v>
      </c>
      <c r="G110" s="139">
        <f ca="1">TblPop[[#This Row],[Military]]/TblPop[[#This Row],[Total]]</f>
        <v>0.67183751799136415</v>
      </c>
      <c r="H110" s="140">
        <f ca="1">MIN(TblPop[[#This Row],[Peasants]],TblPop[[#This Row],[Jobs]])</f>
        <v>2052</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6000</v>
      </c>
      <c r="K110" s="141"/>
      <c r="L110" s="61">
        <f ca="1">TblPop[[#This Row],[Draftees]]</f>
        <v>4201</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6253</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10" s="94">
        <f ca="1">MAX(-5%*TblPop[[#This Row],[Peasants]]-TblPop[[#This Row],[Draft Growth]],MIN(OFFSET(TblPop[[#This Row],[Net max]],1,0)-TblPop[[#This Row],[Peasants]]-TblPop[[#This Row],[Military]]-TblPop[[#This Row],[Draft Growth]],TblPop[[#This Row],[Modded Birth]]-TblPop[[#This Row],[Draft Growth]]))</f>
        <v>-21</v>
      </c>
      <c r="X110" s="94">
        <f ca="1">ROUND(TblPop[[#This Row],[Raw Birth]]*(1+TblPop[[#This Row],[Growth]]),0)</f>
        <v>110</v>
      </c>
      <c r="Y110" s="94">
        <f ca="1">(TblPop[[#This Row],[Peasants]]-TblPop[[#This Row],[Draft Growth]])*raw_pop_growth</f>
        <v>60.93</v>
      </c>
      <c r="Z110" s="94">
        <f ca="1">ROUND(IF(TblPop[[#This Row],[Military%]]&lt;TblMili[[#This Row],[Draftrate]],ROUND(TblPop[[#This Row],[Peasants]]*Constants!$B$55,0), 0) * IF(AND(TblMagic[[#This Row],[Active DnD]]&lt;=12,TblMagic[[#This Row],[Active DnD]]&gt;6),1.6,1),0)</f>
        <v>21</v>
      </c>
      <c r="AA110" s="142"/>
      <c r="AB110" s="143">
        <f ca="1">Overview!$I$17 + IF(Magic!AF110&gt;0,Constants!$F$78) + ROUND(6*(Construction!BM111+Construction!CK110)/IF(Explore!S111&gt;0,Construction!F111-20,Construction!F111),4) + tech_6_5_2*Techs!BJ110 + tech_8_4*Techs!BT110</f>
        <v>0.81079999999999997</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45819.458333333074</v>
      </c>
      <c r="C111" s="94">
        <f ca="1">OFFSET(TblPop[[#This Row],[Peasants]],-1,0)+OFFSET(TblPop[[#This Row],[Net Peasant]],-1,0)+TblMili[[#This Row],[Release Draft]]</f>
        <v>2031</v>
      </c>
      <c r="D111" s="94">
        <f ca="1">TblMili[[#This Row],[Military]]</f>
        <v>4222</v>
      </c>
      <c r="E111" s="94">
        <f ca="1">TblMili[[#This Row],[Draftees]]</f>
        <v>4222</v>
      </c>
      <c r="F111" s="94">
        <f ca="1">TblPop[[#This Row],[Peasants]]+TblPop[[#This Row],[Military]]</f>
        <v>6253</v>
      </c>
      <c r="G111" s="139">
        <f ca="1">TblPop[[#This Row],[Military]]/TblPop[[#This Row],[Total]]</f>
        <v>0.67519590596513679</v>
      </c>
      <c r="H111" s="140">
        <f ca="1">MIN(TblPop[[#This Row],[Peasants]],TblPop[[#This Row],[Jobs]])</f>
        <v>2031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6000</v>
      </c>
      <c r="K111" s="141"/>
      <c r="L111" s="61">
        <f ca="1">TblPop[[#This Row],[Draftees]]</f>
        <v>4222</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6253</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11" s="94">
        <f ca="1">MAX(-5%*TblPop[[#This Row],[Peasants]]-TblPop[[#This Row],[Draft Growth]],MIN(OFFSET(TblPop[[#This Row],[Net max]],1,0)-TblPop[[#This Row],[Peasants]]-TblPop[[#This Row],[Military]]-TblPop[[#This Row],[Draft Growth]],TblPop[[#This Row],[Modded Birth]]-TblPop[[#This Row],[Draft Growth]]))</f>
        <v>-20</v>
      </c>
      <c r="X111" s="94">
        <f ca="1">ROUND(TblPop[[#This Row],[Raw Birth]]*(1+TblPop[[#This Row],[Growth]]),0)</f>
        <v>109</v>
      </c>
      <c r="Y111" s="94">
        <f ca="1">(TblPop[[#This Row],[Peasants]]-TblPop[[#This Row],[Draft Growth]])*raw_pop_growth</f>
        <v>60.33</v>
      </c>
      <c r="Z111" s="94">
        <f ca="1">ROUND(IF(TblPop[[#This Row],[Military%]]&lt;TblMili[[#This Row],[Draftrate]],ROUND(TblPop[[#This Row],[Peasants]]*Constants!$B$55,0), 0) * IF(AND(TblMagic[[#This Row],[Active DnD]]&lt;=12,TblMagic[[#This Row],[Active DnD]]&gt;6),1.6,1),0)</f>
        <v>20</v>
      </c>
      <c r="AA111" s="142"/>
      <c r="AB111" s="143">
        <f ca="1">Overview!$I$17 + IF(Magic!AF111&gt;0,Constants!$F$78) + ROUND(6*(Construction!BM112+Construction!CK111)/IF(Explore!S112&gt;0,Construction!F112-20,Construction!F112),4) + tech_6_5_2*Techs!BJ111 + tech_8_4*Techs!BT111</f>
        <v>0.81079999999999997</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45819.499999999738</v>
      </c>
      <c r="C112" s="94">
        <f ca="1">OFFSET(TblPop[[#This Row],[Peasants]],-1,0)+OFFSET(TblPop[[#This Row],[Net Peasant]],-1,0)+TblMili[[#This Row],[Release Draft]]</f>
        <v>2011</v>
      </c>
      <c r="D112" s="94">
        <f ca="1">TblMili[[#This Row],[Military]]</f>
        <v>4242</v>
      </c>
      <c r="E112" s="94">
        <f ca="1">TblMili[[#This Row],[Draftees]]</f>
        <v>4242</v>
      </c>
      <c r="F112" s="94">
        <f ca="1">TblPop[[#This Row],[Peasants]]+TblPop[[#This Row],[Military]]</f>
        <v>6253</v>
      </c>
      <c r="G112" s="139">
        <f ca="1">TblPop[[#This Row],[Military]]/TblPop[[#This Row],[Total]]</f>
        <v>0.67839437070206299</v>
      </c>
      <c r="H112" s="140">
        <f ca="1">MIN(TblPop[[#This Row],[Peasants]],TblPop[[#This Row],[Jobs]])</f>
        <v>2011</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6000</v>
      </c>
      <c r="K112" s="141"/>
      <c r="L112" s="61">
        <f ca="1">TblPop[[#This Row],[Draftees]]</f>
        <v>4242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6253</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12" s="94">
        <f ca="1">MAX(-5%*TblPop[[#This Row],[Peasants]]-TblPop[[#This Row],[Draft Growth]],MIN(OFFSET(TblPop[[#This Row],[Net max]],1,0)-TblPop[[#This Row],[Peasants]]-TblPop[[#This Row],[Military]]-TblPop[[#This Row],[Draft Growth]],TblPop[[#This Row],[Modded Birth]]-TblPop[[#This Row],[Draft Growth]]))</f>
        <v>-20</v>
      </c>
      <c r="X112" s="94">
        <f ca="1">ROUND(TblPop[[#This Row],[Raw Birth]]*(1+TblPop[[#This Row],[Growth]]),0)</f>
        <v>108</v>
      </c>
      <c r="Y112" s="94">
        <f ca="1">(TblPop[[#This Row],[Peasants]]-TblPop[[#This Row],[Draft Growth]])*raw_pop_growth</f>
        <v>59.73</v>
      </c>
      <c r="Z112" s="94">
        <f ca="1">ROUND(IF(TblPop[[#This Row],[Military%]]&lt;TblMili[[#This Row],[Draftrate]],ROUND(TblPop[[#This Row],[Peasants]]*Constants!$B$55,0), 0) * IF(AND(TblMagic[[#This Row],[Active DnD]]&lt;=12,TblMagic[[#This Row],[Active DnD]]&gt;6),1.6,1),0)</f>
        <v>20</v>
      </c>
      <c r="AA112" s="142"/>
      <c r="AB112" s="143">
        <f ca="1">Overview!$I$17 + IF(Magic!AF112&gt;0,Constants!$F$78) + ROUND(6*(Construction!BM113+Construction!CK112)/IF(Explore!S113&gt;0,Construction!F113-20,Construction!F113),4) + tech_6_5_2*Techs!BJ112 + tech_8_4*Techs!BT112</f>
        <v>0.81079999999999997</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45819.541666666402</v>
      </c>
      <c r="C113" s="94">
        <f ca="1">OFFSET(TblPop[[#This Row],[Peasants]],-1,0)+OFFSET(TblPop[[#This Row],[Net Peasant]],-1,0)+TblMili[[#This Row],[Release Draft]]</f>
        <v>1991</v>
      </c>
      <c r="D113" s="94">
        <f ca="1">TblMili[[#This Row],[Military]]</f>
        <v>4262</v>
      </c>
      <c r="E113" s="94">
        <f ca="1">TblMili[[#This Row],[Draftees]]</f>
        <v>4262</v>
      </c>
      <c r="F113" s="94">
        <f ca="1">TblPop[[#This Row],[Peasants]]+TblPop[[#This Row],[Military]]</f>
        <v>6253</v>
      </c>
      <c r="G113" s="139">
        <f ca="1">TblPop[[#This Row],[Military]]/TblPop[[#This Row],[Total]]</f>
        <v>0.6815928354389893</v>
      </c>
      <c r="H113" s="140">
        <f ca="1">MIN(TblPop[[#This Row],[Peasants]],TblPop[[#This Row],[Jobs]])</f>
        <v>1991</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6000</v>
      </c>
      <c r="K113" s="141"/>
      <c r="L113" s="61">
        <f ca="1">TblPop[[#This Row],[Draftees]]</f>
        <v>4262</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6253</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13" s="94">
        <f ca="1">MAX(-5%*TblPop[[#This Row],[Peasants]]-TblPop[[#This Row],[Draft Growth]],MIN(OFFSET(TblPop[[#This Row],[Net max]],1,0)-TblPop[[#This Row],[Peasants]]-TblPop[[#This Row],[Military]]-TblPop[[#This Row],[Draft Growth]],TblPop[[#This Row],[Modded Birth]]-TblPop[[#This Row],[Draft Growth]]))</f>
        <v>-20</v>
      </c>
      <c r="X113" s="94">
        <f ca="1">ROUND(TblPop[[#This Row],[Raw Birth]]*(1+TblPop[[#This Row],[Growth]]),0)</f>
        <v>107</v>
      </c>
      <c r="Y113" s="94">
        <f ca="1">(TblPop[[#This Row],[Peasants]]-TblPop[[#This Row],[Draft Growth]])*raw_pop_growth</f>
        <v>59.129999999999995</v>
      </c>
      <c r="Z113" s="94">
        <f ca="1">ROUND(IF(TblPop[[#This Row],[Military%]]&lt;TblMili[[#This Row],[Draftrate]],ROUND(TblPop[[#This Row],[Peasants]]*Constants!$B$55,0), 0) * IF(AND(TblMagic[[#This Row],[Active DnD]]&lt;=12,TblMagic[[#This Row],[Active DnD]]&gt;6),1.6,1),0)</f>
        <v>20</v>
      </c>
      <c r="AA113" s="142"/>
      <c r="AB113" s="143">
        <f ca="1">Overview!$I$17 + IF(Magic!AF113&gt;0,Constants!$F$78) + ROUND(6*(Construction!BM114+Construction!CK113)/IF(Explore!S114&gt;0,Construction!F114-20,Construction!F114),4) + tech_6_5_2*Techs!BJ113 + tech_8_4*Techs!BT113</f>
        <v>0.81079999999999997</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45819.583333333067</v>
      </c>
      <c r="C114" s="94">
        <f ca="1">OFFSET(TblPop[[#This Row],[Peasants]],-1,0)+OFFSET(TblPop[[#This Row],[Net Peasant]],-1,0)+TblMili[[#This Row],[Release Draft]]</f>
        <v>1971</v>
      </c>
      <c r="D114" s="94">
        <f ca="1">TblMili[[#This Row],[Military]]</f>
        <v>4282</v>
      </c>
      <c r="E114" s="94">
        <f ca="1">TblMili[[#This Row],[Draftees]]</f>
        <v>4282</v>
      </c>
      <c r="F114" s="94">
        <f ca="1">TblPop[[#This Row],[Peasants]]+TblPop[[#This Row],[Military]]</f>
        <v>6253</v>
      </c>
      <c r="G114" s="139">
        <f ca="1">TblPop[[#This Row],[Military]]/TblPop[[#This Row],[Total]]</f>
        <v>0.68479130017591561</v>
      </c>
      <c r="H114" s="140">
        <f ca="1">MIN(TblPop[[#This Row],[Peasants]],TblPop[[#This Row],[Jobs]])</f>
        <v>1971</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6000</v>
      </c>
      <c r="K114" s="141"/>
      <c r="L114" s="61">
        <f ca="1">TblPop[[#This Row],[Draftees]]</f>
        <v>4282</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6253</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14" s="94">
        <f ca="1">MAX(-5%*TblPop[[#This Row],[Peasants]]-TblPop[[#This Row],[Draft Growth]],MIN(OFFSET(TblPop[[#This Row],[Net max]],1,0)-TblPop[[#This Row],[Peasants]]-TblPop[[#This Row],[Military]]-TblPop[[#This Row],[Draft Growth]],TblPop[[#This Row],[Modded Birth]]-TblPop[[#This Row],[Draft Growth]]))</f>
        <v>-20</v>
      </c>
      <c r="X114" s="94">
        <f ca="1">ROUND(TblPop[[#This Row],[Raw Birth]]*(1+TblPop[[#This Row],[Growth]]),0)</f>
        <v>106</v>
      </c>
      <c r="Y114" s="94">
        <f ca="1">(TblPop[[#This Row],[Peasants]]-TblPop[[#This Row],[Draft Growth]])*raw_pop_growth</f>
        <v>58.53</v>
      </c>
      <c r="Z114" s="94">
        <f ca="1">ROUND(IF(TblPop[[#This Row],[Military%]]&lt;TblMili[[#This Row],[Draftrate]],ROUND(TblPop[[#This Row],[Peasants]]*Constants!$B$55,0), 0) * IF(AND(TblMagic[[#This Row],[Active DnD]]&lt;=12,TblMagic[[#This Row],[Active DnD]]&gt;6),1.6,1),0)</f>
        <v>20</v>
      </c>
      <c r="AA114" s="142"/>
      <c r="AB114" s="143">
        <f ca="1">Overview!$I$17 + IF(Magic!AF114&gt;0,Constants!$F$78) + ROUND(6*(Construction!BM115+Construction!CK114)/IF(Explore!S115&gt;0,Construction!F115-20,Construction!F115),4) + tech_6_5_2*Techs!BJ114 + tech_8_4*Techs!BT114</f>
        <v>0.81079999999999997</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45819.624999999731</v>
      </c>
      <c r="C115" s="94">
        <f ca="1">OFFSET(TblPop[[#This Row],[Peasants]],-1,0)+OFFSET(TblPop[[#This Row],[Net Peasant]],-1,0)+TblMili[[#This Row],[Release Draft]]</f>
        <v>1951</v>
      </c>
      <c r="D115" s="94">
        <f ca="1">TblMili[[#This Row],[Military]]</f>
        <v>4302</v>
      </c>
      <c r="E115" s="94">
        <f ca="1">TblMili[[#This Row],[Draftees]]</f>
        <v>4302</v>
      </c>
      <c r="F115" s="94">
        <f ca="1">TblPop[[#This Row],[Peasants]]+TblPop[[#This Row],[Military]]</f>
        <v>6253</v>
      </c>
      <c r="G115" s="139">
        <f ca="1">TblPop[[#This Row],[Military]]/TblPop[[#This Row],[Total]]</f>
        <v>0.68798976491284181</v>
      </c>
      <c r="H115" s="140">
        <f ca="1">MIN(TblPop[[#This Row],[Peasants]],TblPop[[#This Row],[Jobs]])</f>
        <v>1951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6000</v>
      </c>
      <c r="K115" s="141"/>
      <c r="L115" s="61">
        <f ca="1">TblPop[[#This Row],[Draftees]]</f>
        <v>4302</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6253</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15" s="94">
        <f ca="1">MAX(-5%*TblPop[[#This Row],[Peasants]]-TblPop[[#This Row],[Draft Growth]],MIN(OFFSET(TblPop[[#This Row],[Net max]],1,0)-TblPop[[#This Row],[Peasants]]-TblPop[[#This Row],[Military]]-TblPop[[#This Row],[Draft Growth]],TblPop[[#This Row],[Modded Birth]]-TblPop[[#This Row],[Draft Growth]]))</f>
        <v>-20</v>
      </c>
      <c r="X115" s="94">
        <f ca="1">ROUND(TblPop[[#This Row],[Raw Birth]]*(1+TblPop[[#This Row],[Growth]]),0)</f>
        <v>105</v>
      </c>
      <c r="Y115" s="94">
        <f ca="1">(TblPop[[#This Row],[Peasants]]-TblPop[[#This Row],[Draft Growth]])*raw_pop_growth</f>
        <v>57.93</v>
      </c>
      <c r="Z115" s="94">
        <f ca="1">ROUND(IF(TblPop[[#This Row],[Military%]]&lt;TblMili[[#This Row],[Draftrate]],ROUND(TblPop[[#This Row],[Peasants]]*Constants!$B$55,0), 0) * IF(AND(TblMagic[[#This Row],[Active DnD]]&lt;=12,TblMagic[[#This Row],[Active DnD]]&gt;6),1.6,1),0)</f>
        <v>20</v>
      </c>
      <c r="AA115" s="142"/>
      <c r="AB115" s="143">
        <f ca="1">Overview!$I$17 + IF(Magic!AF115&gt;0,Constants!$F$78) + ROUND(6*(Construction!BM116+Construction!CK115)/IF(Explore!S116&gt;0,Construction!F116-20,Construction!F116),4) + tech_6_5_2*Techs!BJ115 + tech_8_4*Techs!BT115</f>
        <v>0.81079999999999997</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45819.666666666395</v>
      </c>
      <c r="C116" s="94">
        <f ca="1">OFFSET(TblPop[[#This Row],[Peasants]],-1,0)+OFFSET(TblPop[[#This Row],[Net Peasant]],-1,0)+TblMili[[#This Row],[Release Draft]]</f>
        <v>1931</v>
      </c>
      <c r="D116" s="94">
        <f ca="1">TblMili[[#This Row],[Military]]</f>
        <v>4322</v>
      </c>
      <c r="E116" s="94">
        <f ca="1">TblMili[[#This Row],[Draftees]]</f>
        <v>4322</v>
      </c>
      <c r="F116" s="94">
        <f ca="1">TblPop[[#This Row],[Peasants]]+TblPop[[#This Row],[Military]]</f>
        <v>6253</v>
      </c>
      <c r="G116" s="139">
        <f ca="1">TblPop[[#This Row],[Military]]/TblPop[[#This Row],[Total]]</f>
        <v>0.69118822964976812</v>
      </c>
      <c r="H116" s="140">
        <f ca="1">MIN(TblPop[[#This Row],[Peasants]],TblPop[[#This Row],[Jobs]])</f>
        <v>1931</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6000</v>
      </c>
      <c r="K116" s="141"/>
      <c r="L116" s="61">
        <f ca="1">TblPop[[#This Row],[Draftees]]</f>
        <v>4322</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6253</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16" s="94">
        <f ca="1">MAX(-5%*TblPop[[#This Row],[Peasants]]-TblPop[[#This Row],[Draft Growth]],MIN(OFFSET(TblPop[[#This Row],[Net max]],1,0)-TblPop[[#This Row],[Peasants]]-TblPop[[#This Row],[Military]]-TblPop[[#This Row],[Draft Growth]],TblPop[[#This Row],[Modded Birth]]-TblPop[[#This Row],[Draft Growth]]))</f>
        <v>-19</v>
      </c>
      <c r="X116" s="94">
        <f ca="1">ROUND(TblPop[[#This Row],[Raw Birth]]*(1+TblPop[[#This Row],[Growth]]),0)</f>
        <v>104</v>
      </c>
      <c r="Y116" s="94">
        <f ca="1">(TblPop[[#This Row],[Peasants]]-TblPop[[#This Row],[Draft Growth]])*raw_pop_growth</f>
        <v>57.36</v>
      </c>
      <c r="Z116" s="94">
        <f ca="1">ROUND(IF(TblPop[[#This Row],[Military%]]&lt;TblMili[[#This Row],[Draftrate]],ROUND(TblPop[[#This Row],[Peasants]]*Constants!$B$55,0), 0) * IF(AND(TblMagic[[#This Row],[Active DnD]]&lt;=12,TblMagic[[#This Row],[Active DnD]]&gt;6),1.6,1),0)</f>
        <v>19</v>
      </c>
      <c r="AA116" s="142"/>
      <c r="AB116" s="143">
        <f ca="1">Overview!$I$17 + IF(Magic!AF116&gt;0,Constants!$F$78) + ROUND(6*(Construction!BM117+Construction!CK116)/IF(Explore!S117&gt;0,Construction!F117-20,Construction!F117),4) + tech_6_5_2*Techs!BJ116 + tech_8_4*Techs!BT116</f>
        <v>0.81079999999999997</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45819.708333333059</v>
      </c>
      <c r="C117" s="94">
        <f ca="1">OFFSET(TblPop[[#This Row],[Peasants]],-1,0)+OFFSET(TblPop[[#This Row],[Net Peasant]],-1,0)+TblMili[[#This Row],[Release Draft]]</f>
        <v>1912</v>
      </c>
      <c r="D117" s="94">
        <f ca="1">TblMili[[#This Row],[Military]]</f>
        <v>4341</v>
      </c>
      <c r="E117" s="94">
        <f ca="1">TblMili[[#This Row],[Draftees]]</f>
        <v>4341</v>
      </c>
      <c r="F117" s="94">
        <f ca="1">TblPop[[#This Row],[Peasants]]+TblPop[[#This Row],[Military]]</f>
        <v>6253</v>
      </c>
      <c r="G117" s="139">
        <f ca="1">TblPop[[#This Row],[Military]]/TblPop[[#This Row],[Total]]</f>
        <v>0.6942267711498481</v>
      </c>
      <c r="H117" s="140">
        <f ca="1">MIN(TblPop[[#This Row],[Peasants]],TblPop[[#This Row],[Jobs]])</f>
        <v>1912</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6000</v>
      </c>
      <c r="K117" s="141"/>
      <c r="L117" s="61">
        <f ca="1">TblPop[[#This Row],[Draftees]]</f>
        <v>4341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6253</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17" s="94">
        <f ca="1">MAX(-5%*TblPop[[#This Row],[Peasants]]-TblPop[[#This Row],[Draft Growth]],MIN(OFFSET(TblPop[[#This Row],[Net max]],1,0)-TblPop[[#This Row],[Peasants]]-TblPop[[#This Row],[Military]]-TblPop[[#This Row],[Draft Growth]],TblPop[[#This Row],[Modded Birth]]-TblPop[[#This Row],[Draft Growth]]))</f>
        <v>-19</v>
      </c>
      <c r="X117" s="94">
        <f ca="1">ROUND(TblPop[[#This Row],[Raw Birth]]*(1+TblPop[[#This Row],[Growth]]),0)</f>
        <v>103</v>
      </c>
      <c r="Y117" s="94">
        <f ca="1">(TblPop[[#This Row],[Peasants]]-TblPop[[#This Row],[Draft Growth]])*raw_pop_growth</f>
        <v>56.79</v>
      </c>
      <c r="Z117" s="94">
        <f ca="1">ROUND(IF(TblPop[[#This Row],[Military%]]&lt;TblMili[[#This Row],[Draftrate]],ROUND(TblPop[[#This Row],[Peasants]]*Constants!$B$55,0), 0) * IF(AND(TblMagic[[#This Row],[Active DnD]]&lt;=12,TblMagic[[#This Row],[Active DnD]]&gt;6),1.6,1),0)</f>
        <v>19</v>
      </c>
      <c r="AA117" s="142"/>
      <c r="AB117" s="143">
        <f ca="1">Overview!$I$17 + IF(Magic!AF117&gt;0,Constants!$F$78) + ROUND(6*(Construction!BM118+Construction!CK117)/IF(Explore!S118&gt;0,Construction!F118-20,Construction!F118),4) + tech_6_5_2*Techs!BJ117 + tech_8_4*Techs!BT117</f>
        <v>0.81079999999999997</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45819.749999999724</v>
      </c>
      <c r="C118" s="94">
        <f ca="1">OFFSET(TblPop[[#This Row],[Peasants]],-1,0)+OFFSET(TblPop[[#This Row],[Net Peasant]],-1,0)+TblMili[[#This Row],[Release Draft]]</f>
        <v>1893</v>
      </c>
      <c r="D118" s="94">
        <f ca="1">TblMili[[#This Row],[Military]]</f>
        <v>4360</v>
      </c>
      <c r="E118" s="94">
        <f ca="1">TblMili[[#This Row],[Draftees]]</f>
        <v>4360</v>
      </c>
      <c r="F118" s="94">
        <f ca="1">TblPop[[#This Row],[Peasants]]+TblPop[[#This Row],[Military]]</f>
        <v>6253</v>
      </c>
      <c r="G118" s="139">
        <f ca="1">TblPop[[#This Row],[Military]]/TblPop[[#This Row],[Total]]</f>
        <v>0.69726531264992808</v>
      </c>
      <c r="H118" s="140">
        <f ca="1">MIN(TblPop[[#This Row],[Peasants]],TblPop[[#This Row],[Jobs]])</f>
        <v>1893</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6000</v>
      </c>
      <c r="K118" s="141"/>
      <c r="L118" s="61">
        <f ca="1">TblPop[[#This Row],[Draftees]]</f>
        <v>4360</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6253</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18" s="94">
        <f ca="1">MAX(-5%*TblPop[[#This Row],[Peasants]]-TblPop[[#This Row],[Draft Growth]],MIN(OFFSET(TblPop[[#This Row],[Net max]],1,0)-TblPop[[#This Row],[Peasants]]-TblPop[[#This Row],[Military]]-TblPop[[#This Row],[Draft Growth]],TblPop[[#This Row],[Modded Birth]]-TblPop[[#This Row],[Draft Growth]]))</f>
        <v>-19</v>
      </c>
      <c r="X118" s="94">
        <f ca="1">ROUND(TblPop[[#This Row],[Raw Birth]]*(1+TblPop[[#This Row],[Growth]]),0)</f>
        <v>102</v>
      </c>
      <c r="Y118" s="94">
        <f ca="1">(TblPop[[#This Row],[Peasants]]-TblPop[[#This Row],[Draft Growth]])*raw_pop_growth</f>
        <v>56.22</v>
      </c>
      <c r="Z118" s="94">
        <f ca="1">ROUND(IF(TblPop[[#This Row],[Military%]]&lt;TblMili[[#This Row],[Draftrate]],ROUND(TblPop[[#This Row],[Peasants]]*Constants!$B$55,0), 0) * IF(AND(TblMagic[[#This Row],[Active DnD]]&lt;=12,TblMagic[[#This Row],[Active DnD]]&gt;6),1.6,1),0)</f>
        <v>19</v>
      </c>
      <c r="AA118" s="142"/>
      <c r="AB118" s="143">
        <f ca="1">Overview!$I$17 + IF(Magic!AF118&gt;0,Constants!$F$78) + ROUND(6*(Construction!BM119+Construction!CK118)/IF(Explore!S119&gt;0,Construction!F119-20,Construction!F119),4) + tech_6_5_2*Techs!BJ118 + tech_8_4*Techs!BT118</f>
        <v>0.81079999999999997</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45819.791666666388</v>
      </c>
      <c r="C119" s="94">
        <f ca="1">OFFSET(TblPop[[#This Row],[Peasants]],-1,0)+OFFSET(TblPop[[#This Row],[Net Peasant]],-1,0)+TblMili[[#This Row],[Release Draft]]</f>
        <v>1874</v>
      </c>
      <c r="D119" s="94">
        <f ca="1">TblMili[[#This Row],[Military]]</f>
        <v>4379</v>
      </c>
      <c r="E119" s="94">
        <f ca="1">TblMili[[#This Row],[Draftees]]</f>
        <v>4379</v>
      </c>
      <c r="F119" s="94">
        <f ca="1">TblPop[[#This Row],[Peasants]]+TblPop[[#This Row],[Military]]</f>
        <v>6253</v>
      </c>
      <c r="G119" s="139">
        <f ca="1">TblPop[[#This Row],[Military]]/TblPop[[#This Row],[Total]]</f>
        <v>0.70030385415000795</v>
      </c>
      <c r="H119" s="140">
        <f ca="1">MIN(TblPop[[#This Row],[Peasants]],TblPop[[#This Row],[Jobs]])</f>
        <v>1874</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6000</v>
      </c>
      <c r="K119" s="141"/>
      <c r="L119" s="61">
        <f ca="1">TblPop[[#This Row],[Draftees]]</f>
        <v>4379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6253</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19" s="94">
        <f ca="1">MAX(-5%*TblPop[[#This Row],[Peasants]]-TblPop[[#This Row],[Draft Growth]],MIN(OFFSET(TblPop[[#This Row],[Net max]],1,0)-TblPop[[#This Row],[Peasants]]-TblPop[[#This Row],[Military]]-TblPop[[#This Row],[Draft Growth]],TblPop[[#This Row],[Modded Birth]]-TblPop[[#This Row],[Draft Growth]]))</f>
        <v>-19</v>
      </c>
      <c r="X119" s="94">
        <f ca="1">ROUND(TblPop[[#This Row],[Raw Birth]]*(1+TblPop[[#This Row],[Growth]]),0)</f>
        <v>101</v>
      </c>
      <c r="Y119" s="94">
        <f ca="1">(TblPop[[#This Row],[Peasants]]-TblPop[[#This Row],[Draft Growth]])*raw_pop_growth</f>
        <v>55.65</v>
      </c>
      <c r="Z119" s="94">
        <f ca="1">ROUND(IF(TblPop[[#This Row],[Military%]]&lt;TblMili[[#This Row],[Draftrate]],ROUND(TblPop[[#This Row],[Peasants]]*Constants!$B$55,0), 0) * IF(AND(TblMagic[[#This Row],[Active DnD]]&lt;=12,TblMagic[[#This Row],[Active DnD]]&gt;6),1.6,1),0)</f>
        <v>19</v>
      </c>
      <c r="AA119" s="142"/>
      <c r="AB119" s="143">
        <f ca="1">Overview!$I$17 + IF(Magic!AF119&gt;0,Constants!$F$78) + ROUND(6*(Construction!BM120+Construction!CK119)/IF(Explore!S120&gt;0,Construction!F120-20,Construction!F120),4) + tech_6_5_2*Techs!BJ119 + tech_8_4*Techs!BT119</f>
        <v>0.81079999999999997</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45819.833333333052</v>
      </c>
      <c r="C120" s="94">
        <f ca="1">OFFSET(TblPop[[#This Row],[Peasants]],-1,0)+OFFSET(TblPop[[#This Row],[Net Peasant]],-1,0)+TblMili[[#This Row],[Release Draft]]</f>
        <v>1855</v>
      </c>
      <c r="D120" s="94">
        <f ca="1">TblMili[[#This Row],[Military]]</f>
        <v>4398</v>
      </c>
      <c r="E120" s="94">
        <f ca="1">TblMili[[#This Row],[Draftees]]</f>
        <v>4398</v>
      </c>
      <c r="F120" s="94">
        <f ca="1">TblPop[[#This Row],[Peasants]]+TblPop[[#This Row],[Military]]</f>
        <v>6253</v>
      </c>
      <c r="G120" s="139">
        <f ca="1">TblPop[[#This Row],[Military]]/TblPop[[#This Row],[Total]]</f>
        <v>0.70334239565008794</v>
      </c>
      <c r="H120" s="140">
        <f ca="1">MIN(TblPop[[#This Row],[Peasants]],TblPop[[#This Row],[Jobs]])</f>
        <v>1855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6000</v>
      </c>
      <c r="K120" s="141"/>
      <c r="L120" s="61">
        <f ca="1">TblPop[[#This Row],[Draftees]]</f>
        <v>4398</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6253</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20" s="94">
        <f ca="1">MAX(-5%*TblPop[[#This Row],[Peasants]]-TblPop[[#This Row],[Draft Growth]],MIN(OFFSET(TblPop[[#This Row],[Net max]],1,0)-TblPop[[#This Row],[Peasants]]-TblPop[[#This Row],[Military]]-TblPop[[#This Row],[Draft Growth]],TblPop[[#This Row],[Modded Birth]]-TblPop[[#This Row],[Draft Growth]]))</f>
        <v>-19</v>
      </c>
      <c r="X120" s="94">
        <f ca="1">ROUND(TblPop[[#This Row],[Raw Birth]]*(1+TblPop[[#This Row],[Growth]]),0)</f>
        <v>100</v>
      </c>
      <c r="Y120" s="94">
        <f ca="1">(TblPop[[#This Row],[Peasants]]-TblPop[[#This Row],[Draft Growth]])*raw_pop_growth</f>
        <v>55.08</v>
      </c>
      <c r="Z120" s="94">
        <f ca="1">ROUND(IF(TblPop[[#This Row],[Military%]]&lt;TblMili[[#This Row],[Draftrate]],ROUND(TblPop[[#This Row],[Peasants]]*Constants!$B$55,0), 0) * IF(AND(TblMagic[[#This Row],[Active DnD]]&lt;=12,TblMagic[[#This Row],[Active DnD]]&gt;6),1.6,1),0)</f>
        <v>19</v>
      </c>
      <c r="AA120" s="142"/>
      <c r="AB120" s="143">
        <f ca="1">Overview!$I$17 + IF(Magic!AF120&gt;0,Constants!$F$78) + ROUND(6*(Construction!BM121+Construction!CK120)/IF(Explore!S121&gt;0,Construction!F121-20,Construction!F121),4) + tech_6_5_2*Techs!BJ120 + tech_8_4*Techs!BT120</f>
        <v>0.81079999999999997</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45819.874999999716</v>
      </c>
      <c r="C121" s="94">
        <f ca="1">OFFSET(TblPop[[#This Row],[Peasants]],-1,0)+OFFSET(TblPop[[#This Row],[Net Peasant]],-1,0)+TblMili[[#This Row],[Release Draft]]</f>
        <v>1836</v>
      </c>
      <c r="D121" s="94">
        <f ca="1">TblMili[[#This Row],[Military]]</f>
        <v>4417</v>
      </c>
      <c r="E121" s="94">
        <f ca="1">TblMili[[#This Row],[Draftees]]</f>
        <v>4417</v>
      </c>
      <c r="F121" s="94">
        <f ca="1">TblPop[[#This Row],[Peasants]]+TblPop[[#This Row],[Military]]</f>
        <v>6253</v>
      </c>
      <c r="G121" s="139">
        <f ca="1">TblPop[[#This Row],[Military]]/TblPop[[#This Row],[Total]]</f>
        <v>0.70638093715016792</v>
      </c>
      <c r="H121" s="140">
        <f ca="1">MIN(TblPop[[#This Row],[Peasants]],TblPop[[#This Row],[Jobs]])</f>
        <v>1836</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6000</v>
      </c>
      <c r="K121" s="141"/>
      <c r="L121" s="61">
        <f ca="1">TblPop[[#This Row],[Draftees]]</f>
        <v>4417</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6253</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21" s="94">
        <f ca="1">MAX(-5%*TblPop[[#This Row],[Peasants]]-TblPop[[#This Row],[Draft Growth]],MIN(OFFSET(TblPop[[#This Row],[Net max]],1,0)-TblPop[[#This Row],[Peasants]]-TblPop[[#This Row],[Military]]-TblPop[[#This Row],[Draft Growth]],TblPop[[#This Row],[Modded Birth]]-TblPop[[#This Row],[Draft Growth]]))</f>
        <v>-18</v>
      </c>
      <c r="X121" s="94">
        <f ca="1">ROUND(TblPop[[#This Row],[Raw Birth]]*(1+TblPop[[#This Row],[Growth]]),0)</f>
        <v>99</v>
      </c>
      <c r="Y121" s="94">
        <f ca="1">(TblPop[[#This Row],[Peasants]]-TblPop[[#This Row],[Draft Growth]])*raw_pop_growth</f>
        <v>54.54</v>
      </c>
      <c r="Z121" s="94">
        <f ca="1">ROUND(IF(TblPop[[#This Row],[Military%]]&lt;TblMili[[#This Row],[Draftrate]],ROUND(TblPop[[#This Row],[Peasants]]*Constants!$B$55,0), 0) * IF(AND(TblMagic[[#This Row],[Active DnD]]&lt;=12,TblMagic[[#This Row],[Active DnD]]&gt;6),1.6,1),0)</f>
        <v>18</v>
      </c>
      <c r="AA121" s="142"/>
      <c r="AB121" s="143">
        <f ca="1">Overview!$I$17 + IF(Magic!AF121&gt;0,Constants!$F$78) + ROUND(6*(Construction!BM122+Construction!CK121)/IF(Explore!S122&gt;0,Construction!F122-20,Construction!F122),4) + tech_6_5_2*Techs!BJ121 + tech_8_4*Techs!BT121</f>
        <v>0.81079999999999997</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45819.91666666638</v>
      </c>
      <c r="C122" s="94">
        <f ca="1">OFFSET(TblPop[[#This Row],[Peasants]],-1,0)+OFFSET(TblPop[[#This Row],[Net Peasant]],-1,0)+TblMili[[#This Row],[Release Draft]]</f>
        <v>1818</v>
      </c>
      <c r="D122" s="94">
        <f ca="1">TblMili[[#This Row],[Military]]</f>
        <v>4435</v>
      </c>
      <c r="E122" s="94">
        <f ca="1">TblMili[[#This Row],[Draftees]]</f>
        <v>4435</v>
      </c>
      <c r="F122" s="94">
        <f ca="1">TblPop[[#This Row],[Peasants]]+TblPop[[#This Row],[Military]]</f>
        <v>6253</v>
      </c>
      <c r="G122" s="139">
        <f ca="1">TblPop[[#This Row],[Military]]/TblPop[[#This Row],[Total]]</f>
        <v>0.70925955541340158</v>
      </c>
      <c r="H122" s="140">
        <f ca="1">MIN(TblPop[[#This Row],[Peasants]],TblPop[[#This Row],[Jobs]])</f>
        <v>1818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6000</v>
      </c>
      <c r="K122" s="141"/>
      <c r="L122" s="61">
        <f ca="1">TblPop[[#This Row],[Draftees]]</f>
        <v>4435</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6253</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22" s="94">
        <f ca="1">MAX(-5%*TblPop[[#This Row],[Peasants]]-TblPop[[#This Row],[Draft Growth]],MIN(OFFSET(TblPop[[#This Row],[Net max]],1,0)-TblPop[[#This Row],[Peasants]]-TblPop[[#This Row],[Military]]-TblPop[[#This Row],[Draft Growth]],TblPop[[#This Row],[Modded Birth]]-TblPop[[#This Row],[Draft Growth]]))</f>
        <v>-18</v>
      </c>
      <c r="X122" s="94">
        <f ca="1">ROUND(TblPop[[#This Row],[Raw Birth]]*(1+TblPop[[#This Row],[Growth]]),0)</f>
        <v>98</v>
      </c>
      <c r="Y122" s="94">
        <f ca="1">(TblPop[[#This Row],[Peasants]]-TblPop[[#This Row],[Draft Growth]])*raw_pop_growth</f>
        <v>54</v>
      </c>
      <c r="Z122" s="94">
        <f ca="1">ROUND(IF(TblPop[[#This Row],[Military%]]&lt;TblMili[[#This Row],[Draftrate]],ROUND(TblPop[[#This Row],[Peasants]]*Constants!$B$55,0), 0) * IF(AND(TblMagic[[#This Row],[Active DnD]]&lt;=12,TblMagic[[#This Row],[Active DnD]]&gt;6),1.6,1),0)</f>
        <v>18</v>
      </c>
      <c r="AA122" s="142"/>
      <c r="AB122" s="143">
        <f ca="1">Overview!$I$17 + IF(Magic!AF122&gt;0,Constants!$F$78) + ROUND(6*(Construction!BM123+Construction!CK122)/IF(Explore!S123&gt;0,Construction!F123-20,Construction!F123),4) + tech_6_5_2*Techs!BJ122 + tech_8_4*Techs!BT122</f>
        <v>0.81079999999999997</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45819.958333333045</v>
      </c>
      <c r="C123" s="94">
        <f ca="1">OFFSET(TblPop[[#This Row],[Peasants]],-1,0)+OFFSET(TblPop[[#This Row],[Net Peasant]],-1,0)+TblMili[[#This Row],[Release Draft]]</f>
        <v>1800</v>
      </c>
      <c r="D123" s="94">
        <f ca="1">TblMili[[#This Row],[Military]]</f>
        <v>4453</v>
      </c>
      <c r="E123" s="94">
        <f ca="1">TblMili[[#This Row],[Draftees]]</f>
        <v>4453</v>
      </c>
      <c r="F123" s="94">
        <f ca="1">TblPop[[#This Row],[Peasants]]+TblPop[[#This Row],[Military]]</f>
        <v>6253</v>
      </c>
      <c r="G123" s="139">
        <f ca="1">TblPop[[#This Row],[Military]]/TblPop[[#This Row],[Total]]</f>
        <v>0.71213817367663523</v>
      </c>
      <c r="H123" s="140">
        <f ca="1">MIN(TblPop[[#This Row],[Peasants]],TblPop[[#This Row],[Jobs]])</f>
        <v>1800</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6000</v>
      </c>
      <c r="K123" s="141"/>
      <c r="L123" s="61">
        <f ca="1">TblPop[[#This Row],[Draftees]]</f>
        <v>4453</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6253</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23" s="94">
        <f ca="1">MAX(-5%*TblPop[[#This Row],[Peasants]]-TblPop[[#This Row],[Draft Growth]],MIN(OFFSET(TblPop[[#This Row],[Net max]],1,0)-TblPop[[#This Row],[Peasants]]-TblPop[[#This Row],[Military]]-TblPop[[#This Row],[Draft Growth]],TblPop[[#This Row],[Modded Birth]]-TblPop[[#This Row],[Draft Growth]]))</f>
        <v>-18</v>
      </c>
      <c r="X123" s="94">
        <f ca="1">ROUND(TblPop[[#This Row],[Raw Birth]]*(1+TblPop[[#This Row],[Growth]]),0)</f>
        <v>97</v>
      </c>
      <c r="Y123" s="94">
        <f ca="1">(TblPop[[#This Row],[Peasants]]-TblPop[[#This Row],[Draft Growth]])*raw_pop_growth</f>
        <v>53.46</v>
      </c>
      <c r="Z123" s="94">
        <f ca="1">ROUND(IF(TblPop[[#This Row],[Military%]]&lt;TblMili[[#This Row],[Draftrate]],ROUND(TblPop[[#This Row],[Peasants]]*Constants!$B$55,0), 0) * IF(AND(TblMagic[[#This Row],[Active DnD]]&lt;=12,TblMagic[[#This Row],[Active DnD]]&gt;6),1.6,1),0)</f>
        <v>18</v>
      </c>
      <c r="AA123" s="142"/>
      <c r="AB123" s="143">
        <f ca="1">Overview!$I$17 + IF(Magic!AF123&gt;0,Constants!$F$78) + ROUND(6*(Construction!BM124+Construction!CK123)/IF(Explore!S124&gt;0,Construction!F124-20,Construction!F124),4) + tech_6_5_2*Techs!BJ123 + tech_8_4*Techs!BT123</f>
        <v>0.81079999999999997</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45819.999999999709</v>
      </c>
      <c r="C124" s="94">
        <f ca="1">OFFSET(TblPop[[#This Row],[Peasants]],-1,0)+OFFSET(TblPop[[#This Row],[Net Peasant]],-1,0)+TblMili[[#This Row],[Release Draft]]</f>
        <v>1782</v>
      </c>
      <c r="D124" s="94">
        <f ca="1">TblMili[[#This Row],[Military]]</f>
        <v>4471</v>
      </c>
      <c r="E124" s="94">
        <f ca="1">TblMili[[#This Row],[Draftees]]</f>
        <v>4471</v>
      </c>
      <c r="F124" s="94">
        <f ca="1">TblPop[[#This Row],[Peasants]]+TblPop[[#This Row],[Military]]</f>
        <v>6253</v>
      </c>
      <c r="G124" s="139">
        <f ca="1">TblPop[[#This Row],[Military]]/TblPop[[#This Row],[Total]]</f>
        <v>0.71501679193986889</v>
      </c>
      <c r="H124" s="140">
        <f ca="1">MIN(TblPop[[#This Row],[Peasants]],TblPop[[#This Row],[Jobs]])</f>
        <v>1782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6000</v>
      </c>
      <c r="K124" s="141"/>
      <c r="L124" s="61">
        <f ca="1">TblPop[[#This Row],[Draftees]]</f>
        <v>4471</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6253</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24" s="94">
        <f ca="1">MAX(-5%*TblPop[[#This Row],[Peasants]]-TblPop[[#This Row],[Draft Growth]],MIN(OFFSET(TblPop[[#This Row],[Net max]],1,0)-TblPop[[#This Row],[Peasants]]-TblPop[[#This Row],[Military]]-TblPop[[#This Row],[Draft Growth]],TblPop[[#This Row],[Modded Birth]]-TblPop[[#This Row],[Draft Growth]]))</f>
        <v>-18</v>
      </c>
      <c r="X124" s="94">
        <f ca="1">ROUND(TblPop[[#This Row],[Raw Birth]]*(1+TblPop[[#This Row],[Growth]]),0)</f>
        <v>96</v>
      </c>
      <c r="Y124" s="94">
        <f ca="1">(TblPop[[#This Row],[Peasants]]-TblPop[[#This Row],[Draft Growth]])*raw_pop_growth</f>
        <v>52.919999999999995</v>
      </c>
      <c r="Z124" s="94">
        <f ca="1">ROUND(IF(TblPop[[#This Row],[Military%]]&lt;TblMili[[#This Row],[Draftrate]],ROUND(TblPop[[#This Row],[Peasants]]*Constants!$B$55,0), 0) * IF(AND(TblMagic[[#This Row],[Active DnD]]&lt;=12,TblMagic[[#This Row],[Active DnD]]&gt;6),1.6,1),0)</f>
        <v>18</v>
      </c>
      <c r="AA124" s="142"/>
      <c r="AB124" s="143">
        <f ca="1">Overview!$I$17 + IF(Magic!AF124&gt;0,Constants!$F$78) + ROUND(6*(Construction!BM125+Construction!CK124)/IF(Explore!S125&gt;0,Construction!F125-20,Construction!F125),4) + tech_6_5_2*Techs!BJ124 + tech_8_4*Techs!BT124</f>
        <v>0.81079999999999997</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45820.041666666373</v>
      </c>
      <c r="C125" s="94">
        <f ca="1">OFFSET(TblPop[[#This Row],[Peasants]],-1,0)+OFFSET(TblPop[[#This Row],[Net Peasant]],-1,0)+TblMili[[#This Row],[Release Draft]]</f>
        <v>1764</v>
      </c>
      <c r="D125" s="94">
        <f ca="1">TblMili[[#This Row],[Military]]</f>
        <v>4489</v>
      </c>
      <c r="E125" s="94">
        <f ca="1">TblMili[[#This Row],[Draftees]]</f>
        <v>4489</v>
      </c>
      <c r="F125" s="94">
        <f ca="1">TblPop[[#This Row],[Peasants]]+TblPop[[#This Row],[Military]]</f>
        <v>6253</v>
      </c>
      <c r="G125" s="139">
        <f ca="1">TblPop[[#This Row],[Military]]/TblPop[[#This Row],[Total]]</f>
        <v>0.71789541020310255</v>
      </c>
      <c r="H125" s="140">
        <f ca="1">MIN(TblPop[[#This Row],[Peasants]],TblPop[[#This Row],[Jobs]])</f>
        <v>1764</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6000</v>
      </c>
      <c r="K125" s="141"/>
      <c r="L125" s="61">
        <f ca="1">TblPop[[#This Row],[Draftees]]</f>
        <v>4489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6253</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25" s="94">
        <f ca="1">MAX(-5%*TblPop[[#This Row],[Peasants]]-TblPop[[#This Row],[Draft Growth]],MIN(OFFSET(TblPop[[#This Row],[Net max]],1,0)-TblPop[[#This Row],[Peasants]]-TblPop[[#This Row],[Military]]-TblPop[[#This Row],[Draft Growth]],TblPop[[#This Row],[Modded Birth]]-TblPop[[#This Row],[Draft Growth]]))</f>
        <v>-18</v>
      </c>
      <c r="X125" s="94">
        <f ca="1">ROUND(TblPop[[#This Row],[Raw Birth]]*(1+TblPop[[#This Row],[Growth]]),0)</f>
        <v>95</v>
      </c>
      <c r="Y125" s="94">
        <f ca="1">(TblPop[[#This Row],[Peasants]]-TblPop[[#This Row],[Draft Growth]])*raw_pop_growth</f>
        <v>52.379999999999995</v>
      </c>
      <c r="Z125" s="94">
        <f ca="1">ROUND(IF(TblPop[[#This Row],[Military%]]&lt;TblMili[[#This Row],[Draftrate]],ROUND(TblPop[[#This Row],[Peasants]]*Constants!$B$55,0), 0) * IF(AND(TblMagic[[#This Row],[Active DnD]]&lt;=12,TblMagic[[#This Row],[Active DnD]]&gt;6),1.6,1),0)</f>
        <v>18</v>
      </c>
      <c r="AA125" s="142"/>
      <c r="AB125" s="143">
        <f ca="1">Overview!$I$17 + IF(Magic!AF125&gt;0,Constants!$F$78) + ROUND(6*(Construction!BM126+Construction!CK125)/IF(Explore!S126&gt;0,Construction!F126-20,Construction!F126),4) + tech_6_5_2*Techs!BJ125 + tech_8_4*Techs!BT125</f>
        <v>0.81079999999999997</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45820.083333333037</v>
      </c>
      <c r="C126" s="94">
        <f ca="1">OFFSET(TblPop[[#This Row],[Peasants]],-1,0)+OFFSET(TblPop[[#This Row],[Net Peasant]],-1,0)+TblMili[[#This Row],[Release Draft]]</f>
        <v>1746</v>
      </c>
      <c r="D126" s="94">
        <f ca="1">TblMili[[#This Row],[Military]]</f>
        <v>4507</v>
      </c>
      <c r="E126" s="94">
        <f ca="1">TblMili[[#This Row],[Draftees]]</f>
        <v>4507</v>
      </c>
      <c r="F126" s="94">
        <f ca="1">TblPop[[#This Row],[Peasants]]+TblPop[[#This Row],[Military]]</f>
        <v>6253</v>
      </c>
      <c r="G126" s="139">
        <f ca="1">TblPop[[#This Row],[Military]]/TblPop[[#This Row],[Total]]</f>
        <v>0.7207740284663362</v>
      </c>
      <c r="H126" s="140">
        <f ca="1">MIN(TblPop[[#This Row],[Peasants]],TblPop[[#This Row],[Jobs]])</f>
        <v>1746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6000</v>
      </c>
      <c r="K126" s="141"/>
      <c r="L126" s="61">
        <f ca="1">TblPop[[#This Row],[Draftees]]</f>
        <v>4507</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6253</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26" s="94">
        <f ca="1">MAX(-5%*TblPop[[#This Row],[Peasants]]-TblPop[[#This Row],[Draft Growth]],MIN(OFFSET(TblPop[[#This Row],[Net max]],1,0)-TblPop[[#This Row],[Peasants]]-TblPop[[#This Row],[Military]]-TblPop[[#This Row],[Draft Growth]],TblPop[[#This Row],[Modded Birth]]-TblPop[[#This Row],[Draft Growth]]))</f>
        <v>-17</v>
      </c>
      <c r="X126" s="94">
        <f ca="1">ROUND(TblPop[[#This Row],[Raw Birth]]*(1+TblPop[[#This Row],[Growth]]),0)</f>
        <v>94</v>
      </c>
      <c r="Y126" s="94">
        <f ca="1">(TblPop[[#This Row],[Peasants]]-TblPop[[#This Row],[Draft Growth]])*raw_pop_growth</f>
        <v>51.87</v>
      </c>
      <c r="Z126" s="94">
        <f ca="1">ROUND(IF(TblPop[[#This Row],[Military%]]&lt;TblMili[[#This Row],[Draftrate]],ROUND(TblPop[[#This Row],[Peasants]]*Constants!$B$55,0), 0) * IF(AND(TblMagic[[#This Row],[Active DnD]]&lt;=12,TblMagic[[#This Row],[Active DnD]]&gt;6),1.6,1),0)</f>
        <v>17</v>
      </c>
      <c r="AA126" s="142"/>
      <c r="AB126" s="143">
        <f ca="1">Overview!$I$17 + IF(Magic!AF126&gt;0,Constants!$F$78) + ROUND(6*(Construction!BM127+Construction!CK126)/IF(Explore!S127&gt;0,Construction!F127-20,Construction!F127),4) + tech_6_5_2*Techs!BJ126 + tech_8_4*Techs!BT126</f>
        <v>0.81079999999999997</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45820.124999999702</v>
      </c>
      <c r="C127" s="94">
        <f ca="1">OFFSET(TblPop[[#This Row],[Peasants]],-1,0)+OFFSET(TblPop[[#This Row],[Net Peasant]],-1,0)+TblMili[[#This Row],[Release Draft]]</f>
        <v>1729</v>
      </c>
      <c r="D127" s="94">
        <f ca="1">TblMili[[#This Row],[Military]]</f>
        <v>4524</v>
      </c>
      <c r="E127" s="94">
        <f ca="1">TblMili[[#This Row],[Draftees]]</f>
        <v>4524</v>
      </c>
      <c r="F127" s="94">
        <f ca="1">TblPop[[#This Row],[Peasants]]+TblPop[[#This Row],[Military]]</f>
        <v>6253</v>
      </c>
      <c r="G127" s="139">
        <f ca="1">TblPop[[#This Row],[Military]]/TblPop[[#This Row],[Total]]</f>
        <v>0.72349272349272353</v>
      </c>
      <c r="H127" s="140">
        <f ca="1">MIN(TblPop[[#This Row],[Peasants]],TblPop[[#This Row],[Jobs]])</f>
        <v>1729</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6000</v>
      </c>
      <c r="K127" s="141"/>
      <c r="L127" s="61">
        <f ca="1">TblPop[[#This Row],[Draftees]]</f>
        <v>4524</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6253</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27" s="94">
        <f ca="1">MAX(-5%*TblPop[[#This Row],[Peasants]]-TblPop[[#This Row],[Draft Growth]],MIN(OFFSET(TblPop[[#This Row],[Net max]],1,0)-TblPop[[#This Row],[Peasants]]-TblPop[[#This Row],[Military]]-TblPop[[#This Row],[Draft Growth]],TblPop[[#This Row],[Modded Birth]]-TblPop[[#This Row],[Draft Growth]]))</f>
        <v>-17</v>
      </c>
      <c r="X127" s="94">
        <f ca="1">ROUND(TblPop[[#This Row],[Raw Birth]]*(1+TblPop[[#This Row],[Growth]]),0)</f>
        <v>93</v>
      </c>
      <c r="Y127" s="94">
        <f ca="1">(TblPop[[#This Row],[Peasants]]-TblPop[[#This Row],[Draft Growth]])*raw_pop_growth</f>
        <v>51.36</v>
      </c>
      <c r="Z127" s="94">
        <f ca="1">ROUND(IF(TblPop[[#This Row],[Military%]]&lt;TblMili[[#This Row],[Draftrate]],ROUND(TblPop[[#This Row],[Peasants]]*Constants!$B$55,0), 0) * IF(AND(TblMagic[[#This Row],[Active DnD]]&lt;=12,TblMagic[[#This Row],[Active DnD]]&gt;6),1.6,1),0)</f>
        <v>17</v>
      </c>
      <c r="AA127" s="142"/>
      <c r="AB127" s="143">
        <f ca="1">Overview!$I$17 + IF(Magic!AF127&gt;0,Constants!$F$78) + ROUND(6*(Construction!BM128+Construction!CK127)/IF(Explore!S128&gt;0,Construction!F128-20,Construction!F128),4) + tech_6_5_2*Techs!BJ127 + tech_8_4*Techs!BT127</f>
        <v>0.81079999999999997</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45820.166666666366</v>
      </c>
      <c r="C128" s="94">
        <f ca="1">OFFSET(TblPop[[#This Row],[Peasants]],-1,0)+OFFSET(TblPop[[#This Row],[Net Peasant]],-1,0)+TblMili[[#This Row],[Release Draft]]</f>
        <v>1712</v>
      </c>
      <c r="D128" s="94">
        <f ca="1">TblMili[[#This Row],[Military]]</f>
        <v>4541</v>
      </c>
      <c r="E128" s="94">
        <f ca="1">TblMili[[#This Row],[Draftees]]</f>
        <v>4541</v>
      </c>
      <c r="F128" s="94">
        <f ca="1">TblPop[[#This Row],[Peasants]]+TblPop[[#This Row],[Military]]</f>
        <v>6253</v>
      </c>
      <c r="G128" s="139">
        <f ca="1">TblPop[[#This Row],[Military]]/TblPop[[#This Row],[Total]]</f>
        <v>0.72621141851911086</v>
      </c>
      <c r="H128" s="140">
        <f ca="1">MIN(TblPop[[#This Row],[Peasants]],TblPop[[#This Row],[Jobs]])</f>
        <v>1712</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6000</v>
      </c>
      <c r="K128" s="141"/>
      <c r="L128" s="61">
        <f ca="1">TblPop[[#This Row],[Draftees]]</f>
        <v>4541</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6253</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28" s="94">
        <f ca="1">MAX(-5%*TblPop[[#This Row],[Peasants]]-TblPop[[#This Row],[Draft Growth]],MIN(OFFSET(TblPop[[#This Row],[Net max]],1,0)-TblPop[[#This Row],[Peasants]]-TblPop[[#This Row],[Military]]-TblPop[[#This Row],[Draft Growth]],TblPop[[#This Row],[Modded Birth]]-TblPop[[#This Row],[Draft Growth]]))</f>
        <v>-17</v>
      </c>
      <c r="X128" s="94">
        <f ca="1">ROUND(TblPop[[#This Row],[Raw Birth]]*(1+TblPop[[#This Row],[Growth]]),0)</f>
        <v>92</v>
      </c>
      <c r="Y128" s="94">
        <f ca="1">(TblPop[[#This Row],[Peasants]]-TblPop[[#This Row],[Draft Growth]])*raw_pop_growth</f>
        <v>50.85</v>
      </c>
      <c r="Z128" s="94">
        <f ca="1">ROUND(IF(TblPop[[#This Row],[Military%]]&lt;TblMili[[#This Row],[Draftrate]],ROUND(TblPop[[#This Row],[Peasants]]*Constants!$B$55,0), 0) * IF(AND(TblMagic[[#This Row],[Active DnD]]&lt;=12,TblMagic[[#This Row],[Active DnD]]&gt;6),1.6,1),0)</f>
        <v>17</v>
      </c>
      <c r="AA128" s="142"/>
      <c r="AB128" s="143">
        <f ca="1">Overview!$I$17 + IF(Magic!AF128&gt;0,Constants!$F$78) + ROUND(6*(Construction!BM129+Construction!CK128)/IF(Explore!S129&gt;0,Construction!F129-20,Construction!F129),4) + tech_6_5_2*Techs!BJ128 + tech_8_4*Techs!BT128</f>
        <v>0.81079999999999997</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45820.20833333303</v>
      </c>
      <c r="C129" s="94">
        <f ca="1">OFFSET(TblPop[[#This Row],[Peasants]],-1,0)+OFFSET(TblPop[[#This Row],[Net Peasant]],-1,0)+TblMili[[#This Row],[Release Draft]]</f>
        <v>1695</v>
      </c>
      <c r="D129" s="94">
        <f ca="1">TblMili[[#This Row],[Military]]</f>
        <v>4558</v>
      </c>
      <c r="E129" s="94">
        <f ca="1">TblMili[[#This Row],[Draftees]]</f>
        <v>4558</v>
      </c>
      <c r="F129" s="94">
        <f ca="1">TblPop[[#This Row],[Peasants]]+TblPop[[#This Row],[Military]]</f>
        <v>6253</v>
      </c>
      <c r="G129" s="139">
        <f ca="1">TblPop[[#This Row],[Military]]/TblPop[[#This Row],[Total]]</f>
        <v>0.72893011354549819</v>
      </c>
      <c r="H129" s="140">
        <f ca="1">MIN(TblPop[[#This Row],[Peasants]],TblPop[[#This Row],[Jobs]])</f>
        <v>1695</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6000</v>
      </c>
      <c r="K129" s="141"/>
      <c r="L129" s="61">
        <f ca="1">TblPop[[#This Row],[Draftees]]</f>
        <v>4558</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6253</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29" s="94">
        <f ca="1">MAX(-5%*TblPop[[#This Row],[Peasants]]-TblPop[[#This Row],[Draft Growth]],MIN(OFFSET(TblPop[[#This Row],[Net max]],1,0)-TblPop[[#This Row],[Peasants]]-TblPop[[#This Row],[Military]]-TblPop[[#This Row],[Draft Growth]],TblPop[[#This Row],[Modded Birth]]-TblPop[[#This Row],[Draft Growth]]))</f>
        <v>-17</v>
      </c>
      <c r="X129" s="94">
        <f ca="1">ROUND(TblPop[[#This Row],[Raw Birth]]*(1+TblPop[[#This Row],[Growth]]),0)</f>
        <v>91</v>
      </c>
      <c r="Y129" s="94">
        <f ca="1">(TblPop[[#This Row],[Peasants]]-TblPop[[#This Row],[Draft Growth]])*raw_pop_growth</f>
        <v>50.339999999999996</v>
      </c>
      <c r="Z129" s="94">
        <f ca="1">ROUND(IF(TblPop[[#This Row],[Military%]]&lt;TblMili[[#This Row],[Draftrate]],ROUND(TblPop[[#This Row],[Peasants]]*Constants!$B$55,0), 0) * IF(AND(TblMagic[[#This Row],[Active DnD]]&lt;=12,TblMagic[[#This Row],[Active DnD]]&gt;6),1.6,1),0)</f>
        <v>17</v>
      </c>
      <c r="AA129" s="142"/>
      <c r="AB129" s="143">
        <f ca="1">Overview!$I$17 + IF(Magic!AF129&gt;0,Constants!$F$78) + ROUND(6*(Construction!BM130+Construction!CK129)/IF(Explore!S130&gt;0,Construction!F130-20,Construction!F130),4) + tech_6_5_2*Techs!BJ129 + tech_8_4*Techs!BT129</f>
        <v>0.81079999999999997</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45820.249999999694</v>
      </c>
      <c r="C130" s="94">
        <f ca="1">OFFSET(TblPop[[#This Row],[Peasants]],-1,0)+OFFSET(TblPop[[#This Row],[Net Peasant]],-1,0)+TblMili[[#This Row],[Release Draft]]</f>
        <v>1678</v>
      </c>
      <c r="D130" s="94">
        <f ca="1">TblMili[[#This Row],[Military]]</f>
        <v>4575</v>
      </c>
      <c r="E130" s="94">
        <f ca="1">TblMili[[#This Row],[Draftees]]</f>
        <v>4575</v>
      </c>
      <c r="F130" s="94">
        <f ca="1">TblPop[[#This Row],[Peasants]]+TblPop[[#This Row],[Military]]</f>
        <v>6253</v>
      </c>
      <c r="G130" s="139">
        <f ca="1">TblPop[[#This Row],[Military]]/TblPop[[#This Row],[Total]]</f>
        <v>0.73164880857188552</v>
      </c>
      <c r="H130" s="140">
        <f ca="1">MIN(TblPop[[#This Row],[Peasants]],TblPop[[#This Row],[Jobs]])</f>
        <v>1678</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6000</v>
      </c>
      <c r="K130" s="141"/>
      <c r="L130" s="61">
        <f ca="1">TblPop[[#This Row],[Draftees]]</f>
        <v>4575</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6253</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30" s="94">
        <f ca="1">MAX(-5%*TblPop[[#This Row],[Peasants]]-TblPop[[#This Row],[Draft Growth]],MIN(OFFSET(TblPop[[#This Row],[Net max]],1,0)-TblPop[[#This Row],[Peasants]]-TblPop[[#This Row],[Military]]-TblPop[[#This Row],[Draft Growth]],TblPop[[#This Row],[Modded Birth]]-TblPop[[#This Row],[Draft Growth]]))</f>
        <v>-17</v>
      </c>
      <c r="X130" s="94">
        <f ca="1">ROUND(TblPop[[#This Row],[Raw Birth]]*(1+TblPop[[#This Row],[Growth]]),0)</f>
        <v>90</v>
      </c>
      <c r="Y130" s="94">
        <f ca="1">(TblPop[[#This Row],[Peasants]]-TblPop[[#This Row],[Draft Growth]])*raw_pop_growth</f>
        <v>49.83</v>
      </c>
      <c r="Z130" s="94">
        <f ca="1">ROUND(IF(TblPop[[#This Row],[Military%]]&lt;TblMili[[#This Row],[Draftrate]],ROUND(TblPop[[#This Row],[Peasants]]*Constants!$B$55,0), 0) * IF(AND(TblMagic[[#This Row],[Active DnD]]&lt;=12,TblMagic[[#This Row],[Active DnD]]&gt;6),1.6,1),0)</f>
        <v>17</v>
      </c>
      <c r="AA130" s="142"/>
      <c r="AB130" s="143">
        <f ca="1">Overview!$I$17 + IF(Magic!AF130&gt;0,Constants!$F$78) + ROUND(6*(Construction!BM131+Construction!CK130)/IF(Explore!S131&gt;0,Construction!F131-20,Construction!F131),4) + tech_6_5_2*Techs!BJ130 + tech_8_4*Techs!BT130</f>
        <v>0.81079999999999997</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45820.291666666359</v>
      </c>
      <c r="C131" s="94">
        <f ca="1">OFFSET(TblPop[[#This Row],[Peasants]],-1,0)+OFFSET(TblPop[[#This Row],[Net Peasant]],-1,0)+TblMili[[#This Row],[Release Draft]]</f>
        <v>1661</v>
      </c>
      <c r="D131" s="94">
        <f ca="1">TblMili[[#This Row],[Military]]</f>
        <v>4592</v>
      </c>
      <c r="E131" s="94">
        <f ca="1">TblMili[[#This Row],[Draftees]]</f>
        <v>4592</v>
      </c>
      <c r="F131" s="94">
        <f ca="1">TblPop[[#This Row],[Peasants]]+TblPop[[#This Row],[Military]]</f>
        <v>6253</v>
      </c>
      <c r="G131" s="139">
        <f ca="1">TblPop[[#This Row],[Military]]/TblPop[[#This Row],[Total]]</f>
        <v>0.73436750359827285</v>
      </c>
      <c r="H131" s="140">
        <f ca="1">MIN(TblPop[[#This Row],[Peasants]],TblPop[[#This Row],[Jobs]])</f>
        <v>1661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6000</v>
      </c>
      <c r="K131" s="141"/>
      <c r="L131" s="61">
        <f ca="1">TblPop[[#This Row],[Draftees]]</f>
        <v>4592</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6253</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31" s="94">
        <f ca="1">MAX(-5%*TblPop[[#This Row],[Peasants]]-TblPop[[#This Row],[Draft Growth]],MIN(OFFSET(TblPop[[#This Row],[Net max]],1,0)-TblPop[[#This Row],[Peasants]]-TblPop[[#This Row],[Military]]-TblPop[[#This Row],[Draft Growth]],TblPop[[#This Row],[Modded Birth]]-TblPop[[#This Row],[Draft Growth]]))</f>
        <v>-17</v>
      </c>
      <c r="X131" s="94">
        <f ca="1">ROUND(TblPop[[#This Row],[Raw Birth]]*(1+TblPop[[#This Row],[Growth]]),0)</f>
        <v>89</v>
      </c>
      <c r="Y131" s="94">
        <f ca="1">(TblPop[[#This Row],[Peasants]]-TblPop[[#This Row],[Draft Growth]])*raw_pop_growth</f>
        <v>49.32</v>
      </c>
      <c r="Z131" s="94">
        <f ca="1">ROUND(IF(TblPop[[#This Row],[Military%]]&lt;TblMili[[#This Row],[Draftrate]],ROUND(TblPop[[#This Row],[Peasants]]*Constants!$B$55,0), 0) * IF(AND(TblMagic[[#This Row],[Active DnD]]&lt;=12,TblMagic[[#This Row],[Active DnD]]&gt;6),1.6,1),0)</f>
        <v>17</v>
      </c>
      <c r="AA131" s="142"/>
      <c r="AB131" s="143">
        <f ca="1">Overview!$I$17 + IF(Magic!AF131&gt;0,Constants!$F$78) + ROUND(6*(Construction!BM132+Construction!CK131)/IF(Explore!S132&gt;0,Construction!F132-20,Construction!F132),4) + tech_6_5_2*Techs!BJ131 + tech_8_4*Techs!BT131</f>
        <v>0.81079999999999997</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45820.333333333023</v>
      </c>
      <c r="C132" s="94">
        <f ca="1">OFFSET(TblPop[[#This Row],[Peasants]],-1,0)+OFFSET(TblPop[[#This Row],[Net Peasant]],-1,0)+TblMili[[#This Row],[Release Draft]]</f>
        <v>1644</v>
      </c>
      <c r="D132" s="94">
        <f ca="1">TblMili[[#This Row],[Military]]</f>
        <v>4609</v>
      </c>
      <c r="E132" s="94">
        <f ca="1">TblMili[[#This Row],[Draftees]]</f>
        <v>4609</v>
      </c>
      <c r="F132" s="94">
        <f ca="1">TblPop[[#This Row],[Peasants]]+TblPop[[#This Row],[Military]]</f>
        <v>6253</v>
      </c>
      <c r="G132" s="139">
        <f ca="1">TblPop[[#This Row],[Military]]/TblPop[[#This Row],[Total]]</f>
        <v>0.73708619862466018</v>
      </c>
      <c r="H132" s="140">
        <f ca="1">MIN(TblPop[[#This Row],[Peasants]],TblPop[[#This Row],[Jobs]])</f>
        <v>1644</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6000</v>
      </c>
      <c r="K132" s="141"/>
      <c r="L132" s="61">
        <f ca="1">TblPop[[#This Row],[Draftees]]</f>
        <v>4609</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6253</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32" s="94">
        <f ca="1">MAX(-5%*TblPop[[#This Row],[Peasants]]-TblPop[[#This Row],[Draft Growth]],MIN(OFFSET(TblPop[[#This Row],[Net max]],1,0)-TblPop[[#This Row],[Peasants]]-TblPop[[#This Row],[Military]]-TblPop[[#This Row],[Draft Growth]],TblPop[[#This Row],[Modded Birth]]-TblPop[[#This Row],[Draft Growth]]))</f>
        <v>-16</v>
      </c>
      <c r="X132" s="94">
        <f ca="1">ROUND(TblPop[[#This Row],[Raw Birth]]*(1+TblPop[[#This Row],[Growth]]),0)</f>
        <v>88</v>
      </c>
      <c r="Y132" s="94">
        <f ca="1">(TblPop[[#This Row],[Peasants]]-TblPop[[#This Row],[Draft Growth]])*raw_pop_growth</f>
        <v>48.839999999999996</v>
      </c>
      <c r="Z132" s="94">
        <f ca="1">ROUND(IF(TblPop[[#This Row],[Military%]]&lt;TblMili[[#This Row],[Draftrate]],ROUND(TblPop[[#This Row],[Peasants]]*Constants!$B$55,0), 0) * IF(AND(TblMagic[[#This Row],[Active DnD]]&lt;=12,TblMagic[[#This Row],[Active DnD]]&gt;6),1.6,1),0)</f>
        <v>16</v>
      </c>
      <c r="AA132" s="142"/>
      <c r="AB132" s="143">
        <f ca="1">Overview!$I$17 + IF(Magic!AF132&gt;0,Constants!$F$78) + ROUND(6*(Construction!BM133+Construction!CK132)/IF(Explore!S133&gt;0,Construction!F133-20,Construction!F133),4) + tech_6_5_2*Techs!BJ132 + tech_8_4*Techs!BT132</f>
        <v>0.81079999999999997</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45820.374999999687</v>
      </c>
      <c r="C133" s="94">
        <f ca="1">OFFSET(TblPop[[#This Row],[Peasants]],-1,0)+OFFSET(TblPop[[#This Row],[Net Peasant]],-1,0)+TblMili[[#This Row],[Release Draft]]</f>
        <v>1628</v>
      </c>
      <c r="D133" s="94">
        <f ca="1">TblMili[[#This Row],[Military]]</f>
        <v>4625</v>
      </c>
      <c r="E133" s="94">
        <f ca="1">TblMili[[#This Row],[Draftees]]</f>
        <v>4625</v>
      </c>
      <c r="F133" s="94">
        <f ca="1">TblPop[[#This Row],[Peasants]]+TblPop[[#This Row],[Military]]</f>
        <v>6253</v>
      </c>
      <c r="G133" s="139">
        <f ca="1">TblPop[[#This Row],[Military]]/TblPop[[#This Row],[Total]]</f>
        <v>0.73964497041420119</v>
      </c>
      <c r="H133" s="140">
        <f ca="1">MIN(TblPop[[#This Row],[Peasants]],TblPop[[#This Row],[Jobs]])</f>
        <v>1628</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6000</v>
      </c>
      <c r="K133" s="141"/>
      <c r="L133" s="61">
        <f ca="1">TblPop[[#This Row],[Draftees]]</f>
        <v>4625</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6253</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33" s="94">
        <f ca="1">MAX(-5%*TblPop[[#This Row],[Peasants]]-TblPop[[#This Row],[Draft Growth]],MIN(OFFSET(TblPop[[#This Row],[Net max]],1,0)-TblPop[[#This Row],[Peasants]]-TblPop[[#This Row],[Military]]-TblPop[[#This Row],[Draft Growth]],TblPop[[#This Row],[Modded Birth]]-TblPop[[#This Row],[Draft Growth]]))</f>
        <v>-16</v>
      </c>
      <c r="X133" s="94">
        <f ca="1">ROUND(TblPop[[#This Row],[Raw Birth]]*(1+TblPop[[#This Row],[Growth]]),0)</f>
        <v>88</v>
      </c>
      <c r="Y133" s="94">
        <f ca="1">(TblPop[[#This Row],[Peasants]]-TblPop[[#This Row],[Draft Growth]])*raw_pop_growth</f>
        <v>48.36</v>
      </c>
      <c r="Z133" s="94">
        <f ca="1">ROUND(IF(TblPop[[#This Row],[Military%]]&lt;TblMili[[#This Row],[Draftrate]],ROUND(TblPop[[#This Row],[Peasants]]*Constants!$B$55,0), 0) * IF(AND(TblMagic[[#This Row],[Active DnD]]&lt;=12,TblMagic[[#This Row],[Active DnD]]&gt;6),1.6,1),0)</f>
        <v>16</v>
      </c>
      <c r="AA133" s="142"/>
      <c r="AB133" s="143">
        <f ca="1">Overview!$I$17 + IF(Magic!AF133&gt;0,Constants!$F$78) + ROUND(6*(Construction!BM134+Construction!CK133)/IF(Explore!S134&gt;0,Construction!F134-20,Construction!F134),4) + tech_6_5_2*Techs!BJ133 + tech_8_4*Techs!BT133</f>
        <v>0.81079999999999997</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45820.416666666351</v>
      </c>
      <c r="C134" s="94">
        <f ca="1">OFFSET(TblPop[[#This Row],[Peasants]],-1,0)+OFFSET(TblPop[[#This Row],[Net Peasant]],-1,0)+TblMili[[#This Row],[Release Draft]]</f>
        <v>1612</v>
      </c>
      <c r="D134" s="94">
        <f ca="1">TblMili[[#This Row],[Military]]</f>
        <v>4641</v>
      </c>
      <c r="E134" s="94">
        <f ca="1">TblMili[[#This Row],[Draftees]]</f>
        <v>4641</v>
      </c>
      <c r="F134" s="94">
        <f ca="1">TblPop[[#This Row],[Peasants]]+TblPop[[#This Row],[Military]]</f>
        <v>6253</v>
      </c>
      <c r="G134" s="139">
        <f ca="1">TblPop[[#This Row],[Military]]/TblPop[[#This Row],[Total]]</f>
        <v>0.74220374220374219</v>
      </c>
      <c r="H134" s="140">
        <f ca="1">MIN(TblPop[[#This Row],[Peasants]],TblPop[[#This Row],[Jobs]])</f>
        <v>1612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6000</v>
      </c>
      <c r="K134" s="141"/>
      <c r="L134" s="61">
        <f ca="1">TblPop[[#This Row],[Draftees]]</f>
        <v>4641</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6253</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34" s="94">
        <f ca="1">MAX(-5%*TblPop[[#This Row],[Peasants]]-TblPop[[#This Row],[Draft Growth]],MIN(OFFSET(TblPop[[#This Row],[Net max]],1,0)-TblPop[[#This Row],[Peasants]]-TblPop[[#This Row],[Military]]-TblPop[[#This Row],[Draft Growth]],TblPop[[#This Row],[Modded Birth]]-TblPop[[#This Row],[Draft Growth]]))</f>
        <v>-16</v>
      </c>
      <c r="X134" s="94">
        <f ca="1">ROUND(TblPop[[#This Row],[Raw Birth]]*(1+TblPop[[#This Row],[Growth]]),0)</f>
        <v>87</v>
      </c>
      <c r="Y134" s="94">
        <f ca="1">(TblPop[[#This Row],[Peasants]]-TblPop[[#This Row],[Draft Growth]])*raw_pop_growth</f>
        <v>47.879999999999995</v>
      </c>
      <c r="Z134" s="94">
        <f ca="1">ROUND(IF(TblPop[[#This Row],[Military%]]&lt;TblMili[[#This Row],[Draftrate]],ROUND(TblPop[[#This Row],[Peasants]]*Constants!$B$55,0), 0) * IF(AND(TblMagic[[#This Row],[Active DnD]]&lt;=12,TblMagic[[#This Row],[Active DnD]]&gt;6),1.6,1),0)</f>
        <v>16</v>
      </c>
      <c r="AA134" s="142"/>
      <c r="AB134" s="143">
        <f ca="1">Overview!$I$17 + IF(Magic!AF134&gt;0,Constants!$F$78) + ROUND(6*(Construction!BM135+Construction!CK134)/IF(Explore!S135&gt;0,Construction!F135-20,Construction!F135),4) + tech_6_5_2*Techs!BJ134 + tech_8_4*Techs!BT134</f>
        <v>0.81079999999999997</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45820.458333333016</v>
      </c>
      <c r="C135" s="94">
        <f ca="1">OFFSET(TblPop[[#This Row],[Peasants]],-1,0)+OFFSET(TblPop[[#This Row],[Net Peasant]],-1,0)+TblMili[[#This Row],[Release Draft]]</f>
        <v>1596</v>
      </c>
      <c r="D135" s="94">
        <f ca="1">TblMili[[#This Row],[Military]]</f>
        <v>4657</v>
      </c>
      <c r="E135" s="94">
        <f ca="1">TblMili[[#This Row],[Draftees]]</f>
        <v>4657</v>
      </c>
      <c r="F135" s="94">
        <f ca="1">TblPop[[#This Row],[Peasants]]+TblPop[[#This Row],[Military]]</f>
        <v>6253</v>
      </c>
      <c r="G135" s="139">
        <f ca="1">TblPop[[#This Row],[Military]]/TblPop[[#This Row],[Total]]</f>
        <v>0.74476251399328319</v>
      </c>
      <c r="H135" s="140">
        <f ca="1">MIN(TblPop[[#This Row],[Peasants]],TblPop[[#This Row],[Jobs]])</f>
        <v>1596</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6000</v>
      </c>
      <c r="K135" s="141"/>
      <c r="L135" s="61">
        <f ca="1">TblPop[[#This Row],[Draftees]]</f>
        <v>4657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6253</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35" s="94">
        <f ca="1">MAX(-5%*TblPop[[#This Row],[Peasants]]-TblPop[[#This Row],[Draft Growth]],MIN(OFFSET(TblPop[[#This Row],[Net max]],1,0)-TblPop[[#This Row],[Peasants]]-TblPop[[#This Row],[Military]]-TblPop[[#This Row],[Draft Growth]],TblPop[[#This Row],[Modded Birth]]-TblPop[[#This Row],[Draft Growth]]))</f>
        <v>-16</v>
      </c>
      <c r="X135" s="94">
        <f ca="1">ROUND(TblPop[[#This Row],[Raw Birth]]*(1+TblPop[[#This Row],[Growth]]),0)</f>
        <v>86</v>
      </c>
      <c r="Y135" s="94">
        <f ca="1">(TblPop[[#This Row],[Peasants]]-TblPop[[#This Row],[Draft Growth]])*raw_pop_growth</f>
        <v>47.4</v>
      </c>
      <c r="Z135" s="94">
        <f ca="1">ROUND(IF(TblPop[[#This Row],[Military%]]&lt;TblMili[[#This Row],[Draftrate]],ROUND(TblPop[[#This Row],[Peasants]]*Constants!$B$55,0), 0) * IF(AND(TblMagic[[#This Row],[Active DnD]]&lt;=12,TblMagic[[#This Row],[Active DnD]]&gt;6),1.6,1),0)</f>
        <v>16</v>
      </c>
      <c r="AA135" s="142"/>
      <c r="AB135" s="143">
        <f ca="1">Overview!$I$17 + IF(Magic!AF135&gt;0,Constants!$F$78) + ROUND(6*(Construction!BM136+Construction!CK135)/IF(Explore!S136&gt;0,Construction!F136-20,Construction!F136),4) + tech_6_5_2*Techs!BJ135 + tech_8_4*Techs!BT135</f>
        <v>0.81079999999999997</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45820.49999999968</v>
      </c>
      <c r="C136" s="94">
        <f ca="1">OFFSET(TblPop[[#This Row],[Peasants]],-1,0)+OFFSET(TblPop[[#This Row],[Net Peasant]],-1,0)+TblMili[[#This Row],[Release Draft]]</f>
        <v>1580</v>
      </c>
      <c r="D136" s="94">
        <f ca="1">TblMili[[#This Row],[Military]]</f>
        <v>4673</v>
      </c>
      <c r="E136" s="94">
        <f ca="1">TblMili[[#This Row],[Draftees]]</f>
        <v>4673</v>
      </c>
      <c r="F136" s="94">
        <f ca="1">TblPop[[#This Row],[Peasants]]+TblPop[[#This Row],[Military]]</f>
        <v>6253</v>
      </c>
      <c r="G136" s="139">
        <f ca="1">TblPop[[#This Row],[Military]]/TblPop[[#This Row],[Total]]</f>
        <v>0.7473212857828242</v>
      </c>
      <c r="H136" s="140">
        <f ca="1">MIN(TblPop[[#This Row],[Peasants]],TblPop[[#This Row],[Jobs]])</f>
        <v>1580</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6000</v>
      </c>
      <c r="K136" s="141"/>
      <c r="L136" s="61">
        <f ca="1">TblPop[[#This Row],[Draftees]]</f>
        <v>4673</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6253</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6100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46.92</v>
      </c>
      <c r="Z136" s="94">
        <f ca="1">ROUND(IF(TblPop[[#This Row],[Military%]]&lt;TblMili[[#This Row],[Draftrate]],ROUND(TblPop[[#This Row],[Peasants]]*Constants!$B$55,0), 0) * IF(AND(TblMagic[[#This Row],[Active DnD]]&lt;=12,TblMagic[[#This Row],[Active DnD]]&gt;6),1.6,1),0)</f>
        <v>16</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45815</v>
      </c>
      <c r="C4" s="153"/>
      <c r="D4" s="154"/>
      <c r="E4" s="94">
        <f ca="1">TblConstr[[#This Row],[Land]]</f>
        <v>370</v>
      </c>
      <c r="F4" s="94">
        <f ca="1">TblPop[[#This Row],[Peasants]]</f>
        <v>5850</v>
      </c>
      <c r="G4" s="94">
        <f ca="1">TblMili[[#This Row],[Networth (2)]]</f>
        <v>9150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tech]],-1,0)*150,0)),3750)</f>
        <v>3750</v>
      </c>
      <c r="R4" s="142"/>
      <c r="S4" s="94">
        <f ca="1">ROUNDDOWN(TblProd[[#This Row],[Raw Plat/hr]]*(1+TblProd[[#This Row],[Bonus Plat/hr]]),0)</f>
        <v>18045</v>
      </c>
      <c r="T4" s="94">
        <f ca="1">ROUND(TblProd[[#This Row],[Raw Food/hr]]*(1+TblProd[[#This Row],[Bonus Food/hr]])-TblProd[[#This Row],[Food decay]]-TblProd[[#This Row],[Food eaten]],0)</f>
        <v>893</v>
      </c>
      <c r="U4" s="94">
        <f ca="1">ROUND(TblProd[[#This Row],[Raw Lumber/hr]]*(1+TblProd[[#This Row],[Bonus Lumber/hr]])-TblProd[[#This Row],[Lumber rot]],0)</f>
        <v>850</v>
      </c>
      <c r="V4" s="94">
        <f ca="1">ROUND(TblProd[[#This Row],[Raw Mana/hr]]*(1+TblProd[[#This Row],[Bonus Mana/hr]])-TblProd[[#This Row],[Mana drain]],0)</f>
        <v>1250</v>
      </c>
      <c r="W4" s="94">
        <f ca="1">ROUNDDOWN(TblProd[[#This Row],[Raw Ore/hr]]*(1+TblProd[[#This Row],[Bonux Ore/hr]]),0)</f>
        <v>0</v>
      </c>
      <c r="X4" s="94">
        <f ca="1">ROUNDDOWN(TblProd[[#This Row],[Raw Gems/hr]]*(1+TblProd[[#This Row],[Bonus Gems/hr]]),0)</f>
        <v>750</v>
      </c>
      <c r="Y4" s="155">
        <f ca="1">OFFSET(TblConstr[[#This Row],[Tot Doc]],1,0)*dock_boats_hr * (1 + tech_4_1*TblTech[[#This Row],[4-1]])</f>
        <v>0</v>
      </c>
      <c r="Z4" s="154"/>
      <c r="AA4" s="94">
        <f ca="1">TblPop[[#This Row],[Peasants]]*tax*TblPop[[#This Row],[Employment]] + (Construction!AZ5+Construction!BX5)*(alch_plat+(Magic!AN4&gt;0)*alchemist_flame_bonus)</f>
        <v>18045</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1250</v>
      </c>
      <c r="AE4" s="94">
        <f ca="1">OFFSET(TblConstr[[#This Row],[Tot OM]],1,0)*om_ore+IF(race="Dwarf",TblMili[[#This Row],[Unit 2]]*0.5,0)</f>
        <v>0</v>
      </c>
      <c r="AF4" s="94">
        <f ca="1">OFFSET(TblConstr[[#This Row],[Tot DM]],1,0)*dm_gems</f>
        <v>750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Demonic Pact]]&gt;0,demonic_pact_food_cons,0))</f>
        <v>1537.5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45815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45815.041666666664</v>
      </c>
      <c r="C5" s="153"/>
      <c r="D5" s="154"/>
      <c r="E5" s="94">
        <f ca="1">TblConstr[[#This Row],[Land]]</f>
        <v>370</v>
      </c>
      <c r="F5" s="94">
        <f ca="1">TblPop[[#This Row],[Peasants]]</f>
        <v>5894</v>
      </c>
      <c r="G5" s="94">
        <f ca="1">TblMili[[#This Row],[Networth (2)]]</f>
        <v>9150</v>
      </c>
      <c r="H5" s="94">
        <f ca="1">OFFSET(TblProd[[#This Row],[Platinum]],-1,0)+OFFSET(TblProd[[#This Row],[Plat/hr]],-1,0) - TblProd[[#This Row],[Expenses Platinum]] + IF(TblProd[[#This Row],[Plat Bonus]],TblPop[[#This Row],[Peasants]]*4) + SUM(TblConstr[[#This Row],[Dest Hom]:[Dest Doc]])*TblConstr[[#This Row],[CPA Platinum -DB]]*tech_3_3_2*TblTech[[#This Row],[3-3]]</f>
        <v>138045</v>
      </c>
      <c r="I5" s="94">
        <f ca="1">OFFSET(TblProd[[#This Row],[Food]],-1,0)+OFFSET(TblProd[[#This Row],[Food/hr]],-1,0)+ROUNDUP((TblConstr[[#This Row],[Farms]]*80+TblConstr[[#This Row],[Docks]]*35)*(1+OFFSET(TblProd[[#This Row],[Bonus Food/hr]],-1,0)),0)</f>
        <v>15893</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1250</v>
      </c>
      <c r="L5" s="94">
        <f ca="1">OFFSET(TblProd[[#This Row],[Ore]],-1,0)+OFFSET(TblProd[[#This Row],[Ore/hr]],-1,0) -TblProd[[#This Row],[Expenses Ore]]</f>
        <v>0</v>
      </c>
      <c r="M5" s="94">
        <f ca="1">OFFSET(TblProd[[#This Row],[Gems]],-1,0)+OFFSET(TblProd[[#This Row],[Gems/hr]],-1,0) - TblProd[[#This Row],[Expenses Gems]]</f>
        <v>750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43</v>
      </c>
      <c r="Q5" s="94">
        <f ca="1">MAX(3750,_xlfn.CEILING.MATH(TblProd[[#This Row],[Land]]*2.5+OFFSET(TblTech[[#This Row],[Sum of tech]],-1,0)*150))</f>
        <v>3750</v>
      </c>
      <c r="R5" s="142"/>
      <c r="S5" s="94">
        <f ca="1">ROUNDDOWN(TblProd[[#This Row],[Raw Plat/hr]]*(1+TblProd[[#This Row],[Bonus Plat/hr]]),0)</f>
        <v>18163</v>
      </c>
      <c r="T5" s="94">
        <f ca="1">ROUND(TblProd[[#This Row],[Raw Food/hr]]*(1+TblProd[[#This Row],[Bonus Food/hr]])-TblProd[[#This Row],[Food decay]]-TblProd[[#This Row],[Food eaten]],0)</f>
        <v>858</v>
      </c>
      <c r="U5" s="94">
        <f ca="1">ROUND(TblProd[[#This Row],[Raw Lumber/hr]]*(1+TblProd[[#This Row],[Bonus Lumber/hr]])-TblProd[[#This Row],[Lumber rot]],0)</f>
        <v>842</v>
      </c>
      <c r="V5" s="94">
        <f ca="1">ROUND(TblProd[[#This Row],[Raw Mana/hr]]*(1+TblProd[[#This Row],[Bonus Mana/hr]])-TblProd[[#This Row],[Mana drain]],0)</f>
        <v>1225</v>
      </c>
      <c r="W5" s="94">
        <f ca="1">ROUNDDOWN(TblProd[[#This Row],[Raw Ore/hr]]*(1+TblProd[[#This Row],[Bonux Ore/hr]]),0)</f>
        <v>0</v>
      </c>
      <c r="X5" s="94">
        <f ca="1">ROUNDDOWN(TblProd[[#This Row],[Raw Gems/hr]]*(1+TblProd[[#This Row],[Bonus Gems/hr]]),0)</f>
        <v>750</v>
      </c>
      <c r="Y5" s="155">
        <f ca="1">OFFSET(TblConstr[[#This Row],[Tot Doc]],1,0)*dock_boats_hr * (1 + tech_4_1*TblTech[[#This Row],[4-1]])</f>
        <v>0</v>
      </c>
      <c r="Z5" s="154"/>
      <c r="AA5" s="94">
        <f ca="1">TblPop[[#This Row],[Peasants]]*tax*TblPop[[#This Row],[Employment]] + (Construction!AZ6+Construction!BX6)*(alch_plat+(Magic!AN5&gt;0)*alchemist_flame_bonus)</f>
        <v>18163.800000000003</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1250</v>
      </c>
      <c r="AE5" s="94">
        <f ca="1">OFFSET(TblConstr[[#This Row],[Tot OM]],1,0)*om_ore+IF(race="Dwarf",TblMili[[#This Row],[Unit 2]]*0.5,0)</f>
        <v>0</v>
      </c>
      <c r="AF5" s="94">
        <f ca="1">OFFSET(TblConstr[[#This Row],[Tot DM]],1,0)*dm_gems</f>
        <v>750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158.93</v>
      </c>
      <c r="AP5" s="94">
        <f ca="1">(1+race_food_consumption)*TblPop[[#This Row],[Total]]*food_per_person*(1+tech_1_10*TblTech[[#This Row],[1-10]]+tech_7_5*TblTech[[#This Row],[7-5]] + IF(TblMagic[[#This Row],[Active Demonic Pact]]&gt;0,demonic_pact_food_cons,0))</f>
        <v>1563.25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25</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45815.041666666664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138045</v>
      </c>
      <c r="BJ5" s="94">
        <f ca="1">TblProd[[#This Row],[Food]]</f>
        <v>15893</v>
      </c>
      <c r="BK5" s="94">
        <f ca="1">TblProd[[#This Row],[Lumber]]</f>
        <v>15850</v>
      </c>
      <c r="BL5" s="94">
        <f ca="1">TblProd[[#This Row],[Mana]]</f>
        <v>1250</v>
      </c>
      <c r="BM5" s="94">
        <f ca="1">TblProd[[#This Row],[Ore]]</f>
        <v>0</v>
      </c>
    </row>
    <row r="6" spans="1:65" x14ac:dyDescent="0.2">
      <c r="A6" s="137">
        <v>3</v>
      </c>
      <c r="B6" s="152">
        <f ca="1">TblImps[[#This Row],[Time]]</f>
        <v>45815.083333333328</v>
      </c>
      <c r="C6" s="153"/>
      <c r="D6" s="154"/>
      <c r="E6" s="94">
        <f ca="1">TblConstr[[#This Row],[Land]]</f>
        <v>370</v>
      </c>
      <c r="F6" s="94">
        <f ca="1">TblPop[[#This Row],[Peasants]]</f>
        <v>5835</v>
      </c>
      <c r="G6" s="94">
        <f ca="1">TblMili[[#This Row],[Networth (2)]]</f>
        <v>9150</v>
      </c>
      <c r="H6" s="94">
        <f ca="1">OFFSET(TblProd[[#This Row],[Platinum]],-1,0)+OFFSET(TblProd[[#This Row],[Plat/hr]],-1,0) - TblProd[[#This Row],[Expenses Platinum]] + IF(TblProd[[#This Row],[Plat Bonus]],TblPop[[#This Row],[Peasants]]*4) + SUM(TblConstr[[#This Row],[Dest Hom]:[Dest Doc]])*TblConstr[[#This Row],[CPA Platinum -DB]]*tech_3_3_2*TblTech[[#This Row],[3-3]]</f>
        <v>156208</v>
      </c>
      <c r="I6" s="94">
        <f ca="1">OFFSET(TblProd[[#This Row],[Food]],-1,0)+OFFSET(TblProd[[#This Row],[Food/hr]],-1,0)+ROUNDUP((TblConstr[[#This Row],[Farms]]*80+TblConstr[[#This Row],[Docks]]*35)*(1+OFFSET(TblProd[[#This Row],[Bonus Food/hr]],-1,0)),0)</f>
        <v>16751</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2475</v>
      </c>
      <c r="L6" s="94">
        <f ca="1">OFFSET(TblProd[[#This Row],[Ore]],-1,0)+OFFSET(TblProd[[#This Row],[Ore/hr]],-1,0) -TblProd[[#This Row],[Expenses Ore]]</f>
        <v>0</v>
      </c>
      <c r="M6" s="94">
        <f ca="1">OFFSET(TblProd[[#This Row],[Gems]],-1,0)+OFFSET(TblProd[[#This Row],[Gems/hr]],-1,0) - TblProd[[#This Row],[Expenses Gems]]</f>
        <v>1500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86</v>
      </c>
      <c r="Q6" s="94">
        <f ca="1">MAX(3750,_xlfn.CEILING.MATH(TblProd[[#This Row],[Land]]*2.5+OFFSET(TblTech[[#This Row],[Sum of tech]],-1,0)*150))</f>
        <v>3750</v>
      </c>
      <c r="R6" s="142"/>
      <c r="S6" s="94">
        <f ca="1">ROUNDDOWN(TblProd[[#This Row],[Raw Plat/hr]]*(1+TblProd[[#This Row],[Bonus Plat/hr]]),0)</f>
        <v>18004</v>
      </c>
      <c r="T6" s="94">
        <f ca="1">ROUND(TblProd[[#This Row],[Raw Food/hr]]*(1+TblProd[[#This Row],[Bonus Food/hr]])-TblProd[[#This Row],[Food decay]]-TblProd[[#This Row],[Food eaten]],0)</f>
        <v>849</v>
      </c>
      <c r="U6" s="94">
        <f ca="1">ROUND(TblProd[[#This Row],[Raw Lumber/hr]]*(1+TblProd[[#This Row],[Bonus Lumber/hr]])-TblProd[[#This Row],[Lumber rot]],0)</f>
        <v>833</v>
      </c>
      <c r="V6" s="94">
        <f ca="1">ROUND(TblProd[[#This Row],[Raw Mana/hr]]*(1+TblProd[[#This Row],[Bonus Mana/hr]])-TblProd[[#This Row],[Mana drain]],0)</f>
        <v>1201</v>
      </c>
      <c r="W6" s="94">
        <f ca="1">ROUNDDOWN(TblProd[[#This Row],[Raw Ore/hr]]*(1+TblProd[[#This Row],[Bonux Ore/hr]]),0)</f>
        <v>0</v>
      </c>
      <c r="X6" s="94">
        <f ca="1">ROUNDDOWN(TblProd[[#This Row],[Raw Gems/hr]]*(1+TblProd[[#This Row],[Bonus Gems/hr]]),0)</f>
        <v>750</v>
      </c>
      <c r="Y6" s="155">
        <f ca="1">OFFSET(TblConstr[[#This Row],[Tot Doc]],1,0)*dock_boats_hr * (1 + tech_4_1*TblTech[[#This Row],[4-1]])</f>
        <v>0</v>
      </c>
      <c r="Z6" s="154"/>
      <c r="AA6" s="94">
        <f ca="1">TblPop[[#This Row],[Peasants]]*tax*TblPop[[#This Row],[Employment]] + (Construction!AZ7+Construction!BX7)*(alch_plat+(Magic!AN6&gt;0)*alchemist_flame_bonus)</f>
        <v>18004.5</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1250</v>
      </c>
      <c r="AE6" s="94">
        <f ca="1">OFFSET(TblConstr[[#This Row],[Tot OM]],1,0)*om_ore+IF(race="Dwarf",TblMili[[#This Row],[Unit 2]]*0.5,0)</f>
        <v>0</v>
      </c>
      <c r="AF6" s="94">
        <f ca="1">OFFSET(TblConstr[[#This Row],[Tot DM]],1,0)*dm_gems</f>
        <v>750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167.51</v>
      </c>
      <c r="AP6" s="94">
        <f ca="1">(1+race_food_consumption)*TblPop[[#This Row],[Total]]*food_per_person*(1+tech_1_10*TblTech[[#This Row],[1-10]]+tech_7_5*TblTech[[#This Row],[7-5]] + IF(TblMagic[[#This Row],[Active Demonic Pact]]&gt;0,demonic_pact_food_cons,0))</f>
        <v>1563.25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49.5</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45815.083333333328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156208</v>
      </c>
      <c r="BJ6" s="94">
        <f ca="1">TblProd[[#This Row],[Food]]</f>
        <v>16751</v>
      </c>
      <c r="BK6" s="94">
        <f ca="1">TblProd[[#This Row],[Lumber]]</f>
        <v>16692</v>
      </c>
      <c r="BL6" s="94">
        <f ca="1">TblProd[[#This Row],[Mana]]</f>
        <v>2475</v>
      </c>
      <c r="BM6" s="94">
        <f ca="1">TblProd[[#This Row],[Ore]]</f>
        <v>0</v>
      </c>
    </row>
    <row r="7" spans="1:65" x14ac:dyDescent="0.2">
      <c r="A7" s="137">
        <v>4</v>
      </c>
      <c r="B7" s="152">
        <f ca="1">TblImps[[#This Row],[Time]]</f>
        <v>45815.124999999993</v>
      </c>
      <c r="C7" s="153"/>
      <c r="D7" s="154"/>
      <c r="E7" s="94">
        <f ca="1">TblConstr[[#This Row],[Land]]</f>
        <v>370</v>
      </c>
      <c r="F7" s="94">
        <f ca="1">TblPop[[#This Row],[Peasants]]</f>
        <v>5777</v>
      </c>
      <c r="G7" s="94">
        <f ca="1">TblMili[[#This Row],[Networth (2)]]</f>
        <v>9150</v>
      </c>
      <c r="H7" s="94">
        <f ca="1">OFFSET(TblProd[[#This Row],[Platinum]],-1,0)+OFFSET(TblProd[[#This Row],[Plat/hr]],-1,0) - TblProd[[#This Row],[Expenses Platinum]] + IF(TblProd[[#This Row],[Plat Bonus]],TblPop[[#This Row],[Peasants]]*4) + SUM(TblConstr[[#This Row],[Dest Hom]:[Dest Doc]])*TblConstr[[#This Row],[CPA Platinum -DB]]*tech_3_3_2*TblTech[[#This Row],[3-3]]</f>
        <v>174212</v>
      </c>
      <c r="I7" s="94">
        <f ca="1">OFFSET(TblProd[[#This Row],[Food]],-1,0)+OFFSET(TblProd[[#This Row],[Food/hr]],-1,0)+ROUNDUP((TblConstr[[#This Row],[Farms]]*80+TblConstr[[#This Row],[Docks]]*35)*(1+OFFSET(TblProd[[#This Row],[Bonus Food/hr]],-1,0)),0)</f>
        <v>17600</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3676</v>
      </c>
      <c r="L7" s="94">
        <f ca="1">OFFSET(TblProd[[#This Row],[Ore]],-1,0)+OFFSET(TblProd[[#This Row],[Ore/hr]],-1,0) -TblProd[[#This Row],[Expenses Ore]]</f>
        <v>0</v>
      </c>
      <c r="M7" s="94">
        <f ca="1">OFFSET(TblProd[[#This Row],[Gems]],-1,0)+OFFSET(TblProd[[#This Row],[Gems/hr]],-1,0) - TblProd[[#This Row],[Expenses Gems]]</f>
        <v>2250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129</v>
      </c>
      <c r="Q7" s="94">
        <f ca="1">MAX(3750,_xlfn.CEILING.MATH(TblProd[[#This Row],[Land]]*2.5+OFFSET(TblTech[[#This Row],[Sum of tech]],-1,0)*150))</f>
        <v>3750</v>
      </c>
      <c r="R7" s="142"/>
      <c r="S7" s="94">
        <f ca="1">ROUNDDOWN(TblProd[[#This Row],[Raw Plat/hr]]*(1+TblProd[[#This Row],[Bonus Plat/hr]]),0)</f>
        <v>17847</v>
      </c>
      <c r="T7" s="94">
        <f ca="1">ROUND(TblProd[[#This Row],[Raw Food/hr]]*(1+TblProd[[#This Row],[Bonus Food/hr]])-TblProd[[#This Row],[Food decay]]-TblProd[[#This Row],[Food eaten]],0)</f>
        <v>841</v>
      </c>
      <c r="U7" s="94">
        <f ca="1">ROUND(TblProd[[#This Row],[Raw Lumber/hr]]*(1+TblProd[[#This Row],[Bonus Lumber/hr]])-TblProd[[#This Row],[Lumber rot]],0)</f>
        <v>825</v>
      </c>
      <c r="V7" s="94">
        <f ca="1">ROUND(TblProd[[#This Row],[Raw Mana/hr]]*(1+TblProd[[#This Row],[Bonus Mana/hr]])-TblProd[[#This Row],[Mana drain]],0)</f>
        <v>1176</v>
      </c>
      <c r="W7" s="94">
        <f ca="1">ROUNDDOWN(TblProd[[#This Row],[Raw Ore/hr]]*(1+TblProd[[#This Row],[Bonux Ore/hr]]),0)</f>
        <v>0</v>
      </c>
      <c r="X7" s="94">
        <f ca="1">ROUNDDOWN(TblProd[[#This Row],[Raw Gems/hr]]*(1+TblProd[[#This Row],[Bonus Gems/hr]]),0)</f>
        <v>750</v>
      </c>
      <c r="Y7" s="155">
        <f ca="1">OFFSET(TblConstr[[#This Row],[Tot Doc]],1,0)*dock_boats_hr * (1 + tech_4_1*TblTech[[#This Row],[4-1]])</f>
        <v>0</v>
      </c>
      <c r="Z7" s="154"/>
      <c r="AA7" s="94">
        <f ca="1">TblPop[[#This Row],[Peasants]]*tax*TblPop[[#This Row],[Employment]] + (Construction!AZ8+Construction!BX8)*(alch_plat+(Magic!AN7&gt;0)*alchemist_flame_bonus)</f>
        <v>17847.900000000001</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1250</v>
      </c>
      <c r="AE7" s="94">
        <f ca="1">OFFSET(TblConstr[[#This Row],[Tot OM]],1,0)*om_ore+IF(race="Dwarf",TblMili[[#This Row],[Unit 2]]*0.5,0)</f>
        <v>0</v>
      </c>
      <c r="AF7" s="94">
        <f ca="1">OFFSET(TblConstr[[#This Row],[Tot DM]],1,0)*dm_gems</f>
        <v>750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176</v>
      </c>
      <c r="AP7" s="94">
        <f ca="1">(1+race_food_consumption)*TblPop[[#This Row],[Total]]*food_per_person*(1+tech_1_10*TblTech[[#This Row],[1-10]]+tech_7_5*TblTech[[#This Row],[7-5]] + IF(TblMagic[[#This Row],[Active Demonic Pact]]&gt;0,demonic_pact_food_cons,0))</f>
        <v>1563.25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73.52</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45815.124999999993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174212</v>
      </c>
      <c r="BJ7" s="94">
        <f ca="1">TblProd[[#This Row],[Food]]</f>
        <v>17600</v>
      </c>
      <c r="BK7" s="94">
        <f ca="1">TblProd[[#This Row],[Lumber]]</f>
        <v>17525</v>
      </c>
      <c r="BL7" s="94">
        <f ca="1">TblProd[[#This Row],[Mana]]</f>
        <v>3676</v>
      </c>
      <c r="BM7" s="94">
        <f ca="1">TblProd[[#This Row],[Ore]]</f>
        <v>0</v>
      </c>
    </row>
    <row r="8" spans="1:65" x14ac:dyDescent="0.2">
      <c r="A8" s="137">
        <v>5</v>
      </c>
      <c r="B8" s="152">
        <f ca="1">TblImps[[#This Row],[Time]]</f>
        <v>45815.166666666657</v>
      </c>
      <c r="C8" s="153"/>
      <c r="D8" s="154"/>
      <c r="E8" s="94">
        <f ca="1">TblConstr[[#This Row],[Land]]</f>
        <v>370</v>
      </c>
      <c r="F8" s="94">
        <f ca="1">TblPop[[#This Row],[Peasants]]</f>
        <v>5719</v>
      </c>
      <c r="G8" s="94">
        <f ca="1">TblMili[[#This Row],[Networth (2)]]</f>
        <v>9150</v>
      </c>
      <c r="H8" s="94">
        <f ca="1">OFFSET(TblProd[[#This Row],[Platinum]],-1,0)+OFFSET(TblProd[[#This Row],[Plat/hr]],-1,0) - TblProd[[#This Row],[Expenses Platinum]] + IF(TblProd[[#This Row],[Plat Bonus]],TblPop[[#This Row],[Peasants]]*4) + SUM(TblConstr[[#This Row],[Dest Hom]:[Dest Doc]])*TblConstr[[#This Row],[CPA Platinum -DB]]*tech_3_3_2*TblTech[[#This Row],[3-3]]</f>
        <v>192059</v>
      </c>
      <c r="I8" s="94">
        <f ca="1">OFFSET(TblProd[[#This Row],[Food]],-1,0)+OFFSET(TblProd[[#This Row],[Food/hr]],-1,0)+ROUNDUP((TblConstr[[#This Row],[Farms]]*80+TblConstr[[#This Row],[Docks]]*35)*(1+OFFSET(TblProd[[#This Row],[Bonus Food/hr]],-1,0)),0)</f>
        <v>18441</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4852</v>
      </c>
      <c r="L8" s="94">
        <f ca="1">OFFSET(TblProd[[#This Row],[Ore]],-1,0)+OFFSET(TblProd[[#This Row],[Ore/hr]],-1,0) -TblProd[[#This Row],[Expenses Ore]]</f>
        <v>0</v>
      </c>
      <c r="M8" s="94">
        <f ca="1">OFFSET(TblProd[[#This Row],[Gems]],-1,0)+OFFSET(TblProd[[#This Row],[Gems/hr]],-1,0) - TblProd[[#This Row],[Expenses Gems]]</f>
        <v>3000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172</v>
      </c>
      <c r="Q8" s="94">
        <f ca="1">MAX(3750,_xlfn.CEILING.MATH(TblProd[[#This Row],[Land]]*2.5+OFFSET(TblTech[[#This Row],[Sum of tech]],-1,0)*150))</f>
        <v>3750</v>
      </c>
      <c r="R8" s="142"/>
      <c r="S8" s="94">
        <f ca="1">ROUNDDOWN(TblProd[[#This Row],[Raw Plat/hr]]*(1+TblProd[[#This Row],[Bonus Plat/hr]]),0)</f>
        <v>17691</v>
      </c>
      <c r="T8" s="94">
        <f ca="1">ROUND(TblProd[[#This Row],[Raw Food/hr]]*(1+TblProd[[#This Row],[Bonus Food/hr]])-TblProd[[#This Row],[Food decay]]-TblProd[[#This Row],[Food eaten]],0)</f>
        <v>832</v>
      </c>
      <c r="U8" s="94">
        <f ca="1">ROUND(TblProd[[#This Row],[Raw Lumber/hr]]*(1+TblProd[[#This Row],[Bonus Lumber/hr]])-TblProd[[#This Row],[Lumber rot]],0)</f>
        <v>817</v>
      </c>
      <c r="V8" s="94">
        <f ca="1">ROUND(TblProd[[#This Row],[Raw Mana/hr]]*(1+TblProd[[#This Row],[Bonus Mana/hr]])-TblProd[[#This Row],[Mana drain]],0)</f>
        <v>1153</v>
      </c>
      <c r="W8" s="94">
        <f ca="1">ROUNDDOWN(TblProd[[#This Row],[Raw Ore/hr]]*(1+TblProd[[#This Row],[Bonux Ore/hr]]),0)</f>
        <v>0</v>
      </c>
      <c r="X8" s="94">
        <f ca="1">ROUNDDOWN(TblProd[[#This Row],[Raw Gems/hr]]*(1+TblProd[[#This Row],[Bonus Gems/hr]]),0)</f>
        <v>750</v>
      </c>
      <c r="Y8" s="155">
        <f ca="1">OFFSET(TblConstr[[#This Row],[Tot Doc]],1,0)*dock_boats_hr * (1 + tech_4_1*TblTech[[#This Row],[4-1]])</f>
        <v>0</v>
      </c>
      <c r="Z8" s="154"/>
      <c r="AA8" s="94">
        <f ca="1">TblPop[[#This Row],[Peasants]]*tax*TblPop[[#This Row],[Employment]] + (Construction!AZ9+Construction!BX9)*(alch_plat+(Magic!AN8&gt;0)*alchemist_flame_bonus)</f>
        <v>17691.300000000003</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1250</v>
      </c>
      <c r="AE8" s="94">
        <f ca="1">OFFSET(TblConstr[[#This Row],[Tot OM]],1,0)*om_ore+IF(race="Dwarf",TblMili[[#This Row],[Unit 2]]*0.5,0)</f>
        <v>0</v>
      </c>
      <c r="AF8" s="94">
        <f ca="1">OFFSET(TblConstr[[#This Row],[Tot DM]],1,0)*dm_gems</f>
        <v>750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184.41</v>
      </c>
      <c r="AP8" s="94">
        <f ca="1">(1+race_food_consumption)*TblPop[[#This Row],[Total]]*food_per_person*(1+tech_1_10*TblTech[[#This Row],[1-10]]+tech_7_5*TblTech[[#This Row],[7-5]] + IF(TblMagic[[#This Row],[Active Demonic Pact]]&gt;0,demonic_pact_food_cons,0))</f>
        <v>1563.25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97.04</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45815.166666666657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192059</v>
      </c>
      <c r="BJ8" s="94">
        <f ca="1">TblProd[[#This Row],[Food]]</f>
        <v>18441</v>
      </c>
      <c r="BK8" s="94">
        <f ca="1">TblProd[[#This Row],[Lumber]]</f>
        <v>18350</v>
      </c>
      <c r="BL8" s="94">
        <f ca="1">TblProd[[#This Row],[Mana]]</f>
        <v>4852</v>
      </c>
      <c r="BM8" s="94">
        <f ca="1">TblProd[[#This Row],[Ore]]</f>
        <v>0</v>
      </c>
    </row>
    <row r="9" spans="1:65" x14ac:dyDescent="0.2">
      <c r="A9" s="137">
        <v>6</v>
      </c>
      <c r="B9" s="152">
        <f ca="1">TblImps[[#This Row],[Time]]</f>
        <v>45815.208333333321</v>
      </c>
      <c r="C9" s="153"/>
      <c r="D9" s="154"/>
      <c r="E9" s="94">
        <f ca="1">TblConstr[[#This Row],[Land]]</f>
        <v>370</v>
      </c>
      <c r="F9" s="94">
        <f ca="1">TblPop[[#This Row],[Peasants]]</f>
        <v>5662</v>
      </c>
      <c r="G9" s="94">
        <f ca="1">TblMili[[#This Row],[Networth (2)]]</f>
        <v>9150</v>
      </c>
      <c r="H9" s="94">
        <f ca="1">OFFSET(TblProd[[#This Row],[Platinum]],-1,0)+OFFSET(TblProd[[#This Row],[Plat/hr]],-1,0) - TblProd[[#This Row],[Expenses Platinum]] + IF(TblProd[[#This Row],[Plat Bonus]],TblPop[[#This Row],[Peasants]]*4) + SUM(TblConstr[[#This Row],[Dest Hom]:[Dest Doc]])*TblConstr[[#This Row],[CPA Platinum -DB]]*tech_3_3_2*TblTech[[#This Row],[3-3]]</f>
        <v>209750</v>
      </c>
      <c r="I9" s="94">
        <f ca="1">OFFSET(TblProd[[#This Row],[Food]],-1,0)+OFFSET(TblProd[[#This Row],[Food/hr]],-1,0)+ROUNDUP((TblConstr[[#This Row],[Farms]]*80+TblConstr[[#This Row],[Docks]]*35)*(1+OFFSET(TblProd[[#This Row],[Bonus Food/hr]],-1,0)),0)</f>
        <v>19273</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6005</v>
      </c>
      <c r="L9" s="94">
        <f ca="1">OFFSET(TblProd[[#This Row],[Ore]],-1,0)+OFFSET(TblProd[[#This Row],[Ore/hr]],-1,0) -TblProd[[#This Row],[Expenses Ore]]</f>
        <v>0</v>
      </c>
      <c r="M9" s="94">
        <f ca="1">OFFSET(TblProd[[#This Row],[Gems]],-1,0)+OFFSET(TblProd[[#This Row],[Gems/hr]],-1,0) - TblProd[[#This Row],[Expenses Gems]]</f>
        <v>3750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215</v>
      </c>
      <c r="Q9" s="94">
        <f ca="1">MAX(3750,_xlfn.CEILING.MATH(TblProd[[#This Row],[Land]]*2.5+OFFSET(TblTech[[#This Row],[Sum of tech]],-1,0)*150))</f>
        <v>3750</v>
      </c>
      <c r="R9" s="142"/>
      <c r="S9" s="94">
        <f ca="1">ROUNDDOWN(TblProd[[#This Row],[Raw Plat/hr]]*(1+TblProd[[#This Row],[Bonus Plat/hr]]),0)</f>
        <v>17537</v>
      </c>
      <c r="T9" s="94">
        <f ca="1">ROUND(TblProd[[#This Row],[Raw Food/hr]]*(1+TblProd[[#This Row],[Bonus Food/hr]])-TblProd[[#This Row],[Food decay]]-TblProd[[#This Row],[Food eaten]],0)</f>
        <v>824</v>
      </c>
      <c r="U9" s="94">
        <f ca="1">ROUND(TblProd[[#This Row],[Raw Lumber/hr]]*(1+TblProd[[#This Row],[Bonus Lumber/hr]])-TblProd[[#This Row],[Lumber rot]],0)</f>
        <v>808</v>
      </c>
      <c r="V9" s="94">
        <f ca="1">ROUND(TblProd[[#This Row],[Raw Mana/hr]]*(1+TblProd[[#This Row],[Bonus Mana/hr]])-TblProd[[#This Row],[Mana drain]],0)</f>
        <v>1130</v>
      </c>
      <c r="W9" s="94">
        <f ca="1">ROUNDDOWN(TblProd[[#This Row],[Raw Ore/hr]]*(1+TblProd[[#This Row],[Bonux Ore/hr]]),0)</f>
        <v>0</v>
      </c>
      <c r="X9" s="94">
        <f ca="1">ROUNDDOWN(TblProd[[#This Row],[Raw Gems/hr]]*(1+TblProd[[#This Row],[Bonus Gems/hr]]),0)</f>
        <v>750</v>
      </c>
      <c r="Y9" s="155">
        <f ca="1">OFFSET(TblConstr[[#This Row],[Tot Doc]],1,0)*dock_boats_hr * (1 + tech_4_1*TblTech[[#This Row],[4-1]])</f>
        <v>0</v>
      </c>
      <c r="Z9" s="154"/>
      <c r="AA9" s="94">
        <f ca="1">TblPop[[#This Row],[Peasants]]*tax*TblPop[[#This Row],[Employment]] + (Construction!AZ10+Construction!BX10)*(alch_plat+(Magic!AN9&gt;0)*alchemist_flame_bonus)</f>
        <v>17537.400000000001</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1250</v>
      </c>
      <c r="AE9" s="94">
        <f ca="1">OFFSET(TblConstr[[#This Row],[Tot OM]],1,0)*om_ore+IF(race="Dwarf",TblMili[[#This Row],[Unit 2]]*0.5,0)</f>
        <v>0</v>
      </c>
      <c r="AF9" s="94">
        <f ca="1">OFFSET(TblConstr[[#This Row],[Tot DM]],1,0)*dm_gems</f>
        <v>750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192.73000000000002</v>
      </c>
      <c r="AP9" s="94">
        <f ca="1">(1+race_food_consumption)*TblPop[[#This Row],[Total]]*food_per_person*(1+tech_1_10*TblTech[[#This Row],[1-10]]+tech_7_5*TblTech[[#This Row],[7-5]] + IF(TblMagic[[#This Row],[Active Demonic Pact]]&gt;0,demonic_pact_food_cons,0))</f>
        <v>1563.25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120.10000000000001</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45815.208333333321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209750</v>
      </c>
      <c r="BJ9" s="94">
        <f ca="1">TblProd[[#This Row],[Food]]</f>
        <v>19273</v>
      </c>
      <c r="BK9" s="94">
        <f ca="1">TblProd[[#This Row],[Lumber]]</f>
        <v>19167</v>
      </c>
      <c r="BL9" s="94">
        <f ca="1">TblProd[[#This Row],[Mana]]</f>
        <v>6005</v>
      </c>
      <c r="BM9" s="94">
        <f ca="1">TblProd[[#This Row],[Ore]]</f>
        <v>0</v>
      </c>
    </row>
    <row r="10" spans="1:65" x14ac:dyDescent="0.2">
      <c r="A10" s="137">
        <v>7</v>
      </c>
      <c r="B10" s="152">
        <f ca="1">TblImps[[#This Row],[Time]]</f>
        <v>45815.249999999985</v>
      </c>
      <c r="C10" s="153"/>
      <c r="D10" s="154"/>
      <c r="E10" s="94">
        <f ca="1">TblConstr[[#This Row],[Land]]</f>
        <v>370</v>
      </c>
      <c r="F10" s="94">
        <f ca="1">TblPop[[#This Row],[Peasants]]</f>
        <v>5605</v>
      </c>
      <c r="G10" s="94">
        <f ca="1">TblMili[[#This Row],[Networth (2)]]</f>
        <v>9150</v>
      </c>
      <c r="H10" s="94">
        <f ca="1">OFFSET(TblProd[[#This Row],[Platinum]],-1,0)+OFFSET(TblProd[[#This Row],[Plat/hr]],-1,0) - TblProd[[#This Row],[Expenses Platinum]] + IF(TblProd[[#This Row],[Plat Bonus]],TblPop[[#This Row],[Peasants]]*4) + SUM(TblConstr[[#This Row],[Dest Hom]:[Dest Doc]])*TblConstr[[#This Row],[CPA Platinum -DB]]*tech_3_3_2*TblTech[[#This Row],[3-3]]</f>
        <v>227287</v>
      </c>
      <c r="I10" s="94">
        <f ca="1">OFFSET(TblProd[[#This Row],[Food]],-1,0)+OFFSET(TblProd[[#This Row],[Food/hr]],-1,0)+ROUNDUP((TblConstr[[#This Row],[Farms]]*80+TblConstr[[#This Row],[Docks]]*35)*(1+OFFSET(TblProd[[#This Row],[Bonus Food/hr]],-1,0)),0)</f>
        <v>20097</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7135</v>
      </c>
      <c r="L10" s="94">
        <f ca="1">OFFSET(TblProd[[#This Row],[Ore]],-1,0)+OFFSET(TblProd[[#This Row],[Ore/hr]],-1,0) -TblProd[[#This Row],[Expenses Ore]]</f>
        <v>0</v>
      </c>
      <c r="M10" s="94">
        <f ca="1">OFFSET(TblProd[[#This Row],[Gems]],-1,0)+OFFSET(TblProd[[#This Row],[Gems/hr]],-1,0) - TblProd[[#This Row],[Expenses Gems]]</f>
        <v>4500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258</v>
      </c>
      <c r="Q10" s="94">
        <f ca="1">MAX(3750,_xlfn.CEILING.MATH(TblProd[[#This Row],[Land]]*2.5+OFFSET(TblTech[[#This Row],[Sum of tech]],-1,0)*150))</f>
        <v>3750</v>
      </c>
      <c r="R10" s="142"/>
      <c r="S10" s="94">
        <f ca="1">ROUNDDOWN(TblProd[[#This Row],[Raw Plat/hr]]*(1+TblProd[[#This Row],[Bonus Plat/hr]]),0)</f>
        <v>17383</v>
      </c>
      <c r="T10" s="94">
        <f ca="1">ROUND(TblProd[[#This Row],[Raw Food/hr]]*(1+TblProd[[#This Row],[Bonus Food/hr]])-TblProd[[#This Row],[Food decay]]-TblProd[[#This Row],[Food eaten]],0)</f>
        <v>816</v>
      </c>
      <c r="U10" s="94">
        <f ca="1">ROUND(TblProd[[#This Row],[Raw Lumber/hr]]*(1+TblProd[[#This Row],[Bonus Lumber/hr]])-TblProd[[#This Row],[Lumber rot]],0)</f>
        <v>800</v>
      </c>
      <c r="V10" s="94">
        <f ca="1">ROUND(TblProd[[#This Row],[Raw Mana/hr]]*(1+TblProd[[#This Row],[Bonus Mana/hr]])-TblProd[[#This Row],[Mana drain]],0)</f>
        <v>1107</v>
      </c>
      <c r="W10" s="94">
        <f ca="1">ROUNDDOWN(TblProd[[#This Row],[Raw Ore/hr]]*(1+TblProd[[#This Row],[Bonux Ore/hr]]),0)</f>
        <v>0</v>
      </c>
      <c r="X10" s="94">
        <f ca="1">ROUNDDOWN(TblProd[[#This Row],[Raw Gems/hr]]*(1+TblProd[[#This Row],[Bonus Gems/hr]]),0)</f>
        <v>750</v>
      </c>
      <c r="Y10" s="155">
        <f ca="1">OFFSET(TblConstr[[#This Row],[Tot Doc]],1,0)*dock_boats_hr * (1 + tech_4_1*TblTech[[#This Row],[4-1]])</f>
        <v>0</v>
      </c>
      <c r="Z10" s="154"/>
      <c r="AA10" s="94">
        <f ca="1">TblPop[[#This Row],[Peasants]]*tax*TblPop[[#This Row],[Employment]] + (Construction!AZ11+Construction!BX11)*(alch_plat+(Magic!AN10&gt;0)*alchemist_flame_bonus)</f>
        <v>17383.5</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1250</v>
      </c>
      <c r="AE10" s="94">
        <f ca="1">OFFSET(TblConstr[[#This Row],[Tot OM]],1,0)*om_ore+IF(race="Dwarf",TblMili[[#This Row],[Unit 2]]*0.5,0)</f>
        <v>0</v>
      </c>
      <c r="AF10" s="94">
        <f ca="1">OFFSET(TblConstr[[#This Row],[Tot DM]],1,0)*dm_gems</f>
        <v>750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200.97</v>
      </c>
      <c r="AP10" s="94">
        <f ca="1">(1+race_food_consumption)*TblPop[[#This Row],[Total]]*food_per_person*(1+tech_1_10*TblTech[[#This Row],[1-10]]+tech_7_5*TblTech[[#This Row],[7-5]] + IF(TblMagic[[#This Row],[Active Demonic Pact]]&gt;0,demonic_pact_food_cons,0))</f>
        <v>1563.25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142.70000000000002</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45815.249999999985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227287</v>
      </c>
      <c r="BJ10" s="94">
        <f ca="1">TblProd[[#This Row],[Food]]</f>
        <v>20097</v>
      </c>
      <c r="BK10" s="94">
        <f ca="1">TblProd[[#This Row],[Lumber]]</f>
        <v>19975</v>
      </c>
      <c r="BL10" s="94">
        <f ca="1">TblProd[[#This Row],[Mana]]</f>
        <v>7135</v>
      </c>
      <c r="BM10" s="94">
        <f ca="1">TblProd[[#This Row],[Ore]]</f>
        <v>0</v>
      </c>
    </row>
    <row r="11" spans="1:65" x14ac:dyDescent="0.2">
      <c r="A11" s="137">
        <v>8</v>
      </c>
      <c r="B11" s="152">
        <f ca="1">TblImps[[#This Row],[Time]]</f>
        <v>45815.29166666665</v>
      </c>
      <c r="C11" s="153"/>
      <c r="D11" s="154"/>
      <c r="E11" s="94">
        <f ca="1">TblConstr[[#This Row],[Land]]</f>
        <v>370</v>
      </c>
      <c r="F11" s="94">
        <f ca="1">TblPop[[#This Row],[Peasants]]</f>
        <v>5549</v>
      </c>
      <c r="G11" s="94">
        <f ca="1">TblMili[[#This Row],[Networth (2)]]</f>
        <v>9150</v>
      </c>
      <c r="H11" s="94">
        <f ca="1">OFFSET(TblProd[[#This Row],[Platinum]],-1,0)+OFFSET(TblProd[[#This Row],[Plat/hr]],-1,0) - TblProd[[#This Row],[Expenses Platinum]] + IF(TblProd[[#This Row],[Plat Bonus]],TblPop[[#This Row],[Peasants]]*4) + SUM(TblConstr[[#This Row],[Dest Hom]:[Dest Doc]])*TblConstr[[#This Row],[CPA Platinum -DB]]*tech_3_3_2*TblTech[[#This Row],[3-3]]</f>
        <v>244670</v>
      </c>
      <c r="I11" s="94">
        <f ca="1">OFFSET(TblProd[[#This Row],[Food]],-1,0)+OFFSET(TblProd[[#This Row],[Food/hr]],-1,0)+ROUNDUP((TblConstr[[#This Row],[Farms]]*80+TblConstr[[#This Row],[Docks]]*35)*(1+OFFSET(TblProd[[#This Row],[Bonus Food/hr]],-1,0)),0)</f>
        <v>20913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8242</v>
      </c>
      <c r="L11" s="94">
        <f ca="1">OFFSET(TblProd[[#This Row],[Ore]],-1,0)+OFFSET(TblProd[[#This Row],[Ore/hr]],-1,0) -TblProd[[#This Row],[Expenses Ore]]</f>
        <v>0</v>
      </c>
      <c r="M11" s="94">
        <f ca="1">OFFSET(TblProd[[#This Row],[Gems]],-1,0)+OFFSET(TblProd[[#This Row],[Gems/hr]],-1,0) - TblProd[[#This Row],[Expenses Gems]]</f>
        <v>5250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301</v>
      </c>
      <c r="Q11" s="94">
        <f ca="1">MAX(3750,_xlfn.CEILING.MATH(TblProd[[#This Row],[Land]]*2.5+OFFSET(TblTech[[#This Row],[Sum of tech]],-1,0)*150))</f>
        <v>3750</v>
      </c>
      <c r="R11" s="142"/>
      <c r="S11" s="94">
        <f ca="1">ROUNDDOWN(TblProd[[#This Row],[Raw Plat/hr]]*(1+TblProd[[#This Row],[Bonus Plat/hr]]),0)</f>
        <v>17232</v>
      </c>
      <c r="T11" s="94">
        <f ca="1">ROUND(TblProd[[#This Row],[Raw Food/hr]]*(1+TblProd[[#This Row],[Bonus Food/hr]])-TblProd[[#This Row],[Food decay]]-TblProd[[#This Row],[Food eaten]],0)</f>
        <v>808</v>
      </c>
      <c r="U11" s="94">
        <f ca="1">ROUND(TblProd[[#This Row],[Raw Lumber/hr]]*(1+TblProd[[#This Row],[Bonus Lumber/hr]])-TblProd[[#This Row],[Lumber rot]],0)</f>
        <v>792</v>
      </c>
      <c r="V11" s="94">
        <f ca="1">ROUND(TblProd[[#This Row],[Raw Mana/hr]]*(1+TblProd[[#This Row],[Bonus Mana/hr]])-TblProd[[#This Row],[Mana drain]],0)</f>
        <v>1085</v>
      </c>
      <c r="W11" s="94">
        <f ca="1">ROUNDDOWN(TblProd[[#This Row],[Raw Ore/hr]]*(1+TblProd[[#This Row],[Bonux Ore/hr]]),0)</f>
        <v>0</v>
      </c>
      <c r="X11" s="94">
        <f ca="1">ROUNDDOWN(TblProd[[#This Row],[Raw Gems/hr]]*(1+TblProd[[#This Row],[Bonus Gems/hr]]),0)</f>
        <v>750</v>
      </c>
      <c r="Y11" s="155">
        <f ca="1">OFFSET(TblConstr[[#This Row],[Tot Doc]],1,0)*dock_boats_hr * (1 + tech_4_1*TblTech[[#This Row],[4-1]])</f>
        <v>0</v>
      </c>
      <c r="Z11" s="154"/>
      <c r="AA11" s="94">
        <f ca="1">TblPop[[#This Row],[Peasants]]*tax*TblPop[[#This Row],[Employment]] + (Construction!AZ12+Construction!BX12)*(alch_plat+(Magic!AN11&gt;0)*alchemist_flame_bonus)</f>
        <v>17232.300000000003</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1250</v>
      </c>
      <c r="AE11" s="94">
        <f ca="1">OFFSET(TblConstr[[#This Row],[Tot OM]],1,0)*om_ore+IF(race="Dwarf",TblMili[[#This Row],[Unit 2]]*0.5,0)</f>
        <v>0</v>
      </c>
      <c r="AF11" s="94">
        <f ca="1">OFFSET(TblConstr[[#This Row],[Tot DM]],1,0)*dm_gems</f>
        <v>750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209.13</v>
      </c>
      <c r="AP11" s="94">
        <f ca="1">(1+race_food_consumption)*TblPop[[#This Row],[Total]]*food_per_person*(1+tech_1_10*TblTech[[#This Row],[1-10]]+tech_7_5*TblTech[[#This Row],[7-5]] + IF(TblMagic[[#This Row],[Active Demonic Pact]]&gt;0,demonic_pact_food_cons,0))</f>
        <v>1563.25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164.84</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45815.29166666665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244670</v>
      </c>
      <c r="BJ11" s="94">
        <f ca="1">TblProd[[#This Row],[Food]]</f>
        <v>20913</v>
      </c>
      <c r="BK11" s="94">
        <f ca="1">TblProd[[#This Row],[Lumber]]</f>
        <v>20775</v>
      </c>
      <c r="BL11" s="94">
        <f ca="1">TblProd[[#This Row],[Mana]]</f>
        <v>8242</v>
      </c>
      <c r="BM11" s="94">
        <f ca="1">TblProd[[#This Row],[Ore]]</f>
        <v>0</v>
      </c>
    </row>
    <row r="12" spans="1:65" x14ac:dyDescent="0.2">
      <c r="A12" s="137">
        <v>9</v>
      </c>
      <c r="B12" s="152">
        <f ca="1">TblImps[[#This Row],[Time]]</f>
        <v>45815.333333333314</v>
      </c>
      <c r="C12" s="153"/>
      <c r="D12" s="154"/>
      <c r="E12" s="94">
        <f ca="1">TblConstr[[#This Row],[Land]]</f>
        <v>370</v>
      </c>
      <c r="F12" s="94">
        <f ca="1">TblPop[[#This Row],[Peasants]]</f>
        <v>5494</v>
      </c>
      <c r="G12" s="94">
        <f ca="1">TblMili[[#This Row],[Networth (2)]]</f>
        <v>9150</v>
      </c>
      <c r="H12" s="94">
        <f ca="1">OFFSET(TblProd[[#This Row],[Platinum]],-1,0)+OFFSET(TblProd[[#This Row],[Plat/hr]],-1,0) - TblProd[[#This Row],[Expenses Platinum]] + IF(TblProd[[#This Row],[Plat Bonus]],TblPop[[#This Row],[Peasants]]*4) + SUM(TblConstr[[#This Row],[Dest Hom]:[Dest Doc]])*TblConstr[[#This Row],[CPA Platinum -DB]]*tech_3_3_2*TblTech[[#This Row],[3-3]]</f>
        <v>261902</v>
      </c>
      <c r="I12" s="94">
        <f ca="1">OFFSET(TblProd[[#This Row],[Food]],-1,0)+OFFSET(TblProd[[#This Row],[Food/hr]],-1,0)+ROUNDUP((TblConstr[[#This Row],[Farms]]*80+TblConstr[[#This Row],[Docks]]*35)*(1+OFFSET(TblProd[[#This Row],[Bonus Food/hr]],-1,0)),0)</f>
        <v>21721</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9327</v>
      </c>
      <c r="L12" s="94">
        <f ca="1">OFFSET(TblProd[[#This Row],[Ore]],-1,0)+OFFSET(TblProd[[#This Row],[Ore/hr]],-1,0) -TblProd[[#This Row],[Expenses Ore]]</f>
        <v>0</v>
      </c>
      <c r="M12" s="94">
        <f ca="1">OFFSET(TblProd[[#This Row],[Gems]],-1,0)+OFFSET(TblProd[[#This Row],[Gems/hr]],-1,0) - TblProd[[#This Row],[Expenses Gems]]</f>
        <v>6000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344</v>
      </c>
      <c r="Q12" s="94">
        <f ca="1">MAX(3750,_xlfn.CEILING.MATH(TblProd[[#This Row],[Land]]*2.5+OFFSET(TblTech[[#This Row],[Sum of tech]],-1,0)*150))</f>
        <v>3750</v>
      </c>
      <c r="R12" s="142"/>
      <c r="S12" s="94">
        <f ca="1">ROUNDDOWN(TblProd[[#This Row],[Raw Plat/hr]]*(1+TblProd[[#This Row],[Bonus Plat/hr]]),0)</f>
        <v>17083</v>
      </c>
      <c r="T12" s="94">
        <f ca="1">ROUND(TblProd[[#This Row],[Raw Food/hr]]*(1+TblProd[[#This Row],[Bonus Food/hr]])-TblProd[[#This Row],[Food decay]]-TblProd[[#This Row],[Food eaten]],0)</f>
        <v>800</v>
      </c>
      <c r="U12" s="94">
        <f ca="1">ROUND(TblProd[[#This Row],[Raw Lumber/hr]]*(1+TblProd[[#This Row],[Bonus Lumber/hr]])-TblProd[[#This Row],[Lumber rot]],0)</f>
        <v>784</v>
      </c>
      <c r="V12" s="94">
        <f ca="1">ROUND(TblProd[[#This Row],[Raw Mana/hr]]*(1+TblProd[[#This Row],[Bonus Mana/hr]])-TblProd[[#This Row],[Mana drain]],0)</f>
        <v>1063</v>
      </c>
      <c r="W12" s="94">
        <f ca="1">ROUNDDOWN(TblProd[[#This Row],[Raw Ore/hr]]*(1+TblProd[[#This Row],[Bonux Ore/hr]]),0)</f>
        <v>0</v>
      </c>
      <c r="X12" s="94">
        <f ca="1">ROUNDDOWN(TblProd[[#This Row],[Raw Gems/hr]]*(1+TblProd[[#This Row],[Bonus Gems/hr]]),0)</f>
        <v>750</v>
      </c>
      <c r="Y12" s="155">
        <f ca="1">OFFSET(TblConstr[[#This Row],[Tot Doc]],1,0)*dock_boats_hr * (1 + tech_4_1*TblTech[[#This Row],[4-1]])</f>
        <v>0</v>
      </c>
      <c r="Z12" s="154"/>
      <c r="AA12" s="94">
        <f ca="1">TblPop[[#This Row],[Peasants]]*tax*TblPop[[#This Row],[Employment]] + (Construction!AZ13+Construction!BX13)*(alch_plat+(Magic!AN12&gt;0)*alchemist_flame_bonus)</f>
        <v>17083.800000000003</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1250</v>
      </c>
      <c r="AE12" s="94">
        <f ca="1">OFFSET(TblConstr[[#This Row],[Tot OM]],1,0)*om_ore+IF(race="Dwarf",TblMili[[#This Row],[Unit 2]]*0.5,0)</f>
        <v>0</v>
      </c>
      <c r="AF12" s="94">
        <f ca="1">OFFSET(TblConstr[[#This Row],[Tot DM]],1,0)*dm_gems</f>
        <v>750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217.21</v>
      </c>
      <c r="AP12" s="94">
        <f ca="1">(1+race_food_consumption)*TblPop[[#This Row],[Total]]*food_per_person*(1+tech_1_10*TblTech[[#This Row],[1-10]]+tech_7_5*TblTech[[#This Row],[7-5]] + IF(TblMagic[[#This Row],[Active Demonic Pact]]&gt;0,demonic_pact_food_cons,0))</f>
        <v>1563.25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186.54</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45815.333333333314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261902</v>
      </c>
      <c r="BJ12" s="94">
        <f ca="1">TblProd[[#This Row],[Food]]</f>
        <v>21721</v>
      </c>
      <c r="BK12" s="94">
        <f ca="1">TblProd[[#This Row],[Lumber]]</f>
        <v>21567</v>
      </c>
      <c r="BL12" s="94">
        <f ca="1">TblProd[[#This Row],[Mana]]</f>
        <v>9327</v>
      </c>
      <c r="BM12" s="94">
        <f ca="1">TblProd[[#This Row],[Ore]]</f>
        <v>0</v>
      </c>
    </row>
    <row r="13" spans="1:65" x14ac:dyDescent="0.2">
      <c r="A13" s="137">
        <v>10</v>
      </c>
      <c r="B13" s="152">
        <f ca="1">TblImps[[#This Row],[Time]]</f>
        <v>45815.374999999978</v>
      </c>
      <c r="C13" s="153"/>
      <c r="D13" s="154"/>
      <c r="E13" s="94">
        <f ca="1">TblConstr[[#This Row],[Land]]</f>
        <v>370</v>
      </c>
      <c r="F13" s="94">
        <f ca="1">TblPop[[#This Row],[Peasants]]</f>
        <v>5439</v>
      </c>
      <c r="G13" s="94">
        <f ca="1">TblMili[[#This Row],[Networth (2)]]</f>
        <v>9150</v>
      </c>
      <c r="H13" s="94">
        <f ca="1">OFFSET(TblProd[[#This Row],[Platinum]],-1,0)+OFFSET(TblProd[[#This Row],[Plat/hr]],-1,0) - TblProd[[#This Row],[Expenses Platinum]] + IF(TblProd[[#This Row],[Plat Bonus]],TblPop[[#This Row],[Peasants]]*4) + SUM(TblConstr[[#This Row],[Dest Hom]:[Dest Doc]])*TblConstr[[#This Row],[CPA Platinum -DB]]*tech_3_3_2*TblTech[[#This Row],[3-3]]</f>
        <v>278985</v>
      </c>
      <c r="I13" s="94">
        <f ca="1">OFFSET(TblProd[[#This Row],[Food]],-1,0)+OFFSET(TblProd[[#This Row],[Food/hr]],-1,0)+ROUNDUP((TblConstr[[#This Row],[Farms]]*80+TblConstr[[#This Row],[Docks]]*35)*(1+OFFSET(TblProd[[#This Row],[Bonus Food/hr]],-1,0)),0)</f>
        <v>22521</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10390</v>
      </c>
      <c r="L13" s="94">
        <f ca="1">OFFSET(TblProd[[#This Row],[Ore]],-1,0)+OFFSET(TblProd[[#This Row],[Ore/hr]],-1,0) -TblProd[[#This Row],[Expenses Ore]]</f>
        <v>0</v>
      </c>
      <c r="M13" s="94">
        <f ca="1">OFFSET(TblProd[[#This Row],[Gems]],-1,0)+OFFSET(TblProd[[#This Row],[Gems/hr]],-1,0) - TblProd[[#This Row],[Expenses Gems]]</f>
        <v>6750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387</v>
      </c>
      <c r="Q13" s="94">
        <f ca="1">MAX(3750,_xlfn.CEILING.MATH(TblProd[[#This Row],[Land]]*2.5+OFFSET(TblTech[[#This Row],[Sum of tech]],-1,0)*150))</f>
        <v>3750</v>
      </c>
      <c r="R13" s="142"/>
      <c r="S13" s="94">
        <f ca="1">ROUNDDOWN(TblProd[[#This Row],[Raw Plat/hr]]*(1+TblProd[[#This Row],[Bonus Plat/hr]]),0)</f>
        <v>16935</v>
      </c>
      <c r="T13" s="94">
        <f ca="1">ROUND(TblProd[[#This Row],[Raw Food/hr]]*(1+TblProd[[#This Row],[Bonus Food/hr]])-TblProd[[#This Row],[Food decay]]-TblProd[[#This Row],[Food eaten]],0)</f>
        <v>792</v>
      </c>
      <c r="U13" s="94">
        <f ca="1">ROUND(TblProd[[#This Row],[Raw Lumber/hr]]*(1+TblProd[[#This Row],[Bonus Lumber/hr]])-TblProd[[#This Row],[Lumber rot]],0)</f>
        <v>776</v>
      </c>
      <c r="V13" s="94">
        <f ca="1">ROUND(TblProd[[#This Row],[Raw Mana/hr]]*(1+TblProd[[#This Row],[Bonus Mana/hr]])-TblProd[[#This Row],[Mana drain]],0)</f>
        <v>1042</v>
      </c>
      <c r="W13" s="94">
        <f ca="1">ROUNDDOWN(TblProd[[#This Row],[Raw Ore/hr]]*(1+TblProd[[#This Row],[Bonux Ore/hr]]),0)</f>
        <v>0</v>
      </c>
      <c r="X13" s="94">
        <f ca="1">ROUNDDOWN(TblProd[[#This Row],[Raw Gems/hr]]*(1+TblProd[[#This Row],[Bonus Gems/hr]]),0)</f>
        <v>750</v>
      </c>
      <c r="Y13" s="155">
        <f ca="1">OFFSET(TblConstr[[#This Row],[Tot Doc]],1,0)*dock_boats_hr * (1 + tech_4_1*TblTech[[#This Row],[4-1]])</f>
        <v>0</v>
      </c>
      <c r="Z13" s="154"/>
      <c r="AA13" s="94">
        <f ca="1">TblPop[[#This Row],[Peasants]]*tax*TblPop[[#This Row],[Employment]] + (Construction!AZ14+Construction!BX14)*(alch_plat+(Magic!AN13&gt;0)*alchemist_flame_bonus)</f>
        <v>16935.300000000003</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1250</v>
      </c>
      <c r="AE13" s="94">
        <f ca="1">OFFSET(TblConstr[[#This Row],[Tot OM]],1,0)*om_ore+IF(race="Dwarf",TblMili[[#This Row],[Unit 2]]*0.5,0)</f>
        <v>0</v>
      </c>
      <c r="AF13" s="94">
        <f ca="1">OFFSET(TblConstr[[#This Row],[Tot DM]],1,0)*dm_gems</f>
        <v>750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225.21</v>
      </c>
      <c r="AP13" s="94">
        <f ca="1">(1+race_food_consumption)*TblPop[[#This Row],[Total]]*food_per_person*(1+tech_1_10*TblTech[[#This Row],[1-10]]+tech_7_5*TblTech[[#This Row],[7-5]] + IF(TblMagic[[#This Row],[Active Demonic Pact]]&gt;0,demonic_pact_food_cons,0))</f>
        <v>1563.25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207.8</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45815.374999999978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278985</v>
      </c>
      <c r="BJ13" s="94">
        <f ca="1">TblProd[[#This Row],[Food]]</f>
        <v>22521</v>
      </c>
      <c r="BK13" s="94">
        <f ca="1">TblProd[[#This Row],[Lumber]]</f>
        <v>22351</v>
      </c>
      <c r="BL13" s="94">
        <f ca="1">TblProd[[#This Row],[Mana]]</f>
        <v>10390</v>
      </c>
      <c r="BM13" s="94">
        <f ca="1">TblProd[[#This Row],[Ore]]</f>
        <v>0</v>
      </c>
    </row>
    <row r="14" spans="1:65" x14ac:dyDescent="0.2">
      <c r="A14" s="137">
        <v>11</v>
      </c>
      <c r="B14" s="152">
        <f ca="1">TblImps[[#This Row],[Time]]</f>
        <v>45815.416666666642</v>
      </c>
      <c r="C14" s="153"/>
      <c r="D14" s="154"/>
      <c r="E14" s="94">
        <f ca="1">TblConstr[[#This Row],[Land]]</f>
        <v>370</v>
      </c>
      <c r="F14" s="94">
        <f ca="1">TblPop[[#This Row],[Peasants]]</f>
        <v>5385</v>
      </c>
      <c r="G14" s="94">
        <f ca="1">TblMili[[#This Row],[Networth (2)]]</f>
        <v>9150</v>
      </c>
      <c r="H14" s="94">
        <f ca="1">OFFSET(TblProd[[#This Row],[Platinum]],-1,0)+OFFSET(TblProd[[#This Row],[Plat/hr]],-1,0) - TblProd[[#This Row],[Expenses Platinum]] + IF(TblProd[[#This Row],[Plat Bonus]],TblPop[[#This Row],[Peasants]]*4) + SUM(TblConstr[[#This Row],[Dest Hom]:[Dest Doc]])*TblConstr[[#This Row],[CPA Platinum -DB]]*tech_3_3_2*TblTech[[#This Row],[3-3]]</f>
        <v>295920</v>
      </c>
      <c r="I14" s="94">
        <f ca="1">OFFSET(TblProd[[#This Row],[Food]],-1,0)+OFFSET(TblProd[[#This Row],[Food/hr]],-1,0)+ROUNDUP((TblConstr[[#This Row],[Farms]]*80+TblConstr[[#This Row],[Docks]]*35)*(1+OFFSET(TblProd[[#This Row],[Bonus Food/hr]],-1,0)),0)</f>
        <v>23313</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11432</v>
      </c>
      <c r="L14" s="94">
        <f ca="1">OFFSET(TblProd[[#This Row],[Ore]],-1,0)+OFFSET(TblProd[[#This Row],[Ore/hr]],-1,0) -TblProd[[#This Row],[Expenses Ore]]</f>
        <v>0</v>
      </c>
      <c r="M14" s="94">
        <f ca="1">OFFSET(TblProd[[#This Row],[Gems]],-1,0)+OFFSET(TblProd[[#This Row],[Gems/hr]],-1,0) - TblProd[[#This Row],[Expenses Gems]]</f>
        <v>7500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430</v>
      </c>
      <c r="Q14" s="94">
        <f ca="1">MAX(3750,_xlfn.CEILING.MATH(TblProd[[#This Row],[Land]]*2.5+OFFSET(TblTech[[#This Row],[Sum of tech]],-1,0)*150))</f>
        <v>3750</v>
      </c>
      <c r="R14" s="142"/>
      <c r="S14" s="94">
        <f ca="1">ROUNDDOWN(TblProd[[#This Row],[Raw Plat/hr]]*(1+TblProd[[#This Row],[Bonus Plat/hr]]),0)</f>
        <v>16789</v>
      </c>
      <c r="T14" s="94">
        <f ca="1">ROUND(TblProd[[#This Row],[Raw Food/hr]]*(1+TblProd[[#This Row],[Bonus Food/hr]])-TblProd[[#This Row],[Food decay]]-TblProd[[#This Row],[Food eaten]],0)</f>
        <v>784</v>
      </c>
      <c r="U14" s="94">
        <f ca="1">ROUND(TblProd[[#This Row],[Raw Lumber/hr]]*(1+TblProd[[#This Row],[Bonus Lumber/hr]])-TblProd[[#This Row],[Lumber rot]],0)</f>
        <v>769</v>
      </c>
      <c r="V14" s="94">
        <f ca="1">ROUND(TblProd[[#This Row],[Raw Mana/hr]]*(1+TblProd[[#This Row],[Bonus Mana/hr]])-TblProd[[#This Row],[Mana drain]],0)</f>
        <v>1021</v>
      </c>
      <c r="W14" s="94">
        <f ca="1">ROUNDDOWN(TblProd[[#This Row],[Raw Ore/hr]]*(1+TblProd[[#This Row],[Bonux Ore/hr]]),0)</f>
        <v>0</v>
      </c>
      <c r="X14" s="94">
        <f ca="1">ROUNDDOWN(TblProd[[#This Row],[Raw Gems/hr]]*(1+TblProd[[#This Row],[Bonus Gems/hr]]),0)</f>
        <v>750</v>
      </c>
      <c r="Y14" s="155">
        <f ca="1">OFFSET(TblConstr[[#This Row],[Tot Doc]],1,0)*dock_boats_hr * (1 + tech_4_1*TblTech[[#This Row],[4-1]])</f>
        <v>0</v>
      </c>
      <c r="Z14" s="154"/>
      <c r="AA14" s="94">
        <f ca="1">TblPop[[#This Row],[Peasants]]*tax*TblPop[[#This Row],[Employment]] + (Construction!AZ15+Construction!BX15)*(alch_plat+(Magic!AN14&gt;0)*alchemist_flame_bonus)</f>
        <v>16789.5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1250</v>
      </c>
      <c r="AE14" s="94">
        <f ca="1">OFFSET(TblConstr[[#This Row],[Tot OM]],1,0)*om_ore+IF(race="Dwarf",TblMili[[#This Row],[Unit 2]]*0.5,0)</f>
        <v>0</v>
      </c>
      <c r="AF14" s="94">
        <f ca="1">OFFSET(TblConstr[[#This Row],[Tot DM]],1,0)*dm_gems</f>
        <v>750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233.13</v>
      </c>
      <c r="AP14" s="94">
        <f ca="1">(1+race_food_consumption)*TblPop[[#This Row],[Total]]*food_per_person*(1+tech_1_10*TblTech[[#This Row],[1-10]]+tech_7_5*TblTech[[#This Row],[7-5]] + IF(TblMagic[[#This Row],[Active Demonic Pact]]&gt;0,demonic_pact_food_cons,0))</f>
        <v>1563.25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228.64000000000001</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45815.416666666642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295920</v>
      </c>
      <c r="BJ14" s="94">
        <f ca="1">TblProd[[#This Row],[Food]]</f>
        <v>23313</v>
      </c>
      <c r="BK14" s="94">
        <f ca="1">TblProd[[#This Row],[Lumber]]</f>
        <v>23127</v>
      </c>
      <c r="BL14" s="94">
        <f ca="1">TblProd[[#This Row],[Mana]]</f>
        <v>11432</v>
      </c>
      <c r="BM14" s="94">
        <f ca="1">TblProd[[#This Row],[Ore]]</f>
        <v>0</v>
      </c>
    </row>
    <row r="15" spans="1:65" x14ac:dyDescent="0.2">
      <c r="A15" s="137">
        <v>12</v>
      </c>
      <c r="B15" s="152">
        <f ca="1">TblImps[[#This Row],[Time]]</f>
        <v>45815.458333333307</v>
      </c>
      <c r="C15" s="153"/>
      <c r="D15" s="154"/>
      <c r="E15" s="94">
        <f ca="1">TblConstr[[#This Row],[Land]]</f>
        <v>370</v>
      </c>
      <c r="F15" s="94">
        <f ca="1">TblPop[[#This Row],[Peasants]]</f>
        <v>5331</v>
      </c>
      <c r="G15" s="94">
        <f ca="1">TblMili[[#This Row],[Networth (2)]]</f>
        <v>9150</v>
      </c>
      <c r="H15" s="94">
        <f ca="1">OFFSET(TblProd[[#This Row],[Platinum]],-1,0)+OFFSET(TblProd[[#This Row],[Plat/hr]],-1,0) - TblProd[[#This Row],[Expenses Platinum]] + IF(TblProd[[#This Row],[Plat Bonus]],TblPop[[#This Row],[Peasants]]*4) + SUM(TblConstr[[#This Row],[Dest Hom]:[Dest Doc]])*TblConstr[[#This Row],[CPA Platinum -DB]]*tech_3_3_2*TblTech[[#This Row],[3-3]]</f>
        <v>312709</v>
      </c>
      <c r="I15" s="94">
        <f ca="1">OFFSET(TblProd[[#This Row],[Food]],-1,0)+OFFSET(TblProd[[#This Row],[Food/hr]],-1,0)+ROUNDUP((TblConstr[[#This Row],[Farms]]*80+TblConstr[[#This Row],[Docks]]*35)*(1+OFFSET(TblProd[[#This Row],[Bonus Food/hr]],-1,0)),0)</f>
        <v>24097</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12453</v>
      </c>
      <c r="L15" s="94">
        <f ca="1">OFFSET(TblProd[[#This Row],[Ore]],-1,0)+OFFSET(TblProd[[#This Row],[Ore/hr]],-1,0) -TblProd[[#This Row],[Expenses Ore]]</f>
        <v>0</v>
      </c>
      <c r="M15" s="94">
        <f ca="1">OFFSET(TblProd[[#This Row],[Gems]],-1,0)+OFFSET(TblProd[[#This Row],[Gems/hr]],-1,0) - TblProd[[#This Row],[Expenses Gems]]</f>
        <v>8250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473</v>
      </c>
      <c r="Q15" s="94">
        <f ca="1">MAX(3750,_xlfn.CEILING.MATH(TblProd[[#This Row],[Land]]*2.5+OFFSET(TblTech[[#This Row],[Sum of tech]],-1,0)*150))</f>
        <v>3750</v>
      </c>
      <c r="R15" s="142"/>
      <c r="S15" s="94">
        <f ca="1">ROUNDDOWN(TblProd[[#This Row],[Raw Plat/hr]]*(1+TblProd[[#This Row],[Bonus Plat/hr]]),0)</f>
        <v>16643</v>
      </c>
      <c r="T15" s="94">
        <f ca="1">ROUND(TblProd[[#This Row],[Raw Food/hr]]*(1+TblProd[[#This Row],[Bonus Food/hr]])-TblProd[[#This Row],[Food decay]]-TblProd[[#This Row],[Food eaten]],0)</f>
        <v>776</v>
      </c>
      <c r="U15" s="94">
        <f ca="1">ROUND(TblProd[[#This Row],[Raw Lumber/hr]]*(1+TblProd[[#This Row],[Bonus Lumber/hr]])-TblProd[[#This Row],[Lumber rot]],0)</f>
        <v>761</v>
      </c>
      <c r="V15" s="94">
        <f ca="1">ROUND(TblProd[[#This Row],[Raw Mana/hr]]*(1+TblProd[[#This Row],[Bonus Mana/hr]])-TblProd[[#This Row],[Mana drain]],0)</f>
        <v>1001</v>
      </c>
      <c r="W15" s="94">
        <f ca="1">ROUNDDOWN(TblProd[[#This Row],[Raw Ore/hr]]*(1+TblProd[[#This Row],[Bonux Ore/hr]]),0)</f>
        <v>0</v>
      </c>
      <c r="X15" s="94">
        <f ca="1">ROUNDDOWN(TblProd[[#This Row],[Raw Gems/hr]]*(1+TblProd[[#This Row],[Bonus Gems/hr]]),0)</f>
        <v>750</v>
      </c>
      <c r="Y15" s="155">
        <f ca="1">OFFSET(TblConstr[[#This Row],[Tot Doc]],1,0)*dock_boats_hr * (1 + tech_4_1*TblTech[[#This Row],[4-1]])</f>
        <v>0</v>
      </c>
      <c r="Z15" s="154"/>
      <c r="AA15" s="94">
        <f ca="1">TblPop[[#This Row],[Peasants]]*tax*TblPop[[#This Row],[Employment]] + (Construction!AZ16+Construction!BX16)*(alch_plat+(Magic!AN15&gt;0)*alchemist_flame_bonus)</f>
        <v>16643.7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1250</v>
      </c>
      <c r="AE15" s="94">
        <f ca="1">OFFSET(TblConstr[[#This Row],[Tot OM]],1,0)*om_ore+IF(race="Dwarf",TblMili[[#This Row],[Unit 2]]*0.5,0)</f>
        <v>0</v>
      </c>
      <c r="AF15" s="94">
        <f ca="1">OFFSET(TblConstr[[#This Row],[Tot DM]],1,0)*dm_gems</f>
        <v>750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240.97</v>
      </c>
      <c r="AP15" s="94">
        <f ca="1">(1+race_food_consumption)*TblPop[[#This Row],[Total]]*food_per_person*(1+tech_1_10*TblTech[[#This Row],[1-10]]+tech_7_5*TblTech[[#This Row],[7-5]] + IF(TblMagic[[#This Row],[Active Demonic Pact]]&gt;0,demonic_pact_food_cons,0))</f>
        <v>1563.25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249.06</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45815.458333333307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312709</v>
      </c>
      <c r="BJ15" s="94">
        <f ca="1">TblProd[[#This Row],[Food]]</f>
        <v>24097</v>
      </c>
      <c r="BK15" s="94">
        <f ca="1">TblProd[[#This Row],[Lumber]]</f>
        <v>23896</v>
      </c>
      <c r="BL15" s="94">
        <f ca="1">TblProd[[#This Row],[Mana]]</f>
        <v>12453</v>
      </c>
      <c r="BM15" s="94">
        <f ca="1">TblProd[[#This Row],[Ore]]</f>
        <v>0</v>
      </c>
    </row>
    <row r="16" spans="1:65" x14ac:dyDescent="0.2">
      <c r="A16" s="137">
        <v>13</v>
      </c>
      <c r="B16" s="152">
        <f ca="1">TblImps[[#This Row],[Time]]</f>
        <v>45815.499999999971</v>
      </c>
      <c r="C16" s="153"/>
      <c r="D16" s="154"/>
      <c r="E16" s="94">
        <f ca="1">TblConstr[[#This Row],[Land]]</f>
        <v>370</v>
      </c>
      <c r="F16" s="94">
        <f ca="1">TblPop[[#This Row],[Peasants]]</f>
        <v>5278</v>
      </c>
      <c r="G16" s="94">
        <f ca="1">TblMili[[#This Row],[Networth (2)]]</f>
        <v>9150</v>
      </c>
      <c r="H16" s="94">
        <f ca="1">OFFSET(TblProd[[#This Row],[Platinum]],-1,0)+OFFSET(TblProd[[#This Row],[Plat/hr]],-1,0) - TblProd[[#This Row],[Expenses Platinum]] + IF(TblProd[[#This Row],[Plat Bonus]],TblPop[[#This Row],[Peasants]]*4) + SUM(TblConstr[[#This Row],[Dest Hom]:[Dest Doc]])*TblConstr[[#This Row],[CPA Platinum -DB]]*tech_3_3_2*TblTech[[#This Row],[3-3]]</f>
        <v>329352</v>
      </c>
      <c r="I16" s="94">
        <f ca="1">OFFSET(TblProd[[#This Row],[Food]],-1,0)+OFFSET(TblProd[[#This Row],[Food/hr]],-1,0)+ROUNDUP((TblConstr[[#This Row],[Farms]]*80+TblConstr[[#This Row],[Docks]]*35)*(1+OFFSET(TblProd[[#This Row],[Bonus Food/hr]],-1,0)),0)</f>
        <v>24873</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13454</v>
      </c>
      <c r="L16" s="94">
        <f ca="1">OFFSET(TblProd[[#This Row],[Ore]],-1,0)+OFFSET(TblProd[[#This Row],[Ore/hr]],-1,0) -TblProd[[#This Row],[Expenses Ore]]</f>
        <v>0</v>
      </c>
      <c r="M16" s="94">
        <f ca="1">OFFSET(TblProd[[#This Row],[Gems]],-1,0)+OFFSET(TblProd[[#This Row],[Gems/hr]],-1,0) - TblProd[[#This Row],[Expenses Gems]]</f>
        <v>9000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516</v>
      </c>
      <c r="Q16" s="94">
        <f ca="1">MAX(3750,_xlfn.CEILING.MATH(TblProd[[#This Row],[Land]]*2.5+OFFSET(TblTech[[#This Row],[Sum of tech]],-1,0)*150))</f>
        <v>3750</v>
      </c>
      <c r="R16" s="142"/>
      <c r="S16" s="94">
        <f ca="1">ROUNDDOWN(TblProd[[#This Row],[Raw Plat/hr]]*(1+TblProd[[#This Row],[Bonus Plat/hr]]),0)</f>
        <v>16500</v>
      </c>
      <c r="T16" s="94">
        <f ca="1">ROUND(TblProd[[#This Row],[Raw Food/hr]]*(1+TblProd[[#This Row],[Bonus Food/hr]])-TblProd[[#This Row],[Food decay]]-TblProd[[#This Row],[Food eaten]],0)</f>
        <v>768</v>
      </c>
      <c r="U16" s="94">
        <f ca="1">ROUND(TblProd[[#This Row],[Raw Lumber/hr]]*(1+TblProd[[#This Row],[Bonus Lumber/hr]])-TblProd[[#This Row],[Lumber rot]],0)</f>
        <v>753</v>
      </c>
      <c r="V16" s="94">
        <f ca="1">ROUND(TblProd[[#This Row],[Raw Mana/hr]]*(1+TblProd[[#This Row],[Bonus Mana/hr]])-TblProd[[#This Row],[Mana drain]],0)</f>
        <v>981</v>
      </c>
      <c r="W16" s="94">
        <f ca="1">ROUNDDOWN(TblProd[[#This Row],[Raw Ore/hr]]*(1+TblProd[[#This Row],[Bonux Ore/hr]]),0)</f>
        <v>0</v>
      </c>
      <c r="X16" s="94">
        <f ca="1">ROUNDDOWN(TblProd[[#This Row],[Raw Gems/hr]]*(1+TblProd[[#This Row],[Bonus Gems/hr]]),0)</f>
        <v>750</v>
      </c>
      <c r="Y16" s="155">
        <f ca="1">OFFSET(TblConstr[[#This Row],[Tot Doc]],1,0)*dock_boats_hr * (1 + tech_4_1*TblTech[[#This Row],[4-1]])</f>
        <v>0</v>
      </c>
      <c r="Z16" s="154"/>
      <c r="AA16" s="94">
        <f ca="1">TblPop[[#This Row],[Peasants]]*tax*TblPop[[#This Row],[Employment]] + (Construction!AZ17+Construction!BX17)*(alch_plat+(Magic!AN16&gt;0)*alchemist_flame_bonus)</f>
        <v>16500.599999999999</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1250</v>
      </c>
      <c r="AE16" s="94">
        <f ca="1">OFFSET(TblConstr[[#This Row],[Tot OM]],1,0)*om_ore+IF(race="Dwarf",TblMili[[#This Row],[Unit 2]]*0.5,0)</f>
        <v>0</v>
      </c>
      <c r="AF16" s="94">
        <f ca="1">OFFSET(TblConstr[[#This Row],[Tot DM]],1,0)*dm_gems</f>
        <v>750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248.73000000000002</v>
      </c>
      <c r="AP16" s="94">
        <f ca="1">(1+race_food_consumption)*TblPop[[#This Row],[Total]]*food_per_person*(1+tech_1_10*TblTech[[#This Row],[1-10]]+tech_7_5*TblTech[[#This Row],[7-5]] + IF(TblMagic[[#This Row],[Active Demonic Pact]]&gt;0,demonic_pact_food_cons,0))</f>
        <v>1563.25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269.08</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45815.499999999971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329352</v>
      </c>
      <c r="BJ16" s="94">
        <f ca="1">TblProd[[#This Row],[Food]]</f>
        <v>24873</v>
      </c>
      <c r="BK16" s="94">
        <f ca="1">TblProd[[#This Row],[Lumber]]</f>
        <v>24657</v>
      </c>
      <c r="BL16" s="94">
        <f ca="1">TblProd[[#This Row],[Mana]]</f>
        <v>13454</v>
      </c>
      <c r="BM16" s="94">
        <f ca="1">TblProd[[#This Row],[Ore]]</f>
        <v>0</v>
      </c>
    </row>
    <row r="17" spans="1:65" x14ac:dyDescent="0.2">
      <c r="A17" s="137">
        <v>14</v>
      </c>
      <c r="B17" s="152">
        <f ca="1">TblImps[[#This Row],[Time]]</f>
        <v>45815.541666666635</v>
      </c>
      <c r="C17" s="153"/>
      <c r="D17" s="154"/>
      <c r="E17" s="94">
        <f ca="1">TblConstr[[#This Row],[Land]]</f>
        <v>370</v>
      </c>
      <c r="F17" s="94">
        <f ca="1">TblPop[[#This Row],[Peasants]]</f>
        <v>5225</v>
      </c>
      <c r="G17" s="94">
        <f ca="1">TblMili[[#This Row],[Networth (2)]]</f>
        <v>9150</v>
      </c>
      <c r="H17" s="94">
        <f ca="1">OFFSET(TblProd[[#This Row],[Platinum]],-1,0)+OFFSET(TblProd[[#This Row],[Plat/hr]],-1,0) - TblProd[[#This Row],[Expenses Platinum]] + IF(TblProd[[#This Row],[Plat Bonus]],TblPop[[#This Row],[Peasants]]*4) + SUM(TblConstr[[#This Row],[Dest Hom]:[Dest Doc]])*TblConstr[[#This Row],[CPA Platinum -DB]]*tech_3_3_2*TblTech[[#This Row],[3-3]]</f>
        <v>345852</v>
      </c>
      <c r="I17" s="94">
        <f ca="1">OFFSET(TblProd[[#This Row],[Food]],-1,0)+OFFSET(TblProd[[#This Row],[Food/hr]],-1,0)+ROUNDUP((TblConstr[[#This Row],[Farms]]*80+TblConstr[[#This Row],[Docks]]*35)*(1+OFFSET(TblProd[[#This Row],[Bonus Food/hr]],-1,0)),0)</f>
        <v>25641</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14435</v>
      </c>
      <c r="L17" s="94">
        <f ca="1">OFFSET(TblProd[[#This Row],[Ore]],-1,0)+OFFSET(TblProd[[#This Row],[Ore/hr]],-1,0) -TblProd[[#This Row],[Expenses Ore]]</f>
        <v>0</v>
      </c>
      <c r="M17" s="94">
        <f ca="1">OFFSET(TblProd[[#This Row],[Gems]],-1,0)+OFFSET(TblProd[[#This Row],[Gems/hr]],-1,0) - TblProd[[#This Row],[Expenses Gems]]</f>
        <v>9750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559</v>
      </c>
      <c r="Q17" s="94">
        <f ca="1">MAX(3750,_xlfn.CEILING.MATH(TblProd[[#This Row],[Land]]*2.5+OFFSET(TblTech[[#This Row],[Sum of tech]],-1,0)*150))</f>
        <v>3750</v>
      </c>
      <c r="R17" s="142"/>
      <c r="S17" s="94">
        <f ca="1">ROUNDDOWN(TblProd[[#This Row],[Raw Plat/hr]]*(1+TblProd[[#This Row],[Bonus Plat/hr]]),0)</f>
        <v>16357</v>
      </c>
      <c r="T17" s="94">
        <f ca="1">ROUND(TblProd[[#This Row],[Raw Food/hr]]*(1+TblProd[[#This Row],[Bonus Food/hr]])-TblProd[[#This Row],[Food decay]]-TblProd[[#This Row],[Food eaten]],0)</f>
        <v>760</v>
      </c>
      <c r="U17" s="94">
        <f ca="1">ROUND(TblProd[[#This Row],[Raw Lumber/hr]]*(1+TblProd[[#This Row],[Bonus Lumber/hr]])-TblProd[[#This Row],[Lumber rot]],0)</f>
        <v>746</v>
      </c>
      <c r="V17" s="94">
        <f ca="1">ROUND(TblProd[[#This Row],[Raw Mana/hr]]*(1+TblProd[[#This Row],[Bonus Mana/hr]])-TblProd[[#This Row],[Mana drain]],0)</f>
        <v>961</v>
      </c>
      <c r="W17" s="94">
        <f ca="1">ROUNDDOWN(TblProd[[#This Row],[Raw Ore/hr]]*(1+TblProd[[#This Row],[Bonux Ore/hr]]),0)</f>
        <v>0</v>
      </c>
      <c r="X17" s="94">
        <f ca="1">ROUNDDOWN(TblProd[[#This Row],[Raw Gems/hr]]*(1+TblProd[[#This Row],[Bonus Gems/hr]]),0)</f>
        <v>750</v>
      </c>
      <c r="Y17" s="155">
        <f ca="1">OFFSET(TblConstr[[#This Row],[Tot Doc]],1,0)*dock_boats_hr * (1 + tech_4_1*TblTech[[#This Row],[4-1]])</f>
        <v>0</v>
      </c>
      <c r="Z17" s="154"/>
      <c r="AA17" s="94">
        <f ca="1">TblPop[[#This Row],[Peasants]]*tax*TblPop[[#This Row],[Employment]] + (Construction!AZ18+Construction!BX18)*(alch_plat+(Magic!AN17&gt;0)*alchemist_flame_bonus)</f>
        <v>16357.500000000002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1250</v>
      </c>
      <c r="AE17" s="94">
        <f ca="1">OFFSET(TblConstr[[#This Row],[Tot OM]],1,0)*om_ore+IF(race="Dwarf",TblMili[[#This Row],[Unit 2]]*0.5,0)</f>
        <v>0</v>
      </c>
      <c r="AF17" s="94">
        <f ca="1">OFFSET(TblConstr[[#This Row],[Tot DM]],1,0)*dm_gems</f>
        <v>750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256.41000000000003</v>
      </c>
      <c r="AP17" s="94">
        <f ca="1">(1+race_food_consumption)*TblPop[[#This Row],[Total]]*food_per_person*(1+tech_1_10*TblTech[[#This Row],[1-10]]+tech_7_5*TblTech[[#This Row],[7-5]] + IF(TblMagic[[#This Row],[Active Demonic Pact]]&gt;0,demonic_pact_food_cons,0))</f>
        <v>1563.25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288.7</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45815.541666666635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345852</v>
      </c>
      <c r="BJ17" s="94">
        <f ca="1">TblProd[[#This Row],[Food]]</f>
        <v>25641</v>
      </c>
      <c r="BK17" s="94">
        <f ca="1">TblProd[[#This Row],[Lumber]]</f>
        <v>25410</v>
      </c>
      <c r="BL17" s="94">
        <f ca="1">TblProd[[#This Row],[Mana]]</f>
        <v>14435</v>
      </c>
      <c r="BM17" s="94">
        <f ca="1">TblProd[[#This Row],[Ore]]</f>
        <v>0</v>
      </c>
    </row>
    <row r="18" spans="1:65" x14ac:dyDescent="0.2">
      <c r="A18" s="137">
        <v>15</v>
      </c>
      <c r="B18" s="152">
        <f ca="1">TblImps[[#This Row],[Time]]</f>
        <v>45815.583333333299</v>
      </c>
      <c r="C18" s="153"/>
      <c r="D18" s="154"/>
      <c r="E18" s="94">
        <f ca="1">TblConstr[[#This Row],[Land]]</f>
        <v>370</v>
      </c>
      <c r="F18" s="94">
        <f ca="1">TblPop[[#This Row],[Peasants]]</f>
        <v>5173</v>
      </c>
      <c r="G18" s="94">
        <f ca="1">TblMili[[#This Row],[Networth (2)]]</f>
        <v>9150</v>
      </c>
      <c r="H18" s="94">
        <f ca="1">OFFSET(TblProd[[#This Row],[Platinum]],-1,0)+OFFSET(TblProd[[#This Row],[Plat/hr]],-1,0) - TblProd[[#This Row],[Expenses Platinum]] + IF(TblProd[[#This Row],[Plat Bonus]],TblPop[[#This Row],[Peasants]]*4) + SUM(TblConstr[[#This Row],[Dest Hom]:[Dest Doc]])*TblConstr[[#This Row],[CPA Platinum -DB]]*tech_3_3_2*TblTech[[#This Row],[3-3]]</f>
        <v>362209</v>
      </c>
      <c r="I18" s="94">
        <f ca="1">OFFSET(TblProd[[#This Row],[Food]],-1,0)+OFFSET(TblProd[[#This Row],[Food/hr]],-1,0)+ROUNDUP((TblConstr[[#This Row],[Farms]]*80+TblConstr[[#This Row],[Docks]]*35)*(1+OFFSET(TblProd[[#This Row],[Bonus Food/hr]],-1,0)),0)</f>
        <v>26401</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15396</v>
      </c>
      <c r="L18" s="94">
        <f ca="1">OFFSET(TblProd[[#This Row],[Ore]],-1,0)+OFFSET(TblProd[[#This Row],[Ore/hr]],-1,0) -TblProd[[#This Row],[Expenses Ore]]</f>
        <v>0</v>
      </c>
      <c r="M18" s="94">
        <f ca="1">OFFSET(TblProd[[#This Row],[Gems]],-1,0)+OFFSET(TblProd[[#This Row],[Gems/hr]],-1,0) - TblProd[[#This Row],[Expenses Gems]]</f>
        <v>10500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602</v>
      </c>
      <c r="Q18" s="94">
        <f ca="1">MAX(3750,_xlfn.CEILING.MATH(TblProd[[#This Row],[Land]]*2.5+OFFSET(TblTech[[#This Row],[Sum of tech]],-1,0)*150))</f>
        <v>3750</v>
      </c>
      <c r="R18" s="142"/>
      <c r="S18" s="94">
        <f ca="1">ROUNDDOWN(TblProd[[#This Row],[Raw Plat/hr]]*(1+TblProd[[#This Row],[Bonus Plat/hr]]),0)</f>
        <v>16217</v>
      </c>
      <c r="T18" s="94">
        <f ca="1">ROUND(TblProd[[#This Row],[Raw Food/hr]]*(1+TblProd[[#This Row],[Bonus Food/hr]])-TblProd[[#This Row],[Food decay]]-TblProd[[#This Row],[Food eaten]],0)</f>
        <v>753</v>
      </c>
      <c r="U18" s="94">
        <f ca="1">ROUND(TblProd[[#This Row],[Raw Lumber/hr]]*(1+TblProd[[#This Row],[Bonus Lumber/hr]])-TblProd[[#This Row],[Lumber rot]],0)</f>
        <v>738</v>
      </c>
      <c r="V18" s="94">
        <f ca="1">ROUND(TblProd[[#This Row],[Raw Mana/hr]]*(1+TblProd[[#This Row],[Bonus Mana/hr]])-TblProd[[#This Row],[Mana drain]],0)</f>
        <v>942</v>
      </c>
      <c r="W18" s="94">
        <f ca="1">ROUNDDOWN(TblProd[[#This Row],[Raw Ore/hr]]*(1+TblProd[[#This Row],[Bonux Ore/hr]]),0)</f>
        <v>0</v>
      </c>
      <c r="X18" s="94">
        <f ca="1">ROUNDDOWN(TblProd[[#This Row],[Raw Gems/hr]]*(1+TblProd[[#This Row],[Bonus Gems/hr]]),0)</f>
        <v>750</v>
      </c>
      <c r="Y18" s="155">
        <f ca="1">OFFSET(TblConstr[[#This Row],[Tot Doc]],1,0)*dock_boats_hr * (1 + tech_4_1*TblTech[[#This Row],[4-1]])</f>
        <v>0</v>
      </c>
      <c r="Z18" s="154"/>
      <c r="AA18" s="94">
        <f ca="1">TblPop[[#This Row],[Peasants]]*tax*TblPop[[#This Row],[Employment]] + (Construction!AZ19+Construction!BX19)*(alch_plat+(Magic!AN18&gt;0)*alchemist_flame_bonus)</f>
        <v>16217.1</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1250</v>
      </c>
      <c r="AE18" s="94">
        <f ca="1">OFFSET(TblConstr[[#This Row],[Tot OM]],1,0)*om_ore+IF(race="Dwarf",TblMili[[#This Row],[Unit 2]]*0.5,0)</f>
        <v>0</v>
      </c>
      <c r="AF18" s="94">
        <f ca="1">OFFSET(TblConstr[[#This Row],[Tot DM]],1,0)*dm_gems</f>
        <v>750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264.01</v>
      </c>
      <c r="AP18" s="94">
        <f ca="1">(1+race_food_consumption)*TblPop[[#This Row],[Total]]*food_per_person*(1+tech_1_10*TblTech[[#This Row],[1-10]]+tech_7_5*TblTech[[#This Row],[7-5]] + IF(TblMagic[[#This Row],[Active Demonic Pact]]&gt;0,demonic_pact_food_cons,0))</f>
        <v>1563.25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307.92</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45815.583333333299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362209</v>
      </c>
      <c r="BJ18" s="94">
        <f ca="1">TblProd[[#This Row],[Food]]</f>
        <v>26401</v>
      </c>
      <c r="BK18" s="94">
        <f ca="1">TblProd[[#This Row],[Lumber]]</f>
        <v>26156</v>
      </c>
      <c r="BL18" s="94">
        <f ca="1">TblProd[[#This Row],[Mana]]</f>
        <v>15396</v>
      </c>
      <c r="BM18" s="94">
        <f ca="1">TblProd[[#This Row],[Ore]]</f>
        <v>0</v>
      </c>
    </row>
    <row r="19" spans="1:65" x14ac:dyDescent="0.2">
      <c r="A19" s="137">
        <v>16</v>
      </c>
      <c r="B19" s="152">
        <f ca="1">TblImps[[#This Row],[Time]]</f>
        <v>45815.624999999964</v>
      </c>
      <c r="C19" s="153"/>
      <c r="D19" s="154"/>
      <c r="E19" s="94">
        <f ca="1">TblConstr[[#This Row],[Land]]</f>
        <v>370</v>
      </c>
      <c r="F19" s="94">
        <f ca="1">TblPop[[#This Row],[Peasants]]</f>
        <v>5121</v>
      </c>
      <c r="G19" s="94">
        <f ca="1">TblMili[[#This Row],[Networth (2)]]</f>
        <v>9150</v>
      </c>
      <c r="H19" s="94">
        <f ca="1">OFFSET(TblProd[[#This Row],[Platinum]],-1,0)+OFFSET(TblProd[[#This Row],[Plat/hr]],-1,0) - TblProd[[#This Row],[Expenses Platinum]] + IF(TblProd[[#This Row],[Plat Bonus]],TblPop[[#This Row],[Peasants]]*4) + SUM(TblConstr[[#This Row],[Dest Hom]:[Dest Doc]])*TblConstr[[#This Row],[CPA Platinum -DB]]*tech_3_3_2*TblTech[[#This Row],[3-3]]</f>
        <v>378426</v>
      </c>
      <c r="I19" s="94">
        <f ca="1">OFFSET(TblProd[[#This Row],[Food]],-1,0)+OFFSET(TblProd[[#This Row],[Food/hr]],-1,0)+ROUNDUP((TblConstr[[#This Row],[Farms]]*80+TblConstr[[#This Row],[Docks]]*35)*(1+OFFSET(TblProd[[#This Row],[Bonus Food/hr]],-1,0)),0)</f>
        <v>27154</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16338</v>
      </c>
      <c r="L19" s="94">
        <f ca="1">OFFSET(TblProd[[#This Row],[Ore]],-1,0)+OFFSET(TblProd[[#This Row],[Ore/hr]],-1,0) -TblProd[[#This Row],[Expenses Ore]]</f>
        <v>0</v>
      </c>
      <c r="M19" s="94">
        <f ca="1">OFFSET(TblProd[[#This Row],[Gems]],-1,0)+OFFSET(TblProd[[#This Row],[Gems/hr]],-1,0) - TblProd[[#This Row],[Expenses Gems]]</f>
        <v>11250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645</v>
      </c>
      <c r="Q19" s="94">
        <f ca="1">MAX(3750,_xlfn.CEILING.MATH(TblProd[[#This Row],[Land]]*2.5+OFFSET(TblTech[[#This Row],[Sum of tech]],-1,0)*150))</f>
        <v>3750</v>
      </c>
      <c r="R19" s="142"/>
      <c r="S19" s="94">
        <f ca="1">ROUNDDOWN(TblProd[[#This Row],[Raw Plat/hr]]*(1+TblProd[[#This Row],[Bonus Plat/hr]]),0)</f>
        <v>16076</v>
      </c>
      <c r="T19" s="94">
        <f ca="1">ROUND(TblProd[[#This Row],[Raw Food/hr]]*(1+TblProd[[#This Row],[Bonus Food/hr]])-TblProd[[#This Row],[Food decay]]-TblProd[[#This Row],[Food eaten]],0)</f>
        <v>745</v>
      </c>
      <c r="U19" s="94">
        <f ca="1">ROUND(TblProd[[#This Row],[Raw Lumber/hr]]*(1+TblProd[[#This Row],[Bonus Lumber/hr]])-TblProd[[#This Row],[Lumber rot]],0)</f>
        <v>731</v>
      </c>
      <c r="V19" s="94">
        <f ca="1">ROUND(TblProd[[#This Row],[Raw Mana/hr]]*(1+TblProd[[#This Row],[Bonus Mana/hr]])-TblProd[[#This Row],[Mana drain]],0)</f>
        <v>923</v>
      </c>
      <c r="W19" s="94">
        <f ca="1">ROUNDDOWN(TblProd[[#This Row],[Raw Ore/hr]]*(1+TblProd[[#This Row],[Bonux Ore/hr]]),0)</f>
        <v>0</v>
      </c>
      <c r="X19" s="94">
        <f ca="1">ROUNDDOWN(TblProd[[#This Row],[Raw Gems/hr]]*(1+TblProd[[#This Row],[Bonus Gems/hr]]),0)</f>
        <v>750</v>
      </c>
      <c r="Y19" s="155">
        <f ca="1">OFFSET(TblConstr[[#This Row],[Tot Doc]],1,0)*dock_boats_hr * (1 + tech_4_1*TblTech[[#This Row],[4-1]])</f>
        <v>0</v>
      </c>
      <c r="Z19" s="154"/>
      <c r="AA19" s="94">
        <f ca="1">TblPop[[#This Row],[Peasants]]*tax*TblPop[[#This Row],[Employment]] + (Construction!AZ20+Construction!BX20)*(alch_plat+(Magic!AN19&gt;0)*alchemist_flame_bonus)</f>
        <v>16076.7</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1250</v>
      </c>
      <c r="AE19" s="94">
        <f ca="1">OFFSET(TblConstr[[#This Row],[Tot OM]],1,0)*om_ore+IF(race="Dwarf",TblMili[[#This Row],[Unit 2]]*0.5,0)</f>
        <v>0</v>
      </c>
      <c r="AF19" s="94">
        <f ca="1">OFFSET(TblConstr[[#This Row],[Tot DM]],1,0)*dm_gems</f>
        <v>750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271.54000000000002</v>
      </c>
      <c r="AP19" s="94">
        <f ca="1">(1+race_food_consumption)*TblPop[[#This Row],[Total]]*food_per_person*(1+tech_1_10*TblTech[[#This Row],[1-10]]+tech_7_5*TblTech[[#This Row],[7-5]] + IF(TblMagic[[#This Row],[Active Demonic Pact]]&gt;0,demonic_pact_food_cons,0))</f>
        <v>1563.25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326.76</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45815.624999999964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378426</v>
      </c>
      <c r="BJ19" s="94">
        <f ca="1">TblProd[[#This Row],[Food]]</f>
        <v>27154</v>
      </c>
      <c r="BK19" s="94">
        <f ca="1">TblProd[[#This Row],[Lumber]]</f>
        <v>26894</v>
      </c>
      <c r="BL19" s="94">
        <f ca="1">TblProd[[#This Row],[Mana]]</f>
        <v>16338</v>
      </c>
      <c r="BM19" s="94">
        <f ca="1">TblProd[[#This Row],[Ore]]</f>
        <v>0</v>
      </c>
    </row>
    <row r="20" spans="1:65" x14ac:dyDescent="0.2">
      <c r="A20" s="137">
        <v>17</v>
      </c>
      <c r="B20" s="152">
        <f ca="1">TblImps[[#This Row],[Time]]</f>
        <v>45815.666666666628</v>
      </c>
      <c r="C20" s="153"/>
      <c r="D20" s="154"/>
      <c r="E20" s="94">
        <f ca="1">TblConstr[[#This Row],[Land]]</f>
        <v>370</v>
      </c>
      <c r="F20" s="94">
        <f ca="1">TblPop[[#This Row],[Peasants]]</f>
        <v>5070</v>
      </c>
      <c r="G20" s="94">
        <f ca="1">TblMili[[#This Row],[Networth (2)]]</f>
        <v>9150</v>
      </c>
      <c r="H20" s="94">
        <f ca="1">OFFSET(TblProd[[#This Row],[Platinum]],-1,0)+OFFSET(TblProd[[#This Row],[Plat/hr]],-1,0) - TblProd[[#This Row],[Expenses Platinum]] + IF(TblProd[[#This Row],[Plat Bonus]],TblPop[[#This Row],[Peasants]]*4) + SUM(TblConstr[[#This Row],[Dest Hom]:[Dest Doc]])*TblConstr[[#This Row],[CPA Platinum -DB]]*tech_3_3_2*TblTech[[#This Row],[3-3]]</f>
        <v>394502</v>
      </c>
      <c r="I20" s="94">
        <f ca="1">OFFSET(TblProd[[#This Row],[Food]],-1,0)+OFFSET(TblProd[[#This Row],[Food/hr]],-1,0)+ROUNDUP((TblConstr[[#This Row],[Farms]]*80+TblConstr[[#This Row],[Docks]]*35)*(1+OFFSET(TblProd[[#This Row],[Bonus Food/hr]],-1,0)),0)</f>
        <v>27899</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17261</v>
      </c>
      <c r="L20" s="94">
        <f ca="1">OFFSET(TblProd[[#This Row],[Ore]],-1,0)+OFFSET(TblProd[[#This Row],[Ore/hr]],-1,0) -TblProd[[#This Row],[Expenses Ore]]</f>
        <v>0</v>
      </c>
      <c r="M20" s="94">
        <f ca="1">OFFSET(TblProd[[#This Row],[Gems]],-1,0)+OFFSET(TblProd[[#This Row],[Gems/hr]],-1,0) - TblProd[[#This Row],[Expenses Gems]]</f>
        <v>12000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688</v>
      </c>
      <c r="Q20" s="94">
        <f ca="1">MAX(3750,_xlfn.CEILING.MATH(TblProd[[#This Row],[Land]]*2.5+OFFSET(TblTech[[#This Row],[Sum of tech]],-1,0)*150))</f>
        <v>3750</v>
      </c>
      <c r="R20" s="142"/>
      <c r="S20" s="94">
        <f ca="1">ROUNDDOWN(TblProd[[#This Row],[Raw Plat/hr]]*(1+TblProd[[#This Row],[Bonus Plat/hr]]),0)</f>
        <v>15939</v>
      </c>
      <c r="T20" s="94">
        <f ca="1">ROUND(TblProd[[#This Row],[Raw Food/hr]]*(1+TblProd[[#This Row],[Bonus Food/hr]])-TblProd[[#This Row],[Food decay]]-TblProd[[#This Row],[Food eaten]],0)</f>
        <v>738</v>
      </c>
      <c r="U20" s="94">
        <f ca="1">ROUND(TblProd[[#This Row],[Raw Lumber/hr]]*(1+TblProd[[#This Row],[Bonus Lumber/hr]])-TblProd[[#This Row],[Lumber rot]],0)</f>
        <v>724</v>
      </c>
      <c r="V20" s="94">
        <f ca="1">ROUND(TblProd[[#This Row],[Raw Mana/hr]]*(1+TblProd[[#This Row],[Bonus Mana/hr]])-TblProd[[#This Row],[Mana drain]],0)</f>
        <v>905</v>
      </c>
      <c r="W20" s="94">
        <f ca="1">ROUNDDOWN(TblProd[[#This Row],[Raw Ore/hr]]*(1+TblProd[[#This Row],[Bonux Ore/hr]]),0)</f>
        <v>0</v>
      </c>
      <c r="X20" s="94">
        <f ca="1">ROUNDDOWN(TblProd[[#This Row],[Raw Gems/hr]]*(1+TblProd[[#This Row],[Bonus Gems/hr]]),0)</f>
        <v>750</v>
      </c>
      <c r="Y20" s="155">
        <f ca="1">OFFSET(TblConstr[[#This Row],[Tot Doc]],1,0)*dock_boats_hr * (1 + tech_4_1*TblTech[[#This Row],[4-1]])</f>
        <v>0</v>
      </c>
      <c r="Z20" s="154"/>
      <c r="AA20" s="94">
        <f ca="1">TblPop[[#This Row],[Peasants]]*tax*TblPop[[#This Row],[Employment]] + (Construction!AZ21+Construction!BX21)*(alch_plat+(Magic!AN20&gt;0)*alchemist_flame_bonus)</f>
        <v>15939</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1250</v>
      </c>
      <c r="AE20" s="94">
        <f ca="1">OFFSET(TblConstr[[#This Row],[Tot OM]],1,0)*om_ore+IF(race="Dwarf",TblMili[[#This Row],[Unit 2]]*0.5,0)</f>
        <v>0</v>
      </c>
      <c r="AF20" s="94">
        <f ca="1">OFFSET(TblConstr[[#This Row],[Tot DM]],1,0)*dm_gems</f>
        <v>750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278.99</v>
      </c>
      <c r="AP20" s="94">
        <f ca="1">(1+race_food_consumption)*TblPop[[#This Row],[Total]]*food_per_person*(1+tech_1_10*TblTech[[#This Row],[1-10]]+tech_7_5*TblTech[[#This Row],[7-5]] + IF(TblMagic[[#This Row],[Active Demonic Pact]]&gt;0,demonic_pact_food_cons,0))</f>
        <v>1563.25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345.22</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45815.666666666628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394502</v>
      </c>
      <c r="BJ20" s="94">
        <f ca="1">TblProd[[#This Row],[Food]]</f>
        <v>27899</v>
      </c>
      <c r="BK20" s="94">
        <f ca="1">TblProd[[#This Row],[Lumber]]</f>
        <v>27625</v>
      </c>
      <c r="BL20" s="94">
        <f ca="1">TblProd[[#This Row],[Mana]]</f>
        <v>17261</v>
      </c>
      <c r="BM20" s="94">
        <f ca="1">TblProd[[#This Row],[Ore]]</f>
        <v>0</v>
      </c>
    </row>
    <row r="21" spans="1:65" x14ac:dyDescent="0.2">
      <c r="A21" s="137">
        <v>18</v>
      </c>
      <c r="B21" s="152">
        <f ca="1">TblImps[[#This Row],[Time]]</f>
        <v>45815.708333333292</v>
      </c>
      <c r="C21" s="153"/>
      <c r="D21" s="154"/>
      <c r="E21" s="94">
        <f ca="1">TblConstr[[#This Row],[Land]]</f>
        <v>370</v>
      </c>
      <c r="F21" s="94">
        <f ca="1">TblPop[[#This Row],[Peasants]]</f>
        <v>5019</v>
      </c>
      <c r="G21" s="94">
        <f ca="1">TblMili[[#This Row],[Networth (2)]]</f>
        <v>9150</v>
      </c>
      <c r="H21" s="94">
        <f ca="1">OFFSET(TblProd[[#This Row],[Platinum]],-1,0)+OFFSET(TblProd[[#This Row],[Plat/hr]],-1,0) - TblProd[[#This Row],[Expenses Platinum]] + IF(TblProd[[#This Row],[Plat Bonus]],TblPop[[#This Row],[Peasants]]*4) + SUM(TblConstr[[#This Row],[Dest Hom]:[Dest Doc]])*TblConstr[[#This Row],[CPA Platinum -DB]]*tech_3_3_2*TblTech[[#This Row],[3-3]]</f>
        <v>410441</v>
      </c>
      <c r="I21" s="94">
        <f ca="1">OFFSET(TblProd[[#This Row],[Food]],-1,0)+OFFSET(TblProd[[#This Row],[Food/hr]],-1,0)+ROUNDUP((TblConstr[[#This Row],[Farms]]*80+TblConstr[[#This Row],[Docks]]*35)*(1+OFFSET(TblProd[[#This Row],[Bonus Food/hr]],-1,0)),0)</f>
        <v>28637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18166</v>
      </c>
      <c r="L21" s="94">
        <f ca="1">OFFSET(TblProd[[#This Row],[Ore]],-1,0)+OFFSET(TblProd[[#This Row],[Ore/hr]],-1,0) -TblProd[[#This Row],[Expenses Ore]]</f>
        <v>0</v>
      </c>
      <c r="M21" s="94">
        <f ca="1">OFFSET(TblProd[[#This Row],[Gems]],-1,0)+OFFSET(TblProd[[#This Row],[Gems/hr]],-1,0) - TblProd[[#This Row],[Expenses Gems]]</f>
        <v>12750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731</v>
      </c>
      <c r="Q21" s="94">
        <f ca="1">MAX(3750,_xlfn.CEILING.MATH(TblProd[[#This Row],[Land]]*2.5+OFFSET(TblTech[[#This Row],[Sum of tech]],-1,0)*150))</f>
        <v>3750</v>
      </c>
      <c r="R21" s="142"/>
      <c r="S21" s="94">
        <f ca="1">ROUNDDOWN(TblProd[[#This Row],[Raw Plat/hr]]*(1+TblProd[[#This Row],[Bonus Plat/hr]]),0)</f>
        <v>15801</v>
      </c>
      <c r="T21" s="94">
        <f ca="1">ROUND(TblProd[[#This Row],[Raw Food/hr]]*(1+TblProd[[#This Row],[Bonus Food/hr]])-TblProd[[#This Row],[Food decay]]-TblProd[[#This Row],[Food eaten]],0)</f>
        <v>730</v>
      </c>
      <c r="U21" s="94">
        <f ca="1">ROUND(TblProd[[#This Row],[Raw Lumber/hr]]*(1+TblProd[[#This Row],[Bonus Lumber/hr]])-TblProd[[#This Row],[Lumber rot]],0)</f>
        <v>717</v>
      </c>
      <c r="V21" s="94">
        <f ca="1">ROUND(TblProd[[#This Row],[Raw Mana/hr]]*(1+TblProd[[#This Row],[Bonus Mana/hr]])-TblProd[[#This Row],[Mana drain]],0)</f>
        <v>887</v>
      </c>
      <c r="W21" s="94">
        <f ca="1">ROUNDDOWN(TblProd[[#This Row],[Raw Ore/hr]]*(1+TblProd[[#This Row],[Bonux Ore/hr]]),0)</f>
        <v>0</v>
      </c>
      <c r="X21" s="94">
        <f ca="1">ROUNDDOWN(TblProd[[#This Row],[Raw Gems/hr]]*(1+TblProd[[#This Row],[Bonus Gems/hr]]),0)</f>
        <v>750</v>
      </c>
      <c r="Y21" s="155">
        <f ca="1">OFFSET(TblConstr[[#This Row],[Tot Doc]],1,0)*dock_boats_hr * (1 + tech_4_1*TblTech[[#This Row],[4-1]])</f>
        <v>0</v>
      </c>
      <c r="Z21" s="154"/>
      <c r="AA21" s="94">
        <f ca="1">TblPop[[#This Row],[Peasants]]*tax*TblPop[[#This Row],[Employment]] + (Construction!AZ22+Construction!BX22)*(alch_plat+(Magic!AN21&gt;0)*alchemist_flame_bonus)</f>
        <v>15801.300000000001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1250</v>
      </c>
      <c r="AE21" s="94">
        <f ca="1">OFFSET(TblConstr[[#This Row],[Tot OM]],1,0)*om_ore+IF(race="Dwarf",TblMili[[#This Row],[Unit 2]]*0.5,0)</f>
        <v>0</v>
      </c>
      <c r="AF21" s="94">
        <f ca="1">OFFSET(TblConstr[[#This Row],[Tot DM]],1,0)*dm_gems</f>
        <v>750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286.37</v>
      </c>
      <c r="AP21" s="94">
        <f ca="1">(1+race_food_consumption)*TblPop[[#This Row],[Total]]*food_per_person*(1+tech_1_10*TblTech[[#This Row],[1-10]]+tech_7_5*TblTech[[#This Row],[7-5]] + IF(TblMagic[[#This Row],[Active Demonic Pact]]&gt;0,demonic_pact_food_cons,0))</f>
        <v>1563.25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363.32</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45815.708333333292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410441</v>
      </c>
      <c r="BJ21" s="94">
        <f ca="1">TblProd[[#This Row],[Food]]</f>
        <v>28637</v>
      </c>
      <c r="BK21" s="94">
        <f ca="1">TblProd[[#This Row],[Lumber]]</f>
        <v>28349</v>
      </c>
      <c r="BL21" s="94">
        <f ca="1">TblProd[[#This Row],[Mana]]</f>
        <v>18166</v>
      </c>
      <c r="BM21" s="94">
        <f ca="1">TblProd[[#This Row],[Ore]]</f>
        <v>0</v>
      </c>
    </row>
    <row r="22" spans="1:65" x14ac:dyDescent="0.2">
      <c r="A22" s="137">
        <v>19</v>
      </c>
      <c r="B22" s="152">
        <f ca="1">TblImps[[#This Row],[Time]]</f>
        <v>45815.749999999956</v>
      </c>
      <c r="C22" s="153"/>
      <c r="D22" s="154"/>
      <c r="E22" s="94">
        <f ca="1">TblConstr[[#This Row],[Land]]</f>
        <v>370</v>
      </c>
      <c r="F22" s="94">
        <f ca="1">TblPop[[#This Row],[Peasants]]</f>
        <v>4969</v>
      </c>
      <c r="G22" s="94">
        <f ca="1">TblMili[[#This Row],[Networth (2)]]</f>
        <v>9150</v>
      </c>
      <c r="H22" s="94">
        <f ca="1">OFFSET(TblProd[[#This Row],[Platinum]],-1,0)+OFFSET(TblProd[[#This Row],[Plat/hr]],-1,0) - TblProd[[#This Row],[Expenses Platinum]] + IF(TblProd[[#This Row],[Plat Bonus]],TblPop[[#This Row],[Peasants]]*4) + SUM(TblConstr[[#This Row],[Dest Hom]:[Dest Doc]])*TblConstr[[#This Row],[CPA Platinum -DB]]*tech_3_3_2*TblTech[[#This Row],[3-3]]</f>
        <v>426242</v>
      </c>
      <c r="I22" s="94">
        <f ca="1">OFFSET(TblProd[[#This Row],[Food]],-1,0)+OFFSET(TblProd[[#This Row],[Food/hr]],-1,0)+ROUNDUP((TblConstr[[#This Row],[Farms]]*80+TblConstr[[#This Row],[Docks]]*35)*(1+OFFSET(TblProd[[#This Row],[Bonus Food/hr]],-1,0)),0)</f>
        <v>29367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19053</v>
      </c>
      <c r="L22" s="94">
        <f ca="1">OFFSET(TblProd[[#This Row],[Ore]],-1,0)+OFFSET(TblProd[[#This Row],[Ore/hr]],-1,0) -TblProd[[#This Row],[Expenses Ore]]</f>
        <v>0</v>
      </c>
      <c r="M22" s="94">
        <f ca="1">OFFSET(TblProd[[#This Row],[Gems]],-1,0)+OFFSET(TblProd[[#This Row],[Gems/hr]],-1,0) - TblProd[[#This Row],[Expenses Gems]]</f>
        <v>13500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774</v>
      </c>
      <c r="Q22" s="94">
        <f ca="1">MAX(3750,_xlfn.CEILING.MATH(TblProd[[#This Row],[Land]]*2.5+OFFSET(TblTech[[#This Row],[Sum of tech]],-1,0)*150))</f>
        <v>3750</v>
      </c>
      <c r="R22" s="142"/>
      <c r="S22" s="94">
        <f ca="1">ROUNDDOWN(TblProd[[#This Row],[Raw Plat/hr]]*(1+TblProd[[#This Row],[Bonus Plat/hr]]),0)</f>
        <v>15666</v>
      </c>
      <c r="T22" s="94">
        <f ca="1">ROUND(TblProd[[#This Row],[Raw Food/hr]]*(1+TblProd[[#This Row],[Bonus Food/hr]])-TblProd[[#This Row],[Food decay]]-TblProd[[#This Row],[Food eaten]],0)</f>
        <v>723</v>
      </c>
      <c r="U22" s="94">
        <f ca="1">ROUND(TblProd[[#This Row],[Raw Lumber/hr]]*(1+TblProd[[#This Row],[Bonus Lumber/hr]])-TblProd[[#This Row],[Lumber rot]],0)</f>
        <v>709</v>
      </c>
      <c r="V22" s="94">
        <f ca="1">ROUND(TblProd[[#This Row],[Raw Mana/hr]]*(1+TblProd[[#This Row],[Bonus Mana/hr]])-TblProd[[#This Row],[Mana drain]],0)</f>
        <v>869</v>
      </c>
      <c r="W22" s="94">
        <f ca="1">ROUNDDOWN(TblProd[[#This Row],[Raw Ore/hr]]*(1+TblProd[[#This Row],[Bonux Ore/hr]]),0)</f>
        <v>0</v>
      </c>
      <c r="X22" s="94">
        <f ca="1">ROUNDDOWN(TblProd[[#This Row],[Raw Gems/hr]]*(1+TblProd[[#This Row],[Bonus Gems/hr]]),0)</f>
        <v>750</v>
      </c>
      <c r="Y22" s="155">
        <f ca="1">OFFSET(TblConstr[[#This Row],[Tot Doc]],1,0)*dock_boats_hr * (1 + tech_4_1*TblTech[[#This Row],[4-1]])</f>
        <v>0</v>
      </c>
      <c r="Z22" s="154"/>
      <c r="AA22" s="94">
        <f ca="1">TblPop[[#This Row],[Peasants]]*tax*TblPop[[#This Row],[Employment]] + (Construction!AZ23+Construction!BX23)*(alch_plat+(Magic!AN22&gt;0)*alchemist_flame_bonus)</f>
        <v>15666.300000000001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1250</v>
      </c>
      <c r="AE22" s="94">
        <f ca="1">OFFSET(TblConstr[[#This Row],[Tot OM]],1,0)*om_ore+IF(race="Dwarf",TblMili[[#This Row],[Unit 2]]*0.5,0)</f>
        <v>0</v>
      </c>
      <c r="AF22" s="94">
        <f ca="1">OFFSET(TblConstr[[#This Row],[Tot DM]],1,0)*dm_gems</f>
        <v>750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293.67</v>
      </c>
      <c r="AP22" s="94">
        <f ca="1">(1+race_food_consumption)*TblPop[[#This Row],[Total]]*food_per_person*(1+tech_1_10*TblTech[[#This Row],[1-10]]+tech_7_5*TblTech[[#This Row],[7-5]] + IF(TblMagic[[#This Row],[Active Demonic Pact]]&gt;0,demonic_pact_food_cons,0))</f>
        <v>1563.25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381.06</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45815.749999999956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426242</v>
      </c>
      <c r="BJ22" s="94">
        <f ca="1">TblProd[[#This Row],[Food]]</f>
        <v>29367</v>
      </c>
      <c r="BK22" s="94">
        <f ca="1">TblProd[[#This Row],[Lumber]]</f>
        <v>29066</v>
      </c>
      <c r="BL22" s="94">
        <f ca="1">TblProd[[#This Row],[Mana]]</f>
        <v>19053</v>
      </c>
      <c r="BM22" s="94">
        <f ca="1">TblProd[[#This Row],[Ore]]</f>
        <v>0</v>
      </c>
    </row>
    <row r="23" spans="1:65" x14ac:dyDescent="0.2">
      <c r="A23" s="137">
        <v>20</v>
      </c>
      <c r="B23" s="152">
        <f ca="1">TblImps[[#This Row],[Time]]</f>
        <v>45815.791666666621</v>
      </c>
      <c r="C23" s="153"/>
      <c r="D23" s="154"/>
      <c r="E23" s="94">
        <f ca="1">TblConstr[[#This Row],[Land]]</f>
        <v>370</v>
      </c>
      <c r="F23" s="94">
        <f ca="1">TblPop[[#This Row],[Peasants]]</f>
        <v>4919</v>
      </c>
      <c r="G23" s="94">
        <f ca="1">TblMili[[#This Row],[Networth (2)]]</f>
        <v>9150</v>
      </c>
      <c r="H23" s="94">
        <f ca="1">OFFSET(TblProd[[#This Row],[Platinum]],-1,0)+OFFSET(TblProd[[#This Row],[Plat/hr]],-1,0) - TblProd[[#This Row],[Expenses Platinum]] + IF(TblProd[[#This Row],[Plat Bonus]],TblPop[[#This Row],[Peasants]]*4) + SUM(TblConstr[[#This Row],[Dest Hom]:[Dest Doc]])*TblConstr[[#This Row],[CPA Platinum -DB]]*tech_3_3_2*TblTech[[#This Row],[3-3]]</f>
        <v>441908</v>
      </c>
      <c r="I23" s="94">
        <f ca="1">OFFSET(TblProd[[#This Row],[Food]],-1,0)+OFFSET(TblProd[[#This Row],[Food/hr]],-1,0)+ROUNDUP((TblConstr[[#This Row],[Farms]]*80+TblConstr[[#This Row],[Docks]]*35)*(1+OFFSET(TblProd[[#This Row],[Bonus Food/hr]],-1,0)),0)</f>
        <v>30090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19922</v>
      </c>
      <c r="L23" s="94">
        <f ca="1">OFFSET(TblProd[[#This Row],[Ore]],-1,0)+OFFSET(TblProd[[#This Row],[Ore/hr]],-1,0) -TblProd[[#This Row],[Expenses Ore]]</f>
        <v>0</v>
      </c>
      <c r="M23" s="94">
        <f ca="1">OFFSET(TblProd[[#This Row],[Gems]],-1,0)+OFFSET(TblProd[[#This Row],[Gems/hr]],-1,0) - TblProd[[#This Row],[Expenses Gems]]</f>
        <v>14250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817</v>
      </c>
      <c r="Q23" s="94">
        <f ca="1">MAX(3750,_xlfn.CEILING.MATH(TblProd[[#This Row],[Land]]*2.5+OFFSET(TblTech[[#This Row],[Sum of tech]],-1,0)*150))</f>
        <v>3750</v>
      </c>
      <c r="R23" s="142"/>
      <c r="S23" s="94">
        <f ca="1">ROUNDDOWN(TblProd[[#This Row],[Raw Plat/hr]]*(1+TblProd[[#This Row],[Bonus Plat/hr]]),0)</f>
        <v>15531</v>
      </c>
      <c r="T23" s="94">
        <f ca="1">ROUND(TblProd[[#This Row],[Raw Food/hr]]*(1+TblProd[[#This Row],[Bonus Food/hr]])-TblProd[[#This Row],[Food decay]]-TblProd[[#This Row],[Food eaten]],0)</f>
        <v>716</v>
      </c>
      <c r="U23" s="94">
        <f ca="1">ROUND(TblProd[[#This Row],[Raw Lumber/hr]]*(1+TblProd[[#This Row],[Bonus Lumber/hr]])-TblProd[[#This Row],[Lumber rot]],0)</f>
        <v>702</v>
      </c>
      <c r="V23" s="94">
        <f ca="1">ROUND(TblProd[[#This Row],[Raw Mana/hr]]*(1+TblProd[[#This Row],[Bonus Mana/hr]])-TblProd[[#This Row],[Mana drain]],0)</f>
        <v>852</v>
      </c>
      <c r="W23" s="94">
        <f ca="1">ROUNDDOWN(TblProd[[#This Row],[Raw Ore/hr]]*(1+TblProd[[#This Row],[Bonux Ore/hr]]),0)</f>
        <v>0</v>
      </c>
      <c r="X23" s="94">
        <f ca="1">ROUNDDOWN(TblProd[[#This Row],[Raw Gems/hr]]*(1+TblProd[[#This Row],[Bonus Gems/hr]]),0)</f>
        <v>750</v>
      </c>
      <c r="Y23" s="155">
        <f ca="1">OFFSET(TblConstr[[#This Row],[Tot Doc]],1,0)*dock_boats_hr * (1 + tech_4_1*TblTech[[#This Row],[4-1]])</f>
        <v>0</v>
      </c>
      <c r="Z23" s="154"/>
      <c r="AA23" s="94">
        <f ca="1">TblPop[[#This Row],[Peasants]]*tax*TblPop[[#This Row],[Employment]] + (Construction!AZ24+Construction!BX24)*(alch_plat+(Magic!AN23&gt;0)*alchemist_flame_bonus)</f>
        <v>15531.300000000001</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1250</v>
      </c>
      <c r="AE23" s="94">
        <f ca="1">OFFSET(TblConstr[[#This Row],[Tot OM]],1,0)*om_ore+IF(race="Dwarf",TblMili[[#This Row],[Unit 2]]*0.5,0)</f>
        <v>0</v>
      </c>
      <c r="AF23" s="94">
        <f ca="1">OFFSET(TblConstr[[#This Row],[Tot DM]],1,0)*dm_gems</f>
        <v>750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300.90000000000003</v>
      </c>
      <c r="AP23" s="94">
        <f ca="1">(1+race_food_consumption)*TblPop[[#This Row],[Total]]*food_per_person*(1+tech_1_10*TblTech[[#This Row],[1-10]]+tech_7_5*TblTech[[#This Row],[7-5]] + IF(TblMagic[[#This Row],[Active Demonic Pact]]&gt;0,demonic_pact_food_cons,0))</f>
        <v>1563.25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398.44</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45815.791666666621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441908</v>
      </c>
      <c r="BJ23" s="94">
        <f ca="1">TblProd[[#This Row],[Food]]</f>
        <v>30090</v>
      </c>
      <c r="BK23" s="94">
        <f ca="1">TblProd[[#This Row],[Lumber]]</f>
        <v>29775</v>
      </c>
      <c r="BL23" s="94">
        <f ca="1">TblProd[[#This Row],[Mana]]</f>
        <v>19922</v>
      </c>
      <c r="BM23" s="94">
        <f ca="1">TblProd[[#This Row],[Ore]]</f>
        <v>0</v>
      </c>
    </row>
    <row r="24" spans="1:65" x14ac:dyDescent="0.2">
      <c r="A24" s="137">
        <v>21</v>
      </c>
      <c r="B24" s="152">
        <f ca="1">TblImps[[#This Row],[Time]]</f>
        <v>45815.833333333285</v>
      </c>
      <c r="C24" s="153"/>
      <c r="D24" s="154"/>
      <c r="E24" s="94">
        <f ca="1">TblConstr[[#This Row],[Land]]</f>
        <v>370</v>
      </c>
      <c r="F24" s="94">
        <f ca="1">TblPop[[#This Row],[Peasants]]</f>
        <v>4870</v>
      </c>
      <c r="G24" s="94">
        <f ca="1">TblMili[[#This Row],[Networth (2)]]</f>
        <v>9150</v>
      </c>
      <c r="H24" s="94">
        <f ca="1">OFFSET(TblProd[[#This Row],[Platinum]],-1,0)+OFFSET(TblProd[[#This Row],[Plat/hr]],-1,0) - TblProd[[#This Row],[Expenses Platinum]] + IF(TblProd[[#This Row],[Plat Bonus]],TblPop[[#This Row],[Peasants]]*4) + SUM(TblConstr[[#This Row],[Dest Hom]:[Dest Doc]])*TblConstr[[#This Row],[CPA Platinum -DB]]*tech_3_3_2*TblTech[[#This Row],[3-3]]</f>
        <v>457439</v>
      </c>
      <c r="I24" s="94">
        <f ca="1">OFFSET(TblProd[[#This Row],[Food]],-1,0)+OFFSET(TblProd[[#This Row],[Food/hr]],-1,0)+ROUNDUP((TblConstr[[#This Row],[Farms]]*80+TblConstr[[#This Row],[Docks]]*35)*(1+OFFSET(TblProd[[#This Row],[Bonus Food/hr]],-1,0)),0)</f>
        <v>30806</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20774</v>
      </c>
      <c r="L24" s="94">
        <f ca="1">OFFSET(TblProd[[#This Row],[Ore]],-1,0)+OFFSET(TblProd[[#This Row],[Ore/hr]],-1,0) -TblProd[[#This Row],[Expenses Ore]]</f>
        <v>0</v>
      </c>
      <c r="M24" s="94">
        <f ca="1">OFFSET(TblProd[[#This Row],[Gems]],-1,0)+OFFSET(TblProd[[#This Row],[Gems/hr]],-1,0) - TblProd[[#This Row],[Expenses Gems]]</f>
        <v>15000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860</v>
      </c>
      <c r="Q24" s="94">
        <f ca="1">MAX(3750,_xlfn.CEILING.MATH(TblProd[[#This Row],[Land]]*2.5+OFFSET(TblTech[[#This Row],[Sum of tech]],-1,0)*150))</f>
        <v>3750</v>
      </c>
      <c r="R24" s="142"/>
      <c r="S24" s="94">
        <f ca="1">ROUNDDOWN(TblProd[[#This Row],[Raw Plat/hr]]*(1+TblProd[[#This Row],[Bonus Plat/hr]]),0)</f>
        <v>15399</v>
      </c>
      <c r="T24" s="94">
        <f ca="1">ROUND(TblProd[[#This Row],[Raw Food/hr]]*(1+TblProd[[#This Row],[Bonus Food/hr]])-TblProd[[#This Row],[Food decay]]-TblProd[[#This Row],[Food eaten]],0)</f>
        <v>709</v>
      </c>
      <c r="U24" s="94">
        <f ca="1">ROUND(TblProd[[#This Row],[Raw Lumber/hr]]*(1+TblProd[[#This Row],[Bonus Lumber/hr]])-TblProd[[#This Row],[Lumber rot]],0)</f>
        <v>695</v>
      </c>
      <c r="V24" s="94">
        <f ca="1">ROUND(TblProd[[#This Row],[Raw Mana/hr]]*(1+TblProd[[#This Row],[Bonus Mana/hr]])-TblProd[[#This Row],[Mana drain]],0)</f>
        <v>835</v>
      </c>
      <c r="W24" s="94">
        <f ca="1">ROUNDDOWN(TblProd[[#This Row],[Raw Ore/hr]]*(1+TblProd[[#This Row],[Bonux Ore/hr]]),0)</f>
        <v>0</v>
      </c>
      <c r="X24" s="94">
        <f ca="1">ROUNDDOWN(TblProd[[#This Row],[Raw Gems/hr]]*(1+TblProd[[#This Row],[Bonus Gems/hr]]),0)</f>
        <v>750</v>
      </c>
      <c r="Y24" s="155">
        <f ca="1">OFFSET(TblConstr[[#This Row],[Tot Doc]],1,0)*dock_boats_hr * (1 + tech_4_1*TblTech[[#This Row],[4-1]])</f>
        <v>0</v>
      </c>
      <c r="Z24" s="154"/>
      <c r="AA24" s="94">
        <f ca="1">TblPop[[#This Row],[Peasants]]*tax*TblPop[[#This Row],[Employment]] + (Construction!AZ25+Construction!BX25)*(alch_plat+(Magic!AN24&gt;0)*alchemist_flame_bonus)</f>
        <v>15399</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1250</v>
      </c>
      <c r="AE24" s="94">
        <f ca="1">OFFSET(TblConstr[[#This Row],[Tot OM]],1,0)*om_ore+IF(race="Dwarf",TblMili[[#This Row],[Unit 2]]*0.5,0)</f>
        <v>0</v>
      </c>
      <c r="AF24" s="94">
        <f ca="1">OFFSET(TblConstr[[#This Row],[Tot DM]],1,0)*dm_gems</f>
        <v>750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308.06</v>
      </c>
      <c r="AP24" s="94">
        <f ca="1">(1+race_food_consumption)*TblPop[[#This Row],[Total]]*food_per_person*(1+tech_1_10*TblTech[[#This Row],[1-10]]+tech_7_5*TblTech[[#This Row],[7-5]] + IF(TblMagic[[#This Row],[Active Demonic Pact]]&gt;0,demonic_pact_food_cons,0))</f>
        <v>1563.25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415.48</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45815.833333333285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457439</v>
      </c>
      <c r="BJ24" s="94">
        <f ca="1">TblProd[[#This Row],[Food]]</f>
        <v>30806</v>
      </c>
      <c r="BK24" s="94">
        <f ca="1">TblProd[[#This Row],[Lumber]]</f>
        <v>30477</v>
      </c>
      <c r="BL24" s="94">
        <f ca="1">TblProd[[#This Row],[Mana]]</f>
        <v>20774</v>
      </c>
      <c r="BM24" s="94">
        <f ca="1">TblProd[[#This Row],[Ore]]</f>
        <v>0</v>
      </c>
    </row>
    <row r="25" spans="1:65" x14ac:dyDescent="0.2">
      <c r="A25" s="137">
        <v>22</v>
      </c>
      <c r="B25" s="152">
        <f ca="1">TblImps[[#This Row],[Time]]</f>
        <v>45815.874999999949</v>
      </c>
      <c r="C25" s="153"/>
      <c r="D25" s="154"/>
      <c r="E25" s="94">
        <f ca="1">TblConstr[[#This Row],[Land]]</f>
        <v>370</v>
      </c>
      <c r="F25" s="94">
        <f ca="1">TblPop[[#This Row],[Peasants]]</f>
        <v>4821</v>
      </c>
      <c r="G25" s="94">
        <f ca="1">TblMili[[#This Row],[Networth (2)]]</f>
        <v>9150</v>
      </c>
      <c r="H25" s="94">
        <f ca="1">OFFSET(TblProd[[#This Row],[Platinum]],-1,0)+OFFSET(TblProd[[#This Row],[Plat/hr]],-1,0) - TblProd[[#This Row],[Expenses Platinum]] + IF(TblProd[[#This Row],[Plat Bonus]],TblPop[[#This Row],[Peasants]]*4) + SUM(TblConstr[[#This Row],[Dest Hom]:[Dest Doc]])*TblConstr[[#This Row],[CPA Platinum -DB]]*tech_3_3_2*TblTech[[#This Row],[3-3]]</f>
        <v>472838</v>
      </c>
      <c r="I25" s="94">
        <f ca="1">OFFSET(TblProd[[#This Row],[Food]],-1,0)+OFFSET(TblProd[[#This Row],[Food/hr]],-1,0)+ROUNDUP((TblConstr[[#This Row],[Farms]]*80+TblConstr[[#This Row],[Docks]]*35)*(1+OFFSET(TblProd[[#This Row],[Bonus Food/hr]],-1,0)),0)</f>
        <v>31515</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21609</v>
      </c>
      <c r="L25" s="94">
        <f ca="1">OFFSET(TblProd[[#This Row],[Ore]],-1,0)+OFFSET(TblProd[[#This Row],[Ore/hr]],-1,0) -TblProd[[#This Row],[Expenses Ore]]</f>
        <v>0</v>
      </c>
      <c r="M25" s="94">
        <f ca="1">OFFSET(TblProd[[#This Row],[Gems]],-1,0)+OFFSET(TblProd[[#This Row],[Gems/hr]],-1,0) - TblProd[[#This Row],[Expenses Gems]]</f>
        <v>15750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903</v>
      </c>
      <c r="Q25" s="94">
        <f ca="1">MAX(3750,_xlfn.CEILING.MATH(TblProd[[#This Row],[Land]]*2.5+OFFSET(TblTech[[#This Row],[Sum of tech]],-1,0)*150))</f>
        <v>3750</v>
      </c>
      <c r="R25" s="142"/>
      <c r="S25" s="94">
        <f ca="1">ROUNDDOWN(TblProd[[#This Row],[Raw Plat/hr]]*(1+TblProd[[#This Row],[Bonus Plat/hr]]),0)</f>
        <v>15266</v>
      </c>
      <c r="T25" s="94">
        <f ca="1">ROUND(TblProd[[#This Row],[Raw Food/hr]]*(1+TblProd[[#This Row],[Bonus Food/hr]])-TblProd[[#This Row],[Food decay]]-TblProd[[#This Row],[Food eaten]],0)</f>
        <v>702</v>
      </c>
      <c r="U25" s="94">
        <f ca="1">ROUND(TblProd[[#This Row],[Raw Lumber/hr]]*(1+TblProd[[#This Row],[Bonus Lumber/hr]])-TblProd[[#This Row],[Lumber rot]],0)</f>
        <v>688</v>
      </c>
      <c r="V25" s="94">
        <f ca="1">ROUND(TblProd[[#This Row],[Raw Mana/hr]]*(1+TblProd[[#This Row],[Bonus Mana/hr]])-TblProd[[#This Row],[Mana drain]],0)</f>
        <v>818</v>
      </c>
      <c r="W25" s="94">
        <f ca="1">ROUNDDOWN(TblProd[[#This Row],[Raw Ore/hr]]*(1+TblProd[[#This Row],[Bonux Ore/hr]]),0)</f>
        <v>0</v>
      </c>
      <c r="X25" s="94">
        <f ca="1">ROUNDDOWN(TblProd[[#This Row],[Raw Gems/hr]]*(1+TblProd[[#This Row],[Bonus Gems/hr]]),0)</f>
        <v>750</v>
      </c>
      <c r="Y25" s="155">
        <f ca="1">OFFSET(TblConstr[[#This Row],[Tot Doc]],1,0)*dock_boats_hr * (1 + tech_4_1*TblTech[[#This Row],[4-1]])</f>
        <v>0</v>
      </c>
      <c r="Z25" s="154"/>
      <c r="AA25" s="94">
        <f ca="1">TblPop[[#This Row],[Peasants]]*tax*TblPop[[#This Row],[Employment]] + (Construction!AZ26+Construction!BX26)*(alch_plat+(Magic!AN25&gt;0)*alchemist_flame_bonus)</f>
        <v>15266.7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1250</v>
      </c>
      <c r="AE25" s="94">
        <f ca="1">OFFSET(TblConstr[[#This Row],[Tot OM]],1,0)*om_ore+IF(race="Dwarf",TblMili[[#This Row],[Unit 2]]*0.5,0)</f>
        <v>0</v>
      </c>
      <c r="AF25" s="94">
        <f ca="1">OFFSET(TblConstr[[#This Row],[Tot DM]],1,0)*dm_gems</f>
        <v>750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315.15000000000003</v>
      </c>
      <c r="AP25" s="94">
        <f ca="1">(1+race_food_consumption)*TblPop[[#This Row],[Total]]*food_per_person*(1+tech_1_10*TblTech[[#This Row],[1-10]]+tech_7_5*TblTech[[#This Row],[7-5]] + IF(TblMagic[[#This Row],[Active Demonic Pact]]&gt;0,demonic_pact_food_cons,0))</f>
        <v>1563.25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432.18</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45815.874999999949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472838</v>
      </c>
      <c r="BJ25" s="94">
        <f ca="1">TblProd[[#This Row],[Food]]</f>
        <v>31515</v>
      </c>
      <c r="BK25" s="94">
        <f ca="1">TblProd[[#This Row],[Lumber]]</f>
        <v>31172</v>
      </c>
      <c r="BL25" s="94">
        <f ca="1">TblProd[[#This Row],[Mana]]</f>
        <v>21609</v>
      </c>
      <c r="BM25" s="94">
        <f ca="1">TblProd[[#This Row],[Ore]]</f>
        <v>0</v>
      </c>
    </row>
    <row r="26" spans="1:65" x14ac:dyDescent="0.2">
      <c r="A26" s="137">
        <v>23</v>
      </c>
      <c r="B26" s="152">
        <f ca="1">TblImps[[#This Row],[Time]]</f>
        <v>45815.916666666613</v>
      </c>
      <c r="C26" s="153"/>
      <c r="D26" s="154"/>
      <c r="E26" s="94">
        <f ca="1">TblConstr[[#This Row],[Land]]</f>
        <v>370</v>
      </c>
      <c r="F26" s="94">
        <f ca="1">TblPop[[#This Row],[Peasants]]</f>
        <v>4773</v>
      </c>
      <c r="G26" s="94">
        <f ca="1">TblMili[[#This Row],[Networth (2)]]</f>
        <v>9150</v>
      </c>
      <c r="H26" s="94">
        <f ca="1">OFFSET(TblProd[[#This Row],[Platinum]],-1,0)+OFFSET(TblProd[[#This Row],[Plat/hr]],-1,0) - TblProd[[#This Row],[Expenses Platinum]] + IF(TblProd[[#This Row],[Plat Bonus]],TblPop[[#This Row],[Peasants]]*4) + SUM(TblConstr[[#This Row],[Dest Hom]:[Dest Doc]])*TblConstr[[#This Row],[CPA Platinum -DB]]*tech_3_3_2*TblTech[[#This Row],[3-3]]</f>
        <v>488104</v>
      </c>
      <c r="I26" s="94">
        <f ca="1">OFFSET(TblProd[[#This Row],[Food]],-1,0)+OFFSET(TblProd[[#This Row],[Food/hr]],-1,0)+ROUNDUP((TblConstr[[#This Row],[Farms]]*80+TblConstr[[#This Row],[Docks]]*35)*(1+OFFSET(TblProd[[#This Row],[Bonus Food/hr]],-1,0)),0)</f>
        <v>32217</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22427</v>
      </c>
      <c r="L26" s="94">
        <f ca="1">OFFSET(TblProd[[#This Row],[Ore]],-1,0)+OFFSET(TblProd[[#This Row],[Ore/hr]],-1,0) -TblProd[[#This Row],[Expenses Ore]]</f>
        <v>0</v>
      </c>
      <c r="M26" s="94">
        <f ca="1">OFFSET(TblProd[[#This Row],[Gems]],-1,0)+OFFSET(TblProd[[#This Row],[Gems/hr]],-1,0) - TblProd[[#This Row],[Expenses Gems]]</f>
        <v>16500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946</v>
      </c>
      <c r="Q26" s="94">
        <f ca="1">MAX(3750,_xlfn.CEILING.MATH(TblProd[[#This Row],[Land]]*2.5+OFFSET(TblTech[[#This Row],[Sum of tech]],-1,0)*150))</f>
        <v>3750</v>
      </c>
      <c r="R26" s="142"/>
      <c r="S26" s="94">
        <f ca="1">ROUNDDOWN(TblProd[[#This Row],[Raw Plat/hr]]*(1+TblProd[[#This Row],[Bonus Plat/hr]]),0)</f>
        <v>15137</v>
      </c>
      <c r="T26" s="94">
        <f ca="1">ROUND(TblProd[[#This Row],[Raw Food/hr]]*(1+TblProd[[#This Row],[Bonus Food/hr]])-TblProd[[#This Row],[Food decay]]-TblProd[[#This Row],[Food eaten]],0)</f>
        <v>695</v>
      </c>
      <c r="U26" s="94">
        <f ca="1">ROUND(TblProd[[#This Row],[Raw Lumber/hr]]*(1+TblProd[[#This Row],[Bonus Lumber/hr]])-TblProd[[#This Row],[Lumber rot]],0)</f>
        <v>681</v>
      </c>
      <c r="V26" s="94">
        <f ca="1">ROUND(TblProd[[#This Row],[Raw Mana/hr]]*(1+TblProd[[#This Row],[Bonus Mana/hr]])-TblProd[[#This Row],[Mana drain]],0)</f>
        <v>801</v>
      </c>
      <c r="W26" s="94">
        <f ca="1">ROUNDDOWN(TblProd[[#This Row],[Raw Ore/hr]]*(1+TblProd[[#This Row],[Bonux Ore/hr]]),0)</f>
        <v>0</v>
      </c>
      <c r="X26" s="94">
        <f ca="1">ROUNDDOWN(TblProd[[#This Row],[Raw Gems/hr]]*(1+TblProd[[#This Row],[Bonus Gems/hr]]),0)</f>
        <v>750</v>
      </c>
      <c r="Y26" s="155">
        <f ca="1">OFFSET(TblConstr[[#This Row],[Tot Doc]],1,0)*dock_boats_hr * (1 + tech_4_1*TblTech[[#This Row],[4-1]])</f>
        <v>0</v>
      </c>
      <c r="Z26" s="154"/>
      <c r="AA26" s="94">
        <f ca="1">TblPop[[#This Row],[Peasants]]*tax*TblPop[[#This Row],[Employment]] + (Construction!AZ27+Construction!BX27)*(alch_plat+(Magic!AN26&gt;0)*alchemist_flame_bonus)</f>
        <v>15137.1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1250</v>
      </c>
      <c r="AE26" s="94">
        <f ca="1">OFFSET(TblConstr[[#This Row],[Tot OM]],1,0)*om_ore+IF(race="Dwarf",TblMili[[#This Row],[Unit 2]]*0.5,0)</f>
        <v>0</v>
      </c>
      <c r="AF26" s="94">
        <f ca="1">OFFSET(TblConstr[[#This Row],[Tot DM]],1,0)*dm_gems</f>
        <v>750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322.17</v>
      </c>
      <c r="AP26" s="94">
        <f ca="1">(1+race_food_consumption)*TblPop[[#This Row],[Total]]*food_per_person*(1+tech_1_10*TblTech[[#This Row],[1-10]]+tech_7_5*TblTech[[#This Row],[7-5]] + IF(TblMagic[[#This Row],[Active Demonic Pact]]&gt;0,demonic_pact_food_cons,0))</f>
        <v>1563.25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448.54</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45815.916666666613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488104</v>
      </c>
      <c r="BJ26" s="94">
        <f ca="1">TblProd[[#This Row],[Food]]</f>
        <v>32217</v>
      </c>
      <c r="BK26" s="94">
        <f ca="1">TblProd[[#This Row],[Lumber]]</f>
        <v>31860</v>
      </c>
      <c r="BL26" s="94">
        <f ca="1">TblProd[[#This Row],[Mana]]</f>
        <v>22427</v>
      </c>
      <c r="BM26" s="94">
        <f ca="1">TblProd[[#This Row],[Ore]]</f>
        <v>0</v>
      </c>
    </row>
    <row r="27" spans="1:65" x14ac:dyDescent="0.2">
      <c r="A27" s="137">
        <v>24</v>
      </c>
      <c r="B27" s="152">
        <f ca="1">TblImps[[#This Row],[Time]]</f>
        <v>45815.958333333278</v>
      </c>
      <c r="C27" s="153"/>
      <c r="D27" s="154"/>
      <c r="E27" s="94">
        <f ca="1">TblConstr[[#This Row],[Land]]</f>
        <v>370</v>
      </c>
      <c r="F27" s="94">
        <f ca="1">TblPop[[#This Row],[Peasants]]</f>
        <v>4725</v>
      </c>
      <c r="G27" s="94">
        <f ca="1">TblMili[[#This Row],[Networth (2)]]</f>
        <v>9150</v>
      </c>
      <c r="H27" s="94">
        <f ca="1">OFFSET(TblProd[[#This Row],[Platinum]],-1,0)+OFFSET(TblProd[[#This Row],[Plat/hr]],-1,0) - TblProd[[#This Row],[Expenses Platinum]] + IF(TblProd[[#This Row],[Plat Bonus]],TblPop[[#This Row],[Peasants]]*4) + SUM(TblConstr[[#This Row],[Dest Hom]:[Dest Doc]])*TblConstr[[#This Row],[CPA Platinum -DB]]*tech_3_3_2*TblTech[[#This Row],[3-3]]</f>
        <v>503241</v>
      </c>
      <c r="I27" s="94">
        <f ca="1">OFFSET(TblProd[[#This Row],[Food]],-1,0)+OFFSET(TblProd[[#This Row],[Food/hr]],-1,0)+ROUNDUP((TblConstr[[#This Row],[Farms]]*80+TblConstr[[#This Row],[Docks]]*35)*(1+OFFSET(TblProd[[#This Row],[Bonus Food/hr]],-1,0)),0)</f>
        <v>32912</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23228</v>
      </c>
      <c r="L27" s="94">
        <f ca="1">OFFSET(TblProd[[#This Row],[Ore]],-1,0)+OFFSET(TblProd[[#This Row],[Ore/hr]],-1,0) -TblProd[[#This Row],[Expenses Ore]]</f>
        <v>0</v>
      </c>
      <c r="M27" s="94">
        <f ca="1">OFFSET(TblProd[[#This Row],[Gems]],-1,0)+OFFSET(TblProd[[#This Row],[Gems/hr]],-1,0) - TblProd[[#This Row],[Expenses Gems]]</f>
        <v>17250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989</v>
      </c>
      <c r="Q27" s="94">
        <f ca="1">MAX(3750,_xlfn.CEILING.MATH(TblProd[[#This Row],[Land]]*2.5+OFFSET(TblTech[[#This Row],[Sum of tech]],-1,0)*150))</f>
        <v>3750</v>
      </c>
      <c r="R27" s="142"/>
      <c r="S27" s="94">
        <f ca="1">ROUNDDOWN(TblProd[[#This Row],[Raw Plat/hr]]*(1+TblProd[[#This Row],[Bonus Plat/hr]]),0)</f>
        <v>15007</v>
      </c>
      <c r="T27" s="94">
        <f ca="1">ROUND(TblProd[[#This Row],[Raw Food/hr]]*(1+TblProd[[#This Row],[Bonus Food/hr]])-TblProd[[#This Row],[Food decay]]-TblProd[[#This Row],[Food eaten]],0)</f>
        <v>688</v>
      </c>
      <c r="U27" s="94">
        <f ca="1">ROUND(TblProd[[#This Row],[Raw Lumber/hr]]*(1+TblProd[[#This Row],[Bonus Lumber/hr]])-TblProd[[#This Row],[Lumber rot]],0)</f>
        <v>675</v>
      </c>
      <c r="V27" s="94">
        <f ca="1">ROUND(TblProd[[#This Row],[Raw Mana/hr]]*(1+TblProd[[#This Row],[Bonus Mana/hr]])-TblProd[[#This Row],[Mana drain]],0)</f>
        <v>785</v>
      </c>
      <c r="W27" s="94">
        <f ca="1">ROUNDDOWN(TblProd[[#This Row],[Raw Ore/hr]]*(1+TblProd[[#This Row],[Bonux Ore/hr]]),0)</f>
        <v>0</v>
      </c>
      <c r="X27" s="94">
        <f ca="1">ROUNDDOWN(TblProd[[#This Row],[Raw Gems/hr]]*(1+TblProd[[#This Row],[Bonus Gems/hr]]),0)</f>
        <v>750</v>
      </c>
      <c r="Y27" s="155">
        <f ca="1">OFFSET(TblConstr[[#This Row],[Tot Doc]],1,0)*dock_boats_hr * (1 + tech_4_1*TblTech[[#This Row],[4-1]])</f>
        <v>0</v>
      </c>
      <c r="Z27" s="154"/>
      <c r="AA27" s="94">
        <f ca="1">TblPop[[#This Row],[Peasants]]*tax*TblPop[[#This Row],[Employment]] + (Construction!AZ28+Construction!BX28)*(alch_plat+(Magic!AN27&gt;0)*alchemist_flame_bonus)</f>
        <v>15007.5</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1250</v>
      </c>
      <c r="AE27" s="94">
        <f ca="1">OFFSET(TblConstr[[#This Row],[Tot OM]],1,0)*om_ore+IF(race="Dwarf",TblMili[[#This Row],[Unit 2]]*0.5,0)</f>
        <v>0</v>
      </c>
      <c r="AF27" s="94">
        <f ca="1">OFFSET(TblConstr[[#This Row],[Tot DM]],1,0)*dm_gems</f>
        <v>750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329.12</v>
      </c>
      <c r="AP27" s="94">
        <f ca="1">(1+race_food_consumption)*TblPop[[#This Row],[Total]]*food_per_person*(1+tech_1_10*TblTech[[#This Row],[1-10]]+tech_7_5*TblTech[[#This Row],[7-5]] + IF(TblMagic[[#This Row],[Active Demonic Pact]]&gt;0,demonic_pact_food_cons,0))</f>
        <v>1563.25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464.56</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45815.958333333278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503241</v>
      </c>
      <c r="BJ27" s="94">
        <f ca="1">TblProd[[#This Row],[Food]]</f>
        <v>32912</v>
      </c>
      <c r="BK27" s="94">
        <f ca="1">TblProd[[#This Row],[Lumber]]</f>
        <v>32541</v>
      </c>
      <c r="BL27" s="94">
        <f ca="1">TblProd[[#This Row],[Mana]]</f>
        <v>23228</v>
      </c>
      <c r="BM27" s="94">
        <f ca="1">TblProd[[#This Row],[Ore]]</f>
        <v>0</v>
      </c>
    </row>
    <row r="28" spans="1:65" x14ac:dyDescent="0.2">
      <c r="A28" s="137">
        <v>25</v>
      </c>
      <c r="B28" s="152">
        <f ca="1">TblImps[[#This Row],[Time]]</f>
        <v>45815.999999999942</v>
      </c>
      <c r="C28" s="153"/>
      <c r="D28" s="154"/>
      <c r="E28" s="94">
        <f ca="1">TblConstr[[#This Row],[Land]]</f>
        <v>370</v>
      </c>
      <c r="F28" s="94">
        <f ca="1">TblPop[[#This Row],[Peasants]]</f>
        <v>4678</v>
      </c>
      <c r="G28" s="94">
        <f ca="1">TblMili[[#This Row],[Networth (2)]]</f>
        <v>9150</v>
      </c>
      <c r="H28" s="94">
        <f ca="1">OFFSET(TblProd[[#This Row],[Platinum]],-1,0)+OFFSET(TblProd[[#This Row],[Plat/hr]],-1,0) - TblProd[[#This Row],[Expenses Platinum]] + IF(TblProd[[#This Row],[Plat Bonus]],TblPop[[#This Row],[Peasants]]*4) + SUM(TblConstr[[#This Row],[Dest Hom]:[Dest Doc]])*TblConstr[[#This Row],[CPA Platinum -DB]]*tech_3_3_2*TblTech[[#This Row],[3-3]]</f>
        <v>518248</v>
      </c>
      <c r="I28" s="94">
        <f ca="1">OFFSET(TblProd[[#This Row],[Food]],-1,0)+OFFSET(TblProd[[#This Row],[Food/hr]],-1,0)+ROUNDUP((TblConstr[[#This Row],[Farms]]*80+TblConstr[[#This Row],[Docks]]*35)*(1+OFFSET(TblProd[[#This Row],[Bonus Food/hr]],-1,0)),0)</f>
        <v>33600</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24013</v>
      </c>
      <c r="L28" s="94">
        <f ca="1">OFFSET(TblProd[[#This Row],[Ore]],-1,0)+OFFSET(TblProd[[#This Row],[Ore/hr]],-1,0) -TblProd[[#This Row],[Expenses Ore]]</f>
        <v>0</v>
      </c>
      <c r="M28" s="94">
        <f ca="1">OFFSET(TblProd[[#This Row],[Gems]],-1,0)+OFFSET(TblProd[[#This Row],[Gems/hr]],-1,0) - TblProd[[#This Row],[Expenses Gems]]</f>
        <v>18000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1032</v>
      </c>
      <c r="Q28" s="94">
        <f ca="1">MAX(3750,_xlfn.CEILING.MATH(TblProd[[#This Row],[Land]]*2.5+OFFSET(TblTech[[#This Row],[Sum of tech]],-1,0)*150))</f>
        <v>3750</v>
      </c>
      <c r="R28" s="142"/>
      <c r="S28" s="94">
        <f ca="1">ROUNDDOWN(TblProd[[#This Row],[Raw Plat/hr]]*(1+TblProd[[#This Row],[Bonus Plat/hr]]),0)</f>
        <v>14880</v>
      </c>
      <c r="T28" s="94">
        <f ca="1">ROUND(TblProd[[#This Row],[Raw Food/hr]]*(1+TblProd[[#This Row],[Bonus Food/hr]])-TblProd[[#This Row],[Food decay]]-TblProd[[#This Row],[Food eaten]],0)</f>
        <v>681</v>
      </c>
      <c r="U28" s="94">
        <f ca="1">ROUND(TblProd[[#This Row],[Raw Lumber/hr]]*(1+TblProd[[#This Row],[Bonus Lumber/hr]])-TblProd[[#This Row],[Lumber rot]],0)</f>
        <v>668</v>
      </c>
      <c r="V28" s="94">
        <f ca="1">ROUND(TblProd[[#This Row],[Raw Mana/hr]]*(1+TblProd[[#This Row],[Bonus Mana/hr]])-TblProd[[#This Row],[Mana drain]],0)</f>
        <v>770</v>
      </c>
      <c r="W28" s="94">
        <f ca="1">ROUNDDOWN(TblProd[[#This Row],[Raw Ore/hr]]*(1+TblProd[[#This Row],[Bonux Ore/hr]]),0)</f>
        <v>0</v>
      </c>
      <c r="X28" s="94">
        <f ca="1">ROUNDDOWN(TblProd[[#This Row],[Raw Gems/hr]]*(1+TblProd[[#This Row],[Bonus Gems/hr]]),0)</f>
        <v>750</v>
      </c>
      <c r="Y28" s="155">
        <f ca="1">OFFSET(TblConstr[[#This Row],[Tot Doc]],1,0)*dock_boats_hr * (1 + tech_4_1*TblTech[[#This Row],[4-1]])</f>
        <v>0</v>
      </c>
      <c r="Z28" s="154"/>
      <c r="AA28" s="94">
        <f ca="1">TblPop[[#This Row],[Peasants]]*tax*TblPop[[#This Row],[Employment]] + (Construction!AZ29+Construction!BX29)*(alch_plat+(Magic!AN28&gt;0)*alchemist_flame_bonus)</f>
        <v>14880.6</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1250</v>
      </c>
      <c r="AE28" s="94">
        <f ca="1">OFFSET(TblConstr[[#This Row],[Tot OM]],1,0)*om_ore+IF(race="Dwarf",TblMili[[#This Row],[Unit 2]]*0.5,0)</f>
        <v>0</v>
      </c>
      <c r="AF28" s="94">
        <f ca="1">OFFSET(TblConstr[[#This Row],[Tot DM]],1,0)*dm_gems</f>
        <v>750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336</v>
      </c>
      <c r="AP28" s="94">
        <f ca="1">(1+race_food_consumption)*TblPop[[#This Row],[Total]]*food_per_person*(1+tech_1_10*TblTech[[#This Row],[1-10]]+tech_7_5*TblTech[[#This Row],[7-5]] + IF(TblMagic[[#This Row],[Active Demonic Pact]]&gt;0,demonic_pact_food_cons,0))</f>
        <v>1563.25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480.26</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45815.999999999942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518248</v>
      </c>
      <c r="BJ28" s="94">
        <f ca="1">TblProd[[#This Row],[Food]]</f>
        <v>33600</v>
      </c>
      <c r="BK28" s="94">
        <f ca="1">TblProd[[#This Row],[Lumber]]</f>
        <v>33216</v>
      </c>
      <c r="BL28" s="94">
        <f ca="1">TblProd[[#This Row],[Mana]]</f>
        <v>24013</v>
      </c>
      <c r="BM28" s="94">
        <f ca="1">TblProd[[#This Row],[Ore]]</f>
        <v>0</v>
      </c>
    </row>
    <row r="29" spans="1:65" x14ac:dyDescent="0.2">
      <c r="A29" s="137">
        <v>26</v>
      </c>
      <c r="B29" s="152">
        <f ca="1">TblImps[[#This Row],[Time]]</f>
        <v>45816.041666666606</v>
      </c>
      <c r="C29" s="153"/>
      <c r="D29" s="154"/>
      <c r="E29" s="94">
        <f ca="1">TblConstr[[#This Row],[Land]]</f>
        <v>370</v>
      </c>
      <c r="F29" s="94">
        <f ca="1">TblPop[[#This Row],[Peasants]]</f>
        <v>4631</v>
      </c>
      <c r="G29" s="94">
        <f ca="1">TblMili[[#This Row],[Networth (2)]]</f>
        <v>9150</v>
      </c>
      <c r="H29" s="94">
        <f ca="1">OFFSET(TblProd[[#This Row],[Platinum]],-1,0)+OFFSET(TblProd[[#This Row],[Plat/hr]],-1,0) - TblProd[[#This Row],[Expenses Platinum]] + IF(TblProd[[#This Row],[Plat Bonus]],TblPop[[#This Row],[Peasants]]*4) + SUM(TblConstr[[#This Row],[Dest Hom]:[Dest Doc]])*TblConstr[[#This Row],[CPA Platinum -DB]]*tech_3_3_2*TblTech[[#This Row],[3-3]]</f>
        <v>533128</v>
      </c>
      <c r="I29" s="94">
        <f ca="1">OFFSET(TblProd[[#This Row],[Food]],-1,0)+OFFSET(TblProd[[#This Row],[Food/hr]],-1,0)+ROUNDUP((TblConstr[[#This Row],[Farms]]*80+TblConstr[[#This Row],[Docks]]*35)*(1+OFFSET(TblProd[[#This Row],[Bonus Food/hr]],-1,0)),0)</f>
        <v>34281</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24783</v>
      </c>
      <c r="L29" s="94">
        <f ca="1">OFFSET(TblProd[[#This Row],[Ore]],-1,0)+OFFSET(TblProd[[#This Row],[Ore/hr]],-1,0) -TblProd[[#This Row],[Expenses Ore]]</f>
        <v>0</v>
      </c>
      <c r="M29" s="94">
        <f ca="1">OFFSET(TblProd[[#This Row],[Gems]],-1,0)+OFFSET(TblProd[[#This Row],[Gems/hr]],-1,0) - TblProd[[#This Row],[Expenses Gems]]</f>
        <v>18750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1075</v>
      </c>
      <c r="Q29" s="94">
        <f ca="1">MAX(3750,_xlfn.CEILING.MATH(TblProd[[#This Row],[Land]]*2.5+OFFSET(TblTech[[#This Row],[Sum of tech]],-1,0)*150))</f>
        <v>3750</v>
      </c>
      <c r="R29" s="142"/>
      <c r="S29" s="94">
        <f ca="1">ROUNDDOWN(TblProd[[#This Row],[Raw Plat/hr]]*(1+TblProd[[#This Row],[Bonus Plat/hr]]),0)</f>
        <v>14753</v>
      </c>
      <c r="T29" s="94">
        <f ca="1">ROUND(TblProd[[#This Row],[Raw Food/hr]]*(1+TblProd[[#This Row],[Bonus Food/hr]])-TblProd[[#This Row],[Food decay]]-TblProd[[#This Row],[Food eaten]],0)</f>
        <v>674</v>
      </c>
      <c r="U29" s="94">
        <f ca="1">ROUND(TblProd[[#This Row],[Raw Lumber/hr]]*(1+TblProd[[#This Row],[Bonus Lumber/hr]])-TblProd[[#This Row],[Lumber rot]],0)</f>
        <v>661</v>
      </c>
      <c r="V29" s="94">
        <f ca="1">ROUND(TblProd[[#This Row],[Raw Mana/hr]]*(1+TblProd[[#This Row],[Bonus Mana/hr]])-TblProd[[#This Row],[Mana drain]],0)</f>
        <v>754</v>
      </c>
      <c r="W29" s="94">
        <f ca="1">ROUNDDOWN(TblProd[[#This Row],[Raw Ore/hr]]*(1+TblProd[[#This Row],[Bonux Ore/hr]]),0)</f>
        <v>0</v>
      </c>
      <c r="X29" s="94">
        <f ca="1">ROUNDDOWN(TblProd[[#This Row],[Raw Gems/hr]]*(1+TblProd[[#This Row],[Bonus Gems/hr]]),0)</f>
        <v>750</v>
      </c>
      <c r="Y29" s="155">
        <f ca="1">OFFSET(TblConstr[[#This Row],[Tot Doc]],1,0)*dock_boats_hr * (1 + tech_4_1*TblTech[[#This Row],[4-1]])</f>
        <v>0</v>
      </c>
      <c r="Z29" s="154"/>
      <c r="AA29" s="94">
        <f ca="1">TblPop[[#This Row],[Peasants]]*tax*TblPop[[#This Row],[Employment]] + (Construction!AZ30+Construction!BX30)*(alch_plat+(Magic!AN29&gt;0)*alchemist_flame_bonus)</f>
        <v>14753.7</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1250</v>
      </c>
      <c r="AE29" s="94">
        <f ca="1">OFFSET(TblConstr[[#This Row],[Tot OM]],1,0)*om_ore+IF(race="Dwarf",TblMili[[#This Row],[Unit 2]]*0.5,0)</f>
        <v>0</v>
      </c>
      <c r="AF29" s="94">
        <f ca="1">OFFSET(TblConstr[[#This Row],[Tot DM]],1,0)*dm_gems</f>
        <v>750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342.81</v>
      </c>
      <c r="AP29" s="94">
        <f ca="1">(1+race_food_consumption)*TblPop[[#This Row],[Total]]*food_per_person*(1+tech_1_10*TblTech[[#This Row],[1-10]]+tech_7_5*TblTech[[#This Row],[7-5]] + IF(TblMagic[[#This Row],[Active Demonic Pact]]&gt;0,demonic_pact_food_cons,0))</f>
        <v>1563.25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495.66</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45816.041666666606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533128</v>
      </c>
      <c r="BJ29" s="94">
        <f ca="1">TblProd[[#This Row],[Food]]</f>
        <v>34281</v>
      </c>
      <c r="BK29" s="94">
        <f ca="1">TblProd[[#This Row],[Lumber]]</f>
        <v>33884</v>
      </c>
      <c r="BL29" s="94">
        <f ca="1">TblProd[[#This Row],[Mana]]</f>
        <v>24783</v>
      </c>
      <c r="BM29" s="94">
        <f ca="1">TblProd[[#This Row],[Ore]]</f>
        <v>0</v>
      </c>
    </row>
    <row r="30" spans="1:65" x14ac:dyDescent="0.2">
      <c r="A30" s="137">
        <v>27</v>
      </c>
      <c r="B30" s="152">
        <f ca="1">TblImps[[#This Row],[Time]]</f>
        <v>45816.08333333327</v>
      </c>
      <c r="C30" s="153"/>
      <c r="D30" s="154"/>
      <c r="E30" s="94">
        <f ca="1">TblConstr[[#This Row],[Land]]</f>
        <v>370</v>
      </c>
      <c r="F30" s="94">
        <f ca="1">TblPop[[#This Row],[Peasants]]</f>
        <v>4585</v>
      </c>
      <c r="G30" s="94">
        <f ca="1">TblMili[[#This Row],[Networth (2)]]</f>
        <v>9150</v>
      </c>
      <c r="H30" s="94">
        <f ca="1">OFFSET(TblProd[[#This Row],[Platinum]],-1,0)+OFFSET(TblProd[[#This Row],[Plat/hr]],-1,0) - TblProd[[#This Row],[Expenses Platinum]] + IF(TblProd[[#This Row],[Plat Bonus]],TblPop[[#This Row],[Peasants]]*4) + SUM(TblConstr[[#This Row],[Dest Hom]:[Dest Doc]])*TblConstr[[#This Row],[CPA Platinum -DB]]*tech_3_3_2*TblTech[[#This Row],[3-3]]</f>
        <v>547881</v>
      </c>
      <c r="I30" s="94">
        <f ca="1">OFFSET(TblProd[[#This Row],[Food]],-1,0)+OFFSET(TblProd[[#This Row],[Food/hr]],-1,0)+ROUNDUP((TblConstr[[#This Row],[Farms]]*80+TblConstr[[#This Row],[Docks]]*35)*(1+OFFSET(TblProd[[#This Row],[Bonus Food/hr]],-1,0)),0)</f>
        <v>34955</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25537</v>
      </c>
      <c r="L30" s="94">
        <f ca="1">OFFSET(TblProd[[#This Row],[Ore]],-1,0)+OFFSET(TblProd[[#This Row],[Ore/hr]],-1,0) -TblProd[[#This Row],[Expenses Ore]]</f>
        <v>0</v>
      </c>
      <c r="M30" s="94">
        <f ca="1">OFFSET(TblProd[[#This Row],[Gems]],-1,0)+OFFSET(TblProd[[#This Row],[Gems/hr]],-1,0) - TblProd[[#This Row],[Expenses Gems]]</f>
        <v>19500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1118</v>
      </c>
      <c r="Q30" s="94">
        <f ca="1">MAX(3750,_xlfn.CEILING.MATH(TblProd[[#This Row],[Land]]*2.5+OFFSET(TblTech[[#This Row],[Sum of tech]],-1,0)*150))</f>
        <v>3750</v>
      </c>
      <c r="R30" s="142"/>
      <c r="S30" s="94">
        <f ca="1">ROUNDDOWN(TblProd[[#This Row],[Raw Plat/hr]]*(1+TblProd[[#This Row],[Bonus Plat/hr]]),0)</f>
        <v>14629</v>
      </c>
      <c r="T30" s="94">
        <f ca="1">ROUND(TblProd[[#This Row],[Raw Food/hr]]*(1+TblProd[[#This Row],[Bonus Food/hr]])-TblProd[[#This Row],[Food decay]]-TblProd[[#This Row],[Food eaten]],0)</f>
        <v>667</v>
      </c>
      <c r="U30" s="94">
        <f ca="1">ROUND(TblProd[[#This Row],[Raw Lumber/hr]]*(1+TblProd[[#This Row],[Bonus Lumber/hr]])-TblProd[[#This Row],[Lumber rot]],0)</f>
        <v>655</v>
      </c>
      <c r="V30" s="94">
        <f ca="1">ROUND(TblProd[[#This Row],[Raw Mana/hr]]*(1+TblProd[[#This Row],[Bonus Mana/hr]])-TblProd[[#This Row],[Mana drain]],0)</f>
        <v>739</v>
      </c>
      <c r="W30" s="94">
        <f ca="1">ROUNDDOWN(TblProd[[#This Row],[Raw Ore/hr]]*(1+TblProd[[#This Row],[Bonux Ore/hr]]),0)</f>
        <v>0</v>
      </c>
      <c r="X30" s="94">
        <f ca="1">ROUNDDOWN(TblProd[[#This Row],[Raw Gems/hr]]*(1+TblProd[[#This Row],[Bonus Gems/hr]]),0)</f>
        <v>750</v>
      </c>
      <c r="Y30" s="155">
        <f ca="1">OFFSET(TblConstr[[#This Row],[Tot Doc]],1,0)*dock_boats_hr * (1 + tech_4_1*TblTech[[#This Row],[4-1]])</f>
        <v>0</v>
      </c>
      <c r="Z30" s="154"/>
      <c r="AA30" s="94">
        <f ca="1">TblPop[[#This Row],[Peasants]]*tax*TblPop[[#This Row],[Employment]] + (Construction!AZ31+Construction!BX31)*(alch_plat+(Magic!AN30&gt;0)*alchemist_flame_bonus)</f>
        <v>14629.5</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1250</v>
      </c>
      <c r="AE30" s="94">
        <f ca="1">OFFSET(TblConstr[[#This Row],[Tot OM]],1,0)*om_ore+IF(race="Dwarf",TblMili[[#This Row],[Unit 2]]*0.5,0)</f>
        <v>0</v>
      </c>
      <c r="AF30" s="94">
        <f ca="1">OFFSET(TblConstr[[#This Row],[Tot DM]],1,0)*dm_gems</f>
        <v>750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349.55</v>
      </c>
      <c r="AP30" s="94">
        <f ca="1">(1+race_food_consumption)*TblPop[[#This Row],[Total]]*food_per_person*(1+tech_1_10*TblTech[[#This Row],[1-10]]+tech_7_5*TblTech[[#This Row],[7-5]] + IF(TblMagic[[#This Row],[Active Demonic Pact]]&gt;0,demonic_pact_food_cons,0))</f>
        <v>1563.25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510.74</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45816.08333333327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547881</v>
      </c>
      <c r="BJ30" s="94">
        <f ca="1">TblProd[[#This Row],[Food]]</f>
        <v>34955</v>
      </c>
      <c r="BK30" s="94">
        <f ca="1">TblProd[[#This Row],[Lumber]]</f>
        <v>34545</v>
      </c>
      <c r="BL30" s="94">
        <f ca="1">TblProd[[#This Row],[Mana]]</f>
        <v>25537</v>
      </c>
      <c r="BM30" s="94">
        <f ca="1">TblProd[[#This Row],[Ore]]</f>
        <v>0</v>
      </c>
    </row>
    <row r="31" spans="1:65" x14ac:dyDescent="0.2">
      <c r="A31" s="137">
        <v>28</v>
      </c>
      <c r="B31" s="152">
        <f ca="1">TblImps[[#This Row],[Time]]</f>
        <v>45816.124999999935</v>
      </c>
      <c r="C31" s="153"/>
      <c r="D31" s="154"/>
      <c r="E31" s="94">
        <f ca="1">TblConstr[[#This Row],[Land]]</f>
        <v>370</v>
      </c>
      <c r="F31" s="94">
        <f ca="1">TblPop[[#This Row],[Peasants]]</f>
        <v>4539</v>
      </c>
      <c r="G31" s="94">
        <f ca="1">TblMili[[#This Row],[Networth (2)]]</f>
        <v>9150</v>
      </c>
      <c r="H31" s="94">
        <f ca="1">OFFSET(TblProd[[#This Row],[Platinum]],-1,0)+OFFSET(TblProd[[#This Row],[Plat/hr]],-1,0) - TblProd[[#This Row],[Expenses Platinum]] + IF(TblProd[[#This Row],[Plat Bonus]],TblPop[[#This Row],[Peasants]]*4) + SUM(TblConstr[[#This Row],[Dest Hom]:[Dest Doc]])*TblConstr[[#This Row],[CPA Platinum -DB]]*tech_3_3_2*TblTech[[#This Row],[3-3]]</f>
        <v>562510</v>
      </c>
      <c r="I31" s="94">
        <f ca="1">OFFSET(TblProd[[#This Row],[Food]],-1,0)+OFFSET(TblProd[[#This Row],[Food/hr]],-1,0)+ROUNDUP((TblConstr[[#This Row],[Farms]]*80+TblConstr[[#This Row],[Docks]]*35)*(1+OFFSET(TblProd[[#This Row],[Bonus Food/hr]],-1,0)),0)</f>
        <v>35622</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26276</v>
      </c>
      <c r="L31" s="94">
        <f ca="1">OFFSET(TblProd[[#This Row],[Ore]],-1,0)+OFFSET(TblProd[[#This Row],[Ore/hr]],-1,0) -TblProd[[#This Row],[Expenses Ore]]</f>
        <v>0</v>
      </c>
      <c r="M31" s="94">
        <f ca="1">OFFSET(TblProd[[#This Row],[Gems]],-1,0)+OFFSET(TblProd[[#This Row],[Gems/hr]],-1,0) - TblProd[[#This Row],[Expenses Gems]]</f>
        <v>20250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1161</v>
      </c>
      <c r="Q31" s="94">
        <f ca="1">MAX(3750,_xlfn.CEILING.MATH(TblProd[[#This Row],[Land]]*2.5+OFFSET(TblTech[[#This Row],[Sum of tech]],-1,0)*150))</f>
        <v>3750</v>
      </c>
      <c r="R31" s="142"/>
      <c r="S31" s="94">
        <f ca="1">ROUNDDOWN(TblProd[[#This Row],[Raw Plat/hr]]*(1+TblProd[[#This Row],[Bonus Plat/hr]]),0)</f>
        <v>14505</v>
      </c>
      <c r="T31" s="94">
        <f ca="1">ROUND(TblProd[[#This Row],[Raw Food/hr]]*(1+TblProd[[#This Row],[Bonus Food/hr]])-TblProd[[#This Row],[Food decay]]-TblProd[[#This Row],[Food eaten]],0)</f>
        <v>661</v>
      </c>
      <c r="U31" s="94">
        <f ca="1">ROUND(TblProd[[#This Row],[Raw Lumber/hr]]*(1+TblProd[[#This Row],[Bonus Lumber/hr]])-TblProd[[#This Row],[Lumber rot]],0)</f>
        <v>648</v>
      </c>
      <c r="V31" s="94">
        <f ca="1">ROUND(TblProd[[#This Row],[Raw Mana/hr]]*(1+TblProd[[#This Row],[Bonus Mana/hr]])-TblProd[[#This Row],[Mana drain]],0)</f>
        <v>724</v>
      </c>
      <c r="W31" s="94">
        <f ca="1">ROUNDDOWN(TblProd[[#This Row],[Raw Ore/hr]]*(1+TblProd[[#This Row],[Bonux Ore/hr]]),0)</f>
        <v>0</v>
      </c>
      <c r="X31" s="94">
        <f ca="1">ROUNDDOWN(TblProd[[#This Row],[Raw Gems/hr]]*(1+TblProd[[#This Row],[Bonus Gems/hr]]),0)</f>
        <v>750</v>
      </c>
      <c r="Y31" s="155">
        <f ca="1">OFFSET(TblConstr[[#This Row],[Tot Doc]],1,0)*dock_boats_hr * (1 + tech_4_1*TblTech[[#This Row],[4-1]])</f>
        <v>0</v>
      </c>
      <c r="Z31" s="154"/>
      <c r="AA31" s="94">
        <f ca="1">TblPop[[#This Row],[Peasants]]*tax*TblPop[[#This Row],[Employment]] + (Construction!AZ32+Construction!BX32)*(alch_plat+(Magic!AN31&gt;0)*alchemist_flame_bonus)</f>
        <v>14505.300000000001</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1250</v>
      </c>
      <c r="AE31" s="94">
        <f ca="1">OFFSET(TblConstr[[#This Row],[Tot OM]],1,0)*om_ore+IF(race="Dwarf",TblMili[[#This Row],[Unit 2]]*0.5,0)</f>
        <v>0</v>
      </c>
      <c r="AF31" s="94">
        <f ca="1">OFFSET(TblConstr[[#This Row],[Tot DM]],1,0)*dm_gems</f>
        <v>750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356.22</v>
      </c>
      <c r="AP31" s="94">
        <f ca="1">(1+race_food_consumption)*TblPop[[#This Row],[Total]]*food_per_person*(1+tech_1_10*TblTech[[#This Row],[1-10]]+tech_7_5*TblTech[[#This Row],[7-5]] + IF(TblMagic[[#This Row],[Active Demonic Pact]]&gt;0,demonic_pact_food_cons,0))</f>
        <v>1563.25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525.52</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45816.124999999935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562510</v>
      </c>
      <c r="BJ31" s="94">
        <f ca="1">TblProd[[#This Row],[Food]]</f>
        <v>35622</v>
      </c>
      <c r="BK31" s="94">
        <f ca="1">TblProd[[#This Row],[Lumber]]</f>
        <v>35200</v>
      </c>
      <c r="BL31" s="94">
        <f ca="1">TblProd[[#This Row],[Mana]]</f>
        <v>26276</v>
      </c>
      <c r="BM31" s="94">
        <f ca="1">TblProd[[#This Row],[Ore]]</f>
        <v>0</v>
      </c>
    </row>
    <row r="32" spans="1:65" x14ac:dyDescent="0.2">
      <c r="A32" s="137">
        <v>29</v>
      </c>
      <c r="B32" s="152">
        <f ca="1">TblImps[[#This Row],[Time]]</f>
        <v>45816.166666666599</v>
      </c>
      <c r="C32" s="153"/>
      <c r="D32" s="154"/>
      <c r="E32" s="94">
        <f ca="1">TblConstr[[#This Row],[Land]]</f>
        <v>370</v>
      </c>
      <c r="F32" s="94">
        <f ca="1">TblPop[[#This Row],[Peasants]]</f>
        <v>4494</v>
      </c>
      <c r="G32" s="94">
        <f ca="1">TblMili[[#This Row],[Networth (2)]]</f>
        <v>9150</v>
      </c>
      <c r="H32" s="94">
        <f ca="1">OFFSET(TblProd[[#This Row],[Platinum]],-1,0)+OFFSET(TblProd[[#This Row],[Plat/hr]],-1,0) - TblProd[[#This Row],[Expenses Platinum]] + IF(TblProd[[#This Row],[Plat Bonus]],TblPop[[#This Row],[Peasants]]*4) + SUM(TblConstr[[#This Row],[Dest Hom]:[Dest Doc]])*TblConstr[[#This Row],[CPA Platinum -DB]]*tech_3_3_2*TblTech[[#This Row],[3-3]]</f>
        <v>577015</v>
      </c>
      <c r="I32" s="94">
        <f ca="1">OFFSET(TblProd[[#This Row],[Food]],-1,0)+OFFSET(TblProd[[#This Row],[Food/hr]],-1,0)+ROUNDUP((TblConstr[[#This Row],[Farms]]*80+TblConstr[[#This Row],[Docks]]*35)*(1+OFFSET(TblProd[[#This Row],[Bonus Food/hr]],-1,0)),0)</f>
        <v>36283</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27000</v>
      </c>
      <c r="L32" s="94">
        <f ca="1">OFFSET(TblProd[[#This Row],[Ore]],-1,0)+OFFSET(TblProd[[#This Row],[Ore/hr]],-1,0) -TblProd[[#This Row],[Expenses Ore]]</f>
        <v>0</v>
      </c>
      <c r="M32" s="94">
        <f ca="1">OFFSET(TblProd[[#This Row],[Gems]],-1,0)+OFFSET(TblProd[[#This Row],[Gems/hr]],-1,0) - TblProd[[#This Row],[Expenses Gems]]</f>
        <v>21000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1204</v>
      </c>
      <c r="Q32" s="94">
        <f ca="1">MAX(3750,_xlfn.CEILING.MATH(TblProd[[#This Row],[Land]]*2.5+OFFSET(TblTech[[#This Row],[Sum of tech]],-1,0)*150))</f>
        <v>3750</v>
      </c>
      <c r="R32" s="142"/>
      <c r="S32" s="94">
        <f ca="1">ROUNDDOWN(TblProd[[#This Row],[Raw Plat/hr]]*(1+TblProd[[#This Row],[Bonus Plat/hr]]),0)</f>
        <v>14383</v>
      </c>
      <c r="T32" s="94">
        <f ca="1">ROUND(TblProd[[#This Row],[Raw Food/hr]]*(1+TblProd[[#This Row],[Bonus Food/hr]])-TblProd[[#This Row],[Food decay]]-TblProd[[#This Row],[Food eaten]],0)</f>
        <v>654</v>
      </c>
      <c r="U32" s="94">
        <f ca="1">ROUND(TblProd[[#This Row],[Raw Lumber/hr]]*(1+TblProd[[#This Row],[Bonus Lumber/hr]])-TblProd[[#This Row],[Lumber rot]],0)</f>
        <v>642</v>
      </c>
      <c r="V32" s="94">
        <f ca="1">ROUND(TblProd[[#This Row],[Raw Mana/hr]]*(1+TblProd[[#This Row],[Bonus Mana/hr]])-TblProd[[#This Row],[Mana drain]],0)</f>
        <v>710</v>
      </c>
      <c r="W32" s="94">
        <f ca="1">ROUNDDOWN(TblProd[[#This Row],[Raw Ore/hr]]*(1+TblProd[[#This Row],[Bonux Ore/hr]]),0)</f>
        <v>0</v>
      </c>
      <c r="X32" s="94">
        <f ca="1">ROUNDDOWN(TblProd[[#This Row],[Raw Gems/hr]]*(1+TblProd[[#This Row],[Bonus Gems/hr]]),0)</f>
        <v>750</v>
      </c>
      <c r="Y32" s="155">
        <f ca="1">OFFSET(TblConstr[[#This Row],[Tot Doc]],1,0)*dock_boats_hr * (1 + tech_4_1*TblTech[[#This Row],[4-1]])</f>
        <v>0</v>
      </c>
      <c r="Z32" s="154"/>
      <c r="AA32" s="94">
        <f ca="1">TblPop[[#This Row],[Peasants]]*tax*TblPop[[#This Row],[Employment]] + (Construction!AZ33+Construction!BX33)*(alch_plat+(Magic!AN32&gt;0)*alchemist_flame_bonus)</f>
        <v>14383.800000000001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1250</v>
      </c>
      <c r="AE32" s="94">
        <f ca="1">OFFSET(TblConstr[[#This Row],[Tot OM]],1,0)*om_ore+IF(race="Dwarf",TblMili[[#This Row],[Unit 2]]*0.5,0)</f>
        <v>0</v>
      </c>
      <c r="AF32" s="94">
        <f ca="1">OFFSET(TblConstr[[#This Row],[Tot DM]],1,0)*dm_gems</f>
        <v>750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362.83</v>
      </c>
      <c r="AP32" s="94">
        <f ca="1">(1+race_food_consumption)*TblPop[[#This Row],[Total]]*food_per_person*(1+tech_1_10*TblTech[[#This Row],[1-10]]+tech_7_5*TblTech[[#This Row],[7-5]] + IF(TblMagic[[#This Row],[Active Demonic Pact]]&gt;0,demonic_pact_food_cons,0))</f>
        <v>1563.25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540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45816.166666666599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577015</v>
      </c>
      <c r="BJ32" s="94">
        <f ca="1">TblProd[[#This Row],[Food]]</f>
        <v>36283</v>
      </c>
      <c r="BK32" s="94">
        <f ca="1">TblProd[[#This Row],[Lumber]]</f>
        <v>35848</v>
      </c>
      <c r="BL32" s="94">
        <f ca="1">TblProd[[#This Row],[Mana]]</f>
        <v>27000</v>
      </c>
      <c r="BM32" s="94">
        <f ca="1">TblProd[[#This Row],[Ore]]</f>
        <v>0</v>
      </c>
    </row>
    <row r="33" spans="1:65" x14ac:dyDescent="0.2">
      <c r="A33" s="137">
        <v>30</v>
      </c>
      <c r="B33" s="152">
        <f ca="1">TblImps[[#This Row],[Time]]</f>
        <v>45816.208333333263</v>
      </c>
      <c r="C33" s="153"/>
      <c r="D33" s="154"/>
      <c r="E33" s="94">
        <f ca="1">TblConstr[[#This Row],[Land]]</f>
        <v>370</v>
      </c>
      <c r="F33" s="94">
        <f ca="1">TblPop[[#This Row],[Peasants]]</f>
        <v>4449</v>
      </c>
      <c r="G33" s="94">
        <f ca="1">TblMili[[#This Row],[Networth (2)]]</f>
        <v>9150</v>
      </c>
      <c r="H33" s="94">
        <f ca="1">OFFSET(TblProd[[#This Row],[Platinum]],-1,0)+OFFSET(TblProd[[#This Row],[Plat/hr]],-1,0) - TblProd[[#This Row],[Expenses Platinum]] + IF(TblProd[[#This Row],[Plat Bonus]],TblPop[[#This Row],[Peasants]]*4) + SUM(TblConstr[[#This Row],[Dest Hom]:[Dest Doc]])*TblConstr[[#This Row],[CPA Platinum -DB]]*tech_3_3_2*TblTech[[#This Row],[3-3]]</f>
        <v>591398</v>
      </c>
      <c r="I33" s="94">
        <f ca="1">OFFSET(TblProd[[#This Row],[Food]],-1,0)+OFFSET(TblProd[[#This Row],[Food/hr]],-1,0)+ROUNDUP((TblConstr[[#This Row],[Farms]]*80+TblConstr[[#This Row],[Docks]]*35)*(1+OFFSET(TblProd[[#This Row],[Bonus Food/hr]],-1,0)),0)</f>
        <v>36937</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27710</v>
      </c>
      <c r="L33" s="94">
        <f ca="1">OFFSET(TblProd[[#This Row],[Ore]],-1,0)+OFFSET(TblProd[[#This Row],[Ore/hr]],-1,0) -TblProd[[#This Row],[Expenses Ore]]</f>
        <v>0</v>
      </c>
      <c r="M33" s="94">
        <f ca="1">OFFSET(TblProd[[#This Row],[Gems]],-1,0)+OFFSET(TblProd[[#This Row],[Gems/hr]],-1,0) - TblProd[[#This Row],[Expenses Gems]]</f>
        <v>21750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1247</v>
      </c>
      <c r="Q33" s="94">
        <f ca="1">MAX(3750,_xlfn.CEILING.MATH(TblProd[[#This Row],[Land]]*2.5+OFFSET(TblTech[[#This Row],[Sum of tech]],-1,0)*150))</f>
        <v>3750</v>
      </c>
      <c r="R33" s="142"/>
      <c r="S33" s="94">
        <f ca="1">ROUNDDOWN(TblProd[[#This Row],[Raw Plat/hr]]*(1+TblProd[[#This Row],[Bonus Plat/hr]]),0)</f>
        <v>14262</v>
      </c>
      <c r="T33" s="94">
        <f ca="1">ROUND(TblProd[[#This Row],[Raw Food/hr]]*(1+TblProd[[#This Row],[Bonus Food/hr]])-TblProd[[#This Row],[Food decay]]-TblProd[[#This Row],[Food eaten]],0)</f>
        <v>647</v>
      </c>
      <c r="U33" s="94">
        <f ca="1">ROUND(TblProd[[#This Row],[Raw Lumber/hr]]*(1+TblProd[[#This Row],[Bonus Lumber/hr]])-TblProd[[#This Row],[Lumber rot]],0)</f>
        <v>635</v>
      </c>
      <c r="V33" s="94">
        <f ca="1">ROUND(TblProd[[#This Row],[Raw Mana/hr]]*(1+TblProd[[#This Row],[Bonus Mana/hr]])-TblProd[[#This Row],[Mana drain]],0)</f>
        <v>696</v>
      </c>
      <c r="W33" s="94">
        <f ca="1">ROUNDDOWN(TblProd[[#This Row],[Raw Ore/hr]]*(1+TblProd[[#This Row],[Bonux Ore/hr]]),0)</f>
        <v>0</v>
      </c>
      <c r="X33" s="94">
        <f ca="1">ROUNDDOWN(TblProd[[#This Row],[Raw Gems/hr]]*(1+TblProd[[#This Row],[Bonus Gems/hr]]),0)</f>
        <v>750</v>
      </c>
      <c r="Y33" s="155">
        <f ca="1">OFFSET(TblConstr[[#This Row],[Tot Doc]],1,0)*dock_boats_hr * (1 + tech_4_1*TblTech[[#This Row],[4-1]])</f>
        <v>0</v>
      </c>
      <c r="Z33" s="154"/>
      <c r="AA33" s="94">
        <f ca="1">TblPop[[#This Row],[Peasants]]*tax*TblPop[[#This Row],[Employment]] + (Construction!AZ34+Construction!BX34)*(alch_plat+(Magic!AN33&gt;0)*alchemist_flame_bonus)</f>
        <v>14262.300000000001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1250</v>
      </c>
      <c r="AE33" s="94">
        <f ca="1">OFFSET(TblConstr[[#This Row],[Tot OM]],1,0)*om_ore+IF(race="Dwarf",TblMili[[#This Row],[Unit 2]]*0.5,0)</f>
        <v>0</v>
      </c>
      <c r="AF33" s="94">
        <f ca="1">OFFSET(TblConstr[[#This Row],[Tot DM]],1,0)*dm_gems</f>
        <v>750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369.37</v>
      </c>
      <c r="AP33" s="94">
        <f ca="1">(1+race_food_consumption)*TblPop[[#This Row],[Total]]*food_per_person*(1+tech_1_10*TblTech[[#This Row],[1-10]]+tech_7_5*TblTech[[#This Row],[7-5]] + IF(TblMagic[[#This Row],[Active Demonic Pact]]&gt;0,demonic_pact_food_cons,0))</f>
        <v>1563.25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554.20000000000005</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45816.208333333263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591398</v>
      </c>
      <c r="BJ33" s="94">
        <f ca="1">TblProd[[#This Row],[Food]]</f>
        <v>36937</v>
      </c>
      <c r="BK33" s="94">
        <f ca="1">TblProd[[#This Row],[Lumber]]</f>
        <v>36490</v>
      </c>
      <c r="BL33" s="94">
        <f ca="1">TblProd[[#This Row],[Mana]]</f>
        <v>27710</v>
      </c>
      <c r="BM33" s="94">
        <f ca="1">TblProd[[#This Row],[Ore]]</f>
        <v>0</v>
      </c>
    </row>
    <row r="34" spans="1:65" x14ac:dyDescent="0.2">
      <c r="A34" s="137">
        <v>31</v>
      </c>
      <c r="B34" s="152">
        <f ca="1">TblImps[[#This Row],[Time]]</f>
        <v>45816.249999999927</v>
      </c>
      <c r="C34" s="153"/>
      <c r="D34" s="154"/>
      <c r="E34" s="94">
        <f ca="1">TblConstr[[#This Row],[Land]]</f>
        <v>370</v>
      </c>
      <c r="F34" s="94">
        <f ca="1">TblPop[[#This Row],[Peasants]]</f>
        <v>4405</v>
      </c>
      <c r="G34" s="94">
        <f ca="1">TblMili[[#This Row],[Networth (2)]]</f>
        <v>9150</v>
      </c>
      <c r="H34" s="94">
        <f ca="1">OFFSET(TblProd[[#This Row],[Platinum]],-1,0)+OFFSET(TblProd[[#This Row],[Plat/hr]],-1,0) - TblProd[[#This Row],[Expenses Platinum]] + IF(TblProd[[#This Row],[Plat Bonus]],TblPop[[#This Row],[Peasants]]*4) + SUM(TblConstr[[#This Row],[Dest Hom]:[Dest Doc]])*TblConstr[[#This Row],[CPA Platinum -DB]]*tech_3_3_2*TblTech[[#This Row],[3-3]]</f>
        <v>605660</v>
      </c>
      <c r="I34" s="94">
        <f ca="1">OFFSET(TblProd[[#This Row],[Food]],-1,0)+OFFSET(TblProd[[#This Row],[Food/hr]],-1,0)+ROUNDUP((TblConstr[[#This Row],[Farms]]*80+TblConstr[[#This Row],[Docks]]*35)*(1+OFFSET(TblProd[[#This Row],[Bonus Food/hr]],-1,0)),0)</f>
        <v>37584</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28406</v>
      </c>
      <c r="L34" s="94">
        <f ca="1">OFFSET(TblProd[[#This Row],[Ore]],-1,0)+OFFSET(TblProd[[#This Row],[Ore/hr]],-1,0) -TblProd[[#This Row],[Expenses Ore]]</f>
        <v>0</v>
      </c>
      <c r="M34" s="94">
        <f ca="1">OFFSET(TblProd[[#This Row],[Gems]],-1,0)+OFFSET(TblProd[[#This Row],[Gems/hr]],-1,0) - TblProd[[#This Row],[Expenses Gems]]</f>
        <v>22500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1290</v>
      </c>
      <c r="Q34" s="94">
        <f ca="1">MAX(3750,_xlfn.CEILING.MATH(TblProd[[#This Row],[Land]]*2.5+OFFSET(TblTech[[#This Row],[Sum of tech]],-1,0)*150))</f>
        <v>3750</v>
      </c>
      <c r="R34" s="142"/>
      <c r="S34" s="94">
        <f ca="1">ROUNDDOWN(TblProd[[#This Row],[Raw Plat/hr]]*(1+TblProd[[#This Row],[Bonus Plat/hr]]),0)</f>
        <v>14143</v>
      </c>
      <c r="T34" s="94">
        <f ca="1">ROUND(TblProd[[#This Row],[Raw Food/hr]]*(1+TblProd[[#This Row],[Bonus Food/hr]])-TblProd[[#This Row],[Food decay]]-TblProd[[#This Row],[Food eaten]],0)</f>
        <v>641</v>
      </c>
      <c r="U34" s="94">
        <f ca="1">ROUND(TblProd[[#This Row],[Raw Lumber/hr]]*(1+TblProd[[#This Row],[Bonus Lumber/hr]])-TblProd[[#This Row],[Lumber rot]],0)</f>
        <v>629</v>
      </c>
      <c r="V34" s="94">
        <f ca="1">ROUND(TblProd[[#This Row],[Raw Mana/hr]]*(1+TblProd[[#This Row],[Bonus Mana/hr]])-TblProd[[#This Row],[Mana drain]],0)</f>
        <v>682</v>
      </c>
      <c r="W34" s="94">
        <f ca="1">ROUNDDOWN(TblProd[[#This Row],[Raw Ore/hr]]*(1+TblProd[[#This Row],[Bonux Ore/hr]]),0)</f>
        <v>0</v>
      </c>
      <c r="X34" s="94">
        <f ca="1">ROUNDDOWN(TblProd[[#This Row],[Raw Gems/hr]]*(1+TblProd[[#This Row],[Bonus Gems/hr]]),0)</f>
        <v>750</v>
      </c>
      <c r="Y34" s="155">
        <f ca="1">OFFSET(TblConstr[[#This Row],[Tot Doc]],1,0)*dock_boats_hr * (1 + tech_4_1*TblTech[[#This Row],[4-1]])</f>
        <v>0</v>
      </c>
      <c r="Z34" s="154"/>
      <c r="AA34" s="94">
        <f ca="1">TblPop[[#This Row],[Peasants]]*tax*TblPop[[#This Row],[Employment]] + (Construction!AZ35+Construction!BX35)*(alch_plat+(Magic!AN34&gt;0)*alchemist_flame_bonus)</f>
        <v>14143.5</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1250</v>
      </c>
      <c r="AE34" s="94">
        <f ca="1">OFFSET(TblConstr[[#This Row],[Tot OM]],1,0)*om_ore+IF(race="Dwarf",TblMili[[#This Row],[Unit 2]]*0.5,0)</f>
        <v>0</v>
      </c>
      <c r="AF34" s="94">
        <f ca="1">OFFSET(TblConstr[[#This Row],[Tot DM]],1,0)*dm_gems</f>
        <v>750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375.84000000000003</v>
      </c>
      <c r="AP34" s="94">
        <f ca="1">(1+race_food_consumption)*TblPop[[#This Row],[Total]]*food_per_person*(1+tech_1_10*TblTech[[#This Row],[1-10]]+tech_7_5*TblTech[[#This Row],[7-5]] + IF(TblMagic[[#This Row],[Active Demonic Pact]]&gt;0,demonic_pact_food_cons,0))</f>
        <v>1563.25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568.12</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45816.249999999927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605660</v>
      </c>
      <c r="BJ34" s="94">
        <f ca="1">TblProd[[#This Row],[Food]]</f>
        <v>37584</v>
      </c>
      <c r="BK34" s="94">
        <f ca="1">TblProd[[#This Row],[Lumber]]</f>
        <v>37125</v>
      </c>
      <c r="BL34" s="94">
        <f ca="1">TblProd[[#This Row],[Mana]]</f>
        <v>28406</v>
      </c>
      <c r="BM34" s="94">
        <f ca="1">TblProd[[#This Row],[Ore]]</f>
        <v>0</v>
      </c>
    </row>
    <row r="35" spans="1:65" x14ac:dyDescent="0.2">
      <c r="A35" s="137">
        <v>32</v>
      </c>
      <c r="B35" s="152">
        <f ca="1">TblImps[[#This Row],[Time]]</f>
        <v>45816.291666666591</v>
      </c>
      <c r="C35" s="153"/>
      <c r="D35" s="154"/>
      <c r="E35" s="94">
        <f ca="1">TblConstr[[#This Row],[Land]]</f>
        <v>370</v>
      </c>
      <c r="F35" s="94">
        <f ca="1">TblPop[[#This Row],[Peasants]]</f>
        <v>4361</v>
      </c>
      <c r="G35" s="94">
        <f ca="1">TblMili[[#This Row],[Networth (2)]]</f>
        <v>9150</v>
      </c>
      <c r="H35" s="94">
        <f ca="1">OFFSET(TblProd[[#This Row],[Platinum]],-1,0)+OFFSET(TblProd[[#This Row],[Plat/hr]],-1,0) - TblProd[[#This Row],[Expenses Platinum]] + IF(TblProd[[#This Row],[Plat Bonus]],TblPop[[#This Row],[Peasants]]*4) + SUM(TblConstr[[#This Row],[Dest Hom]:[Dest Doc]])*TblConstr[[#This Row],[CPA Platinum -DB]]*tech_3_3_2*TblTech[[#This Row],[3-3]]</f>
        <v>619803</v>
      </c>
      <c r="I35" s="94">
        <f ca="1">OFFSET(TblProd[[#This Row],[Food]],-1,0)+OFFSET(TblProd[[#This Row],[Food/hr]],-1,0)+ROUNDUP((TblConstr[[#This Row],[Farms]]*80+TblConstr[[#This Row],[Docks]]*35)*(1+OFFSET(TblProd[[#This Row],[Bonus Food/hr]],-1,0)),0)</f>
        <v>38225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29088</v>
      </c>
      <c r="L35" s="94">
        <f ca="1">OFFSET(TblProd[[#This Row],[Ore]],-1,0)+OFFSET(TblProd[[#This Row],[Ore/hr]],-1,0) -TblProd[[#This Row],[Expenses Ore]]</f>
        <v>0</v>
      </c>
      <c r="M35" s="94">
        <f ca="1">OFFSET(TblProd[[#This Row],[Gems]],-1,0)+OFFSET(TblProd[[#This Row],[Gems/hr]],-1,0) - TblProd[[#This Row],[Expenses Gems]]</f>
        <v>23250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1333</v>
      </c>
      <c r="Q35" s="94">
        <f ca="1">MAX(3750,_xlfn.CEILING.MATH(TblProd[[#This Row],[Land]]*2.5+OFFSET(TblTech[[#This Row],[Sum of tech]],-1,0)*150))</f>
        <v>3750</v>
      </c>
      <c r="R35" s="142"/>
      <c r="S35" s="94">
        <f ca="1">ROUNDDOWN(TblProd[[#This Row],[Raw Plat/hr]]*(1+TblProd[[#This Row],[Bonus Plat/hr]]),0)</f>
        <v>14024</v>
      </c>
      <c r="T35" s="94">
        <f ca="1">ROUND(TblProd[[#This Row],[Raw Food/hr]]*(1+TblProd[[#This Row],[Bonus Food/hr]])-TblProd[[#This Row],[Food decay]]-TblProd[[#This Row],[Food eaten]],0)</f>
        <v>635</v>
      </c>
      <c r="U35" s="94">
        <f ca="1">ROUND(TblProd[[#This Row],[Raw Lumber/hr]]*(1+TblProd[[#This Row],[Bonus Lumber/hr]])-TblProd[[#This Row],[Lumber rot]],0)</f>
        <v>622</v>
      </c>
      <c r="V35" s="94">
        <f ca="1">ROUND(TblProd[[#This Row],[Raw Mana/hr]]*(1+TblProd[[#This Row],[Bonus Mana/hr]])-TblProd[[#This Row],[Mana drain]],0)</f>
        <v>668</v>
      </c>
      <c r="W35" s="94">
        <f ca="1">ROUNDDOWN(TblProd[[#This Row],[Raw Ore/hr]]*(1+TblProd[[#This Row],[Bonux Ore/hr]]),0)</f>
        <v>0</v>
      </c>
      <c r="X35" s="94">
        <f ca="1">ROUNDDOWN(TblProd[[#This Row],[Raw Gems/hr]]*(1+TblProd[[#This Row],[Bonus Gems/hr]]),0)</f>
        <v>750</v>
      </c>
      <c r="Y35" s="155">
        <f ca="1">OFFSET(TblConstr[[#This Row],[Tot Doc]],1,0)*dock_boats_hr * (1 + tech_4_1*TblTech[[#This Row],[4-1]])</f>
        <v>0</v>
      </c>
      <c r="Z35" s="154"/>
      <c r="AA35" s="94">
        <f ca="1">TblPop[[#This Row],[Peasants]]*tax*TblPop[[#This Row],[Employment]] + (Construction!AZ36+Construction!BX36)*(alch_plat+(Magic!AN35&gt;0)*alchemist_flame_bonus)</f>
        <v>14024.7</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1250</v>
      </c>
      <c r="AE35" s="94">
        <f ca="1">OFFSET(TblConstr[[#This Row],[Tot OM]],1,0)*om_ore+IF(race="Dwarf",TblMili[[#This Row],[Unit 2]]*0.5,0)</f>
        <v>0</v>
      </c>
      <c r="AF35" s="94">
        <f ca="1">OFFSET(TblConstr[[#This Row],[Tot DM]],1,0)*dm_gems</f>
        <v>750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382.25</v>
      </c>
      <c r="AP35" s="94">
        <f ca="1">(1+race_food_consumption)*TblPop[[#This Row],[Total]]*food_per_person*(1+tech_1_10*TblTech[[#This Row],[1-10]]+tech_7_5*TblTech[[#This Row],[7-5]] + IF(TblMagic[[#This Row],[Active Demonic Pact]]&gt;0,demonic_pact_food_cons,0))</f>
        <v>1563.25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581.76</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45816.291666666591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619803</v>
      </c>
      <c r="BJ35" s="94">
        <f ca="1">TblProd[[#This Row],[Food]]</f>
        <v>38225</v>
      </c>
      <c r="BK35" s="94">
        <f ca="1">TblProd[[#This Row],[Lumber]]</f>
        <v>37754</v>
      </c>
      <c r="BL35" s="94">
        <f ca="1">TblProd[[#This Row],[Mana]]</f>
        <v>29088</v>
      </c>
      <c r="BM35" s="94">
        <f ca="1">TblProd[[#This Row],[Ore]]</f>
        <v>0</v>
      </c>
    </row>
    <row r="36" spans="1:65" x14ac:dyDescent="0.2">
      <c r="A36" s="137">
        <v>33</v>
      </c>
      <c r="B36" s="152">
        <f ca="1">TblImps[[#This Row],[Time]]</f>
        <v>45816.333333333256</v>
      </c>
      <c r="C36" s="153"/>
      <c r="D36" s="154"/>
      <c r="E36" s="94">
        <f ca="1">TblConstr[[#This Row],[Land]]</f>
        <v>370</v>
      </c>
      <c r="F36" s="94">
        <f ca="1">TblPop[[#This Row],[Peasants]]</f>
        <v>4317</v>
      </c>
      <c r="G36" s="94">
        <f ca="1">TblMili[[#This Row],[Networth (2)]]</f>
        <v>9150</v>
      </c>
      <c r="H36" s="94">
        <f ca="1">OFFSET(TblProd[[#This Row],[Platinum]],-1,0)+OFFSET(TblProd[[#This Row],[Plat/hr]],-1,0) - TblProd[[#This Row],[Expenses Platinum]] + IF(TblProd[[#This Row],[Plat Bonus]],TblPop[[#This Row],[Peasants]]*4) + SUM(TblConstr[[#This Row],[Dest Hom]:[Dest Doc]])*TblConstr[[#This Row],[CPA Platinum -DB]]*tech_3_3_2*TblTech[[#This Row],[3-3]]</f>
        <v>633827</v>
      </c>
      <c r="I36" s="94">
        <f ca="1">OFFSET(TblProd[[#This Row],[Food]],-1,0)+OFFSET(TblProd[[#This Row],[Food/hr]],-1,0)+ROUNDUP((TblConstr[[#This Row],[Farms]]*80+TblConstr[[#This Row],[Docks]]*35)*(1+OFFSET(TblProd[[#This Row],[Bonus Food/hr]],-1,0)),0)</f>
        <v>38860</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29756</v>
      </c>
      <c r="L36" s="94">
        <f ca="1">OFFSET(TblProd[[#This Row],[Ore]],-1,0)+OFFSET(TblProd[[#This Row],[Ore/hr]],-1,0) -TblProd[[#This Row],[Expenses Ore]]</f>
        <v>0</v>
      </c>
      <c r="M36" s="94">
        <f ca="1">OFFSET(TblProd[[#This Row],[Gems]],-1,0)+OFFSET(TblProd[[#This Row],[Gems/hr]],-1,0) - TblProd[[#This Row],[Expenses Gems]]</f>
        <v>24000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1376</v>
      </c>
      <c r="Q36" s="94">
        <f ca="1">MAX(3750,_xlfn.CEILING.MATH(TblProd[[#This Row],[Land]]*2.5+OFFSET(TblTech[[#This Row],[Sum of tech]],-1,0)*150))</f>
        <v>3750</v>
      </c>
      <c r="R36" s="142"/>
      <c r="S36" s="94">
        <f ca="1">ROUNDDOWN(TblProd[[#This Row],[Raw Plat/hr]]*(1+TblProd[[#This Row],[Bonus Plat/hr]]),0)</f>
        <v>13905</v>
      </c>
      <c r="T36" s="94">
        <f ca="1">ROUND(TblProd[[#This Row],[Raw Food/hr]]*(1+TblProd[[#This Row],[Bonus Food/hr]])-TblProd[[#This Row],[Food decay]]-TblProd[[#This Row],[Food eaten]],0)</f>
        <v>628</v>
      </c>
      <c r="U36" s="94">
        <f ca="1">ROUND(TblProd[[#This Row],[Raw Lumber/hr]]*(1+TblProd[[#This Row],[Bonus Lumber/hr]])-TblProd[[#This Row],[Lumber rot]],0)</f>
        <v>616</v>
      </c>
      <c r="V36" s="94">
        <f ca="1">ROUND(TblProd[[#This Row],[Raw Mana/hr]]*(1+TblProd[[#This Row],[Bonus Mana/hr]])-TblProd[[#This Row],[Mana drain]],0)</f>
        <v>655</v>
      </c>
      <c r="W36" s="94">
        <f ca="1">ROUNDDOWN(TblProd[[#This Row],[Raw Ore/hr]]*(1+TblProd[[#This Row],[Bonux Ore/hr]]),0)</f>
        <v>0</v>
      </c>
      <c r="X36" s="94">
        <f ca="1">ROUNDDOWN(TblProd[[#This Row],[Raw Gems/hr]]*(1+TblProd[[#This Row],[Bonus Gems/hr]]),0)</f>
        <v>750</v>
      </c>
      <c r="Y36" s="155">
        <f ca="1">OFFSET(TblConstr[[#This Row],[Tot Doc]],1,0)*dock_boats_hr * (1 + tech_4_1*TblTech[[#This Row],[4-1]])</f>
        <v>0</v>
      </c>
      <c r="Z36" s="154"/>
      <c r="AA36" s="94">
        <f ca="1">TblPop[[#This Row],[Peasants]]*tax*TblPop[[#This Row],[Employment]] + (Construction!AZ37+Construction!BX37)*(alch_plat+(Magic!AN36&gt;0)*alchemist_flame_bonus)</f>
        <v>13905.900000000001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1250</v>
      </c>
      <c r="AE36" s="94">
        <f ca="1">OFFSET(TblConstr[[#This Row],[Tot OM]],1,0)*om_ore+IF(race="Dwarf",TblMili[[#This Row],[Unit 2]]*0.5,0)</f>
        <v>0</v>
      </c>
      <c r="AF36" s="94">
        <f ca="1">OFFSET(TblConstr[[#This Row],[Tot DM]],1,0)*dm_gems</f>
        <v>750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388.6</v>
      </c>
      <c r="AP36" s="94">
        <f ca="1">(1+race_food_consumption)*TblPop[[#This Row],[Total]]*food_per_person*(1+tech_1_10*TblTech[[#This Row],[1-10]]+tech_7_5*TblTech[[#This Row],[7-5]] + IF(TblMagic[[#This Row],[Active Demonic Pact]]&gt;0,demonic_pact_food_cons,0))</f>
        <v>1563.25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595.12</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45816.333333333256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633827</v>
      </c>
      <c r="BJ36" s="94">
        <f ca="1">TblProd[[#This Row],[Food]]</f>
        <v>38860</v>
      </c>
      <c r="BK36" s="94">
        <f ca="1">TblProd[[#This Row],[Lumber]]</f>
        <v>38376</v>
      </c>
      <c r="BL36" s="94">
        <f ca="1">TblProd[[#This Row],[Mana]]</f>
        <v>29756</v>
      </c>
      <c r="BM36" s="94">
        <f ca="1">TblProd[[#This Row],[Ore]]</f>
        <v>0</v>
      </c>
    </row>
    <row r="37" spans="1:65" x14ac:dyDescent="0.2">
      <c r="A37" s="137">
        <v>34</v>
      </c>
      <c r="B37" s="152">
        <f ca="1">TblImps[[#This Row],[Time]]</f>
        <v>45816.37499999992</v>
      </c>
      <c r="C37" s="153"/>
      <c r="D37" s="154"/>
      <c r="E37" s="94">
        <f ca="1">TblConstr[[#This Row],[Land]]</f>
        <v>370</v>
      </c>
      <c r="F37" s="94">
        <f ca="1">TblPop[[#This Row],[Peasants]]</f>
        <v>4274</v>
      </c>
      <c r="G37" s="94">
        <f ca="1">TblMili[[#This Row],[Networth (2)]]</f>
        <v>9150</v>
      </c>
      <c r="H37" s="94">
        <f ca="1">OFFSET(TblProd[[#This Row],[Platinum]],-1,0)+OFFSET(TblProd[[#This Row],[Plat/hr]],-1,0) - TblProd[[#This Row],[Expenses Platinum]] + IF(TblProd[[#This Row],[Plat Bonus]],TblPop[[#This Row],[Peasants]]*4) + SUM(TblConstr[[#This Row],[Dest Hom]:[Dest Doc]])*TblConstr[[#This Row],[CPA Platinum -DB]]*tech_3_3_2*TblTech[[#This Row],[3-3]]</f>
        <v>647732</v>
      </c>
      <c r="I37" s="94">
        <f ca="1">OFFSET(TblProd[[#This Row],[Food]],-1,0)+OFFSET(TblProd[[#This Row],[Food/hr]],-1,0)+ROUNDUP((TblConstr[[#This Row],[Farms]]*80+TblConstr[[#This Row],[Docks]]*35)*(1+OFFSET(TblProd[[#This Row],[Bonus Food/hr]],-1,0)),0)</f>
        <v>39488</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30411</v>
      </c>
      <c r="L37" s="94">
        <f ca="1">OFFSET(TblProd[[#This Row],[Ore]],-1,0)+OFFSET(TblProd[[#This Row],[Ore/hr]],-1,0) -TblProd[[#This Row],[Expenses Ore]]</f>
        <v>0</v>
      </c>
      <c r="M37" s="94">
        <f ca="1">OFFSET(TblProd[[#This Row],[Gems]],-1,0)+OFFSET(TblProd[[#This Row],[Gems/hr]],-1,0) - TblProd[[#This Row],[Expenses Gems]]</f>
        <v>24750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1419</v>
      </c>
      <c r="Q37" s="94">
        <f ca="1">MAX(3750,_xlfn.CEILING.MATH(TblProd[[#This Row],[Land]]*2.5+OFFSET(TblTech[[#This Row],[Sum of tech]],-1,0)*150))</f>
        <v>3750</v>
      </c>
      <c r="R37" s="142"/>
      <c r="S37" s="94">
        <f ca="1">ROUNDDOWN(TblProd[[#This Row],[Raw Plat/hr]]*(1+TblProd[[#This Row],[Bonus Plat/hr]]),0)</f>
        <v>13789</v>
      </c>
      <c r="T37" s="94">
        <f ca="1">ROUND(TblProd[[#This Row],[Raw Food/hr]]*(1+TblProd[[#This Row],[Bonus Food/hr]])-TblProd[[#This Row],[Food decay]]-TblProd[[#This Row],[Food eaten]],0)</f>
        <v>622</v>
      </c>
      <c r="U37" s="94">
        <f ca="1">ROUND(TblProd[[#This Row],[Raw Lumber/hr]]*(1+TblProd[[#This Row],[Bonus Lumber/hr]])-TblProd[[#This Row],[Lumber rot]],0)</f>
        <v>610</v>
      </c>
      <c r="V37" s="94">
        <f ca="1">ROUND(TblProd[[#This Row],[Raw Mana/hr]]*(1+TblProd[[#This Row],[Bonus Mana/hr]])-TblProd[[#This Row],[Mana drain]],0)</f>
        <v>642</v>
      </c>
      <c r="W37" s="94">
        <f ca="1">ROUNDDOWN(TblProd[[#This Row],[Raw Ore/hr]]*(1+TblProd[[#This Row],[Bonux Ore/hr]]),0)</f>
        <v>0</v>
      </c>
      <c r="X37" s="94">
        <f ca="1">ROUNDDOWN(TblProd[[#This Row],[Raw Gems/hr]]*(1+TblProd[[#This Row],[Bonus Gems/hr]]),0)</f>
        <v>750</v>
      </c>
      <c r="Y37" s="155">
        <f ca="1">OFFSET(TblConstr[[#This Row],[Tot Doc]],1,0)*dock_boats_hr * (1 + tech_4_1*TblTech[[#This Row],[4-1]])</f>
        <v>0</v>
      </c>
      <c r="Z37" s="154"/>
      <c r="AA37" s="94">
        <f ca="1">TblPop[[#This Row],[Peasants]]*tax*TblPop[[#This Row],[Employment]] + (Construction!AZ38+Construction!BX38)*(alch_plat+(Magic!AN37&gt;0)*alchemist_flame_bonus)</f>
        <v>13789.800000000001</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1250</v>
      </c>
      <c r="AE37" s="94">
        <f ca="1">OFFSET(TblConstr[[#This Row],[Tot OM]],1,0)*om_ore+IF(race="Dwarf",TblMili[[#This Row],[Unit 2]]*0.5,0)</f>
        <v>0</v>
      </c>
      <c r="AF37" s="94">
        <f ca="1">OFFSET(TblConstr[[#This Row],[Tot DM]],1,0)*dm_gems</f>
        <v>750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394.88</v>
      </c>
      <c r="AP37" s="94">
        <f ca="1">(1+race_food_consumption)*TblPop[[#This Row],[Total]]*food_per_person*(1+tech_1_10*TblTech[[#This Row],[1-10]]+tech_7_5*TblTech[[#This Row],[7-5]] + IF(TblMagic[[#This Row],[Active Demonic Pact]]&gt;0,demonic_pact_food_cons,0))</f>
        <v>1563.25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608.22</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45816.37499999992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647732</v>
      </c>
      <c r="BJ37" s="94">
        <f ca="1">TblProd[[#This Row],[Food]]</f>
        <v>39488</v>
      </c>
      <c r="BK37" s="94">
        <f ca="1">TblProd[[#This Row],[Lumber]]</f>
        <v>38992</v>
      </c>
      <c r="BL37" s="94">
        <f ca="1">TblProd[[#This Row],[Mana]]</f>
        <v>30411</v>
      </c>
      <c r="BM37" s="94">
        <f ca="1">TblProd[[#This Row],[Ore]]</f>
        <v>0</v>
      </c>
    </row>
    <row r="38" spans="1:65" x14ac:dyDescent="0.2">
      <c r="A38" s="137">
        <v>35</v>
      </c>
      <c r="B38" s="152">
        <f ca="1">TblImps[[#This Row],[Time]]</f>
        <v>45816.416666666584</v>
      </c>
      <c r="C38" s="153"/>
      <c r="D38" s="154"/>
      <c r="E38" s="94">
        <f ca="1">TblConstr[[#This Row],[Land]]</f>
        <v>370</v>
      </c>
      <c r="F38" s="94">
        <f ca="1">TblPop[[#This Row],[Peasants]]</f>
        <v>4231</v>
      </c>
      <c r="G38" s="94">
        <f ca="1">TblMili[[#This Row],[Networth (2)]]</f>
        <v>9150</v>
      </c>
      <c r="H38" s="94">
        <f ca="1">OFFSET(TblProd[[#This Row],[Platinum]],-1,0)+OFFSET(TblProd[[#This Row],[Plat/hr]],-1,0) - TblProd[[#This Row],[Expenses Platinum]] + IF(TblProd[[#This Row],[Plat Bonus]],TblPop[[#This Row],[Peasants]]*4) + SUM(TblConstr[[#This Row],[Dest Hom]:[Dest Doc]])*TblConstr[[#This Row],[CPA Platinum -DB]]*tech_3_3_2*TblTech[[#This Row],[3-3]]</f>
        <v>661521</v>
      </c>
      <c r="I38" s="94">
        <f ca="1">OFFSET(TblProd[[#This Row],[Food]],-1,0)+OFFSET(TblProd[[#This Row],[Food/hr]],-1,0)+ROUNDUP((TblConstr[[#This Row],[Farms]]*80+TblConstr[[#This Row],[Docks]]*35)*(1+OFFSET(TblProd[[#This Row],[Bonus Food/hr]],-1,0)),0)</f>
        <v>40110</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31053</v>
      </c>
      <c r="L38" s="94">
        <f ca="1">OFFSET(TblProd[[#This Row],[Ore]],-1,0)+OFFSET(TblProd[[#This Row],[Ore/hr]],-1,0) -TblProd[[#This Row],[Expenses Ore]]</f>
        <v>0</v>
      </c>
      <c r="M38" s="94">
        <f ca="1">OFFSET(TblProd[[#This Row],[Gems]],-1,0)+OFFSET(TblProd[[#This Row],[Gems/hr]],-1,0) - TblProd[[#This Row],[Expenses Gems]]</f>
        <v>25500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1462</v>
      </c>
      <c r="Q38" s="94">
        <f ca="1">MAX(3750,_xlfn.CEILING.MATH(TblProd[[#This Row],[Land]]*2.5+OFFSET(TblTech[[#This Row],[Sum of tech]],-1,0)*150))</f>
        <v>3750</v>
      </c>
      <c r="R38" s="142"/>
      <c r="S38" s="94">
        <f ca="1">ROUNDDOWN(TblProd[[#This Row],[Raw Plat/hr]]*(1+TblProd[[#This Row],[Bonus Plat/hr]]),0)</f>
        <v>13673</v>
      </c>
      <c r="T38" s="94">
        <f ca="1">ROUND(TblProd[[#This Row],[Raw Food/hr]]*(1+TblProd[[#This Row],[Bonus Food/hr]])-TblProd[[#This Row],[Food decay]]-TblProd[[#This Row],[Food eaten]],0)</f>
        <v>616</v>
      </c>
      <c r="U38" s="94">
        <f ca="1">ROUND(TblProd[[#This Row],[Raw Lumber/hr]]*(1+TblProd[[#This Row],[Bonus Lumber/hr]])-TblProd[[#This Row],[Lumber rot]],0)</f>
        <v>604</v>
      </c>
      <c r="V38" s="94">
        <f ca="1">ROUND(TblProd[[#This Row],[Raw Mana/hr]]*(1+TblProd[[#This Row],[Bonus Mana/hr]])-TblProd[[#This Row],[Mana drain]],0)</f>
        <v>629</v>
      </c>
      <c r="W38" s="94">
        <f ca="1">ROUNDDOWN(TblProd[[#This Row],[Raw Ore/hr]]*(1+TblProd[[#This Row],[Bonux Ore/hr]]),0)</f>
        <v>0</v>
      </c>
      <c r="X38" s="94">
        <f ca="1">ROUNDDOWN(TblProd[[#This Row],[Raw Gems/hr]]*(1+TblProd[[#This Row],[Bonus Gems/hr]]),0)</f>
        <v>750</v>
      </c>
      <c r="Y38" s="155">
        <f ca="1">OFFSET(TblConstr[[#This Row],[Tot Doc]],1,0)*dock_boats_hr * (1 + tech_4_1*TblTech[[#This Row],[4-1]])</f>
        <v>0</v>
      </c>
      <c r="Z38" s="154"/>
      <c r="AA38" s="94">
        <f ca="1">TblPop[[#This Row],[Peasants]]*tax*TblPop[[#This Row],[Employment]] + (Construction!AZ39+Construction!BX39)*(alch_plat+(Magic!AN38&gt;0)*alchemist_flame_bonus)</f>
        <v>13673.7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1250</v>
      </c>
      <c r="AE38" s="94">
        <f ca="1">OFFSET(TblConstr[[#This Row],[Tot OM]],1,0)*om_ore+IF(race="Dwarf",TblMili[[#This Row],[Unit 2]]*0.5,0)</f>
        <v>0</v>
      </c>
      <c r="AF38" s="94">
        <f ca="1">OFFSET(TblConstr[[#This Row],[Tot DM]],1,0)*dm_gems</f>
        <v>750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401.1</v>
      </c>
      <c r="AP38" s="94">
        <f ca="1">(1+race_food_consumption)*TblPop[[#This Row],[Total]]*food_per_person*(1+tech_1_10*TblTech[[#This Row],[1-10]]+tech_7_5*TblTech[[#This Row],[7-5]] + IF(TblMagic[[#This Row],[Active Demonic Pact]]&gt;0,demonic_pact_food_cons,0))</f>
        <v>1563.25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621.06000000000006</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45816.416666666584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661521</v>
      </c>
      <c r="BJ38" s="94">
        <f ca="1">TblProd[[#This Row],[Food]]</f>
        <v>40110</v>
      </c>
      <c r="BK38" s="94">
        <f ca="1">TblProd[[#This Row],[Lumber]]</f>
        <v>39602</v>
      </c>
      <c r="BL38" s="94">
        <f ca="1">TblProd[[#This Row],[Mana]]</f>
        <v>31053</v>
      </c>
      <c r="BM38" s="94">
        <f ca="1">TblProd[[#This Row],[Ore]]</f>
        <v>0</v>
      </c>
    </row>
    <row r="39" spans="1:65" x14ac:dyDescent="0.2">
      <c r="A39" s="137">
        <v>36</v>
      </c>
      <c r="B39" s="152">
        <f ca="1">TblImps[[#This Row],[Time]]</f>
        <v>45816.458333333248</v>
      </c>
      <c r="C39" s="153"/>
      <c r="D39" s="154"/>
      <c r="E39" s="94">
        <f ca="1">TblConstr[[#This Row],[Land]]</f>
        <v>370</v>
      </c>
      <c r="F39" s="94">
        <f ca="1">TblPop[[#This Row],[Peasants]]</f>
        <v>4189</v>
      </c>
      <c r="G39" s="94">
        <f ca="1">TblMili[[#This Row],[Networth (2)]]</f>
        <v>9150</v>
      </c>
      <c r="H39" s="94">
        <f ca="1">OFFSET(TblProd[[#This Row],[Platinum]],-1,0)+OFFSET(TblProd[[#This Row],[Plat/hr]],-1,0) - TblProd[[#This Row],[Expenses Platinum]] + IF(TblProd[[#This Row],[Plat Bonus]],TblPop[[#This Row],[Peasants]]*4) + SUM(TblConstr[[#This Row],[Dest Hom]:[Dest Doc]])*TblConstr[[#This Row],[CPA Platinum -DB]]*tech_3_3_2*TblTech[[#This Row],[3-3]]</f>
        <v>675194</v>
      </c>
      <c r="I39" s="94">
        <f ca="1">OFFSET(TblProd[[#This Row],[Food]],-1,0)+OFFSET(TblProd[[#This Row],[Food/hr]],-1,0)+ROUNDUP((TblConstr[[#This Row],[Farms]]*80+TblConstr[[#This Row],[Docks]]*35)*(1+OFFSET(TblProd[[#This Row],[Bonus Food/hr]],-1,0)),0)</f>
        <v>40726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31682</v>
      </c>
      <c r="L39" s="94">
        <f ca="1">OFFSET(TblProd[[#This Row],[Ore]],-1,0)+OFFSET(TblProd[[#This Row],[Ore/hr]],-1,0) -TblProd[[#This Row],[Expenses Ore]]</f>
        <v>0</v>
      </c>
      <c r="M39" s="94">
        <f ca="1">OFFSET(TblProd[[#This Row],[Gems]],-1,0)+OFFSET(TblProd[[#This Row],[Gems/hr]],-1,0) - TblProd[[#This Row],[Expenses Gems]]</f>
        <v>26250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1505</v>
      </c>
      <c r="Q39" s="94">
        <f ca="1">MAX(3750,_xlfn.CEILING.MATH(TblProd[[#This Row],[Land]]*2.5+OFFSET(TblTech[[#This Row],[Sum of tech]],-1,0)*150))</f>
        <v>3750</v>
      </c>
      <c r="R39" s="142"/>
      <c r="S39" s="94">
        <f ca="1">ROUNDDOWN(TblProd[[#This Row],[Raw Plat/hr]]*(1+TblProd[[#This Row],[Bonus Plat/hr]]),0)</f>
        <v>13560</v>
      </c>
      <c r="T39" s="94">
        <f ca="1">ROUND(TblProd[[#This Row],[Raw Food/hr]]*(1+TblProd[[#This Row],[Bonus Food/hr]])-TblProd[[#This Row],[Food decay]]-TblProd[[#This Row],[Food eaten]],0)</f>
        <v>609</v>
      </c>
      <c r="U39" s="94">
        <f ca="1">ROUND(TblProd[[#This Row],[Raw Lumber/hr]]*(1+TblProd[[#This Row],[Bonus Lumber/hr]])-TblProd[[#This Row],[Lumber rot]],0)</f>
        <v>598</v>
      </c>
      <c r="V39" s="94">
        <f ca="1">ROUND(TblProd[[#This Row],[Raw Mana/hr]]*(1+TblProd[[#This Row],[Bonus Mana/hr]])-TblProd[[#This Row],[Mana drain]],0)</f>
        <v>616</v>
      </c>
      <c r="W39" s="94">
        <f ca="1">ROUNDDOWN(TblProd[[#This Row],[Raw Ore/hr]]*(1+TblProd[[#This Row],[Bonux Ore/hr]]),0)</f>
        <v>0</v>
      </c>
      <c r="X39" s="94">
        <f ca="1">ROUNDDOWN(TblProd[[#This Row],[Raw Gems/hr]]*(1+TblProd[[#This Row],[Bonus Gems/hr]]),0)</f>
        <v>750</v>
      </c>
      <c r="Y39" s="155">
        <f ca="1">OFFSET(TblConstr[[#This Row],[Tot Doc]],1,0)*dock_boats_hr * (1 + tech_4_1*TblTech[[#This Row],[4-1]])</f>
        <v>0</v>
      </c>
      <c r="Z39" s="154"/>
      <c r="AA39" s="94">
        <f ca="1">TblPop[[#This Row],[Peasants]]*tax*TblPop[[#This Row],[Employment]] + (Construction!AZ40+Construction!BX40)*(alch_plat+(Magic!AN39&gt;0)*alchemist_flame_bonus)</f>
        <v>13560.300000000001</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1250</v>
      </c>
      <c r="AE39" s="94">
        <f ca="1">OFFSET(TblConstr[[#This Row],[Tot OM]],1,0)*om_ore+IF(race="Dwarf",TblMili[[#This Row],[Unit 2]]*0.5,0)</f>
        <v>0</v>
      </c>
      <c r="AF39" s="94">
        <f ca="1">OFFSET(TblConstr[[#This Row],[Tot DM]],1,0)*dm_gems</f>
        <v>750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407.26</v>
      </c>
      <c r="AP39" s="94">
        <f ca="1">(1+race_food_consumption)*TblPop[[#This Row],[Total]]*food_per_person*(1+tech_1_10*TblTech[[#This Row],[1-10]]+tech_7_5*TblTech[[#This Row],[7-5]] + IF(TblMagic[[#This Row],[Active Demonic Pact]]&gt;0,demonic_pact_food_cons,0))</f>
        <v>1563.25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633.64</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45816.458333333248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675194</v>
      </c>
      <c r="BJ39" s="94">
        <f ca="1">TblProd[[#This Row],[Food]]</f>
        <v>40726</v>
      </c>
      <c r="BK39" s="94">
        <f ca="1">TblProd[[#This Row],[Lumber]]</f>
        <v>40206</v>
      </c>
      <c r="BL39" s="94">
        <f ca="1">TblProd[[#This Row],[Mana]]</f>
        <v>31682</v>
      </c>
      <c r="BM39" s="94">
        <f ca="1">TblProd[[#This Row],[Ore]]</f>
        <v>0</v>
      </c>
    </row>
    <row r="40" spans="1:65" x14ac:dyDescent="0.2">
      <c r="A40" s="137">
        <v>37</v>
      </c>
      <c r="B40" s="152">
        <f ca="1">TblImps[[#This Row],[Time]]</f>
        <v>45816.499999999913</v>
      </c>
      <c r="C40" s="153"/>
      <c r="D40" s="154"/>
      <c r="E40" s="94">
        <f ca="1">TblConstr[[#This Row],[Land]]</f>
        <v>370</v>
      </c>
      <c r="F40" s="94">
        <f ca="1">TblPop[[#This Row],[Peasants]]</f>
        <v>4147</v>
      </c>
      <c r="G40" s="94">
        <f ca="1">TblMili[[#This Row],[Networth (2)]]</f>
        <v>9150</v>
      </c>
      <c r="H40" s="94">
        <f ca="1">OFFSET(TblProd[[#This Row],[Platinum]],-1,0)+OFFSET(TblProd[[#This Row],[Plat/hr]],-1,0) - TblProd[[#This Row],[Expenses Platinum]] + IF(TblProd[[#This Row],[Plat Bonus]],TblPop[[#This Row],[Peasants]]*4) + SUM(TblConstr[[#This Row],[Dest Hom]:[Dest Doc]])*TblConstr[[#This Row],[CPA Platinum -DB]]*tech_3_3_2*TblTech[[#This Row],[3-3]]</f>
        <v>688754</v>
      </c>
      <c r="I40" s="94">
        <f ca="1">OFFSET(TblProd[[#This Row],[Food]],-1,0)+OFFSET(TblProd[[#This Row],[Food/hr]],-1,0)+ROUNDUP((TblConstr[[#This Row],[Farms]]*80+TblConstr[[#This Row],[Docks]]*35)*(1+OFFSET(TblProd[[#This Row],[Bonus Food/hr]],-1,0)),0)</f>
        <v>41335</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32298</v>
      </c>
      <c r="L40" s="94">
        <f ca="1">OFFSET(TblProd[[#This Row],[Ore]],-1,0)+OFFSET(TblProd[[#This Row],[Ore/hr]],-1,0) -TblProd[[#This Row],[Expenses Ore]]</f>
        <v>0</v>
      </c>
      <c r="M40" s="94">
        <f ca="1">OFFSET(TblProd[[#This Row],[Gems]],-1,0)+OFFSET(TblProd[[#This Row],[Gems/hr]],-1,0) - TblProd[[#This Row],[Expenses Gems]]</f>
        <v>27000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1548</v>
      </c>
      <c r="Q40" s="94">
        <f ca="1">MAX(3750,_xlfn.CEILING.MATH(TblProd[[#This Row],[Land]]*2.5+OFFSET(TblTech[[#This Row],[Sum of tech]],-1,0)*150))</f>
        <v>3750</v>
      </c>
      <c r="R40" s="142"/>
      <c r="S40" s="94">
        <f ca="1">ROUNDDOWN(TblProd[[#This Row],[Raw Plat/hr]]*(1+TblProd[[#This Row],[Bonus Plat/hr]]),0)</f>
        <v>13446</v>
      </c>
      <c r="T40" s="94">
        <f ca="1">ROUND(TblProd[[#This Row],[Raw Food/hr]]*(1+TblProd[[#This Row],[Bonus Food/hr]])-TblProd[[#This Row],[Food decay]]-TblProd[[#This Row],[Food eaten]],0)</f>
        <v>603</v>
      </c>
      <c r="U40" s="94">
        <f ca="1">ROUND(TblProd[[#This Row],[Raw Lumber/hr]]*(1+TblProd[[#This Row],[Bonus Lumber/hr]])-TblProd[[#This Row],[Lumber rot]],0)</f>
        <v>592</v>
      </c>
      <c r="V40" s="94">
        <f ca="1">ROUND(TblProd[[#This Row],[Raw Mana/hr]]*(1+TblProd[[#This Row],[Bonus Mana/hr]])-TblProd[[#This Row],[Mana drain]],0)</f>
        <v>604</v>
      </c>
      <c r="W40" s="94">
        <f ca="1">ROUNDDOWN(TblProd[[#This Row],[Raw Ore/hr]]*(1+TblProd[[#This Row],[Bonux Ore/hr]]),0)</f>
        <v>0</v>
      </c>
      <c r="X40" s="94">
        <f ca="1">ROUNDDOWN(TblProd[[#This Row],[Raw Gems/hr]]*(1+TblProd[[#This Row],[Bonus Gems/hr]]),0)</f>
        <v>750</v>
      </c>
      <c r="Y40" s="155">
        <f ca="1">OFFSET(TblConstr[[#This Row],[Tot Doc]],1,0)*dock_boats_hr * (1 + tech_4_1*TblTech[[#This Row],[4-1]])</f>
        <v>0</v>
      </c>
      <c r="Z40" s="154"/>
      <c r="AA40" s="94">
        <f ca="1">TblPop[[#This Row],[Peasants]]*tax*TblPop[[#This Row],[Employment]] + (Construction!AZ41+Construction!BX41)*(alch_plat+(Magic!AN40&gt;0)*alchemist_flame_bonus)</f>
        <v>13446.900000000001</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1250</v>
      </c>
      <c r="AE40" s="94">
        <f ca="1">OFFSET(TblConstr[[#This Row],[Tot OM]],1,0)*om_ore+IF(race="Dwarf",TblMili[[#This Row],[Unit 2]]*0.5,0)</f>
        <v>0</v>
      </c>
      <c r="AF40" s="94">
        <f ca="1">OFFSET(TblConstr[[#This Row],[Tot DM]],1,0)*dm_gems</f>
        <v>750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413.35</v>
      </c>
      <c r="AP40" s="94">
        <f ca="1">(1+race_food_consumption)*TblPop[[#This Row],[Total]]*food_per_person*(1+tech_1_10*TblTech[[#This Row],[1-10]]+tech_7_5*TblTech[[#This Row],[7-5]] + IF(TblMagic[[#This Row],[Active Demonic Pact]]&gt;0,demonic_pact_food_cons,0))</f>
        <v>1563.25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645.96</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45816.499999999913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688754</v>
      </c>
      <c r="BJ40" s="94">
        <f ca="1">TblProd[[#This Row],[Food]]</f>
        <v>41335</v>
      </c>
      <c r="BK40" s="94">
        <f ca="1">TblProd[[#This Row],[Lumber]]</f>
        <v>40804</v>
      </c>
      <c r="BL40" s="94">
        <f ca="1">TblProd[[#This Row],[Mana]]</f>
        <v>32298</v>
      </c>
      <c r="BM40" s="94">
        <f ca="1">TblProd[[#This Row],[Ore]]</f>
        <v>0</v>
      </c>
    </row>
    <row r="41" spans="1:65" x14ac:dyDescent="0.2">
      <c r="A41" s="137">
        <v>38</v>
      </c>
      <c r="B41" s="152">
        <f ca="1">TblImps[[#This Row],[Time]]</f>
        <v>45816.541666666577</v>
      </c>
      <c r="C41" s="153"/>
      <c r="D41" s="154"/>
      <c r="E41" s="94">
        <f ca="1">TblConstr[[#This Row],[Land]]</f>
        <v>370</v>
      </c>
      <c r="F41" s="94">
        <f ca="1">TblPop[[#This Row],[Peasants]]</f>
        <v>4106</v>
      </c>
      <c r="G41" s="94">
        <f ca="1">TblMili[[#This Row],[Networth (2)]]</f>
        <v>9150</v>
      </c>
      <c r="H41" s="94">
        <f ca="1">OFFSET(TblProd[[#This Row],[Platinum]],-1,0)+OFFSET(TblProd[[#This Row],[Plat/hr]],-1,0) - TblProd[[#This Row],[Expenses Platinum]] + IF(TblProd[[#This Row],[Plat Bonus]],TblPop[[#This Row],[Peasants]]*4) + SUM(TblConstr[[#This Row],[Dest Hom]:[Dest Doc]])*TblConstr[[#This Row],[CPA Platinum -DB]]*tech_3_3_2*TblTech[[#This Row],[3-3]]</f>
        <v>702200</v>
      </c>
      <c r="I41" s="94">
        <f ca="1">OFFSET(TblProd[[#This Row],[Food]],-1,0)+OFFSET(TblProd[[#This Row],[Food/hr]],-1,0)+ROUNDUP((TblConstr[[#This Row],[Farms]]*80+TblConstr[[#This Row],[Docks]]*35)*(1+OFFSET(TblProd[[#This Row],[Bonus Food/hr]],-1,0)),0)</f>
        <v>41938</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32902</v>
      </c>
      <c r="L41" s="94">
        <f ca="1">OFFSET(TblProd[[#This Row],[Ore]],-1,0)+OFFSET(TblProd[[#This Row],[Ore/hr]],-1,0) -TblProd[[#This Row],[Expenses Ore]]</f>
        <v>0</v>
      </c>
      <c r="M41" s="94">
        <f ca="1">OFFSET(TblProd[[#This Row],[Gems]],-1,0)+OFFSET(TblProd[[#This Row],[Gems/hr]],-1,0) - TblProd[[#This Row],[Expenses Gems]]</f>
        <v>27750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1591</v>
      </c>
      <c r="Q41" s="94">
        <f ca="1">MAX(3750,_xlfn.CEILING.MATH(TblProd[[#This Row],[Land]]*2.5+OFFSET(TblTech[[#This Row],[Sum of tech]],-1,0)*150))</f>
        <v>3750</v>
      </c>
      <c r="R41" s="142"/>
      <c r="S41" s="94">
        <f ca="1">ROUNDDOWN(TblProd[[#This Row],[Raw Plat/hr]]*(1+TblProd[[#This Row],[Bonus Plat/hr]]),0)</f>
        <v>13336</v>
      </c>
      <c r="T41" s="94">
        <f ca="1">ROUND(TblProd[[#This Row],[Raw Food/hr]]*(1+TblProd[[#This Row],[Bonus Food/hr]])-TblProd[[#This Row],[Food decay]]-TblProd[[#This Row],[Food eaten]],0)</f>
        <v>597</v>
      </c>
      <c r="U41" s="94">
        <f ca="1">ROUND(TblProd[[#This Row],[Raw Lumber/hr]]*(1+TblProd[[#This Row],[Bonus Lumber/hr]])-TblProd[[#This Row],[Lumber rot]],0)</f>
        <v>586</v>
      </c>
      <c r="V41" s="94">
        <f ca="1">ROUND(TblProd[[#This Row],[Raw Mana/hr]]*(1+TblProd[[#This Row],[Bonus Mana/hr]])-TblProd[[#This Row],[Mana drain]],0)</f>
        <v>592</v>
      </c>
      <c r="W41" s="94">
        <f ca="1">ROUNDDOWN(TblProd[[#This Row],[Raw Ore/hr]]*(1+TblProd[[#This Row],[Bonux Ore/hr]]),0)</f>
        <v>0</v>
      </c>
      <c r="X41" s="94">
        <f ca="1">ROUNDDOWN(TblProd[[#This Row],[Raw Gems/hr]]*(1+TblProd[[#This Row],[Bonus Gems/hr]]),0)</f>
        <v>750</v>
      </c>
      <c r="Y41" s="155">
        <f ca="1">OFFSET(TblConstr[[#This Row],[Tot Doc]],1,0)*dock_boats_hr * (1 + tech_4_1*TblTech[[#This Row],[4-1]])</f>
        <v>0</v>
      </c>
      <c r="Z41" s="154"/>
      <c r="AA41" s="94">
        <f ca="1">TblPop[[#This Row],[Peasants]]*tax*TblPop[[#This Row],[Employment]] + (Construction!AZ42+Construction!BX42)*(alch_plat+(Magic!AN41&gt;0)*alchemist_flame_bonus)</f>
        <v>13336.2</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1250</v>
      </c>
      <c r="AE41" s="94">
        <f ca="1">OFFSET(TblConstr[[#This Row],[Tot OM]],1,0)*om_ore+IF(race="Dwarf",TblMili[[#This Row],[Unit 2]]*0.5,0)</f>
        <v>0</v>
      </c>
      <c r="AF41" s="94">
        <f ca="1">OFFSET(TblConstr[[#This Row],[Tot DM]],1,0)*dm_gems</f>
        <v>750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419.38</v>
      </c>
      <c r="AP41" s="94">
        <f ca="1">(1+race_food_consumption)*TblPop[[#This Row],[Total]]*food_per_person*(1+tech_1_10*TblTech[[#This Row],[1-10]]+tech_7_5*TblTech[[#This Row],[7-5]] + IF(TblMagic[[#This Row],[Active Demonic Pact]]&gt;0,demonic_pact_food_cons,0))</f>
        <v>1563.25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658.04</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45816.541666666577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702200</v>
      </c>
      <c r="BJ41" s="94">
        <f ca="1">TblProd[[#This Row],[Food]]</f>
        <v>41938</v>
      </c>
      <c r="BK41" s="94">
        <f ca="1">TblProd[[#This Row],[Lumber]]</f>
        <v>41396</v>
      </c>
      <c r="BL41" s="94">
        <f ca="1">TblProd[[#This Row],[Mana]]</f>
        <v>32902</v>
      </c>
      <c r="BM41" s="94">
        <f ca="1">TblProd[[#This Row],[Ore]]</f>
        <v>0</v>
      </c>
    </row>
    <row r="42" spans="1:65" x14ac:dyDescent="0.2">
      <c r="A42" s="137">
        <v>39</v>
      </c>
      <c r="B42" s="152">
        <f ca="1">TblImps[[#This Row],[Time]]</f>
        <v>45816.583333333241</v>
      </c>
      <c r="C42" s="153"/>
      <c r="D42" s="154"/>
      <c r="E42" s="94">
        <f ca="1">TblConstr[[#This Row],[Land]]</f>
        <v>370</v>
      </c>
      <c r="F42" s="94">
        <f ca="1">TblPop[[#This Row],[Peasants]]</f>
        <v>4065</v>
      </c>
      <c r="G42" s="94">
        <f ca="1">TblMili[[#This Row],[Networth (2)]]</f>
        <v>9150</v>
      </c>
      <c r="H42" s="94">
        <f ca="1">OFFSET(TblProd[[#This Row],[Platinum]],-1,0)+OFFSET(TblProd[[#This Row],[Plat/hr]],-1,0) - TblProd[[#This Row],[Expenses Platinum]] + IF(TblProd[[#This Row],[Plat Bonus]],TblPop[[#This Row],[Peasants]]*4) + SUM(TblConstr[[#This Row],[Dest Hom]:[Dest Doc]])*TblConstr[[#This Row],[CPA Platinum -DB]]*tech_3_3_2*TblTech[[#This Row],[3-3]]</f>
        <v>715536</v>
      </c>
      <c r="I42" s="94">
        <f ca="1">OFFSET(TblProd[[#This Row],[Food]],-1,0)+OFFSET(TblProd[[#This Row],[Food/hr]],-1,0)+ROUNDUP((TblConstr[[#This Row],[Farms]]*80+TblConstr[[#This Row],[Docks]]*35)*(1+OFFSET(TblProd[[#This Row],[Bonus Food/hr]],-1,0)),0)</f>
        <v>42535</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33494</v>
      </c>
      <c r="L42" s="94">
        <f ca="1">OFFSET(TblProd[[#This Row],[Ore]],-1,0)+OFFSET(TblProd[[#This Row],[Ore/hr]],-1,0) -TblProd[[#This Row],[Expenses Ore]]</f>
        <v>0</v>
      </c>
      <c r="M42" s="94">
        <f ca="1">OFFSET(TblProd[[#This Row],[Gems]],-1,0)+OFFSET(TblProd[[#This Row],[Gems/hr]],-1,0) - TblProd[[#This Row],[Expenses Gems]]</f>
        <v>28500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1634</v>
      </c>
      <c r="Q42" s="94">
        <f ca="1">MAX(3750,_xlfn.CEILING.MATH(TblProd[[#This Row],[Land]]*2.5+OFFSET(TblTech[[#This Row],[Sum of tech]],-1,0)*150))</f>
        <v>3750</v>
      </c>
      <c r="R42" s="142"/>
      <c r="S42" s="94">
        <f ca="1">ROUNDDOWN(TblProd[[#This Row],[Raw Plat/hr]]*(1+TblProd[[#This Row],[Bonus Plat/hr]]),0)</f>
        <v>13225</v>
      </c>
      <c r="T42" s="94">
        <f ca="1">ROUND(TblProd[[#This Row],[Raw Food/hr]]*(1+TblProd[[#This Row],[Bonus Food/hr]])-TblProd[[#This Row],[Food decay]]-TblProd[[#This Row],[Food eaten]],0)</f>
        <v>591</v>
      </c>
      <c r="U42" s="94">
        <f ca="1">ROUND(TblProd[[#This Row],[Raw Lumber/hr]]*(1+TblProd[[#This Row],[Bonus Lumber/hr]])-TblProd[[#This Row],[Lumber rot]],0)</f>
        <v>580</v>
      </c>
      <c r="V42" s="94">
        <f ca="1">ROUND(TblProd[[#This Row],[Raw Mana/hr]]*(1+TblProd[[#This Row],[Bonus Mana/hr]])-TblProd[[#This Row],[Mana drain]],0)</f>
        <v>580</v>
      </c>
      <c r="W42" s="94">
        <f ca="1">ROUNDDOWN(TblProd[[#This Row],[Raw Ore/hr]]*(1+TblProd[[#This Row],[Bonux Ore/hr]]),0)</f>
        <v>0</v>
      </c>
      <c r="X42" s="94">
        <f ca="1">ROUNDDOWN(TblProd[[#This Row],[Raw Gems/hr]]*(1+TblProd[[#This Row],[Bonus Gems/hr]]),0)</f>
        <v>750</v>
      </c>
      <c r="Y42" s="155">
        <f ca="1">OFFSET(TblConstr[[#This Row],[Tot Doc]],1,0)*dock_boats_hr * (1 + tech_4_1*TblTech[[#This Row],[4-1]])</f>
        <v>0</v>
      </c>
      <c r="Z42" s="154"/>
      <c r="AA42" s="94">
        <f ca="1">TblPop[[#This Row],[Peasants]]*tax*TblPop[[#This Row],[Employment]] + (Construction!AZ43+Construction!BX43)*(alch_plat+(Magic!AN42&gt;0)*alchemist_flame_bonus)</f>
        <v>13225.5</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1250</v>
      </c>
      <c r="AE42" s="94">
        <f ca="1">OFFSET(TblConstr[[#This Row],[Tot OM]],1,0)*om_ore+IF(race="Dwarf",TblMili[[#This Row],[Unit 2]]*0.5,0)</f>
        <v>0</v>
      </c>
      <c r="AF42" s="94">
        <f ca="1">OFFSET(TblConstr[[#This Row],[Tot DM]],1,0)*dm_gems</f>
        <v>750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425.35</v>
      </c>
      <c r="AP42" s="94">
        <f ca="1">(1+race_food_consumption)*TblPop[[#This Row],[Total]]*food_per_person*(1+tech_1_10*TblTech[[#This Row],[1-10]]+tech_7_5*TblTech[[#This Row],[7-5]] + IF(TblMagic[[#This Row],[Active Demonic Pact]]&gt;0,demonic_pact_food_cons,0))</f>
        <v>1563.25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669.88</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45816.583333333241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715536</v>
      </c>
      <c r="BJ42" s="94">
        <f ca="1">TblProd[[#This Row],[Food]]</f>
        <v>42535</v>
      </c>
      <c r="BK42" s="94">
        <f ca="1">TblProd[[#This Row],[Lumber]]</f>
        <v>41982</v>
      </c>
      <c r="BL42" s="94">
        <f ca="1">TblProd[[#This Row],[Mana]]</f>
        <v>33494</v>
      </c>
      <c r="BM42" s="94">
        <f ca="1">TblProd[[#This Row],[Ore]]</f>
        <v>0</v>
      </c>
    </row>
    <row r="43" spans="1:65" x14ac:dyDescent="0.2">
      <c r="A43" s="137">
        <v>40</v>
      </c>
      <c r="B43" s="152">
        <f ca="1">TblImps[[#This Row],[Time]]</f>
        <v>45816.624999999905</v>
      </c>
      <c r="C43" s="153"/>
      <c r="D43" s="154"/>
      <c r="E43" s="94">
        <f ca="1">TblConstr[[#This Row],[Land]]</f>
        <v>370</v>
      </c>
      <c r="F43" s="94">
        <f ca="1">TblPop[[#This Row],[Peasants]]</f>
        <v>4024</v>
      </c>
      <c r="G43" s="94">
        <f ca="1">TblMili[[#This Row],[Networth (2)]]</f>
        <v>9150</v>
      </c>
      <c r="H43" s="94">
        <f ca="1">OFFSET(TblProd[[#This Row],[Platinum]],-1,0)+OFFSET(TblProd[[#This Row],[Plat/hr]],-1,0) - TblProd[[#This Row],[Expenses Platinum]] + IF(TblProd[[#This Row],[Plat Bonus]],TblPop[[#This Row],[Peasants]]*4) + SUM(TblConstr[[#This Row],[Dest Hom]:[Dest Doc]])*TblConstr[[#This Row],[CPA Platinum -DB]]*tech_3_3_2*TblTech[[#This Row],[3-3]]</f>
        <v>728761</v>
      </c>
      <c r="I43" s="94">
        <f ca="1">OFFSET(TblProd[[#This Row],[Food]],-1,0)+OFFSET(TblProd[[#This Row],[Food/hr]],-1,0)+ROUNDUP((TblConstr[[#This Row],[Farms]]*80+TblConstr[[#This Row],[Docks]]*35)*(1+OFFSET(TblProd[[#This Row],[Bonus Food/hr]],-1,0)),0)</f>
        <v>43126</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34074</v>
      </c>
      <c r="L43" s="94">
        <f ca="1">OFFSET(TblProd[[#This Row],[Ore]],-1,0)+OFFSET(TblProd[[#This Row],[Ore/hr]],-1,0) -TblProd[[#This Row],[Expenses Ore]]</f>
        <v>0</v>
      </c>
      <c r="M43" s="94">
        <f ca="1">OFFSET(TblProd[[#This Row],[Gems]],-1,0)+OFFSET(TblProd[[#This Row],[Gems/hr]],-1,0) - TblProd[[#This Row],[Expenses Gems]]</f>
        <v>29250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1677</v>
      </c>
      <c r="Q43" s="94">
        <f ca="1">MAX(3750,_xlfn.CEILING.MATH(TblProd[[#This Row],[Land]]*2.5+OFFSET(TblTech[[#This Row],[Sum of tech]],-1,0)*150))</f>
        <v>3750</v>
      </c>
      <c r="R43" s="142"/>
      <c r="S43" s="94">
        <f ca="1">ROUNDDOWN(TblProd[[#This Row],[Raw Plat/hr]]*(1+TblProd[[#This Row],[Bonus Plat/hr]]),0)</f>
        <v>13114</v>
      </c>
      <c r="T43" s="94">
        <f ca="1">ROUND(TblProd[[#This Row],[Raw Food/hr]]*(1+TblProd[[#This Row],[Bonus Food/hr]])-TblProd[[#This Row],[Food decay]]-TblProd[[#This Row],[Food eaten]],0)</f>
        <v>585</v>
      </c>
      <c r="U43" s="94">
        <f ca="1">ROUND(TblProd[[#This Row],[Raw Lumber/hr]]*(1+TblProd[[#This Row],[Bonus Lumber/hr]])-TblProd[[#This Row],[Lumber rot]],0)</f>
        <v>574</v>
      </c>
      <c r="V43" s="94">
        <f ca="1">ROUND(TblProd[[#This Row],[Raw Mana/hr]]*(1+TblProd[[#This Row],[Bonus Mana/hr]])-TblProd[[#This Row],[Mana drain]],0)</f>
        <v>569</v>
      </c>
      <c r="W43" s="94">
        <f ca="1">ROUNDDOWN(TblProd[[#This Row],[Raw Ore/hr]]*(1+TblProd[[#This Row],[Bonux Ore/hr]]),0)</f>
        <v>0</v>
      </c>
      <c r="X43" s="94">
        <f ca="1">ROUNDDOWN(TblProd[[#This Row],[Raw Gems/hr]]*(1+TblProd[[#This Row],[Bonus Gems/hr]]),0)</f>
        <v>750</v>
      </c>
      <c r="Y43" s="155">
        <f ca="1">OFFSET(TblConstr[[#This Row],[Tot Doc]],1,0)*dock_boats_hr * (1 + tech_4_1*TblTech[[#This Row],[4-1]])</f>
        <v>0</v>
      </c>
      <c r="Z43" s="154"/>
      <c r="AA43" s="94">
        <f ca="1">TblPop[[#This Row],[Peasants]]*tax*TblPop[[#This Row],[Employment]] + (Construction!AZ44+Construction!BX44)*(alch_plat+(Magic!AN43&gt;0)*alchemist_flame_bonus)</f>
        <v>13114.800000000001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1250</v>
      </c>
      <c r="AE43" s="94">
        <f ca="1">OFFSET(TblConstr[[#This Row],[Tot OM]],1,0)*om_ore+IF(race="Dwarf",TblMili[[#This Row],[Unit 2]]*0.5,0)</f>
        <v>0</v>
      </c>
      <c r="AF43" s="94">
        <f ca="1">OFFSET(TblConstr[[#This Row],[Tot DM]],1,0)*dm_gems</f>
        <v>750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431.26</v>
      </c>
      <c r="AP43" s="94">
        <f ca="1">(1+race_food_consumption)*TblPop[[#This Row],[Total]]*food_per_person*(1+tech_1_10*TblTech[[#This Row],[1-10]]+tech_7_5*TblTech[[#This Row],[7-5]] + IF(TblMagic[[#This Row],[Active Demonic Pact]]&gt;0,demonic_pact_food_cons,0))</f>
        <v>1563.25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681.48</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45816.624999999905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728761</v>
      </c>
      <c r="BJ43" s="94">
        <f ca="1">TblProd[[#This Row],[Food]]</f>
        <v>43126</v>
      </c>
      <c r="BK43" s="94">
        <f ca="1">TblProd[[#This Row],[Lumber]]</f>
        <v>42562</v>
      </c>
      <c r="BL43" s="94">
        <f ca="1">TblProd[[#This Row],[Mana]]</f>
        <v>34074</v>
      </c>
      <c r="BM43" s="94">
        <f ca="1">TblProd[[#This Row],[Ore]]</f>
        <v>0</v>
      </c>
    </row>
    <row r="44" spans="1:65" x14ac:dyDescent="0.2">
      <c r="A44" s="137">
        <v>41</v>
      </c>
      <c r="B44" s="152">
        <f ca="1">TblImps[[#This Row],[Time]]</f>
        <v>45816.66666666657</v>
      </c>
      <c r="C44" s="153"/>
      <c r="D44" s="154"/>
      <c r="E44" s="94">
        <f ca="1">TblConstr[[#This Row],[Land]]</f>
        <v>370</v>
      </c>
      <c r="F44" s="94">
        <f ca="1">TblPop[[#This Row],[Peasants]]</f>
        <v>3984</v>
      </c>
      <c r="G44" s="94">
        <f ca="1">TblMili[[#This Row],[Networth (2)]]</f>
        <v>9150</v>
      </c>
      <c r="H44" s="94">
        <f ca="1">OFFSET(TblProd[[#This Row],[Platinum]],-1,0)+OFFSET(TblProd[[#This Row],[Plat/hr]],-1,0) - TblProd[[#This Row],[Expenses Platinum]] + IF(TblProd[[#This Row],[Plat Bonus]],TblPop[[#This Row],[Peasants]]*4) + SUM(TblConstr[[#This Row],[Dest Hom]:[Dest Doc]])*TblConstr[[#This Row],[CPA Platinum -DB]]*tech_3_3_2*TblTech[[#This Row],[3-3]]</f>
        <v>741875</v>
      </c>
      <c r="I44" s="94">
        <f ca="1">OFFSET(TblProd[[#This Row],[Food]],-1,0)+OFFSET(TblProd[[#This Row],[Food/hr]],-1,0)+ROUNDUP((TblConstr[[#This Row],[Farms]]*80+TblConstr[[#This Row],[Docks]]*35)*(1+OFFSET(TblProd[[#This Row],[Bonus Food/hr]],-1,0)),0)</f>
        <v>43711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34643</v>
      </c>
      <c r="L44" s="94">
        <f ca="1">OFFSET(TblProd[[#This Row],[Ore]],-1,0)+OFFSET(TblProd[[#This Row],[Ore/hr]],-1,0) -TblProd[[#This Row],[Expenses Ore]]</f>
        <v>0</v>
      </c>
      <c r="M44" s="94">
        <f ca="1">OFFSET(TblProd[[#This Row],[Gems]],-1,0)+OFFSET(TblProd[[#This Row],[Gems/hr]],-1,0) - TblProd[[#This Row],[Expenses Gems]]</f>
        <v>30000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1720</v>
      </c>
      <c r="Q44" s="94">
        <f ca="1">MAX(3750,_xlfn.CEILING.MATH(TblProd[[#This Row],[Land]]*2.5+OFFSET(TblTech[[#This Row],[Sum of tech]],-1,0)*150))</f>
        <v>3750</v>
      </c>
      <c r="R44" s="142"/>
      <c r="S44" s="94">
        <f ca="1">ROUNDDOWN(TblProd[[#This Row],[Raw Plat/hr]]*(1+TblProd[[#This Row],[Bonus Plat/hr]]),0)</f>
        <v>13006</v>
      </c>
      <c r="T44" s="94">
        <f ca="1">ROUND(TblProd[[#This Row],[Raw Food/hr]]*(1+TblProd[[#This Row],[Bonus Food/hr]])-TblProd[[#This Row],[Food decay]]-TblProd[[#This Row],[Food eaten]],0)</f>
        <v>580</v>
      </c>
      <c r="U44" s="94">
        <f ca="1">ROUND(TblProd[[#This Row],[Raw Lumber/hr]]*(1+TblProd[[#This Row],[Bonus Lumber/hr]])-TblProd[[#This Row],[Lumber rot]],0)</f>
        <v>569</v>
      </c>
      <c r="V44" s="94">
        <f ca="1">ROUND(TblProd[[#This Row],[Raw Mana/hr]]*(1+TblProd[[#This Row],[Bonus Mana/hr]])-TblProd[[#This Row],[Mana drain]],0)</f>
        <v>557</v>
      </c>
      <c r="W44" s="94">
        <f ca="1">ROUNDDOWN(TblProd[[#This Row],[Raw Ore/hr]]*(1+TblProd[[#This Row],[Bonux Ore/hr]]),0)</f>
        <v>0</v>
      </c>
      <c r="X44" s="94">
        <f ca="1">ROUNDDOWN(TblProd[[#This Row],[Raw Gems/hr]]*(1+TblProd[[#This Row],[Bonus Gems/hr]]),0)</f>
        <v>750</v>
      </c>
      <c r="Y44" s="155">
        <f ca="1">OFFSET(TblConstr[[#This Row],[Tot Doc]],1,0)*dock_boats_hr * (1 + tech_4_1*TblTech[[#This Row],[4-1]])</f>
        <v>0</v>
      </c>
      <c r="Z44" s="154"/>
      <c r="AA44" s="94">
        <f ca="1">TblPop[[#This Row],[Peasants]]*tax*TblPop[[#This Row],[Employment]] + (Construction!AZ45+Construction!BX45)*(alch_plat+(Magic!AN44&gt;0)*alchemist_flame_bonus)</f>
        <v>13006.800000000001</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1250</v>
      </c>
      <c r="AE44" s="94">
        <f ca="1">OFFSET(TblConstr[[#This Row],[Tot OM]],1,0)*om_ore+IF(race="Dwarf",TblMili[[#This Row],[Unit 2]]*0.5,0)</f>
        <v>0</v>
      </c>
      <c r="AF44" s="94">
        <f ca="1">OFFSET(TblConstr[[#This Row],[Tot DM]],1,0)*dm_gems</f>
        <v>750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437.11</v>
      </c>
      <c r="AP44" s="94">
        <f ca="1">(1+race_food_consumption)*TblPop[[#This Row],[Total]]*food_per_person*(1+tech_1_10*TblTech[[#This Row],[1-10]]+tech_7_5*TblTech[[#This Row],[7-5]] + IF(TblMagic[[#This Row],[Active Demonic Pact]]&gt;0,demonic_pact_food_cons,0))</f>
        <v>1563.25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692.86</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45816.66666666657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741875</v>
      </c>
      <c r="BJ44" s="94">
        <f ca="1">TblProd[[#This Row],[Food]]</f>
        <v>43711</v>
      </c>
      <c r="BK44" s="94">
        <f ca="1">TblProd[[#This Row],[Lumber]]</f>
        <v>43136</v>
      </c>
      <c r="BL44" s="94">
        <f ca="1">TblProd[[#This Row],[Mana]]</f>
        <v>34643</v>
      </c>
      <c r="BM44" s="94">
        <f ca="1">TblProd[[#This Row],[Ore]]</f>
        <v>0</v>
      </c>
    </row>
    <row r="45" spans="1:65" x14ac:dyDescent="0.2">
      <c r="A45" s="137">
        <v>42</v>
      </c>
      <c r="B45" s="152">
        <f ca="1">TblImps[[#This Row],[Time]]</f>
        <v>45816.708333333234</v>
      </c>
      <c r="C45" s="153"/>
      <c r="D45" s="154"/>
      <c r="E45" s="94">
        <f ca="1">TblConstr[[#This Row],[Land]]</f>
        <v>370</v>
      </c>
      <c r="F45" s="94">
        <f ca="1">TblPop[[#This Row],[Peasants]]</f>
        <v>3944</v>
      </c>
      <c r="G45" s="94">
        <f ca="1">TblMili[[#This Row],[Networth (2)]]</f>
        <v>9150</v>
      </c>
      <c r="H45" s="94">
        <f ca="1">OFFSET(TblProd[[#This Row],[Platinum]],-1,0)+OFFSET(TblProd[[#This Row],[Plat/hr]],-1,0) - TblProd[[#This Row],[Expenses Platinum]] + IF(TblProd[[#This Row],[Plat Bonus]],TblPop[[#This Row],[Peasants]]*4) + SUM(TblConstr[[#This Row],[Dest Hom]:[Dest Doc]])*TblConstr[[#This Row],[CPA Platinum -DB]]*tech_3_3_2*TblTech[[#This Row],[3-3]]</f>
        <v>754881</v>
      </c>
      <c r="I45" s="94">
        <f ca="1">OFFSET(TblProd[[#This Row],[Food]],-1,0)+OFFSET(TblProd[[#This Row],[Food/hr]],-1,0)+ROUNDUP((TblConstr[[#This Row],[Farms]]*80+TblConstr[[#This Row],[Docks]]*35)*(1+OFFSET(TblProd[[#This Row],[Bonus Food/hr]],-1,0)),0)</f>
        <v>44291</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35200</v>
      </c>
      <c r="L45" s="94">
        <f ca="1">OFFSET(TblProd[[#This Row],[Ore]],-1,0)+OFFSET(TblProd[[#This Row],[Ore/hr]],-1,0) -TblProd[[#This Row],[Expenses Ore]]</f>
        <v>0</v>
      </c>
      <c r="M45" s="94">
        <f ca="1">OFFSET(TblProd[[#This Row],[Gems]],-1,0)+OFFSET(TblProd[[#This Row],[Gems/hr]],-1,0) - TblProd[[#This Row],[Expenses Gems]]</f>
        <v>30750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1763</v>
      </c>
      <c r="Q45" s="94">
        <f ca="1">MAX(3750,_xlfn.CEILING.MATH(TblProd[[#This Row],[Land]]*2.5+OFFSET(TblTech[[#This Row],[Sum of tech]],-1,0)*150))</f>
        <v>3750</v>
      </c>
      <c r="R45" s="142"/>
      <c r="S45" s="94">
        <f ca="1">ROUNDDOWN(TblProd[[#This Row],[Raw Plat/hr]]*(1+TblProd[[#This Row],[Bonus Plat/hr]]),0)</f>
        <v>12898</v>
      </c>
      <c r="T45" s="94">
        <f ca="1">ROUND(TblProd[[#This Row],[Raw Food/hr]]*(1+TblProd[[#This Row],[Bonus Food/hr]])-TblProd[[#This Row],[Food decay]]-TblProd[[#This Row],[Food eaten]],0)</f>
        <v>574</v>
      </c>
      <c r="U45" s="94">
        <f ca="1">ROUND(TblProd[[#This Row],[Raw Lumber/hr]]*(1+TblProd[[#This Row],[Bonus Lumber/hr]])-TblProd[[#This Row],[Lumber rot]],0)</f>
        <v>563</v>
      </c>
      <c r="V45" s="94">
        <f ca="1">ROUND(TblProd[[#This Row],[Raw Mana/hr]]*(1+TblProd[[#This Row],[Bonus Mana/hr]])-TblProd[[#This Row],[Mana drain]],0)</f>
        <v>546</v>
      </c>
      <c r="W45" s="94">
        <f ca="1">ROUNDDOWN(TblProd[[#This Row],[Raw Ore/hr]]*(1+TblProd[[#This Row],[Bonux Ore/hr]]),0)</f>
        <v>0</v>
      </c>
      <c r="X45" s="94">
        <f ca="1">ROUNDDOWN(TblProd[[#This Row],[Raw Gems/hr]]*(1+TblProd[[#This Row],[Bonus Gems/hr]]),0)</f>
        <v>750</v>
      </c>
      <c r="Y45" s="155">
        <f ca="1">OFFSET(TblConstr[[#This Row],[Tot Doc]],1,0)*dock_boats_hr * (1 + tech_4_1*TblTech[[#This Row],[4-1]])</f>
        <v>0</v>
      </c>
      <c r="Z45" s="154"/>
      <c r="AA45" s="94">
        <f ca="1">TblPop[[#This Row],[Peasants]]*tax*TblPop[[#This Row],[Employment]] + (Construction!AZ46+Construction!BX46)*(alch_plat+(Magic!AN45&gt;0)*alchemist_flame_bonus)</f>
        <v>12898.800000000001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1250</v>
      </c>
      <c r="AE45" s="94">
        <f ca="1">OFFSET(TblConstr[[#This Row],[Tot OM]],1,0)*om_ore+IF(race="Dwarf",TblMili[[#This Row],[Unit 2]]*0.5,0)</f>
        <v>0</v>
      </c>
      <c r="AF45" s="94">
        <f ca="1">OFFSET(TblConstr[[#This Row],[Tot DM]],1,0)*dm_gems</f>
        <v>750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442.91</v>
      </c>
      <c r="AP45" s="94">
        <f ca="1">(1+race_food_consumption)*TblPop[[#This Row],[Total]]*food_per_person*(1+tech_1_10*TblTech[[#This Row],[1-10]]+tech_7_5*TblTech[[#This Row],[7-5]] + IF(TblMagic[[#This Row],[Active Demonic Pact]]&gt;0,demonic_pact_food_cons,0))</f>
        <v>1563.25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704</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45816.708333333234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754881</v>
      </c>
      <c r="BJ45" s="94">
        <f ca="1">TblProd[[#This Row],[Food]]</f>
        <v>44291</v>
      </c>
      <c r="BK45" s="94">
        <f ca="1">TblProd[[#This Row],[Lumber]]</f>
        <v>43705</v>
      </c>
      <c r="BL45" s="94">
        <f ca="1">TblProd[[#This Row],[Mana]]</f>
        <v>35200</v>
      </c>
      <c r="BM45" s="94">
        <f ca="1">TblProd[[#This Row],[Ore]]</f>
        <v>0</v>
      </c>
    </row>
    <row r="46" spans="1:65" x14ac:dyDescent="0.2">
      <c r="A46" s="137">
        <v>43</v>
      </c>
      <c r="B46" s="152">
        <f ca="1">TblImps[[#This Row],[Time]]</f>
        <v>45816.749999999898</v>
      </c>
      <c r="C46" s="153"/>
      <c r="D46" s="154"/>
      <c r="E46" s="94">
        <f ca="1">TblConstr[[#This Row],[Land]]</f>
        <v>370</v>
      </c>
      <c r="F46" s="94">
        <f ca="1">TblPop[[#This Row],[Peasants]]</f>
        <v>3905</v>
      </c>
      <c r="G46" s="94">
        <f ca="1">TblMili[[#This Row],[Networth (2)]]</f>
        <v>9150</v>
      </c>
      <c r="H46" s="94">
        <f ca="1">OFFSET(TblProd[[#This Row],[Platinum]],-1,0)+OFFSET(TblProd[[#This Row],[Plat/hr]],-1,0) - TblProd[[#This Row],[Expenses Platinum]] + IF(TblProd[[#This Row],[Plat Bonus]],TblPop[[#This Row],[Peasants]]*4) + SUM(TblConstr[[#This Row],[Dest Hom]:[Dest Doc]])*TblConstr[[#This Row],[CPA Platinum -DB]]*tech_3_3_2*TblTech[[#This Row],[3-3]]</f>
        <v>767779</v>
      </c>
      <c r="I46" s="94">
        <f ca="1">OFFSET(TblProd[[#This Row],[Food]],-1,0)+OFFSET(TblProd[[#This Row],[Food/hr]],-1,0)+ROUNDUP((TblConstr[[#This Row],[Farms]]*80+TblConstr[[#This Row],[Docks]]*35)*(1+OFFSET(TblProd[[#This Row],[Bonus Food/hr]],-1,0)),0)</f>
        <v>44865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35746</v>
      </c>
      <c r="L46" s="94">
        <f ca="1">OFFSET(TblProd[[#This Row],[Ore]],-1,0)+OFFSET(TblProd[[#This Row],[Ore/hr]],-1,0) -TblProd[[#This Row],[Expenses Ore]]</f>
        <v>0</v>
      </c>
      <c r="M46" s="94">
        <f ca="1">OFFSET(TblProd[[#This Row],[Gems]],-1,0)+OFFSET(TblProd[[#This Row],[Gems/hr]],-1,0) - TblProd[[#This Row],[Expenses Gems]]</f>
        <v>31500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1806</v>
      </c>
      <c r="Q46" s="94">
        <f ca="1">MAX(3750,_xlfn.CEILING.MATH(TblProd[[#This Row],[Land]]*2.5+OFFSET(TblTech[[#This Row],[Sum of tech]],-1,0)*150))</f>
        <v>3750</v>
      </c>
      <c r="R46" s="142"/>
      <c r="S46" s="94">
        <f ca="1">ROUNDDOWN(TblProd[[#This Row],[Raw Plat/hr]]*(1+TblProd[[#This Row],[Bonus Plat/hr]]),0)</f>
        <v>12793</v>
      </c>
      <c r="T46" s="94">
        <f ca="1">ROUND(TblProd[[#This Row],[Raw Food/hr]]*(1+TblProd[[#This Row],[Bonus Food/hr]])-TblProd[[#This Row],[Food decay]]-TblProd[[#This Row],[Food eaten]],0)</f>
        <v>568</v>
      </c>
      <c r="U46" s="94">
        <f ca="1">ROUND(TblProd[[#This Row],[Raw Lumber/hr]]*(1+TblProd[[#This Row],[Bonus Lumber/hr]])-TblProd[[#This Row],[Lumber rot]],0)</f>
        <v>557</v>
      </c>
      <c r="V46" s="94">
        <f ca="1">ROUND(TblProd[[#This Row],[Raw Mana/hr]]*(1+TblProd[[#This Row],[Bonus Mana/hr]])-TblProd[[#This Row],[Mana drain]],0)</f>
        <v>535</v>
      </c>
      <c r="W46" s="94">
        <f ca="1">ROUNDDOWN(TblProd[[#This Row],[Raw Ore/hr]]*(1+TblProd[[#This Row],[Bonux Ore/hr]]),0)</f>
        <v>0</v>
      </c>
      <c r="X46" s="94">
        <f ca="1">ROUNDDOWN(TblProd[[#This Row],[Raw Gems/hr]]*(1+TblProd[[#This Row],[Bonus Gems/hr]]),0)</f>
        <v>750</v>
      </c>
      <c r="Y46" s="155">
        <f ca="1">OFFSET(TblConstr[[#This Row],[Tot Doc]],1,0)*dock_boats_hr * (1 + tech_4_1*TblTech[[#This Row],[4-1]])</f>
        <v>0</v>
      </c>
      <c r="Z46" s="154"/>
      <c r="AA46" s="94">
        <f ca="1">TblPop[[#This Row],[Peasants]]*tax*TblPop[[#This Row],[Employment]] + (Construction!AZ47+Construction!BX47)*(alch_plat+(Magic!AN46&gt;0)*alchemist_flame_bonus)</f>
        <v>12793.5</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1250</v>
      </c>
      <c r="AE46" s="94">
        <f ca="1">OFFSET(TblConstr[[#This Row],[Tot OM]],1,0)*om_ore+IF(race="Dwarf",TblMili[[#This Row],[Unit 2]]*0.5,0)</f>
        <v>0</v>
      </c>
      <c r="AF46" s="94">
        <f ca="1">OFFSET(TblConstr[[#This Row],[Tot DM]],1,0)*dm_gems</f>
        <v>750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448.65000000000003</v>
      </c>
      <c r="AP46" s="94">
        <f ca="1">(1+race_food_consumption)*TblPop[[#This Row],[Total]]*food_per_person*(1+tech_1_10*TblTech[[#This Row],[1-10]]+tech_7_5*TblTech[[#This Row],[7-5]] + IF(TblMagic[[#This Row],[Active Demonic Pact]]&gt;0,demonic_pact_food_cons,0))</f>
        <v>1563.25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714.92</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45816.749999999898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767779</v>
      </c>
      <c r="BJ46" s="94">
        <f ca="1">TblProd[[#This Row],[Food]]</f>
        <v>44865</v>
      </c>
      <c r="BK46" s="94">
        <f ca="1">TblProd[[#This Row],[Lumber]]</f>
        <v>44268</v>
      </c>
      <c r="BL46" s="94">
        <f ca="1">TblProd[[#This Row],[Mana]]</f>
        <v>35746</v>
      </c>
      <c r="BM46" s="94">
        <f ca="1">TblProd[[#This Row],[Ore]]</f>
        <v>0</v>
      </c>
    </row>
    <row r="47" spans="1:65" x14ac:dyDescent="0.2">
      <c r="A47" s="137">
        <v>44</v>
      </c>
      <c r="B47" s="152">
        <f ca="1">TblImps[[#This Row],[Time]]</f>
        <v>45816.791666666562</v>
      </c>
      <c r="C47" s="153"/>
      <c r="D47" s="154"/>
      <c r="E47" s="94">
        <f ca="1">TblConstr[[#This Row],[Land]]</f>
        <v>370</v>
      </c>
      <c r="F47" s="94">
        <f ca="1">TblPop[[#This Row],[Peasants]]</f>
        <v>3866</v>
      </c>
      <c r="G47" s="94">
        <f ca="1">TblMili[[#This Row],[Networth (2)]]</f>
        <v>9150</v>
      </c>
      <c r="H47" s="94">
        <f ca="1">OFFSET(TblProd[[#This Row],[Platinum]],-1,0)+OFFSET(TblProd[[#This Row],[Plat/hr]],-1,0) - TblProd[[#This Row],[Expenses Platinum]] + IF(TblProd[[#This Row],[Plat Bonus]],TblPop[[#This Row],[Peasants]]*4) + SUM(TblConstr[[#This Row],[Dest Hom]:[Dest Doc]])*TblConstr[[#This Row],[CPA Platinum -DB]]*tech_3_3_2*TblTech[[#This Row],[3-3]]</f>
        <v>780572</v>
      </c>
      <c r="I47" s="94">
        <f ca="1">OFFSET(TblProd[[#This Row],[Food]],-1,0)+OFFSET(TblProd[[#This Row],[Food/hr]],-1,0)+ROUNDUP((TblConstr[[#This Row],[Farms]]*80+TblConstr[[#This Row],[Docks]]*35)*(1+OFFSET(TblProd[[#This Row],[Bonus Food/hr]],-1,0)),0)</f>
        <v>45433</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36281</v>
      </c>
      <c r="L47" s="94">
        <f ca="1">OFFSET(TblProd[[#This Row],[Ore]],-1,0)+OFFSET(TblProd[[#This Row],[Ore/hr]],-1,0) -TblProd[[#This Row],[Expenses Ore]]</f>
        <v>0</v>
      </c>
      <c r="M47" s="94">
        <f ca="1">OFFSET(TblProd[[#This Row],[Gems]],-1,0)+OFFSET(TblProd[[#This Row],[Gems/hr]],-1,0) - TblProd[[#This Row],[Expenses Gems]]</f>
        <v>32250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1849</v>
      </c>
      <c r="Q47" s="94">
        <f ca="1">MAX(3750,_xlfn.CEILING.MATH(TblProd[[#This Row],[Land]]*2.5+OFFSET(TblTech[[#This Row],[Sum of tech]],-1,0)*150))</f>
        <v>3750</v>
      </c>
      <c r="R47" s="142"/>
      <c r="S47" s="94">
        <f ca="1">ROUNDDOWN(TblProd[[#This Row],[Raw Plat/hr]]*(1+TblProd[[#This Row],[Bonus Plat/hr]]),0)</f>
        <v>12688</v>
      </c>
      <c r="T47" s="94">
        <f ca="1">ROUND(TblProd[[#This Row],[Raw Food/hr]]*(1+TblProd[[#This Row],[Bonus Food/hr]])-TblProd[[#This Row],[Food decay]]-TblProd[[#This Row],[Food eaten]],0)</f>
        <v>562</v>
      </c>
      <c r="U47" s="94">
        <f ca="1">ROUND(TblProd[[#This Row],[Raw Lumber/hr]]*(1+TblProd[[#This Row],[Bonus Lumber/hr]])-TblProd[[#This Row],[Lumber rot]],0)</f>
        <v>552</v>
      </c>
      <c r="V47" s="94">
        <f ca="1">ROUND(TblProd[[#This Row],[Raw Mana/hr]]*(1+TblProd[[#This Row],[Bonus Mana/hr]])-TblProd[[#This Row],[Mana drain]],0)</f>
        <v>524</v>
      </c>
      <c r="W47" s="94">
        <f ca="1">ROUNDDOWN(TblProd[[#This Row],[Raw Ore/hr]]*(1+TblProd[[#This Row],[Bonux Ore/hr]]),0)</f>
        <v>0</v>
      </c>
      <c r="X47" s="94">
        <f ca="1">ROUNDDOWN(TblProd[[#This Row],[Raw Gems/hr]]*(1+TblProd[[#This Row],[Bonus Gems/hr]]),0)</f>
        <v>750</v>
      </c>
      <c r="Y47" s="155">
        <f ca="1">OFFSET(TblConstr[[#This Row],[Tot Doc]],1,0)*dock_boats_hr * (1 + tech_4_1*TblTech[[#This Row],[4-1]])</f>
        <v>0</v>
      </c>
      <c r="Z47" s="154"/>
      <c r="AA47" s="94">
        <f ca="1">TblPop[[#This Row],[Peasants]]*tax*TblPop[[#This Row],[Employment]] + (Construction!AZ48+Construction!BX48)*(alch_plat+(Magic!AN47&gt;0)*alchemist_flame_bonus)</f>
        <v>12688.2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1250</v>
      </c>
      <c r="AE47" s="94">
        <f ca="1">OFFSET(TblConstr[[#This Row],[Tot OM]],1,0)*om_ore+IF(race="Dwarf",TblMili[[#This Row],[Unit 2]]*0.5,0)</f>
        <v>0</v>
      </c>
      <c r="AF47" s="94">
        <f ca="1">OFFSET(TblConstr[[#This Row],[Tot DM]],1,0)*dm_gems</f>
        <v>750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454.33</v>
      </c>
      <c r="AP47" s="94">
        <f ca="1">(1+race_food_consumption)*TblPop[[#This Row],[Total]]*food_per_person*(1+tech_1_10*TblTech[[#This Row],[1-10]]+tech_7_5*TblTech[[#This Row],[7-5]] + IF(TblMagic[[#This Row],[Active Demonic Pact]]&gt;0,demonic_pact_food_cons,0))</f>
        <v>1563.25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725.62</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45816.791666666562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780572</v>
      </c>
      <c r="BJ47" s="94">
        <f ca="1">TblProd[[#This Row],[Food]]</f>
        <v>45433</v>
      </c>
      <c r="BK47" s="94">
        <f ca="1">TblProd[[#This Row],[Lumber]]</f>
        <v>44825</v>
      </c>
      <c r="BL47" s="94">
        <f ca="1">TblProd[[#This Row],[Mana]]</f>
        <v>36281</v>
      </c>
      <c r="BM47" s="94">
        <f ca="1">TblProd[[#This Row],[Ore]]</f>
        <v>0</v>
      </c>
    </row>
    <row r="48" spans="1:65" x14ac:dyDescent="0.2">
      <c r="A48" s="137">
        <v>45</v>
      </c>
      <c r="B48" s="152">
        <f ca="1">TblImps[[#This Row],[Time]]</f>
        <v>45816.833333333227</v>
      </c>
      <c r="C48" s="153"/>
      <c r="D48" s="154"/>
      <c r="E48" s="94">
        <f ca="1">TblConstr[[#This Row],[Land]]</f>
        <v>370</v>
      </c>
      <c r="F48" s="94">
        <f ca="1">TblPop[[#This Row],[Peasants]]</f>
        <v>3827</v>
      </c>
      <c r="G48" s="94">
        <f ca="1">TblMili[[#This Row],[Networth (2)]]</f>
        <v>9150</v>
      </c>
      <c r="H48" s="94">
        <f ca="1">OFFSET(TblProd[[#This Row],[Platinum]],-1,0)+OFFSET(TblProd[[#This Row],[Plat/hr]],-1,0) - TblProd[[#This Row],[Expenses Platinum]] + IF(TblProd[[#This Row],[Plat Bonus]],TblPop[[#This Row],[Peasants]]*4) + SUM(TblConstr[[#This Row],[Dest Hom]:[Dest Doc]])*TblConstr[[#This Row],[CPA Platinum -DB]]*tech_3_3_2*TblTech[[#This Row],[3-3]]</f>
        <v>793260</v>
      </c>
      <c r="I48" s="94">
        <f ca="1">OFFSET(TblProd[[#This Row],[Food]],-1,0)+OFFSET(TblProd[[#This Row],[Food/hr]],-1,0)+ROUNDUP((TblConstr[[#This Row],[Farms]]*80+TblConstr[[#This Row],[Docks]]*35)*(1+OFFSET(TblProd[[#This Row],[Bonus Food/hr]],-1,0)),0)</f>
        <v>45995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36805</v>
      </c>
      <c r="L48" s="94">
        <f ca="1">OFFSET(TblProd[[#This Row],[Ore]],-1,0)+OFFSET(TblProd[[#This Row],[Ore/hr]],-1,0) -TblProd[[#This Row],[Expenses Ore]]</f>
        <v>0</v>
      </c>
      <c r="M48" s="94">
        <f ca="1">OFFSET(TblProd[[#This Row],[Gems]],-1,0)+OFFSET(TblProd[[#This Row],[Gems/hr]],-1,0) - TblProd[[#This Row],[Expenses Gems]]</f>
        <v>33000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1892</v>
      </c>
      <c r="Q48" s="94">
        <f ca="1">MAX(3750,_xlfn.CEILING.MATH(TblProd[[#This Row],[Land]]*2.5+OFFSET(TblTech[[#This Row],[Sum of tech]],-1,0)*150))</f>
        <v>3750</v>
      </c>
      <c r="R48" s="142"/>
      <c r="S48" s="94">
        <f ca="1">ROUNDDOWN(TblProd[[#This Row],[Raw Plat/hr]]*(1+TblProd[[#This Row],[Bonus Plat/hr]]),0)</f>
        <v>12582</v>
      </c>
      <c r="T48" s="94">
        <f ca="1">ROUND(TblProd[[#This Row],[Raw Food/hr]]*(1+TblProd[[#This Row],[Bonus Food/hr]])-TblProd[[#This Row],[Food decay]]-TblProd[[#This Row],[Food eaten]],0)</f>
        <v>557</v>
      </c>
      <c r="U48" s="94">
        <f ca="1">ROUND(TblProd[[#This Row],[Raw Lumber/hr]]*(1+TblProd[[#This Row],[Bonus Lumber/hr]])-TblProd[[#This Row],[Lumber rot]],0)</f>
        <v>546</v>
      </c>
      <c r="V48" s="94">
        <f ca="1">ROUND(TblProd[[#This Row],[Raw Mana/hr]]*(1+TblProd[[#This Row],[Bonus Mana/hr]])-TblProd[[#This Row],[Mana drain]],0)</f>
        <v>514</v>
      </c>
      <c r="W48" s="94">
        <f ca="1">ROUNDDOWN(TblProd[[#This Row],[Raw Ore/hr]]*(1+TblProd[[#This Row],[Bonux Ore/hr]]),0)</f>
        <v>0</v>
      </c>
      <c r="X48" s="94">
        <f ca="1">ROUNDDOWN(TblProd[[#This Row],[Raw Gems/hr]]*(1+TblProd[[#This Row],[Bonus Gems/hr]]),0)</f>
        <v>750</v>
      </c>
      <c r="Y48" s="155">
        <f ca="1">OFFSET(TblConstr[[#This Row],[Tot Doc]],1,0)*dock_boats_hr * (1 + tech_4_1*TblTech[[#This Row],[4-1]])</f>
        <v>0</v>
      </c>
      <c r="Z48" s="154"/>
      <c r="AA48" s="94">
        <f ca="1">TblPop[[#This Row],[Peasants]]*tax*TblPop[[#This Row],[Employment]] + (Construction!AZ49+Construction!BX49)*(alch_plat+(Magic!AN48&gt;0)*alchemist_flame_bonus)</f>
        <v>12582.900000000001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1250</v>
      </c>
      <c r="AE48" s="94">
        <f ca="1">OFFSET(TblConstr[[#This Row],[Tot OM]],1,0)*om_ore+IF(race="Dwarf",TblMili[[#This Row],[Unit 2]]*0.5,0)</f>
        <v>0</v>
      </c>
      <c r="AF48" s="94">
        <f ca="1">OFFSET(TblConstr[[#This Row],[Tot DM]],1,0)*dm_gems</f>
        <v>750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459.95</v>
      </c>
      <c r="AP48" s="94">
        <f ca="1">(1+race_food_consumption)*TblPop[[#This Row],[Total]]*food_per_person*(1+tech_1_10*TblTech[[#This Row],[1-10]]+tech_7_5*TblTech[[#This Row],[7-5]] + IF(TblMagic[[#This Row],[Active Demonic Pact]]&gt;0,demonic_pact_food_cons,0))</f>
        <v>1563.25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736.1</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45816.833333333227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793260</v>
      </c>
      <c r="BJ48" s="94">
        <f ca="1">TblProd[[#This Row],[Food]]</f>
        <v>45995</v>
      </c>
      <c r="BK48" s="94">
        <f ca="1">TblProd[[#This Row],[Lumber]]</f>
        <v>45377</v>
      </c>
      <c r="BL48" s="94">
        <f ca="1">TblProd[[#This Row],[Mana]]</f>
        <v>36805</v>
      </c>
      <c r="BM48" s="94">
        <f ca="1">TblProd[[#This Row],[Ore]]</f>
        <v>0</v>
      </c>
    </row>
    <row r="49" spans="1:65" x14ac:dyDescent="0.2">
      <c r="A49" s="137">
        <v>46</v>
      </c>
      <c r="B49" s="152">
        <f ca="1">TblImps[[#This Row],[Time]]</f>
        <v>45816.874999999891</v>
      </c>
      <c r="C49" s="153"/>
      <c r="D49" s="154"/>
      <c r="E49" s="94">
        <f ca="1">TblConstr[[#This Row],[Land]]</f>
        <v>370</v>
      </c>
      <c r="F49" s="94">
        <f ca="1">TblPop[[#This Row],[Peasants]]</f>
        <v>3789</v>
      </c>
      <c r="G49" s="94">
        <f ca="1">TblMili[[#This Row],[Networth (2)]]</f>
        <v>9150</v>
      </c>
      <c r="H49" s="94">
        <f ca="1">OFFSET(TblProd[[#This Row],[Platinum]],-1,0)+OFFSET(TblProd[[#This Row],[Plat/hr]],-1,0) - TblProd[[#This Row],[Expenses Platinum]] + IF(TblProd[[#This Row],[Plat Bonus]],TblPop[[#This Row],[Peasants]]*4) + SUM(TblConstr[[#This Row],[Dest Hom]:[Dest Doc]])*TblConstr[[#This Row],[CPA Platinum -DB]]*tech_3_3_2*TblTech[[#This Row],[3-3]]</f>
        <v>805842</v>
      </c>
      <c r="I49" s="94">
        <f ca="1">OFFSET(TblProd[[#This Row],[Food]],-1,0)+OFFSET(TblProd[[#This Row],[Food/hr]],-1,0)+ROUNDUP((TblConstr[[#This Row],[Farms]]*80+TblConstr[[#This Row],[Docks]]*35)*(1+OFFSET(TblProd[[#This Row],[Bonus Food/hr]],-1,0)),0)</f>
        <v>46552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37319</v>
      </c>
      <c r="L49" s="94">
        <f ca="1">OFFSET(TblProd[[#This Row],[Ore]],-1,0)+OFFSET(TblProd[[#This Row],[Ore/hr]],-1,0) -TblProd[[#This Row],[Expenses Ore]]</f>
        <v>0</v>
      </c>
      <c r="M49" s="94">
        <f ca="1">OFFSET(TblProd[[#This Row],[Gems]],-1,0)+OFFSET(TblProd[[#This Row],[Gems/hr]],-1,0) - TblProd[[#This Row],[Expenses Gems]]</f>
        <v>33750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1935</v>
      </c>
      <c r="Q49" s="94">
        <f ca="1">MAX(3750,_xlfn.CEILING.MATH(TblProd[[#This Row],[Land]]*2.5+OFFSET(TblTech[[#This Row],[Sum of tech]],-1,0)*150))</f>
        <v>3750</v>
      </c>
      <c r="R49" s="142"/>
      <c r="S49" s="94">
        <f ca="1">ROUNDDOWN(TblProd[[#This Row],[Raw Plat/hr]]*(1+TblProd[[#This Row],[Bonus Plat/hr]]),0)</f>
        <v>12480</v>
      </c>
      <c r="T49" s="94">
        <f ca="1">ROUND(TblProd[[#This Row],[Raw Food/hr]]*(1+TblProd[[#This Row],[Bonus Food/hr]])-TblProd[[#This Row],[Food decay]]-TblProd[[#This Row],[Food eaten]],0)</f>
        <v>551</v>
      </c>
      <c r="U49" s="94">
        <f ca="1">ROUND(TblProd[[#This Row],[Raw Lumber/hr]]*(1+TblProd[[#This Row],[Bonus Lumber/hr]])-TblProd[[#This Row],[Lumber rot]],0)</f>
        <v>541</v>
      </c>
      <c r="V49" s="94">
        <f ca="1">ROUND(TblProd[[#This Row],[Raw Mana/hr]]*(1+TblProd[[#This Row],[Bonus Mana/hr]])-TblProd[[#This Row],[Mana drain]],0)</f>
        <v>504</v>
      </c>
      <c r="W49" s="94">
        <f ca="1">ROUNDDOWN(TblProd[[#This Row],[Raw Ore/hr]]*(1+TblProd[[#This Row],[Bonux Ore/hr]]),0)</f>
        <v>0</v>
      </c>
      <c r="X49" s="94">
        <f ca="1">ROUNDDOWN(TblProd[[#This Row],[Raw Gems/hr]]*(1+TblProd[[#This Row],[Bonus Gems/hr]]),0)</f>
        <v>750</v>
      </c>
      <c r="Y49" s="155">
        <f ca="1">OFFSET(TblConstr[[#This Row],[Tot Doc]],1,0)*dock_boats_hr * (1 + tech_4_1*TblTech[[#This Row],[4-1]])</f>
        <v>0</v>
      </c>
      <c r="Z49" s="154"/>
      <c r="AA49" s="94">
        <f ca="1">TblPop[[#This Row],[Peasants]]*tax*TblPop[[#This Row],[Employment]] + (Construction!AZ50+Construction!BX50)*(alch_plat+(Magic!AN49&gt;0)*alchemist_flame_bonus)</f>
        <v>12480.300000000001</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1250</v>
      </c>
      <c r="AE49" s="94">
        <f ca="1">OFFSET(TblConstr[[#This Row],[Tot OM]],1,0)*om_ore+IF(race="Dwarf",TblMili[[#This Row],[Unit 2]]*0.5,0)</f>
        <v>0</v>
      </c>
      <c r="AF49" s="94">
        <f ca="1">OFFSET(TblConstr[[#This Row],[Tot DM]],1,0)*dm_gems</f>
        <v>750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465.52</v>
      </c>
      <c r="AP49" s="94">
        <f ca="1">(1+race_food_consumption)*TblPop[[#This Row],[Total]]*food_per_person*(1+tech_1_10*TblTech[[#This Row],[1-10]]+tech_7_5*TblTech[[#This Row],[7-5]] + IF(TblMagic[[#This Row],[Active Demonic Pact]]&gt;0,demonic_pact_food_cons,0))</f>
        <v>1563.25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746.38</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45816.874999999891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805842</v>
      </c>
      <c r="BJ49" s="94">
        <f ca="1">TblProd[[#This Row],[Food]]</f>
        <v>46552</v>
      </c>
      <c r="BK49" s="94">
        <f ca="1">TblProd[[#This Row],[Lumber]]</f>
        <v>45923</v>
      </c>
      <c r="BL49" s="94">
        <f ca="1">TblProd[[#This Row],[Mana]]</f>
        <v>37319</v>
      </c>
      <c r="BM49" s="94">
        <f ca="1">TblProd[[#This Row],[Ore]]</f>
        <v>0</v>
      </c>
    </row>
    <row r="50" spans="1:65" x14ac:dyDescent="0.2">
      <c r="A50" s="137">
        <v>47</v>
      </c>
      <c r="B50" s="152">
        <f ca="1">TblImps[[#This Row],[Time]]</f>
        <v>45816.916666666555</v>
      </c>
      <c r="C50" s="153"/>
      <c r="D50" s="154"/>
      <c r="E50" s="94">
        <f ca="1">TblConstr[[#This Row],[Land]]</f>
        <v>370</v>
      </c>
      <c r="F50" s="94">
        <f ca="1">TblPop[[#This Row],[Peasants]]</f>
        <v>3751</v>
      </c>
      <c r="G50" s="94">
        <f ca="1">TblMili[[#This Row],[Networth (2)]]</f>
        <v>9150</v>
      </c>
      <c r="H50" s="94">
        <f ca="1">OFFSET(TblProd[[#This Row],[Platinum]],-1,0)+OFFSET(TblProd[[#This Row],[Plat/hr]],-1,0) - TblProd[[#This Row],[Expenses Platinum]] + IF(TblProd[[#This Row],[Plat Bonus]],TblPop[[#This Row],[Peasants]]*4) + SUM(TblConstr[[#This Row],[Dest Hom]:[Dest Doc]])*TblConstr[[#This Row],[CPA Platinum -DB]]*tech_3_3_2*TblTech[[#This Row],[3-3]]</f>
        <v>818322</v>
      </c>
      <c r="I50" s="94">
        <f ca="1">OFFSET(TblProd[[#This Row],[Food]],-1,0)+OFFSET(TblProd[[#This Row],[Food/hr]],-1,0)+ROUNDUP((TblConstr[[#This Row],[Farms]]*80+TblConstr[[#This Row],[Docks]]*35)*(1+OFFSET(TblProd[[#This Row],[Bonus Food/hr]],-1,0)),0)</f>
        <v>47103</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37823</v>
      </c>
      <c r="L50" s="94">
        <f ca="1">OFFSET(TblProd[[#This Row],[Ore]],-1,0)+OFFSET(TblProd[[#This Row],[Ore/hr]],-1,0) -TblProd[[#This Row],[Expenses Ore]]</f>
        <v>0</v>
      </c>
      <c r="M50" s="94">
        <f ca="1">OFFSET(TblProd[[#This Row],[Gems]],-1,0)+OFFSET(TblProd[[#This Row],[Gems/hr]],-1,0) - TblProd[[#This Row],[Expenses Gems]]</f>
        <v>34500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1978</v>
      </c>
      <c r="Q50" s="94">
        <f ca="1">MAX(3750,_xlfn.CEILING.MATH(TblProd[[#This Row],[Land]]*2.5+OFFSET(TblTech[[#This Row],[Sum of tech]],-1,0)*150))</f>
        <v>3750</v>
      </c>
      <c r="R50" s="142"/>
      <c r="S50" s="94">
        <f ca="1">ROUNDDOWN(TblProd[[#This Row],[Raw Plat/hr]]*(1+TblProd[[#This Row],[Bonus Plat/hr]]),0)</f>
        <v>12377</v>
      </c>
      <c r="T50" s="94">
        <f ca="1">ROUND(TblProd[[#This Row],[Raw Food/hr]]*(1+TblProd[[#This Row],[Bonus Food/hr]])-TblProd[[#This Row],[Food decay]]-TblProd[[#This Row],[Food eaten]],0)</f>
        <v>546</v>
      </c>
      <c r="U50" s="94">
        <f ca="1">ROUND(TblProd[[#This Row],[Raw Lumber/hr]]*(1+TblProd[[#This Row],[Bonus Lumber/hr]])-TblProd[[#This Row],[Lumber rot]],0)</f>
        <v>535</v>
      </c>
      <c r="V50" s="94">
        <f ca="1">ROUND(TblProd[[#This Row],[Raw Mana/hr]]*(1+TblProd[[#This Row],[Bonus Mana/hr]])-TblProd[[#This Row],[Mana drain]],0)</f>
        <v>494</v>
      </c>
      <c r="W50" s="94">
        <f ca="1">ROUNDDOWN(TblProd[[#This Row],[Raw Ore/hr]]*(1+TblProd[[#This Row],[Bonux Ore/hr]]),0)</f>
        <v>0</v>
      </c>
      <c r="X50" s="94">
        <f ca="1">ROUNDDOWN(TblProd[[#This Row],[Raw Gems/hr]]*(1+TblProd[[#This Row],[Bonus Gems/hr]]),0)</f>
        <v>750</v>
      </c>
      <c r="Y50" s="155">
        <f ca="1">OFFSET(TblConstr[[#This Row],[Tot Doc]],1,0)*dock_boats_hr * (1 + tech_4_1*TblTech[[#This Row],[4-1]])</f>
        <v>0</v>
      </c>
      <c r="Z50" s="154"/>
      <c r="AA50" s="94">
        <f ca="1">TblPop[[#This Row],[Peasants]]*tax*TblPop[[#This Row],[Employment]] + (Construction!AZ51+Construction!BX51)*(alch_plat+(Magic!AN50&gt;0)*alchemist_flame_bonus)</f>
        <v>12377.7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1250</v>
      </c>
      <c r="AE50" s="94">
        <f ca="1">OFFSET(TblConstr[[#This Row],[Tot OM]],1,0)*om_ore+IF(race="Dwarf",TblMili[[#This Row],[Unit 2]]*0.5,0)</f>
        <v>0</v>
      </c>
      <c r="AF50" s="94">
        <f ca="1">OFFSET(TblConstr[[#This Row],[Tot DM]],1,0)*dm_gems</f>
        <v>750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471.03000000000003</v>
      </c>
      <c r="AP50" s="94">
        <f ca="1">(1+race_food_consumption)*TblPop[[#This Row],[Total]]*food_per_person*(1+tech_1_10*TblTech[[#This Row],[1-10]]+tech_7_5*TblTech[[#This Row],[7-5]] + IF(TblMagic[[#This Row],[Active Demonic Pact]]&gt;0,demonic_pact_food_cons,0))</f>
        <v>1563.25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756.46</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45816.916666666555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818322</v>
      </c>
      <c r="BJ50" s="94">
        <f ca="1">TblProd[[#This Row],[Food]]</f>
        <v>47103</v>
      </c>
      <c r="BK50" s="94">
        <f ca="1">TblProd[[#This Row],[Lumber]]</f>
        <v>46464</v>
      </c>
      <c r="BL50" s="94">
        <f ca="1">TblProd[[#This Row],[Mana]]</f>
        <v>37823</v>
      </c>
      <c r="BM50" s="94">
        <f ca="1">TblProd[[#This Row],[Ore]]</f>
        <v>0</v>
      </c>
    </row>
    <row r="51" spans="1:65" x14ac:dyDescent="0.2">
      <c r="A51" s="137">
        <v>48</v>
      </c>
      <c r="B51" s="152">
        <f ca="1">TblImps[[#This Row],[Time]]</f>
        <v>45816.958333333219</v>
      </c>
      <c r="C51" s="153"/>
      <c r="D51" s="154"/>
      <c r="E51" s="94">
        <f ca="1">TblConstr[[#This Row],[Land]]</f>
        <v>370</v>
      </c>
      <c r="F51" s="94">
        <f ca="1">TblPop[[#This Row],[Peasants]]</f>
        <v>3713</v>
      </c>
      <c r="G51" s="94">
        <f ca="1">TblMili[[#This Row],[Networth (2)]]</f>
        <v>9150</v>
      </c>
      <c r="H51" s="94">
        <f ca="1">OFFSET(TblProd[[#This Row],[Platinum]],-1,0)+OFFSET(TblProd[[#This Row],[Plat/hr]],-1,0) - TblProd[[#This Row],[Expenses Platinum]] + IF(TblProd[[#This Row],[Plat Bonus]],TblPop[[#This Row],[Peasants]]*4) + SUM(TblConstr[[#This Row],[Dest Hom]:[Dest Doc]])*TblConstr[[#This Row],[CPA Platinum -DB]]*tech_3_3_2*TblTech[[#This Row],[3-3]]</f>
        <v>830699</v>
      </c>
      <c r="I51" s="94">
        <f ca="1">OFFSET(TblProd[[#This Row],[Food]],-1,0)+OFFSET(TblProd[[#This Row],[Food/hr]],-1,0)+ROUNDUP((TblConstr[[#This Row],[Farms]]*80+TblConstr[[#This Row],[Docks]]*35)*(1+OFFSET(TblProd[[#This Row],[Bonus Food/hr]],-1,0)),0)</f>
        <v>47649</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38317</v>
      </c>
      <c r="L51" s="94">
        <f ca="1">OFFSET(TblProd[[#This Row],[Ore]],-1,0)+OFFSET(TblProd[[#This Row],[Ore/hr]],-1,0) -TblProd[[#This Row],[Expenses Ore]]</f>
        <v>0</v>
      </c>
      <c r="M51" s="94">
        <f ca="1">OFFSET(TblProd[[#This Row],[Gems]],-1,0)+OFFSET(TblProd[[#This Row],[Gems/hr]],-1,0) - TblProd[[#This Row],[Expenses Gems]]</f>
        <v>35250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2021</v>
      </c>
      <c r="Q51" s="94">
        <f ca="1">MAX(3750,_xlfn.CEILING.MATH(TblProd[[#This Row],[Land]]*2.5+OFFSET(TblTech[[#This Row],[Sum of tech]],-1,0)*150))</f>
        <v>3750</v>
      </c>
      <c r="R51" s="142"/>
      <c r="S51" s="94">
        <f ca="1">ROUNDDOWN(TblProd[[#This Row],[Raw Plat/hr]]*(1+TblProd[[#This Row],[Bonus Plat/hr]]),0)</f>
        <v>12275</v>
      </c>
      <c r="T51" s="94">
        <f ca="1">ROUND(TblProd[[#This Row],[Raw Food/hr]]*(1+TblProd[[#This Row],[Bonus Food/hr]])-TblProd[[#This Row],[Food decay]]-TblProd[[#This Row],[Food eaten]],0)</f>
        <v>540</v>
      </c>
      <c r="U51" s="94">
        <f ca="1">ROUND(TblProd[[#This Row],[Raw Lumber/hr]]*(1+TblProd[[#This Row],[Bonus Lumber/hr]])-TblProd[[#This Row],[Lumber rot]],0)</f>
        <v>530</v>
      </c>
      <c r="V51" s="94">
        <f ca="1">ROUND(TblProd[[#This Row],[Raw Mana/hr]]*(1+TblProd[[#This Row],[Bonus Mana/hr]])-TblProd[[#This Row],[Mana drain]],0)</f>
        <v>484</v>
      </c>
      <c r="W51" s="94">
        <f ca="1">ROUNDDOWN(TblProd[[#This Row],[Raw Ore/hr]]*(1+TblProd[[#This Row],[Bonux Ore/hr]]),0)</f>
        <v>0</v>
      </c>
      <c r="X51" s="94">
        <f ca="1">ROUNDDOWN(TblProd[[#This Row],[Raw Gems/hr]]*(1+TblProd[[#This Row],[Bonus Gems/hr]]),0)</f>
        <v>750</v>
      </c>
      <c r="Y51" s="155">
        <f ca="1">OFFSET(TblConstr[[#This Row],[Tot Doc]],1,0)*dock_boats_hr * (1 + tech_4_1*TblTech[[#This Row],[4-1]])</f>
        <v>0</v>
      </c>
      <c r="Z51" s="154"/>
      <c r="AA51" s="94">
        <f ca="1">TblPop[[#This Row],[Peasants]]*tax*TblPop[[#This Row],[Employment]] + (Construction!AZ52+Construction!BX52)*(alch_plat+(Magic!AN51&gt;0)*alchemist_flame_bonus)</f>
        <v>12275.1</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1250</v>
      </c>
      <c r="AE51" s="94">
        <f ca="1">OFFSET(TblConstr[[#This Row],[Tot OM]],1,0)*om_ore+IF(race="Dwarf",TblMili[[#This Row],[Unit 2]]*0.5,0)</f>
        <v>0</v>
      </c>
      <c r="AF51" s="94">
        <f ca="1">OFFSET(TblConstr[[#This Row],[Tot DM]],1,0)*dm_gems</f>
        <v>750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476.49</v>
      </c>
      <c r="AP51" s="94">
        <f ca="1">(1+race_food_consumption)*TblPop[[#This Row],[Total]]*food_per_person*(1+tech_1_10*TblTech[[#This Row],[1-10]]+tech_7_5*TblTech[[#This Row],[7-5]] + IF(TblMagic[[#This Row],[Active Demonic Pact]]&gt;0,demonic_pact_food_cons,0))</f>
        <v>1563.25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766.34</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45816.958333333219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830699</v>
      </c>
      <c r="BJ51" s="94">
        <f ca="1">TblProd[[#This Row],[Food]]</f>
        <v>47649</v>
      </c>
      <c r="BK51" s="94">
        <f ca="1">TblProd[[#This Row],[Lumber]]</f>
        <v>46999</v>
      </c>
      <c r="BL51" s="94">
        <f ca="1">TblProd[[#This Row],[Mana]]</f>
        <v>38317</v>
      </c>
      <c r="BM51" s="94">
        <f ca="1">TblProd[[#This Row],[Ore]]</f>
        <v>0</v>
      </c>
    </row>
    <row r="52" spans="1:65" s="5" customFormat="1" x14ac:dyDescent="0.2">
      <c r="A52" s="144" t="s">
        <v>229</v>
      </c>
      <c r="B52" s="160">
        <f ca="1">TblImps[[#This Row],[Time]]</f>
        <v>45816.999999999884</v>
      </c>
      <c r="C52" s="161"/>
      <c r="D52" s="162"/>
      <c r="E52" s="35">
        <f ca="1">TblConstr[[#This Row],[Land]]</f>
        <v>370</v>
      </c>
      <c r="F52" s="35">
        <f ca="1">TblPop[[#This Row],[Peasants]]</f>
        <v>3676</v>
      </c>
      <c r="G52" s="35">
        <f ca="1">TblMili[[#This Row],[Networth (2)]]</f>
        <v>9150</v>
      </c>
      <c r="H52" s="35">
        <f ca="1">OFFSET(TblProd[[#This Row],[Platinum]],-1,0)+OFFSET(TblProd[[#This Row],[Plat/hr]],-1,0) - TblProd[[#This Row],[Expenses Platinum]] + IF(TblProd[[#This Row],[Plat Bonus]],TblPop[[#This Row],[Peasants]]*4) + SUM(TblConstr[[#This Row],[Dest Hom]:[Dest Doc]])*TblConstr[[#This Row],[CPA Platinum -DB]]*tech_3_3_2*TblTech[[#This Row],[3-3]]</f>
        <v>842974</v>
      </c>
      <c r="I52" s="35">
        <f ca="1">OFFSET(TblProd[[#This Row],[Food]],-1,0)+OFFSET(TblProd[[#This Row],[Food/hr]],-1,0)+ROUNDUP((TblConstr[[#This Row],[Farms]]*80+TblConstr[[#This Row],[Docks]]*35)*(1+OFFSET(TblProd[[#This Row],[Bonus Food/hr]],-1,0)),0)</f>
        <v>48189</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38801</v>
      </c>
      <c r="L52" s="35">
        <f ca="1">OFFSET(TblProd[[#This Row],[Ore]],-1,0)+OFFSET(TblProd[[#This Row],[Ore/hr]],-1,0) -TblProd[[#This Row],[Expenses Ore]]</f>
        <v>0</v>
      </c>
      <c r="M52" s="35">
        <f ca="1">OFFSET(TblProd[[#This Row],[Gems]],-1,0)+OFFSET(TblProd[[#This Row],[Gems/hr]],-1,0) - TblProd[[#This Row],[Expenses Gems]]</f>
        <v>36000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2064</v>
      </c>
      <c r="Q52" s="35">
        <f ca="1">MAX(3750,_xlfn.CEILING.MATH(TblProd[[#This Row],[Land]]*2.5+OFFSET(TblTech[[#This Row],[Sum of tech]],-1,0)*150))</f>
        <v>3750</v>
      </c>
      <c r="R52" s="149"/>
      <c r="S52" s="35">
        <f ca="1">ROUNDDOWN(TblProd[[#This Row],[Raw Plat/hr]]*(1+TblProd[[#This Row],[Bonus Plat/hr]]),0)</f>
        <v>12175</v>
      </c>
      <c r="T52" s="35">
        <f ca="1">ROUND(TblProd[[#This Row],[Raw Food/hr]]*(1+TblProd[[#This Row],[Bonus Food/hr]])-TblProd[[#This Row],[Food decay]]-TblProd[[#This Row],[Food eaten]],0)</f>
        <v>535</v>
      </c>
      <c r="U52" s="35">
        <f ca="1">ROUND(TblProd[[#This Row],[Raw Lumber/hr]]*(1+TblProd[[#This Row],[Bonus Lumber/hr]])-TblProd[[#This Row],[Lumber rot]],0)</f>
        <v>525</v>
      </c>
      <c r="V52" s="35">
        <f ca="1">ROUND(TblProd[[#This Row],[Raw Mana/hr]]*(1+TblProd[[#This Row],[Bonus Mana/hr]])-TblProd[[#This Row],[Mana drain]],0)</f>
        <v>474</v>
      </c>
      <c r="W52" s="35">
        <f ca="1">ROUNDDOWN(TblProd[[#This Row],[Raw Ore/hr]]*(1+TblProd[[#This Row],[Bonux Ore/hr]]),0)</f>
        <v>0</v>
      </c>
      <c r="X52" s="35">
        <f ca="1">ROUNDDOWN(TblProd[[#This Row],[Raw Gems/hr]]*(1+TblProd[[#This Row],[Bonus Gems/hr]]),0)</f>
        <v>750</v>
      </c>
      <c r="Y52" s="163">
        <f ca="1">OFFSET(TblConstr[[#This Row],[Tot Doc]],1,0)*dock_boats_hr * (1 + tech_4_1*TblTech[[#This Row],[4-1]])</f>
        <v>0</v>
      </c>
      <c r="Z52" s="162"/>
      <c r="AA52" s="35">
        <f ca="1">TblPop[[#This Row],[Peasants]]*tax*TblPop[[#This Row],[Employment]] + (Construction!AZ53+Construction!BX53)*(alch_plat+(Magic!AN52&gt;0)*alchemist_flame_bonus)</f>
        <v>12175.2</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1250</v>
      </c>
      <c r="AE52" s="35">
        <f ca="1">OFFSET(TblConstr[[#This Row],[Tot OM]],1,0)*om_ore+IF(race="Dwarf",TblMili[[#This Row],[Unit 2]]*0.5,0)</f>
        <v>0</v>
      </c>
      <c r="AF52" s="35">
        <f ca="1">OFFSET(TblConstr[[#This Row],[Tot DM]],1,0)*dm_gems</f>
        <v>750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481.89</v>
      </c>
      <c r="AP52" s="35">
        <f ca="1">(1+race_food_consumption)*TblPop[[#This Row],[Total]]*food_per_person*(1+tech_1_10*TblTech[[#This Row],[1-10]]+tech_7_5*TblTech[[#This Row],[7-5]] + IF(TblMagic[[#This Row],[Active Demonic Pact]]&gt;0,demonic_pact_food_cons,0))</f>
        <v>1563.25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776.02</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45816.999999999884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842974</v>
      </c>
      <c r="BJ52" s="35">
        <f ca="1">TblProd[[#This Row],[Food]]</f>
        <v>48189</v>
      </c>
      <c r="BK52" s="35">
        <f ca="1">TblProd[[#This Row],[Lumber]]</f>
        <v>47529</v>
      </c>
      <c r="BL52" s="35">
        <f ca="1">TblProd[[#This Row],[Mana]]</f>
        <v>38801</v>
      </c>
      <c r="BM52" s="35">
        <f ca="1">TblProd[[#This Row],[Ore]]</f>
        <v>0</v>
      </c>
    </row>
    <row r="53" spans="1:65" x14ac:dyDescent="0.2">
      <c r="A53" s="137">
        <v>2</v>
      </c>
      <c r="B53" s="152">
        <f ca="1">TblImps[[#This Row],[Time]]</f>
        <v>45817.041666666548</v>
      </c>
      <c r="C53" s="153"/>
      <c r="D53" s="154"/>
      <c r="E53" s="94">
        <f ca="1">TblConstr[[#This Row],[Land]]</f>
        <v>370</v>
      </c>
      <c r="F53" s="94">
        <f ca="1">TblPop[[#This Row],[Peasants]]</f>
        <v>3639</v>
      </c>
      <c r="G53" s="94">
        <f ca="1">TblMili[[#This Row],[Networth (2)]]</f>
        <v>9150</v>
      </c>
      <c r="H53" s="94">
        <f ca="1">OFFSET(TblProd[[#This Row],[Platinum]],-1,0)+OFFSET(TblProd[[#This Row],[Plat/hr]],-1,0) - TblProd[[#This Row],[Expenses Platinum]] + IF(TblProd[[#This Row],[Plat Bonus]],TblPop[[#This Row],[Peasants]]*4) + SUM(TblConstr[[#This Row],[Dest Hom]:[Dest Doc]])*TblConstr[[#This Row],[CPA Platinum -DB]]*tech_3_3_2*TblTech[[#This Row],[3-3]]</f>
        <v>855149</v>
      </c>
      <c r="I53" s="94">
        <f ca="1">OFFSET(TblProd[[#This Row],[Food]],-1,0)+OFFSET(TblProd[[#This Row],[Food/hr]],-1,0)+ROUNDUP((TblConstr[[#This Row],[Farms]]*80+TblConstr[[#This Row],[Docks]]*35)*(1+OFFSET(TblProd[[#This Row],[Bonus Food/hr]],-1,0)),0)</f>
        <v>48724</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39275</v>
      </c>
      <c r="L53" s="94">
        <f ca="1">OFFSET(TblProd[[#This Row],[Ore]],-1,0)+OFFSET(TblProd[[#This Row],[Ore/hr]],-1,0) -TblProd[[#This Row],[Expenses Ore]]</f>
        <v>0</v>
      </c>
      <c r="M53" s="94">
        <f ca="1">OFFSET(TblProd[[#This Row],[Gems]],-1,0)+OFFSET(TblProd[[#This Row],[Gems/hr]],-1,0) - TblProd[[#This Row],[Expenses Gems]]</f>
        <v>36750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2107</v>
      </c>
      <c r="Q53" s="94">
        <f ca="1">MAX(3750,_xlfn.CEILING.MATH(TblProd[[#This Row],[Land]]*2.5+OFFSET(TblTech[[#This Row],[Sum of tech]],-1,0)*150))</f>
        <v>3750</v>
      </c>
      <c r="R53" s="142"/>
      <c r="S53" s="94">
        <f ca="1">ROUNDDOWN(TblProd[[#This Row],[Raw Plat/hr]]*(1+TblProd[[#This Row],[Bonus Plat/hr]]),0)</f>
        <v>12075</v>
      </c>
      <c r="T53" s="94">
        <f ca="1">ROUND(TblProd[[#This Row],[Raw Food/hr]]*(1+TblProd[[#This Row],[Bonus Food/hr]])-TblProd[[#This Row],[Food decay]]-TblProd[[#This Row],[Food eaten]],0)</f>
        <v>530</v>
      </c>
      <c r="U53" s="94">
        <f ca="1">ROUND(TblProd[[#This Row],[Raw Lumber/hr]]*(1+TblProd[[#This Row],[Bonus Lumber/hr]])-TblProd[[#This Row],[Lumber rot]],0)</f>
        <v>519</v>
      </c>
      <c r="V53" s="94">
        <f ca="1">ROUND(TblProd[[#This Row],[Raw Mana/hr]]*(1+TblProd[[#This Row],[Bonus Mana/hr]])-TblProd[[#This Row],[Mana drain]],0)</f>
        <v>465</v>
      </c>
      <c r="W53" s="94">
        <f ca="1">ROUNDDOWN(TblProd[[#This Row],[Raw Ore/hr]]*(1+TblProd[[#This Row],[Bonux Ore/hr]]),0)</f>
        <v>0</v>
      </c>
      <c r="X53" s="94">
        <f ca="1">ROUNDDOWN(TblProd[[#This Row],[Raw Gems/hr]]*(1+TblProd[[#This Row],[Bonus Gems/hr]]),0)</f>
        <v>750</v>
      </c>
      <c r="Y53" s="155">
        <f ca="1">OFFSET(TblConstr[[#This Row],[Tot Doc]],1,0)*dock_boats_hr * (1 + tech_4_1*TblTech[[#This Row],[4-1]])</f>
        <v>0</v>
      </c>
      <c r="Z53" s="154"/>
      <c r="AA53" s="94">
        <f ca="1">TblPop[[#This Row],[Peasants]]*tax*TblPop[[#This Row],[Employment]] + (Construction!AZ54+Construction!BX54)*(alch_plat+(Magic!AN53&gt;0)*alchemist_flame_bonus)</f>
        <v>12075.300000000001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1250</v>
      </c>
      <c r="AE53" s="94">
        <f ca="1">OFFSET(TblConstr[[#This Row],[Tot OM]],1,0)*om_ore+IF(race="Dwarf",TblMili[[#This Row],[Unit 2]]*0.5,0)</f>
        <v>0</v>
      </c>
      <c r="AF53" s="94">
        <f ca="1">OFFSET(TblConstr[[#This Row],[Tot DM]],1,0)*dm_gems</f>
        <v>750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487.24</v>
      </c>
      <c r="AP53" s="94">
        <f ca="1">(1+race_food_consumption)*TblPop[[#This Row],[Total]]*food_per_person*(1+tech_1_10*TblTech[[#This Row],[1-10]]+tech_7_5*TblTech[[#This Row],[7-5]] + IF(TblMagic[[#This Row],[Active Demonic Pact]]&gt;0,demonic_pact_food_cons,0))</f>
        <v>1563.25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785.5</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45817.041666666548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855149</v>
      </c>
      <c r="BJ53" s="94">
        <f ca="1">TblProd[[#This Row],[Food]]</f>
        <v>48724</v>
      </c>
      <c r="BK53" s="94">
        <f ca="1">TblProd[[#This Row],[Lumber]]</f>
        <v>48054</v>
      </c>
      <c r="BL53" s="94">
        <f ca="1">TblProd[[#This Row],[Mana]]</f>
        <v>39275</v>
      </c>
      <c r="BM53" s="94">
        <f ca="1">TblProd[[#This Row],[Ore]]</f>
        <v>0</v>
      </c>
    </row>
    <row r="54" spans="1:65" x14ac:dyDescent="0.2">
      <c r="A54" s="137">
        <f>A53+1</f>
        <v>3</v>
      </c>
      <c r="B54" s="152">
        <f ca="1">TblImps[[#This Row],[Time]]</f>
        <v>45817.083333333212</v>
      </c>
      <c r="C54" s="153"/>
      <c r="D54" s="154"/>
      <c r="E54" s="94">
        <f ca="1">TblConstr[[#This Row],[Land]]</f>
        <v>370</v>
      </c>
      <c r="F54" s="94">
        <f ca="1">TblPop[[#This Row],[Peasants]]</f>
        <v>3603</v>
      </c>
      <c r="G54" s="94">
        <f ca="1">TblMili[[#This Row],[Networth (2)]]</f>
        <v>9150</v>
      </c>
      <c r="H54" s="94">
        <f ca="1">OFFSET(TblProd[[#This Row],[Platinum]],-1,0)+OFFSET(TblProd[[#This Row],[Plat/hr]],-1,0) - TblProd[[#This Row],[Expenses Platinum]] + IF(TblProd[[#This Row],[Plat Bonus]],TblPop[[#This Row],[Peasants]]*4) + SUM(TblConstr[[#This Row],[Dest Hom]:[Dest Doc]])*TblConstr[[#This Row],[CPA Platinum -DB]]*tech_3_3_2*TblTech[[#This Row],[3-3]]</f>
        <v>867224</v>
      </c>
      <c r="I54" s="94">
        <f ca="1">OFFSET(TblProd[[#This Row],[Food]],-1,0)+OFFSET(TblProd[[#This Row],[Food/hr]],-1,0)+ROUNDUP((TblConstr[[#This Row],[Farms]]*80+TblConstr[[#This Row],[Docks]]*35)*(1+OFFSET(TblProd[[#This Row],[Bonus Food/hr]],-1,0)),0)</f>
        <v>49254</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39740</v>
      </c>
      <c r="L54" s="94">
        <f ca="1">OFFSET(TblProd[[#This Row],[Ore]],-1,0)+OFFSET(TblProd[[#This Row],[Ore/hr]],-1,0) -TblProd[[#This Row],[Expenses Ore]]</f>
        <v>0</v>
      </c>
      <c r="M54" s="94">
        <f ca="1">OFFSET(TblProd[[#This Row],[Gems]],-1,0)+OFFSET(TblProd[[#This Row],[Gems/hr]],-1,0) - TblProd[[#This Row],[Expenses Gems]]</f>
        <v>37500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2150</v>
      </c>
      <c r="Q54" s="94">
        <f ca="1">MAX(3750,_xlfn.CEILING.MATH(TblProd[[#This Row],[Land]]*2.5+OFFSET(TblTech[[#This Row],[Sum of tech]],-1,0)*150))</f>
        <v>3750</v>
      </c>
      <c r="R54" s="142"/>
      <c r="S54" s="94">
        <f ca="1">ROUNDDOWN(TblProd[[#This Row],[Raw Plat/hr]]*(1+TblProd[[#This Row],[Bonus Plat/hr]]),0)</f>
        <v>11978</v>
      </c>
      <c r="T54" s="94">
        <f ca="1">ROUND(TblProd[[#This Row],[Raw Food/hr]]*(1+TblProd[[#This Row],[Bonus Food/hr]])-TblProd[[#This Row],[Food decay]]-TblProd[[#This Row],[Food eaten]],0)</f>
        <v>524</v>
      </c>
      <c r="U54" s="94">
        <f ca="1">ROUND(TblProd[[#This Row],[Raw Lumber/hr]]*(1+TblProd[[#This Row],[Bonus Lumber/hr]])-TblProd[[#This Row],[Lumber rot]],0)</f>
        <v>514</v>
      </c>
      <c r="V54" s="94">
        <f ca="1">ROUND(TblProd[[#This Row],[Raw Mana/hr]]*(1+TblProd[[#This Row],[Bonus Mana/hr]])-TblProd[[#This Row],[Mana drain]],0)</f>
        <v>455</v>
      </c>
      <c r="W54" s="94">
        <f ca="1">ROUNDDOWN(TblProd[[#This Row],[Raw Ore/hr]]*(1+TblProd[[#This Row],[Bonux Ore/hr]]),0)</f>
        <v>0</v>
      </c>
      <c r="X54" s="94">
        <f ca="1">ROUNDDOWN(TblProd[[#This Row],[Raw Gems/hr]]*(1+TblProd[[#This Row],[Bonus Gems/hr]]),0)</f>
        <v>750</v>
      </c>
      <c r="Y54" s="155">
        <f ca="1">OFFSET(TblConstr[[#This Row],[Tot Doc]],1,0)*dock_boats_hr * (1 + tech_4_1*TblTech[[#This Row],[4-1]])</f>
        <v>0</v>
      </c>
      <c r="Z54" s="154"/>
      <c r="AA54" s="94">
        <f ca="1">TblPop[[#This Row],[Peasants]]*tax*TblPop[[#This Row],[Employment]] + (Construction!AZ55+Construction!BX55)*(alch_plat+(Magic!AN54&gt;0)*alchemist_flame_bonus)</f>
        <v>11978.1</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1250</v>
      </c>
      <c r="AE54" s="94">
        <f ca="1">OFFSET(TblConstr[[#This Row],[Tot OM]],1,0)*om_ore+IF(race="Dwarf",TblMili[[#This Row],[Unit 2]]*0.5,0)</f>
        <v>0</v>
      </c>
      <c r="AF54" s="94">
        <f ca="1">OFFSET(TblConstr[[#This Row],[Tot DM]],1,0)*dm_gems</f>
        <v>750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492.54</v>
      </c>
      <c r="AP54" s="94">
        <f ca="1">(1+race_food_consumption)*TblPop[[#This Row],[Total]]*food_per_person*(1+tech_1_10*TblTech[[#This Row],[1-10]]+tech_7_5*TblTech[[#This Row],[7-5]] + IF(TblMagic[[#This Row],[Active Demonic Pact]]&gt;0,demonic_pact_food_cons,0))</f>
        <v>1563.25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794.80000000000007</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45817.083333333212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867224</v>
      </c>
      <c r="BJ54" s="94">
        <f ca="1">TblProd[[#This Row],[Food]]</f>
        <v>49254</v>
      </c>
      <c r="BK54" s="94">
        <f ca="1">TblProd[[#This Row],[Lumber]]</f>
        <v>48573</v>
      </c>
      <c r="BL54" s="94">
        <f ca="1">TblProd[[#This Row],[Mana]]</f>
        <v>39740</v>
      </c>
      <c r="BM54" s="94">
        <f ca="1">TblProd[[#This Row],[Ore]]</f>
        <v>0</v>
      </c>
    </row>
    <row r="55" spans="1:65" x14ac:dyDescent="0.2">
      <c r="A55" s="137">
        <f t="shared" ref="A55:A118" si="0">A54+1</f>
        <v>4</v>
      </c>
      <c r="B55" s="152">
        <f ca="1">TblImps[[#This Row],[Time]]</f>
        <v>45817.124999999876</v>
      </c>
      <c r="C55" s="153"/>
      <c r="D55" s="154"/>
      <c r="E55" s="94">
        <f ca="1">TblConstr[[#This Row],[Land]]</f>
        <v>370</v>
      </c>
      <c r="F55" s="94">
        <f ca="1">TblPop[[#This Row],[Peasants]]</f>
        <v>3567</v>
      </c>
      <c r="G55" s="94">
        <f ca="1">TblMili[[#This Row],[Networth (2)]]</f>
        <v>9150</v>
      </c>
      <c r="H55" s="94">
        <f ca="1">OFFSET(TblProd[[#This Row],[Platinum]],-1,0)+OFFSET(TblProd[[#This Row],[Plat/hr]],-1,0) - TblProd[[#This Row],[Expenses Platinum]] + IF(TblProd[[#This Row],[Plat Bonus]],TblPop[[#This Row],[Peasants]]*4) + SUM(TblConstr[[#This Row],[Dest Hom]:[Dest Doc]])*TblConstr[[#This Row],[CPA Platinum -DB]]*tech_3_3_2*TblTech[[#This Row],[3-3]]</f>
        <v>879202</v>
      </c>
      <c r="I55" s="94">
        <f ca="1">OFFSET(TblProd[[#This Row],[Food]],-1,0)+OFFSET(TblProd[[#This Row],[Food/hr]],-1,0)+ROUNDUP((TblConstr[[#This Row],[Farms]]*80+TblConstr[[#This Row],[Docks]]*35)*(1+OFFSET(TblProd[[#This Row],[Bonus Food/hr]],-1,0)),0)</f>
        <v>49778</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40195</v>
      </c>
      <c r="L55" s="94">
        <f ca="1">OFFSET(TblProd[[#This Row],[Ore]],-1,0)+OFFSET(TblProd[[#This Row],[Ore/hr]],-1,0) -TblProd[[#This Row],[Expenses Ore]]</f>
        <v>0</v>
      </c>
      <c r="M55" s="94">
        <f ca="1">OFFSET(TblProd[[#This Row],[Gems]],-1,0)+OFFSET(TblProd[[#This Row],[Gems/hr]],-1,0) - TblProd[[#This Row],[Expenses Gems]]</f>
        <v>38250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2193</v>
      </c>
      <c r="Q55" s="94">
        <f ca="1">MAX(3750,_xlfn.CEILING.MATH(TblProd[[#This Row],[Land]]*2.5+OFFSET(TblTech[[#This Row],[Sum of tech]],-1,0)*150))</f>
        <v>3750</v>
      </c>
      <c r="R55" s="142"/>
      <c r="S55" s="94">
        <f ca="1">ROUNDDOWN(TblProd[[#This Row],[Raw Plat/hr]]*(1+TblProd[[#This Row],[Bonus Plat/hr]]),0)</f>
        <v>11880</v>
      </c>
      <c r="T55" s="94">
        <f ca="1">ROUND(TblProd[[#This Row],[Raw Food/hr]]*(1+TblProd[[#This Row],[Bonus Food/hr]])-TblProd[[#This Row],[Food decay]]-TblProd[[#This Row],[Food eaten]],0)</f>
        <v>519</v>
      </c>
      <c r="U55" s="94">
        <f ca="1">ROUND(TblProd[[#This Row],[Raw Lumber/hr]]*(1+TblProd[[#This Row],[Bonus Lumber/hr]])-TblProd[[#This Row],[Lumber rot]],0)</f>
        <v>509</v>
      </c>
      <c r="V55" s="94">
        <f ca="1">ROUND(TblProd[[#This Row],[Raw Mana/hr]]*(1+TblProd[[#This Row],[Bonus Mana/hr]])-TblProd[[#This Row],[Mana drain]],0)</f>
        <v>446</v>
      </c>
      <c r="W55" s="94">
        <f ca="1">ROUNDDOWN(TblProd[[#This Row],[Raw Ore/hr]]*(1+TblProd[[#This Row],[Bonux Ore/hr]]),0)</f>
        <v>0</v>
      </c>
      <c r="X55" s="94">
        <f ca="1">ROUNDDOWN(TblProd[[#This Row],[Raw Gems/hr]]*(1+TblProd[[#This Row],[Bonus Gems/hr]]),0)</f>
        <v>750</v>
      </c>
      <c r="Y55" s="155">
        <f ca="1">OFFSET(TblConstr[[#This Row],[Tot Doc]],1,0)*dock_boats_hr * (1 + tech_4_1*TblTech[[#This Row],[4-1]])</f>
        <v>0</v>
      </c>
      <c r="Z55" s="154"/>
      <c r="AA55" s="94">
        <f ca="1">TblPop[[#This Row],[Peasants]]*tax*TblPop[[#This Row],[Employment]] + (Construction!AZ56+Construction!BX56)*(alch_plat+(Magic!AN55&gt;0)*alchemist_flame_bonus)</f>
        <v>11880.900000000001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1250</v>
      </c>
      <c r="AE55" s="94">
        <f ca="1">OFFSET(TblConstr[[#This Row],[Tot OM]],1,0)*om_ore+IF(race="Dwarf",TblMili[[#This Row],[Unit 2]]*0.5,0)</f>
        <v>0</v>
      </c>
      <c r="AF55" s="94">
        <f ca="1">OFFSET(TblConstr[[#This Row],[Tot DM]],1,0)*dm_gems</f>
        <v>750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497.78000000000003</v>
      </c>
      <c r="AP55" s="94">
        <f ca="1">(1+race_food_consumption)*TblPop[[#This Row],[Total]]*food_per_person*(1+tech_1_10*TblTech[[#This Row],[1-10]]+tech_7_5*TblTech[[#This Row],[7-5]] + IF(TblMagic[[#This Row],[Active Demonic Pact]]&gt;0,demonic_pact_food_cons,0))</f>
        <v>1563.25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803.9</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45817.124999999876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879202</v>
      </c>
      <c r="BJ55" s="94">
        <f ca="1">TblProd[[#This Row],[Food]]</f>
        <v>49778</v>
      </c>
      <c r="BK55" s="94">
        <f ca="1">TblProd[[#This Row],[Lumber]]</f>
        <v>49087</v>
      </c>
      <c r="BL55" s="94">
        <f ca="1">TblProd[[#This Row],[Mana]]</f>
        <v>40195</v>
      </c>
      <c r="BM55" s="94">
        <f ca="1">TblProd[[#This Row],[Ore]]</f>
        <v>0</v>
      </c>
    </row>
    <row r="56" spans="1:65" x14ac:dyDescent="0.2">
      <c r="A56" s="137">
        <f t="shared" si="0"/>
        <v>5</v>
      </c>
      <c r="B56" s="152">
        <f ca="1">TblImps[[#This Row],[Time]]</f>
        <v>45817.166666666541</v>
      </c>
      <c r="C56" s="153"/>
      <c r="D56" s="154"/>
      <c r="E56" s="94">
        <f ca="1">TblConstr[[#This Row],[Land]]</f>
        <v>370</v>
      </c>
      <c r="F56" s="94">
        <f ca="1">TblPop[[#This Row],[Peasants]]</f>
        <v>3531</v>
      </c>
      <c r="G56" s="94">
        <f ca="1">TblMili[[#This Row],[Networth (2)]]</f>
        <v>9150</v>
      </c>
      <c r="H56" s="94">
        <f ca="1">OFFSET(TblProd[[#This Row],[Platinum]],-1,0)+OFFSET(TblProd[[#This Row],[Plat/hr]],-1,0) - TblProd[[#This Row],[Expenses Platinum]] + IF(TblProd[[#This Row],[Plat Bonus]],TblPop[[#This Row],[Peasants]]*4) + SUM(TblConstr[[#This Row],[Dest Hom]:[Dest Doc]])*TblConstr[[#This Row],[CPA Platinum -DB]]*tech_3_3_2*TblTech[[#This Row],[3-3]]</f>
        <v>891082</v>
      </c>
      <c r="I56" s="94">
        <f ca="1">OFFSET(TblProd[[#This Row],[Food]],-1,0)+OFFSET(TblProd[[#This Row],[Food/hr]],-1,0)+ROUNDUP((TblConstr[[#This Row],[Farms]]*80+TblConstr[[#This Row],[Docks]]*35)*(1+OFFSET(TblProd[[#This Row],[Bonus Food/hr]],-1,0)),0)</f>
        <v>50297</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40641</v>
      </c>
      <c r="L56" s="94">
        <f ca="1">OFFSET(TblProd[[#This Row],[Ore]],-1,0)+OFFSET(TblProd[[#This Row],[Ore/hr]],-1,0) -TblProd[[#This Row],[Expenses Ore]]</f>
        <v>0</v>
      </c>
      <c r="M56" s="94">
        <f ca="1">OFFSET(TblProd[[#This Row],[Gems]],-1,0)+OFFSET(TblProd[[#This Row],[Gems/hr]],-1,0) - TblProd[[#This Row],[Expenses Gems]]</f>
        <v>39000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2236</v>
      </c>
      <c r="Q56" s="94">
        <f ca="1">MAX(3750,_xlfn.CEILING.MATH(TblProd[[#This Row],[Land]]*2.5+OFFSET(TblTech[[#This Row],[Sum of tech]],-1,0)*150))</f>
        <v>3750</v>
      </c>
      <c r="R56" s="142"/>
      <c r="S56" s="94">
        <f ca="1">ROUNDDOWN(TblProd[[#This Row],[Raw Plat/hr]]*(1+TblProd[[#This Row],[Bonus Plat/hr]]),0)</f>
        <v>11783</v>
      </c>
      <c r="T56" s="94">
        <f ca="1">ROUND(TblProd[[#This Row],[Raw Food/hr]]*(1+TblProd[[#This Row],[Bonus Food/hr]])-TblProd[[#This Row],[Food decay]]-TblProd[[#This Row],[Food eaten]],0)</f>
        <v>514</v>
      </c>
      <c r="U56" s="94">
        <f ca="1">ROUND(TblProd[[#This Row],[Raw Lumber/hr]]*(1+TblProd[[#This Row],[Bonus Lumber/hr]])-TblProd[[#This Row],[Lumber rot]],0)</f>
        <v>504</v>
      </c>
      <c r="V56" s="94">
        <f ca="1">ROUND(TblProd[[#This Row],[Raw Mana/hr]]*(1+TblProd[[#This Row],[Bonus Mana/hr]])-TblProd[[#This Row],[Mana drain]],0)</f>
        <v>437</v>
      </c>
      <c r="W56" s="94">
        <f ca="1">ROUNDDOWN(TblProd[[#This Row],[Raw Ore/hr]]*(1+TblProd[[#This Row],[Bonux Ore/hr]]),0)</f>
        <v>0</v>
      </c>
      <c r="X56" s="94">
        <f ca="1">ROUNDDOWN(TblProd[[#This Row],[Raw Gems/hr]]*(1+TblProd[[#This Row],[Bonus Gems/hr]]),0)</f>
        <v>750</v>
      </c>
      <c r="Y56" s="155">
        <f ca="1">OFFSET(TblConstr[[#This Row],[Tot Doc]],1,0)*dock_boats_hr * (1 + tech_4_1*TblTech[[#This Row],[4-1]])</f>
        <v>0</v>
      </c>
      <c r="Z56" s="154"/>
      <c r="AA56" s="94">
        <f ca="1">TblPop[[#This Row],[Peasants]]*tax*TblPop[[#This Row],[Employment]] + (Construction!AZ57+Construction!BX57)*(alch_plat+(Magic!AN56&gt;0)*alchemist_flame_bonus)</f>
        <v>11783.7</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1250</v>
      </c>
      <c r="AE56" s="94">
        <f ca="1">OFFSET(TblConstr[[#This Row],[Tot OM]],1,0)*om_ore+IF(race="Dwarf",TblMili[[#This Row],[Unit 2]]*0.5,0)</f>
        <v>0</v>
      </c>
      <c r="AF56" s="94">
        <f ca="1">OFFSET(TblConstr[[#This Row],[Tot DM]],1,0)*dm_gems</f>
        <v>750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502.97</v>
      </c>
      <c r="AP56" s="94">
        <f ca="1">(1+race_food_consumption)*TblPop[[#This Row],[Total]]*food_per_person*(1+tech_1_10*TblTech[[#This Row],[1-10]]+tech_7_5*TblTech[[#This Row],[7-5]] + IF(TblMagic[[#This Row],[Active Demonic Pact]]&gt;0,demonic_pact_food_cons,0))</f>
        <v>1563.25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812.82</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45817.166666666541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891082</v>
      </c>
      <c r="BJ56" s="94">
        <f ca="1">TblProd[[#This Row],[Food]]</f>
        <v>50297</v>
      </c>
      <c r="BK56" s="94">
        <f ca="1">TblProd[[#This Row],[Lumber]]</f>
        <v>49596</v>
      </c>
      <c r="BL56" s="94">
        <f ca="1">TblProd[[#This Row],[Mana]]</f>
        <v>40641</v>
      </c>
      <c r="BM56" s="94">
        <f ca="1">TblProd[[#This Row],[Ore]]</f>
        <v>0</v>
      </c>
    </row>
    <row r="57" spans="1:65" x14ac:dyDescent="0.2">
      <c r="A57" s="137">
        <f t="shared" si="0"/>
        <v>6</v>
      </c>
      <c r="B57" s="152">
        <f ca="1">TblImps[[#This Row],[Time]]</f>
        <v>45817.208333333205</v>
      </c>
      <c r="C57" s="153"/>
      <c r="D57" s="154"/>
      <c r="E57" s="94">
        <f ca="1">TblConstr[[#This Row],[Land]]</f>
        <v>370</v>
      </c>
      <c r="F57" s="94">
        <f ca="1">TblPop[[#This Row],[Peasants]]</f>
        <v>3496</v>
      </c>
      <c r="G57" s="94">
        <f ca="1">TblMili[[#This Row],[Networth (2)]]</f>
        <v>9150</v>
      </c>
      <c r="H57" s="94">
        <f ca="1">OFFSET(TblProd[[#This Row],[Platinum]],-1,0)+OFFSET(TblProd[[#This Row],[Plat/hr]],-1,0) - TblProd[[#This Row],[Expenses Platinum]] + IF(TblProd[[#This Row],[Plat Bonus]],TblPop[[#This Row],[Peasants]]*4) + SUM(TblConstr[[#This Row],[Dest Hom]:[Dest Doc]])*TblConstr[[#This Row],[CPA Platinum -DB]]*tech_3_3_2*TblTech[[#This Row],[3-3]]</f>
        <v>902865</v>
      </c>
      <c r="I57" s="94">
        <f ca="1">OFFSET(TblProd[[#This Row],[Food]],-1,0)+OFFSET(TblProd[[#This Row],[Food/hr]],-1,0)+ROUNDUP((TblConstr[[#This Row],[Farms]]*80+TblConstr[[#This Row],[Docks]]*35)*(1+OFFSET(TblProd[[#This Row],[Bonus Food/hr]],-1,0)),0)</f>
        <v>50811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41078</v>
      </c>
      <c r="L57" s="94">
        <f ca="1">OFFSET(TblProd[[#This Row],[Ore]],-1,0)+OFFSET(TblProd[[#This Row],[Ore/hr]],-1,0) -TblProd[[#This Row],[Expenses Ore]]</f>
        <v>0</v>
      </c>
      <c r="M57" s="94">
        <f ca="1">OFFSET(TblProd[[#This Row],[Gems]],-1,0)+OFFSET(TblProd[[#This Row],[Gems/hr]],-1,0) - TblProd[[#This Row],[Expenses Gems]]</f>
        <v>39750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2279</v>
      </c>
      <c r="Q57" s="94">
        <f ca="1">MAX(3750,_xlfn.CEILING.MATH(TblProd[[#This Row],[Land]]*2.5+OFFSET(TblTech[[#This Row],[Sum of tech]],-1,0)*150))</f>
        <v>3750</v>
      </c>
      <c r="R57" s="142"/>
      <c r="S57" s="94">
        <f ca="1">ROUNDDOWN(TblProd[[#This Row],[Raw Plat/hr]]*(1+TblProd[[#This Row],[Bonus Plat/hr]]),0)</f>
        <v>11689</v>
      </c>
      <c r="T57" s="94">
        <f ca="1">ROUND(TblProd[[#This Row],[Raw Food/hr]]*(1+TblProd[[#This Row],[Bonus Food/hr]])-TblProd[[#This Row],[Food decay]]-TblProd[[#This Row],[Food eaten]],0)</f>
        <v>509</v>
      </c>
      <c r="U57" s="94">
        <f ca="1">ROUND(TblProd[[#This Row],[Raw Lumber/hr]]*(1+TblProd[[#This Row],[Bonus Lumber/hr]])-TblProd[[#This Row],[Lumber rot]],0)</f>
        <v>499</v>
      </c>
      <c r="V57" s="94">
        <f ca="1">ROUND(TblProd[[#This Row],[Raw Mana/hr]]*(1+TblProd[[#This Row],[Bonus Mana/hr]])-TblProd[[#This Row],[Mana drain]],0)</f>
        <v>428</v>
      </c>
      <c r="W57" s="94">
        <f ca="1">ROUNDDOWN(TblProd[[#This Row],[Raw Ore/hr]]*(1+TblProd[[#This Row],[Bonux Ore/hr]]),0)</f>
        <v>0</v>
      </c>
      <c r="X57" s="94">
        <f ca="1">ROUNDDOWN(TblProd[[#This Row],[Raw Gems/hr]]*(1+TblProd[[#This Row],[Bonus Gems/hr]]),0)</f>
        <v>750</v>
      </c>
      <c r="Y57" s="155">
        <f ca="1">OFFSET(TblConstr[[#This Row],[Tot Doc]],1,0)*dock_boats_hr * (1 + tech_4_1*TblTech[[#This Row],[4-1]])</f>
        <v>0</v>
      </c>
      <c r="Z57" s="154"/>
      <c r="AA57" s="94">
        <f ca="1">TblPop[[#This Row],[Peasants]]*tax*TblPop[[#This Row],[Employment]] + (Construction!AZ58+Construction!BX58)*(alch_plat+(Magic!AN57&gt;0)*alchemist_flame_bonus)</f>
        <v>11689.2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1250</v>
      </c>
      <c r="AE57" s="94">
        <f ca="1">OFFSET(TblConstr[[#This Row],[Tot OM]],1,0)*om_ore+IF(race="Dwarf",TblMili[[#This Row],[Unit 2]]*0.5,0)</f>
        <v>0</v>
      </c>
      <c r="AF57" s="94">
        <f ca="1">OFFSET(TblConstr[[#This Row],[Tot DM]],1,0)*dm_gems</f>
        <v>750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508.11</v>
      </c>
      <c r="AP57" s="94">
        <f ca="1">(1+race_food_consumption)*TblPop[[#This Row],[Total]]*food_per_person*(1+tech_1_10*TblTech[[#This Row],[1-10]]+tech_7_5*TblTech[[#This Row],[7-5]] + IF(TblMagic[[#This Row],[Active Demonic Pact]]&gt;0,demonic_pact_food_cons,0))</f>
        <v>1563.25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821.56000000000006</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45817.208333333205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902865</v>
      </c>
      <c r="BJ57" s="94">
        <f ca="1">TblProd[[#This Row],[Food]]</f>
        <v>50811</v>
      </c>
      <c r="BK57" s="94">
        <f ca="1">TblProd[[#This Row],[Lumber]]</f>
        <v>50100</v>
      </c>
      <c r="BL57" s="94">
        <f ca="1">TblProd[[#This Row],[Mana]]</f>
        <v>41078</v>
      </c>
      <c r="BM57" s="94">
        <f ca="1">TblProd[[#This Row],[Ore]]</f>
        <v>0</v>
      </c>
    </row>
    <row r="58" spans="1:65" x14ac:dyDescent="0.2">
      <c r="A58" s="137">
        <f t="shared" si="0"/>
        <v>7</v>
      </c>
      <c r="B58" s="152">
        <f ca="1">TblImps[[#This Row],[Time]]</f>
        <v>45817.249999999869</v>
      </c>
      <c r="C58" s="153"/>
      <c r="D58" s="154"/>
      <c r="E58" s="94">
        <f ca="1">TblConstr[[#This Row],[Land]]</f>
        <v>370</v>
      </c>
      <c r="F58" s="94">
        <f ca="1">TblPop[[#This Row],[Peasants]]</f>
        <v>3461</v>
      </c>
      <c r="G58" s="94">
        <f ca="1">TblMili[[#This Row],[Networth (2)]]</f>
        <v>9150</v>
      </c>
      <c r="H58" s="94">
        <f ca="1">OFFSET(TblProd[[#This Row],[Platinum]],-1,0)+OFFSET(TblProd[[#This Row],[Plat/hr]],-1,0) - TblProd[[#This Row],[Expenses Platinum]] + IF(TblProd[[#This Row],[Plat Bonus]],TblPop[[#This Row],[Peasants]]*4) + SUM(TblConstr[[#This Row],[Dest Hom]:[Dest Doc]])*TblConstr[[#This Row],[CPA Platinum -DB]]*tech_3_3_2*TblTech[[#This Row],[3-3]]</f>
        <v>914554</v>
      </c>
      <c r="I58" s="94">
        <f ca="1">OFFSET(TblProd[[#This Row],[Food]],-1,0)+OFFSET(TblProd[[#This Row],[Food/hr]],-1,0)+ROUNDUP((TblConstr[[#This Row],[Farms]]*80+TblConstr[[#This Row],[Docks]]*35)*(1+OFFSET(TblProd[[#This Row],[Bonus Food/hr]],-1,0)),0)</f>
        <v>51320</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41506</v>
      </c>
      <c r="L58" s="94">
        <f ca="1">OFFSET(TblProd[[#This Row],[Ore]],-1,0)+OFFSET(TblProd[[#This Row],[Ore/hr]],-1,0) -TblProd[[#This Row],[Expenses Ore]]</f>
        <v>0</v>
      </c>
      <c r="M58" s="94">
        <f ca="1">OFFSET(TblProd[[#This Row],[Gems]],-1,0)+OFFSET(TblProd[[#This Row],[Gems/hr]],-1,0) - TblProd[[#This Row],[Expenses Gems]]</f>
        <v>40500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2322</v>
      </c>
      <c r="Q58" s="94">
        <f ca="1">MAX(3750,_xlfn.CEILING.MATH(TblProd[[#This Row],[Land]]*2.5+OFFSET(TblTech[[#This Row],[Sum of tech]],-1,0)*150))</f>
        <v>3750</v>
      </c>
      <c r="R58" s="142"/>
      <c r="S58" s="94">
        <f ca="1">ROUNDDOWN(TblProd[[#This Row],[Raw Plat/hr]]*(1+TblProd[[#This Row],[Bonus Plat/hr]]),0)</f>
        <v>11594</v>
      </c>
      <c r="T58" s="94">
        <f ca="1">ROUND(TblProd[[#This Row],[Raw Food/hr]]*(1+TblProd[[#This Row],[Bonus Food/hr]])-TblProd[[#This Row],[Food decay]]-TblProd[[#This Row],[Food eaten]],0)</f>
        <v>504</v>
      </c>
      <c r="U58" s="94">
        <f ca="1">ROUND(TblProd[[#This Row],[Raw Lumber/hr]]*(1+TblProd[[#This Row],[Bonus Lumber/hr]])-TblProd[[#This Row],[Lumber rot]],0)</f>
        <v>494</v>
      </c>
      <c r="V58" s="94">
        <f ca="1">ROUND(TblProd[[#This Row],[Raw Mana/hr]]*(1+TblProd[[#This Row],[Bonus Mana/hr]])-TblProd[[#This Row],[Mana drain]],0)</f>
        <v>420</v>
      </c>
      <c r="W58" s="94">
        <f ca="1">ROUNDDOWN(TblProd[[#This Row],[Raw Ore/hr]]*(1+TblProd[[#This Row],[Bonux Ore/hr]]),0)</f>
        <v>0</v>
      </c>
      <c r="X58" s="94">
        <f ca="1">ROUNDDOWN(TblProd[[#This Row],[Raw Gems/hr]]*(1+TblProd[[#This Row],[Bonus Gems/hr]]),0)</f>
        <v>750</v>
      </c>
      <c r="Y58" s="155">
        <f ca="1">OFFSET(TblConstr[[#This Row],[Tot Doc]],1,0)*dock_boats_hr * (1 + tech_4_1*TblTech[[#This Row],[4-1]])</f>
        <v>0</v>
      </c>
      <c r="Z58" s="154"/>
      <c r="AA58" s="94">
        <f ca="1">TblPop[[#This Row],[Peasants]]*tax*TblPop[[#This Row],[Employment]] + (Construction!AZ59+Construction!BX59)*(alch_plat+(Magic!AN58&gt;0)*alchemist_flame_bonus)</f>
        <v>11594.7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1250</v>
      </c>
      <c r="AE58" s="94">
        <f ca="1">OFFSET(TblConstr[[#This Row],[Tot OM]],1,0)*om_ore+IF(race="Dwarf",TblMili[[#This Row],[Unit 2]]*0.5,0)</f>
        <v>0</v>
      </c>
      <c r="AF58" s="94">
        <f ca="1">OFFSET(TblConstr[[#This Row],[Tot DM]],1,0)*dm_gems</f>
        <v>750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513.20000000000005</v>
      </c>
      <c r="AP58" s="94">
        <f ca="1">(1+race_food_consumption)*TblPop[[#This Row],[Total]]*food_per_person*(1+tech_1_10*TblTech[[#This Row],[1-10]]+tech_7_5*TblTech[[#This Row],[7-5]] + IF(TblMagic[[#This Row],[Active Demonic Pact]]&gt;0,demonic_pact_food_cons,0))</f>
        <v>1563.25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830.12</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45817.249999999869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914554</v>
      </c>
      <c r="BJ58" s="94">
        <f ca="1">TblProd[[#This Row],[Food]]</f>
        <v>51320</v>
      </c>
      <c r="BK58" s="94">
        <f ca="1">TblProd[[#This Row],[Lumber]]</f>
        <v>50599</v>
      </c>
      <c r="BL58" s="94">
        <f ca="1">TblProd[[#This Row],[Mana]]</f>
        <v>41506</v>
      </c>
      <c r="BM58" s="94">
        <f ca="1">TblProd[[#This Row],[Ore]]</f>
        <v>0</v>
      </c>
    </row>
    <row r="59" spans="1:65" x14ac:dyDescent="0.2">
      <c r="A59" s="137">
        <f t="shared" si="0"/>
        <v>8</v>
      </c>
      <c r="B59" s="152">
        <f ca="1">TblImps[[#This Row],[Time]]</f>
        <v>45817.291666666533</v>
      </c>
      <c r="C59" s="153"/>
      <c r="D59" s="154"/>
      <c r="E59" s="94">
        <f ca="1">TblConstr[[#This Row],[Land]]</f>
        <v>370</v>
      </c>
      <c r="F59" s="94">
        <f ca="1">TblPop[[#This Row],[Peasants]]</f>
        <v>3426</v>
      </c>
      <c r="G59" s="94">
        <f ca="1">TblMili[[#This Row],[Networth (2)]]</f>
        <v>9150</v>
      </c>
      <c r="H59" s="94">
        <f ca="1">OFFSET(TblProd[[#This Row],[Platinum]],-1,0)+OFFSET(TblProd[[#This Row],[Plat/hr]],-1,0) - TblProd[[#This Row],[Expenses Platinum]] + IF(TblProd[[#This Row],[Plat Bonus]],TblPop[[#This Row],[Peasants]]*4) + SUM(TblConstr[[#This Row],[Dest Hom]:[Dest Doc]])*TblConstr[[#This Row],[CPA Platinum -DB]]*tech_3_3_2*TblTech[[#This Row],[3-3]]</f>
        <v>926148</v>
      </c>
      <c r="I59" s="94">
        <f ca="1">OFFSET(TblProd[[#This Row],[Food]],-1,0)+OFFSET(TblProd[[#This Row],[Food/hr]],-1,0)+ROUNDUP((TblConstr[[#This Row],[Farms]]*80+TblConstr[[#This Row],[Docks]]*35)*(1+OFFSET(TblProd[[#This Row],[Bonus Food/hr]],-1,0)),0)</f>
        <v>51824</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41926</v>
      </c>
      <c r="L59" s="94">
        <f ca="1">OFFSET(TblProd[[#This Row],[Ore]],-1,0)+OFFSET(TblProd[[#This Row],[Ore/hr]],-1,0) -TblProd[[#This Row],[Expenses Ore]]</f>
        <v>0</v>
      </c>
      <c r="M59" s="94">
        <f ca="1">OFFSET(TblProd[[#This Row],[Gems]],-1,0)+OFFSET(TblProd[[#This Row],[Gems/hr]],-1,0) - TblProd[[#This Row],[Expenses Gems]]</f>
        <v>41250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2365</v>
      </c>
      <c r="Q59" s="94">
        <f ca="1">MAX(3750,_xlfn.CEILING.MATH(TblProd[[#This Row],[Land]]*2.5+OFFSET(TblTech[[#This Row],[Sum of tech]],-1,0)*150))</f>
        <v>3750</v>
      </c>
      <c r="R59" s="142"/>
      <c r="S59" s="94">
        <f ca="1">ROUNDDOWN(TblProd[[#This Row],[Raw Plat/hr]]*(1+TblProd[[#This Row],[Bonus Plat/hr]]),0)</f>
        <v>11500</v>
      </c>
      <c r="T59" s="94">
        <f ca="1">ROUND(TblProd[[#This Row],[Raw Food/hr]]*(1+TblProd[[#This Row],[Bonus Food/hr]])-TblProd[[#This Row],[Food decay]]-TblProd[[#This Row],[Food eaten]],0)</f>
        <v>499</v>
      </c>
      <c r="U59" s="94">
        <f ca="1">ROUND(TblProd[[#This Row],[Raw Lumber/hr]]*(1+TblProd[[#This Row],[Bonus Lumber/hr]])-TblProd[[#This Row],[Lumber rot]],0)</f>
        <v>489</v>
      </c>
      <c r="V59" s="94">
        <f ca="1">ROUND(TblProd[[#This Row],[Raw Mana/hr]]*(1+TblProd[[#This Row],[Bonus Mana/hr]])-TblProd[[#This Row],[Mana drain]],0)</f>
        <v>411</v>
      </c>
      <c r="W59" s="94">
        <f ca="1">ROUNDDOWN(TblProd[[#This Row],[Raw Ore/hr]]*(1+TblProd[[#This Row],[Bonux Ore/hr]]),0)</f>
        <v>0</v>
      </c>
      <c r="X59" s="94">
        <f ca="1">ROUNDDOWN(TblProd[[#This Row],[Raw Gems/hr]]*(1+TblProd[[#This Row],[Bonus Gems/hr]]),0)</f>
        <v>750</v>
      </c>
      <c r="Y59" s="155">
        <f ca="1">OFFSET(TblConstr[[#This Row],[Tot Doc]],1,0)*dock_boats_hr * (1 + tech_4_1*TblTech[[#This Row],[4-1]])</f>
        <v>0</v>
      </c>
      <c r="Z59" s="154"/>
      <c r="AA59" s="94">
        <f ca="1">TblPop[[#This Row],[Peasants]]*tax*TblPop[[#This Row],[Employment]] + (Construction!AZ60+Construction!BX60)*(alch_plat+(Magic!AN59&gt;0)*alchemist_flame_bonus)</f>
        <v>11500.2</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1250</v>
      </c>
      <c r="AE59" s="94">
        <f ca="1">OFFSET(TblConstr[[#This Row],[Tot OM]],1,0)*om_ore+IF(race="Dwarf",TblMili[[#This Row],[Unit 2]]*0.5,0)</f>
        <v>0</v>
      </c>
      <c r="AF59" s="94">
        <f ca="1">OFFSET(TblConstr[[#This Row],[Tot DM]],1,0)*dm_gems</f>
        <v>750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518.24</v>
      </c>
      <c r="AP59" s="94">
        <f ca="1">(1+race_food_consumption)*TblPop[[#This Row],[Total]]*food_per_person*(1+tech_1_10*TblTech[[#This Row],[1-10]]+tech_7_5*TblTech[[#This Row],[7-5]] + IF(TblMagic[[#This Row],[Active Demonic Pact]]&gt;0,demonic_pact_food_cons,0))</f>
        <v>1563.25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838.52</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45817.291666666533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926148</v>
      </c>
      <c r="BJ59" s="94">
        <f ca="1">TblProd[[#This Row],[Food]]</f>
        <v>51824</v>
      </c>
      <c r="BK59" s="94">
        <f ca="1">TblProd[[#This Row],[Lumber]]</f>
        <v>51093</v>
      </c>
      <c r="BL59" s="94">
        <f ca="1">TblProd[[#This Row],[Mana]]</f>
        <v>41926</v>
      </c>
      <c r="BM59" s="94">
        <f ca="1">TblProd[[#This Row],[Ore]]</f>
        <v>0</v>
      </c>
    </row>
    <row r="60" spans="1:65" x14ac:dyDescent="0.2">
      <c r="A60" s="137">
        <f t="shared" si="0"/>
        <v>9</v>
      </c>
      <c r="B60" s="152">
        <f ca="1">TblImps[[#This Row],[Time]]</f>
        <v>45817.333333333198</v>
      </c>
      <c r="C60" s="153"/>
      <c r="D60" s="154"/>
      <c r="E60" s="94">
        <f ca="1">TblConstr[[#This Row],[Land]]</f>
        <v>370</v>
      </c>
      <c r="F60" s="94">
        <f ca="1">TblPop[[#This Row],[Peasants]]</f>
        <v>3392</v>
      </c>
      <c r="G60" s="94">
        <f ca="1">TblMili[[#This Row],[Networth (2)]]</f>
        <v>9150</v>
      </c>
      <c r="H60" s="94">
        <f ca="1">OFFSET(TblProd[[#This Row],[Platinum]],-1,0)+OFFSET(TblProd[[#This Row],[Plat/hr]],-1,0) - TblProd[[#This Row],[Expenses Platinum]] + IF(TblProd[[#This Row],[Plat Bonus]],TblPop[[#This Row],[Peasants]]*4) + SUM(TblConstr[[#This Row],[Dest Hom]:[Dest Doc]])*TblConstr[[#This Row],[CPA Platinum -DB]]*tech_3_3_2*TblTech[[#This Row],[3-3]]</f>
        <v>937648</v>
      </c>
      <c r="I60" s="94">
        <f ca="1">OFFSET(TblProd[[#This Row],[Food]],-1,0)+OFFSET(TblProd[[#This Row],[Food/hr]],-1,0)+ROUNDUP((TblConstr[[#This Row],[Farms]]*80+TblConstr[[#This Row],[Docks]]*35)*(1+OFFSET(TblProd[[#This Row],[Bonus Food/hr]],-1,0)),0)</f>
        <v>52323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42337</v>
      </c>
      <c r="L60" s="94">
        <f ca="1">OFFSET(TblProd[[#This Row],[Ore]],-1,0)+OFFSET(TblProd[[#This Row],[Ore/hr]],-1,0) -TblProd[[#This Row],[Expenses Ore]]</f>
        <v>0</v>
      </c>
      <c r="M60" s="94">
        <f ca="1">OFFSET(TblProd[[#This Row],[Gems]],-1,0)+OFFSET(TblProd[[#This Row],[Gems/hr]],-1,0) - TblProd[[#This Row],[Expenses Gems]]</f>
        <v>42000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2408</v>
      </c>
      <c r="Q60" s="94">
        <f ca="1">MAX(3750,_xlfn.CEILING.MATH(TblProd[[#This Row],[Land]]*2.5+OFFSET(TblTech[[#This Row],[Sum of tech]],-1,0)*150))</f>
        <v>3750</v>
      </c>
      <c r="R60" s="142"/>
      <c r="S60" s="94">
        <f ca="1">ROUNDDOWN(TblProd[[#This Row],[Raw Plat/hr]]*(1+TblProd[[#This Row],[Bonus Plat/hr]]),0)</f>
        <v>11408</v>
      </c>
      <c r="T60" s="94">
        <f ca="1">ROUND(TblProd[[#This Row],[Raw Food/hr]]*(1+TblProd[[#This Row],[Bonus Food/hr]])-TblProd[[#This Row],[Food decay]]-TblProd[[#This Row],[Food eaten]],0)</f>
        <v>494</v>
      </c>
      <c r="U60" s="94">
        <f ca="1">ROUND(TblProd[[#This Row],[Raw Lumber/hr]]*(1+TblProd[[#This Row],[Bonus Lumber/hr]])-TblProd[[#This Row],[Lumber rot]],0)</f>
        <v>484</v>
      </c>
      <c r="V60" s="94">
        <f ca="1">ROUND(TblProd[[#This Row],[Raw Mana/hr]]*(1+TblProd[[#This Row],[Bonus Mana/hr]])-TblProd[[#This Row],[Mana drain]],0)</f>
        <v>403</v>
      </c>
      <c r="W60" s="94">
        <f ca="1">ROUNDDOWN(TblProd[[#This Row],[Raw Ore/hr]]*(1+TblProd[[#This Row],[Bonux Ore/hr]]),0)</f>
        <v>0</v>
      </c>
      <c r="X60" s="94">
        <f ca="1">ROUNDDOWN(TblProd[[#This Row],[Raw Gems/hr]]*(1+TblProd[[#This Row],[Bonus Gems/hr]]),0)</f>
        <v>750</v>
      </c>
      <c r="Y60" s="155">
        <f ca="1">OFFSET(TblConstr[[#This Row],[Tot Doc]],1,0)*dock_boats_hr * (1 + tech_4_1*TblTech[[#This Row],[4-1]])</f>
        <v>0</v>
      </c>
      <c r="Z60" s="154"/>
      <c r="AA60" s="94">
        <f ca="1">TblPop[[#This Row],[Peasants]]*tax*TblPop[[#This Row],[Employment]] + (Construction!AZ61+Construction!BX61)*(alch_plat+(Magic!AN60&gt;0)*alchemist_flame_bonus)</f>
        <v>11408.400000000001</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1250</v>
      </c>
      <c r="AE60" s="94">
        <f ca="1">OFFSET(TblConstr[[#This Row],[Tot OM]],1,0)*om_ore+IF(race="Dwarf",TblMili[[#This Row],[Unit 2]]*0.5,0)</f>
        <v>0</v>
      </c>
      <c r="AF60" s="94">
        <f ca="1">OFFSET(TblConstr[[#This Row],[Tot DM]],1,0)*dm_gems</f>
        <v>750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523.23</v>
      </c>
      <c r="AP60" s="94">
        <f ca="1">(1+race_food_consumption)*TblPop[[#This Row],[Total]]*food_per_person*(1+tech_1_10*TblTech[[#This Row],[1-10]]+tech_7_5*TblTech[[#This Row],[7-5]] + IF(TblMagic[[#This Row],[Active Demonic Pact]]&gt;0,demonic_pact_food_cons,0))</f>
        <v>1563.25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846.74</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45817.333333333198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937648</v>
      </c>
      <c r="BJ60" s="94">
        <f ca="1">TblProd[[#This Row],[Food]]</f>
        <v>52323</v>
      </c>
      <c r="BK60" s="94">
        <f ca="1">TblProd[[#This Row],[Lumber]]</f>
        <v>51582</v>
      </c>
      <c r="BL60" s="94">
        <f ca="1">TblProd[[#This Row],[Mana]]</f>
        <v>42337</v>
      </c>
      <c r="BM60" s="94">
        <f ca="1">TblProd[[#This Row],[Ore]]</f>
        <v>0</v>
      </c>
    </row>
    <row r="61" spans="1:65" x14ac:dyDescent="0.2">
      <c r="A61" s="137">
        <f t="shared" si="0"/>
        <v>10</v>
      </c>
      <c r="B61" s="152">
        <f ca="1">TblImps[[#This Row],[Time]]</f>
        <v>45817.374999999862</v>
      </c>
      <c r="C61" s="153"/>
      <c r="D61" s="154"/>
      <c r="E61" s="94">
        <f ca="1">TblConstr[[#This Row],[Land]]</f>
        <v>370</v>
      </c>
      <c r="F61" s="94">
        <f ca="1">TblPop[[#This Row],[Peasants]]</f>
        <v>3358</v>
      </c>
      <c r="G61" s="94">
        <f ca="1">TblMili[[#This Row],[Networth (2)]]</f>
        <v>9150</v>
      </c>
      <c r="H61" s="94">
        <f ca="1">OFFSET(TblProd[[#This Row],[Platinum]],-1,0)+OFFSET(TblProd[[#This Row],[Plat/hr]],-1,0) - TblProd[[#This Row],[Expenses Platinum]] + IF(TblProd[[#This Row],[Plat Bonus]],TblPop[[#This Row],[Peasants]]*4) + SUM(TblConstr[[#This Row],[Dest Hom]:[Dest Doc]])*TblConstr[[#This Row],[CPA Platinum -DB]]*tech_3_3_2*TblTech[[#This Row],[3-3]]</f>
        <v>949056</v>
      </c>
      <c r="I61" s="94">
        <f ca="1">OFFSET(TblProd[[#This Row],[Food]],-1,0)+OFFSET(TblProd[[#This Row],[Food/hr]],-1,0)+ROUNDUP((TblConstr[[#This Row],[Farms]]*80+TblConstr[[#This Row],[Docks]]*35)*(1+OFFSET(TblProd[[#This Row],[Bonus Food/hr]],-1,0)),0)</f>
        <v>52817</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42740</v>
      </c>
      <c r="L61" s="94">
        <f ca="1">OFFSET(TblProd[[#This Row],[Ore]],-1,0)+OFFSET(TblProd[[#This Row],[Ore/hr]],-1,0) -TblProd[[#This Row],[Expenses Ore]]</f>
        <v>0</v>
      </c>
      <c r="M61" s="94">
        <f ca="1">OFFSET(TblProd[[#This Row],[Gems]],-1,0)+OFFSET(TblProd[[#This Row],[Gems/hr]],-1,0) - TblProd[[#This Row],[Expenses Gems]]</f>
        <v>42750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2451</v>
      </c>
      <c r="Q61" s="94">
        <f ca="1">MAX(3750,_xlfn.CEILING.MATH(TblProd[[#This Row],[Land]]*2.5+OFFSET(TblTech[[#This Row],[Sum of tech]],-1,0)*150))</f>
        <v>3750</v>
      </c>
      <c r="R61" s="142"/>
      <c r="S61" s="94">
        <f ca="1">ROUNDDOWN(TblProd[[#This Row],[Raw Plat/hr]]*(1+TblProd[[#This Row],[Bonus Plat/hr]]),0)</f>
        <v>11316</v>
      </c>
      <c r="T61" s="94">
        <f ca="1">ROUND(TblProd[[#This Row],[Raw Food/hr]]*(1+TblProd[[#This Row],[Bonus Food/hr]])-TblProd[[#This Row],[Food decay]]-TblProd[[#This Row],[Food eaten]],0)</f>
        <v>489</v>
      </c>
      <c r="U61" s="94">
        <f ca="1">ROUND(TblProd[[#This Row],[Raw Lumber/hr]]*(1+TblProd[[#This Row],[Bonus Lumber/hr]])-TblProd[[#This Row],[Lumber rot]],0)</f>
        <v>479</v>
      </c>
      <c r="V61" s="94">
        <f ca="1">ROUND(TblProd[[#This Row],[Raw Mana/hr]]*(1+TblProd[[#This Row],[Bonus Mana/hr]])-TblProd[[#This Row],[Mana drain]],0)</f>
        <v>395</v>
      </c>
      <c r="W61" s="94">
        <f ca="1">ROUNDDOWN(TblProd[[#This Row],[Raw Ore/hr]]*(1+TblProd[[#This Row],[Bonux Ore/hr]]),0)</f>
        <v>0</v>
      </c>
      <c r="X61" s="94">
        <f ca="1">ROUNDDOWN(TblProd[[#This Row],[Raw Gems/hr]]*(1+TblProd[[#This Row],[Bonus Gems/hr]]),0)</f>
        <v>750</v>
      </c>
      <c r="Y61" s="155">
        <f ca="1">OFFSET(TblConstr[[#This Row],[Tot Doc]],1,0)*dock_boats_hr * (1 + tech_4_1*TblTech[[#This Row],[4-1]])</f>
        <v>0</v>
      </c>
      <c r="Z61" s="154"/>
      <c r="AA61" s="94">
        <f ca="1">TblPop[[#This Row],[Peasants]]*tax*TblPop[[#This Row],[Employment]] + (Construction!AZ62+Construction!BX62)*(alch_plat+(Magic!AN61&gt;0)*alchemist_flame_bonus)</f>
        <v>11316.6</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1250</v>
      </c>
      <c r="AE61" s="94">
        <f ca="1">OFFSET(TblConstr[[#This Row],[Tot OM]],1,0)*om_ore+IF(race="Dwarf",TblMili[[#This Row],[Unit 2]]*0.5,0)</f>
        <v>0</v>
      </c>
      <c r="AF61" s="94">
        <f ca="1">OFFSET(TblConstr[[#This Row],[Tot DM]],1,0)*dm_gems</f>
        <v>750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528.16999999999996</v>
      </c>
      <c r="AP61" s="94">
        <f ca="1">(1+race_food_consumption)*TblPop[[#This Row],[Total]]*food_per_person*(1+tech_1_10*TblTech[[#This Row],[1-10]]+tech_7_5*TblTech[[#This Row],[7-5]] + IF(TblMagic[[#This Row],[Active Demonic Pact]]&gt;0,demonic_pact_food_cons,0))</f>
        <v>1563.25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854.80000000000007</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45817.374999999862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949056</v>
      </c>
      <c r="BJ61" s="94">
        <f ca="1">TblProd[[#This Row],[Food]]</f>
        <v>52817</v>
      </c>
      <c r="BK61" s="94">
        <f ca="1">TblProd[[#This Row],[Lumber]]</f>
        <v>52066</v>
      </c>
      <c r="BL61" s="94">
        <f ca="1">TblProd[[#This Row],[Mana]]</f>
        <v>42740</v>
      </c>
      <c r="BM61" s="94">
        <f ca="1">TblProd[[#This Row],[Ore]]</f>
        <v>0</v>
      </c>
    </row>
    <row r="62" spans="1:65" x14ac:dyDescent="0.2">
      <c r="A62" s="137">
        <f t="shared" si="0"/>
        <v>11</v>
      </c>
      <c r="B62" s="152">
        <f ca="1">TblImps[[#This Row],[Time]]</f>
        <v>45817.416666666526</v>
      </c>
      <c r="C62" s="153"/>
      <c r="D62" s="154"/>
      <c r="E62" s="94">
        <f ca="1">TblConstr[[#This Row],[Land]]</f>
        <v>370</v>
      </c>
      <c r="F62" s="94">
        <f ca="1">TblPop[[#This Row],[Peasants]]</f>
        <v>3324</v>
      </c>
      <c r="G62" s="94">
        <f ca="1">TblMili[[#This Row],[Networth (2)]]</f>
        <v>9150</v>
      </c>
      <c r="H62" s="94">
        <f ca="1">OFFSET(TblProd[[#This Row],[Platinum]],-1,0)+OFFSET(TblProd[[#This Row],[Plat/hr]],-1,0) - TblProd[[#This Row],[Expenses Platinum]] + IF(TblProd[[#This Row],[Plat Bonus]],TblPop[[#This Row],[Peasants]]*4) + SUM(TblConstr[[#This Row],[Dest Hom]:[Dest Doc]])*TblConstr[[#This Row],[CPA Platinum -DB]]*tech_3_3_2*TblTech[[#This Row],[3-3]]</f>
        <v>960372</v>
      </c>
      <c r="I62" s="94">
        <f ca="1">OFFSET(TblProd[[#This Row],[Food]],-1,0)+OFFSET(TblProd[[#This Row],[Food/hr]],-1,0)+ROUNDUP((TblConstr[[#This Row],[Farms]]*80+TblConstr[[#This Row],[Docks]]*35)*(1+OFFSET(TblProd[[#This Row],[Bonus Food/hr]],-1,0)),0)</f>
        <v>53306</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43135</v>
      </c>
      <c r="L62" s="94">
        <f ca="1">OFFSET(TblProd[[#This Row],[Ore]],-1,0)+OFFSET(TblProd[[#This Row],[Ore/hr]],-1,0) -TblProd[[#This Row],[Expenses Ore]]</f>
        <v>0</v>
      </c>
      <c r="M62" s="94">
        <f ca="1">OFFSET(TblProd[[#This Row],[Gems]],-1,0)+OFFSET(TblProd[[#This Row],[Gems/hr]],-1,0) - TblProd[[#This Row],[Expenses Gems]]</f>
        <v>43500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2494</v>
      </c>
      <c r="Q62" s="94">
        <f ca="1">MAX(3750,_xlfn.CEILING.MATH(TblProd[[#This Row],[Land]]*2.5+OFFSET(TblTech[[#This Row],[Sum of tech]],-1,0)*150))</f>
        <v>3750</v>
      </c>
      <c r="R62" s="142"/>
      <c r="S62" s="94">
        <f ca="1">ROUNDDOWN(TblProd[[#This Row],[Raw Plat/hr]]*(1+TblProd[[#This Row],[Bonus Plat/hr]]),0)</f>
        <v>11224</v>
      </c>
      <c r="T62" s="94">
        <f ca="1">ROUND(TblProd[[#This Row],[Raw Food/hr]]*(1+TblProd[[#This Row],[Bonus Food/hr]])-TblProd[[#This Row],[Food decay]]-TblProd[[#This Row],[Food eaten]],0)</f>
        <v>484</v>
      </c>
      <c r="U62" s="94">
        <f ca="1">ROUND(TblProd[[#This Row],[Raw Lumber/hr]]*(1+TblProd[[#This Row],[Bonus Lumber/hr]])-TblProd[[#This Row],[Lumber rot]],0)</f>
        <v>475</v>
      </c>
      <c r="V62" s="94">
        <f ca="1">ROUND(TblProd[[#This Row],[Raw Mana/hr]]*(1+TblProd[[#This Row],[Bonus Mana/hr]])-TblProd[[#This Row],[Mana drain]],0)</f>
        <v>387</v>
      </c>
      <c r="W62" s="94">
        <f ca="1">ROUNDDOWN(TblProd[[#This Row],[Raw Ore/hr]]*(1+TblProd[[#This Row],[Bonux Ore/hr]]),0)</f>
        <v>0</v>
      </c>
      <c r="X62" s="94">
        <f ca="1">ROUNDDOWN(TblProd[[#This Row],[Raw Gems/hr]]*(1+TblProd[[#This Row],[Bonus Gems/hr]]),0)</f>
        <v>750</v>
      </c>
      <c r="Y62" s="155">
        <f ca="1">OFFSET(TblConstr[[#This Row],[Tot Doc]],1,0)*dock_boats_hr * (1 + tech_4_1*TblTech[[#This Row],[4-1]])</f>
        <v>0</v>
      </c>
      <c r="Z62" s="154"/>
      <c r="AA62" s="94">
        <f ca="1">TblPop[[#This Row],[Peasants]]*tax*TblPop[[#This Row],[Employment]] + (Construction!AZ63+Construction!BX63)*(alch_plat+(Magic!AN62&gt;0)*alchemist_flame_bonus)</f>
        <v>11224.800000000001</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1250</v>
      </c>
      <c r="AE62" s="94">
        <f ca="1">OFFSET(TblConstr[[#This Row],[Tot OM]],1,0)*om_ore+IF(race="Dwarf",TblMili[[#This Row],[Unit 2]]*0.5,0)</f>
        <v>0</v>
      </c>
      <c r="AF62" s="94">
        <f ca="1">OFFSET(TblConstr[[#This Row],[Tot DM]],1,0)*dm_gems</f>
        <v>750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533.06000000000006</v>
      </c>
      <c r="AP62" s="94">
        <f ca="1">(1+race_food_consumption)*TblPop[[#This Row],[Total]]*food_per_person*(1+tech_1_10*TblTech[[#This Row],[1-10]]+tech_7_5*TblTech[[#This Row],[7-5]] + IF(TblMagic[[#This Row],[Active Demonic Pact]]&gt;0,demonic_pact_food_cons,0))</f>
        <v>1563.25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862.7</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45817.416666666526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960372</v>
      </c>
      <c r="BJ62" s="94">
        <f ca="1">TblProd[[#This Row],[Food]]</f>
        <v>53306</v>
      </c>
      <c r="BK62" s="94">
        <f ca="1">TblProd[[#This Row],[Lumber]]</f>
        <v>52545</v>
      </c>
      <c r="BL62" s="94">
        <f ca="1">TblProd[[#This Row],[Mana]]</f>
        <v>43135</v>
      </c>
      <c r="BM62" s="94">
        <f ca="1">TblProd[[#This Row],[Ore]]</f>
        <v>0</v>
      </c>
    </row>
    <row r="63" spans="1:65" x14ac:dyDescent="0.2">
      <c r="A63" s="137">
        <f t="shared" si="0"/>
        <v>12</v>
      </c>
      <c r="B63" s="152">
        <f ca="1">TblImps[[#This Row],[Time]]</f>
        <v>45817.45833333319</v>
      </c>
      <c r="C63" s="153"/>
      <c r="D63" s="154"/>
      <c r="E63" s="94">
        <f ca="1">TblConstr[[#This Row],[Land]]</f>
        <v>370</v>
      </c>
      <c r="F63" s="94">
        <f ca="1">TblPop[[#This Row],[Peasants]]</f>
        <v>3291</v>
      </c>
      <c r="G63" s="94">
        <f ca="1">TblMili[[#This Row],[Networth (2)]]</f>
        <v>9150</v>
      </c>
      <c r="H63" s="94">
        <f ca="1">OFFSET(TblProd[[#This Row],[Platinum]],-1,0)+OFFSET(TblProd[[#This Row],[Plat/hr]],-1,0) - TblProd[[#This Row],[Expenses Platinum]] + IF(TblProd[[#This Row],[Plat Bonus]],TblPop[[#This Row],[Peasants]]*4) + SUM(TblConstr[[#This Row],[Dest Hom]:[Dest Doc]])*TblConstr[[#This Row],[CPA Platinum -DB]]*tech_3_3_2*TblTech[[#This Row],[3-3]]</f>
        <v>971596</v>
      </c>
      <c r="I63" s="94">
        <f ca="1">OFFSET(TblProd[[#This Row],[Food]],-1,0)+OFFSET(TblProd[[#This Row],[Food/hr]],-1,0)+ROUNDUP((TblConstr[[#This Row],[Farms]]*80+TblConstr[[#This Row],[Docks]]*35)*(1+OFFSET(TblProd[[#This Row],[Bonus Food/hr]],-1,0)),0)</f>
        <v>53790</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43522</v>
      </c>
      <c r="L63" s="94">
        <f ca="1">OFFSET(TblProd[[#This Row],[Ore]],-1,0)+OFFSET(TblProd[[#This Row],[Ore/hr]],-1,0) -TblProd[[#This Row],[Expenses Ore]]</f>
        <v>0</v>
      </c>
      <c r="M63" s="94">
        <f ca="1">OFFSET(TblProd[[#This Row],[Gems]],-1,0)+OFFSET(TblProd[[#This Row],[Gems/hr]],-1,0) - TblProd[[#This Row],[Expenses Gems]]</f>
        <v>44250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2537</v>
      </c>
      <c r="Q63" s="94">
        <f ca="1">MAX(3750,_xlfn.CEILING.MATH(TblProd[[#This Row],[Land]]*2.5+OFFSET(TblTech[[#This Row],[Sum of tech]],-1,0)*150))</f>
        <v>3750</v>
      </c>
      <c r="R63" s="142"/>
      <c r="S63" s="94">
        <f ca="1">ROUNDDOWN(TblProd[[#This Row],[Raw Plat/hr]]*(1+TblProd[[#This Row],[Bonus Plat/hr]]),0)</f>
        <v>11135</v>
      </c>
      <c r="T63" s="94">
        <f ca="1">ROUND(TblProd[[#This Row],[Raw Food/hr]]*(1+TblProd[[#This Row],[Bonus Food/hr]])-TblProd[[#This Row],[Food decay]]-TblProd[[#This Row],[Food eaten]],0)</f>
        <v>479</v>
      </c>
      <c r="U63" s="94">
        <f ca="1">ROUND(TblProd[[#This Row],[Raw Lumber/hr]]*(1+TblProd[[#This Row],[Bonus Lumber/hr]])-TblProd[[#This Row],[Lumber rot]],0)</f>
        <v>470</v>
      </c>
      <c r="V63" s="94">
        <f ca="1">ROUND(TblProd[[#This Row],[Raw Mana/hr]]*(1+TblProd[[#This Row],[Bonus Mana/hr]])-TblProd[[#This Row],[Mana drain]],0)</f>
        <v>380</v>
      </c>
      <c r="W63" s="94">
        <f ca="1">ROUNDDOWN(TblProd[[#This Row],[Raw Ore/hr]]*(1+TblProd[[#This Row],[Bonux Ore/hr]]),0)</f>
        <v>0</v>
      </c>
      <c r="X63" s="94">
        <f ca="1">ROUNDDOWN(TblProd[[#This Row],[Raw Gems/hr]]*(1+TblProd[[#This Row],[Bonus Gems/hr]]),0)</f>
        <v>750</v>
      </c>
      <c r="Y63" s="155">
        <f ca="1">OFFSET(TblConstr[[#This Row],[Tot Doc]],1,0)*dock_boats_hr * (1 + tech_4_1*TblTech[[#This Row],[4-1]])</f>
        <v>0</v>
      </c>
      <c r="Z63" s="154"/>
      <c r="AA63" s="94">
        <f ca="1">TblPop[[#This Row],[Peasants]]*tax*TblPop[[#This Row],[Employment]] + (Construction!AZ64+Construction!BX64)*(alch_plat+(Magic!AN63&gt;0)*alchemist_flame_bonus)</f>
        <v>11135.7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1250</v>
      </c>
      <c r="AE63" s="94">
        <f ca="1">OFFSET(TblConstr[[#This Row],[Tot OM]],1,0)*om_ore+IF(race="Dwarf",TblMili[[#This Row],[Unit 2]]*0.5,0)</f>
        <v>0</v>
      </c>
      <c r="AF63" s="94">
        <f ca="1">OFFSET(TblConstr[[#This Row],[Tot DM]],1,0)*dm_gems</f>
        <v>750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537.9</v>
      </c>
      <c r="AP63" s="94">
        <f ca="1">(1+race_food_consumption)*TblPop[[#This Row],[Total]]*food_per_person*(1+tech_1_10*TblTech[[#This Row],[1-10]]+tech_7_5*TblTech[[#This Row],[7-5]] + IF(TblMagic[[#This Row],[Active Demonic Pact]]&gt;0,demonic_pact_food_cons,0))</f>
        <v>1563.25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870.44</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45817.45833333319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971596</v>
      </c>
      <c r="BJ63" s="94">
        <f ca="1">TblProd[[#This Row],[Food]]</f>
        <v>53790</v>
      </c>
      <c r="BK63" s="94">
        <f ca="1">TblProd[[#This Row],[Lumber]]</f>
        <v>53020</v>
      </c>
      <c r="BL63" s="94">
        <f ca="1">TblProd[[#This Row],[Mana]]</f>
        <v>43522</v>
      </c>
      <c r="BM63" s="94">
        <f ca="1">TblProd[[#This Row],[Ore]]</f>
        <v>0</v>
      </c>
    </row>
    <row r="64" spans="1:65" x14ac:dyDescent="0.2">
      <c r="A64" s="137">
        <f t="shared" si="0"/>
        <v>13</v>
      </c>
      <c r="B64" s="152">
        <f ca="1">TblImps[[#This Row],[Time]]</f>
        <v>45817.499999999854</v>
      </c>
      <c r="C64" s="153"/>
      <c r="D64" s="154"/>
      <c r="E64" s="94">
        <f ca="1">TblConstr[[#This Row],[Land]]</f>
        <v>370</v>
      </c>
      <c r="F64" s="94">
        <f ca="1">TblPop[[#This Row],[Peasants]]</f>
        <v>3258</v>
      </c>
      <c r="G64" s="94">
        <f ca="1">TblMili[[#This Row],[Networth (2)]]</f>
        <v>9150</v>
      </c>
      <c r="H64" s="94">
        <f ca="1">OFFSET(TblProd[[#This Row],[Platinum]],-1,0)+OFFSET(TblProd[[#This Row],[Plat/hr]],-1,0) - TblProd[[#This Row],[Expenses Platinum]] + IF(TblProd[[#This Row],[Plat Bonus]],TblPop[[#This Row],[Peasants]]*4) + SUM(TblConstr[[#This Row],[Dest Hom]:[Dest Doc]])*TblConstr[[#This Row],[CPA Platinum -DB]]*tech_3_3_2*TblTech[[#This Row],[3-3]]</f>
        <v>982731</v>
      </c>
      <c r="I64" s="94">
        <f ca="1">OFFSET(TblProd[[#This Row],[Food]],-1,0)+OFFSET(TblProd[[#This Row],[Food/hr]],-1,0)+ROUNDUP((TblConstr[[#This Row],[Farms]]*80+TblConstr[[#This Row],[Docks]]*35)*(1+OFFSET(TblProd[[#This Row],[Bonus Food/hr]],-1,0)),0)</f>
        <v>54269</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43902</v>
      </c>
      <c r="L64" s="94">
        <f ca="1">OFFSET(TblProd[[#This Row],[Ore]],-1,0)+OFFSET(TblProd[[#This Row],[Ore/hr]],-1,0) -TblProd[[#This Row],[Expenses Ore]]</f>
        <v>0</v>
      </c>
      <c r="M64" s="94">
        <f ca="1">OFFSET(TblProd[[#This Row],[Gems]],-1,0)+OFFSET(TblProd[[#This Row],[Gems/hr]],-1,0) - TblProd[[#This Row],[Expenses Gems]]</f>
        <v>45000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2580</v>
      </c>
      <c r="Q64" s="94">
        <f ca="1">MAX(3750,_xlfn.CEILING.MATH(TblProd[[#This Row],[Land]]*2.5+OFFSET(TblTech[[#This Row],[Sum of tech]],-1,0)*150))</f>
        <v>3750</v>
      </c>
      <c r="R64" s="142"/>
      <c r="S64" s="94">
        <f ca="1">ROUNDDOWN(TblProd[[#This Row],[Raw Plat/hr]]*(1+TblProd[[#This Row],[Bonus Plat/hr]]),0)</f>
        <v>11046</v>
      </c>
      <c r="T64" s="94">
        <f ca="1">ROUND(TblProd[[#This Row],[Raw Food/hr]]*(1+TblProd[[#This Row],[Bonus Food/hr]])-TblProd[[#This Row],[Food decay]]-TblProd[[#This Row],[Food eaten]],0)</f>
        <v>474</v>
      </c>
      <c r="U64" s="94">
        <f ca="1">ROUND(TblProd[[#This Row],[Raw Lumber/hr]]*(1+TblProd[[#This Row],[Bonus Lumber/hr]])-TblProd[[#This Row],[Lumber rot]],0)</f>
        <v>465</v>
      </c>
      <c r="V64" s="94">
        <f ca="1">ROUND(TblProd[[#This Row],[Raw Mana/hr]]*(1+TblProd[[#This Row],[Bonus Mana/hr]])-TblProd[[#This Row],[Mana drain]],0)</f>
        <v>372</v>
      </c>
      <c r="W64" s="94">
        <f ca="1">ROUNDDOWN(TblProd[[#This Row],[Raw Ore/hr]]*(1+TblProd[[#This Row],[Bonux Ore/hr]]),0)</f>
        <v>0</v>
      </c>
      <c r="X64" s="94">
        <f ca="1">ROUNDDOWN(TblProd[[#This Row],[Raw Gems/hr]]*(1+TblProd[[#This Row],[Bonus Gems/hr]]),0)</f>
        <v>750</v>
      </c>
      <c r="Y64" s="155">
        <f ca="1">OFFSET(TblConstr[[#This Row],[Tot Doc]],1,0)*dock_boats_hr * (1 + tech_4_1*TblTech[[#This Row],[4-1]])</f>
        <v>0</v>
      </c>
      <c r="Z64" s="154"/>
      <c r="AA64" s="94">
        <f ca="1">TblPop[[#This Row],[Peasants]]*tax*TblPop[[#This Row],[Employment]] + (Construction!AZ65+Construction!BX65)*(alch_plat+(Magic!AN64&gt;0)*alchemist_flame_bonus)</f>
        <v>11046.6</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1250</v>
      </c>
      <c r="AE64" s="94">
        <f ca="1">OFFSET(TblConstr[[#This Row],[Tot OM]],1,0)*om_ore+IF(race="Dwarf",TblMili[[#This Row],[Unit 2]]*0.5,0)</f>
        <v>0</v>
      </c>
      <c r="AF64" s="94">
        <f ca="1">OFFSET(TblConstr[[#This Row],[Tot DM]],1,0)*dm_gems</f>
        <v>750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542.69000000000005</v>
      </c>
      <c r="AP64" s="94">
        <f ca="1">(1+race_food_consumption)*TblPop[[#This Row],[Total]]*food_per_person*(1+tech_1_10*TblTech[[#This Row],[1-10]]+tech_7_5*TblTech[[#This Row],[7-5]] + IF(TblMagic[[#This Row],[Active Demonic Pact]]&gt;0,demonic_pact_food_cons,0))</f>
        <v>1563.25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878.04</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45817.499999999854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982731</v>
      </c>
      <c r="BJ64" s="94">
        <f ca="1">TblProd[[#This Row],[Food]]</f>
        <v>54269</v>
      </c>
      <c r="BK64" s="94">
        <f ca="1">TblProd[[#This Row],[Lumber]]</f>
        <v>53490</v>
      </c>
      <c r="BL64" s="94">
        <f ca="1">TblProd[[#This Row],[Mana]]</f>
        <v>43902</v>
      </c>
      <c r="BM64" s="94">
        <f ca="1">TblProd[[#This Row],[Ore]]</f>
        <v>0</v>
      </c>
    </row>
    <row r="65" spans="1:65" x14ac:dyDescent="0.2">
      <c r="A65" s="137">
        <f t="shared" si="0"/>
        <v>14</v>
      </c>
      <c r="B65" s="152">
        <f ca="1">TblImps[[#This Row],[Time]]</f>
        <v>45817.541666666519</v>
      </c>
      <c r="C65" s="153"/>
      <c r="D65" s="154"/>
      <c r="E65" s="94">
        <f ca="1">TblConstr[[#This Row],[Land]]</f>
        <v>370</v>
      </c>
      <c r="F65" s="94">
        <f ca="1">TblPop[[#This Row],[Peasants]]</f>
        <v>3225</v>
      </c>
      <c r="G65" s="94">
        <f ca="1">TblMili[[#This Row],[Networth (2)]]</f>
        <v>9150</v>
      </c>
      <c r="H65" s="94">
        <f ca="1">OFFSET(TblProd[[#This Row],[Platinum]],-1,0)+OFFSET(TblProd[[#This Row],[Plat/hr]],-1,0) - TblProd[[#This Row],[Expenses Platinum]] + IF(TblProd[[#This Row],[Plat Bonus]],TblPop[[#This Row],[Peasants]]*4) + SUM(TblConstr[[#This Row],[Dest Hom]:[Dest Doc]])*TblConstr[[#This Row],[CPA Platinum -DB]]*tech_3_3_2*TblTech[[#This Row],[3-3]]</f>
        <v>993777</v>
      </c>
      <c r="I65" s="94">
        <f ca="1">OFFSET(TblProd[[#This Row],[Food]],-1,0)+OFFSET(TblProd[[#This Row],[Food/hr]],-1,0)+ROUNDUP((TblConstr[[#This Row],[Farms]]*80+TblConstr[[#This Row],[Docks]]*35)*(1+OFFSET(TblProd[[#This Row],[Bonus Food/hr]],-1,0)),0)</f>
        <v>54743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44274</v>
      </c>
      <c r="L65" s="94">
        <f ca="1">OFFSET(TblProd[[#This Row],[Ore]],-1,0)+OFFSET(TblProd[[#This Row],[Ore/hr]],-1,0) -TblProd[[#This Row],[Expenses Ore]]</f>
        <v>0</v>
      </c>
      <c r="M65" s="94">
        <f ca="1">OFFSET(TblProd[[#This Row],[Gems]],-1,0)+OFFSET(TblProd[[#This Row],[Gems/hr]],-1,0) - TblProd[[#This Row],[Expenses Gems]]</f>
        <v>45750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2623</v>
      </c>
      <c r="Q65" s="94">
        <f ca="1">MAX(3750,_xlfn.CEILING.MATH(TblProd[[#This Row],[Land]]*2.5+OFFSET(TblTech[[#This Row],[Sum of tech]],-1,0)*150))</f>
        <v>3750</v>
      </c>
      <c r="R65" s="142"/>
      <c r="S65" s="94">
        <f ca="1">ROUNDDOWN(TblProd[[#This Row],[Raw Plat/hr]]*(1+TblProd[[#This Row],[Bonus Plat/hr]]),0)</f>
        <v>10957</v>
      </c>
      <c r="T65" s="94">
        <f ca="1">ROUND(TblProd[[#This Row],[Raw Food/hr]]*(1+TblProd[[#This Row],[Bonus Food/hr]])-TblProd[[#This Row],[Food decay]]-TblProd[[#This Row],[Food eaten]],0)</f>
        <v>469</v>
      </c>
      <c r="U65" s="94">
        <f ca="1">ROUND(TblProd[[#This Row],[Raw Lumber/hr]]*(1+TblProd[[#This Row],[Bonus Lumber/hr]])-TblProd[[#This Row],[Lumber rot]],0)</f>
        <v>460</v>
      </c>
      <c r="V65" s="94">
        <f ca="1">ROUND(TblProd[[#This Row],[Raw Mana/hr]]*(1+TblProd[[#This Row],[Bonus Mana/hr]])-TblProd[[#This Row],[Mana drain]],0)</f>
        <v>365</v>
      </c>
      <c r="W65" s="94">
        <f ca="1">ROUNDDOWN(TblProd[[#This Row],[Raw Ore/hr]]*(1+TblProd[[#This Row],[Bonux Ore/hr]]),0)</f>
        <v>0</v>
      </c>
      <c r="X65" s="94">
        <f ca="1">ROUNDDOWN(TblProd[[#This Row],[Raw Gems/hr]]*(1+TblProd[[#This Row],[Bonus Gems/hr]]),0)</f>
        <v>750</v>
      </c>
      <c r="Y65" s="155">
        <f ca="1">OFFSET(TblConstr[[#This Row],[Tot Doc]],1,0)*dock_boats_hr * (1 + tech_4_1*TblTech[[#This Row],[4-1]])</f>
        <v>0</v>
      </c>
      <c r="Z65" s="154"/>
      <c r="AA65" s="94">
        <f ca="1">TblPop[[#This Row],[Peasants]]*tax*TblPop[[#This Row],[Employment]] + (Construction!AZ66+Construction!BX66)*(alch_plat+(Magic!AN65&gt;0)*alchemist_flame_bonus)</f>
        <v>10957.5</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1250</v>
      </c>
      <c r="AE65" s="94">
        <f ca="1">OFFSET(TblConstr[[#This Row],[Tot OM]],1,0)*om_ore+IF(race="Dwarf",TblMili[[#This Row],[Unit 2]]*0.5,0)</f>
        <v>0</v>
      </c>
      <c r="AF65" s="94">
        <f ca="1">OFFSET(TblConstr[[#This Row],[Tot DM]],1,0)*dm_gems</f>
        <v>750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547.43000000000006</v>
      </c>
      <c r="AP65" s="94">
        <f ca="1">(1+race_food_consumption)*TblPop[[#This Row],[Total]]*food_per_person*(1+tech_1_10*TblTech[[#This Row],[1-10]]+tech_7_5*TblTech[[#This Row],[7-5]] + IF(TblMagic[[#This Row],[Active Demonic Pact]]&gt;0,demonic_pact_food_cons,0))</f>
        <v>1563.25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885.48</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45817.541666666519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993777</v>
      </c>
      <c r="BJ65" s="94">
        <f ca="1">TblProd[[#This Row],[Food]]</f>
        <v>54743</v>
      </c>
      <c r="BK65" s="94">
        <f ca="1">TblProd[[#This Row],[Lumber]]</f>
        <v>53955</v>
      </c>
      <c r="BL65" s="94">
        <f ca="1">TblProd[[#This Row],[Mana]]</f>
        <v>44274</v>
      </c>
      <c r="BM65" s="94">
        <f ca="1">TblProd[[#This Row],[Ore]]</f>
        <v>0</v>
      </c>
    </row>
    <row r="66" spans="1:65" x14ac:dyDescent="0.2">
      <c r="A66" s="137">
        <f t="shared" si="0"/>
        <v>15</v>
      </c>
      <c r="B66" s="152">
        <f ca="1">TblImps[[#This Row],[Time]]</f>
        <v>45817.583333333183</v>
      </c>
      <c r="C66" s="153"/>
      <c r="D66" s="154"/>
      <c r="E66" s="94">
        <f ca="1">TblConstr[[#This Row],[Land]]</f>
        <v>370</v>
      </c>
      <c r="F66" s="94">
        <f ca="1">TblPop[[#This Row],[Peasants]]</f>
        <v>3193</v>
      </c>
      <c r="G66" s="94">
        <f ca="1">TblMili[[#This Row],[Networth (2)]]</f>
        <v>9150</v>
      </c>
      <c r="H66" s="94">
        <f ca="1">OFFSET(TblProd[[#This Row],[Platinum]],-1,0)+OFFSET(TblProd[[#This Row],[Plat/hr]],-1,0) - TblProd[[#This Row],[Expenses Platinum]] + IF(TblProd[[#This Row],[Plat Bonus]],TblPop[[#This Row],[Peasants]]*4) + SUM(TblConstr[[#This Row],[Dest Hom]:[Dest Doc]])*TblConstr[[#This Row],[CPA Platinum -DB]]*tech_3_3_2*TblTech[[#This Row],[3-3]]</f>
        <v>1004734</v>
      </c>
      <c r="I66" s="94">
        <f ca="1">OFFSET(TblProd[[#This Row],[Food]],-1,0)+OFFSET(TblProd[[#This Row],[Food/hr]],-1,0)+ROUNDUP((TblConstr[[#This Row],[Farms]]*80+TblConstr[[#This Row],[Docks]]*35)*(1+OFFSET(TblProd[[#This Row],[Bonus Food/hr]],-1,0)),0)</f>
        <v>55212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44639</v>
      </c>
      <c r="L66" s="94">
        <f ca="1">OFFSET(TblProd[[#This Row],[Ore]],-1,0)+OFFSET(TblProd[[#This Row],[Ore/hr]],-1,0) -TblProd[[#This Row],[Expenses Ore]]</f>
        <v>0</v>
      </c>
      <c r="M66" s="94">
        <f ca="1">OFFSET(TblProd[[#This Row],[Gems]],-1,0)+OFFSET(TblProd[[#This Row],[Gems/hr]],-1,0) - TblProd[[#This Row],[Expenses Gems]]</f>
        <v>46500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2666</v>
      </c>
      <c r="Q66" s="94">
        <f ca="1">MAX(3750,_xlfn.CEILING.MATH(TblProd[[#This Row],[Land]]*2.5+OFFSET(TblTech[[#This Row],[Sum of tech]],-1,0)*150))</f>
        <v>3750</v>
      </c>
      <c r="R66" s="142"/>
      <c r="S66" s="94">
        <f ca="1">ROUNDDOWN(TblProd[[#This Row],[Raw Plat/hr]]*(1+TblProd[[#This Row],[Bonus Plat/hr]]),0)</f>
        <v>10871</v>
      </c>
      <c r="T66" s="94">
        <f ca="1">ROUND(TblProd[[#This Row],[Raw Food/hr]]*(1+TblProd[[#This Row],[Bonus Food/hr]])-TblProd[[#This Row],[Food decay]]-TblProd[[#This Row],[Food eaten]],0)</f>
        <v>465</v>
      </c>
      <c r="U66" s="94">
        <f ca="1">ROUND(TblProd[[#This Row],[Raw Lumber/hr]]*(1+TblProd[[#This Row],[Bonus Lumber/hr]])-TblProd[[#This Row],[Lumber rot]],0)</f>
        <v>456</v>
      </c>
      <c r="V66" s="94">
        <f ca="1">ROUND(TblProd[[#This Row],[Raw Mana/hr]]*(1+TblProd[[#This Row],[Bonus Mana/hr]])-TblProd[[#This Row],[Mana drain]],0)</f>
        <v>357</v>
      </c>
      <c r="W66" s="94">
        <f ca="1">ROUNDDOWN(TblProd[[#This Row],[Raw Ore/hr]]*(1+TblProd[[#This Row],[Bonux Ore/hr]]),0)</f>
        <v>0</v>
      </c>
      <c r="X66" s="94">
        <f ca="1">ROUNDDOWN(TblProd[[#This Row],[Raw Gems/hr]]*(1+TblProd[[#This Row],[Bonus Gems/hr]]),0)</f>
        <v>750</v>
      </c>
      <c r="Y66" s="155">
        <f ca="1">OFFSET(TblConstr[[#This Row],[Tot Doc]],1,0)*dock_boats_hr * (1 + tech_4_1*TblTech[[#This Row],[4-1]])</f>
        <v>0</v>
      </c>
      <c r="Z66" s="154"/>
      <c r="AA66" s="94">
        <f ca="1">TblPop[[#This Row],[Peasants]]*tax*TblPop[[#This Row],[Employment]] + (Construction!AZ67+Construction!BX67)*(alch_plat+(Magic!AN66&gt;0)*alchemist_flame_bonus)</f>
        <v>10871.1</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1250</v>
      </c>
      <c r="AE66" s="94">
        <f ca="1">OFFSET(TblConstr[[#This Row],[Tot OM]],1,0)*om_ore+IF(race="Dwarf",TblMili[[#This Row],[Unit 2]]*0.5,0)</f>
        <v>0</v>
      </c>
      <c r="AF66" s="94">
        <f ca="1">OFFSET(TblConstr[[#This Row],[Tot DM]],1,0)*dm_gems</f>
        <v>750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552.12</v>
      </c>
      <c r="AP66" s="94">
        <f ca="1">(1+race_food_consumption)*TblPop[[#This Row],[Total]]*food_per_person*(1+tech_1_10*TblTech[[#This Row],[1-10]]+tech_7_5*TblTech[[#This Row],[7-5]] + IF(TblMagic[[#This Row],[Active Demonic Pact]]&gt;0,demonic_pact_food_cons,0))</f>
        <v>1563.25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892.78</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45817.583333333183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1004734</v>
      </c>
      <c r="BJ66" s="94">
        <f ca="1">TblProd[[#This Row],[Food]]</f>
        <v>55212</v>
      </c>
      <c r="BK66" s="94">
        <f ca="1">TblProd[[#This Row],[Lumber]]</f>
        <v>54415</v>
      </c>
      <c r="BL66" s="94">
        <f ca="1">TblProd[[#This Row],[Mana]]</f>
        <v>44639</v>
      </c>
      <c r="BM66" s="94">
        <f ca="1">TblProd[[#This Row],[Ore]]</f>
        <v>0</v>
      </c>
    </row>
    <row r="67" spans="1:65" x14ac:dyDescent="0.2">
      <c r="A67" s="137">
        <f t="shared" si="0"/>
        <v>16</v>
      </c>
      <c r="B67" s="152">
        <f ca="1">TblImps[[#This Row],[Time]]</f>
        <v>45817.624999999847</v>
      </c>
      <c r="C67" s="153"/>
      <c r="D67" s="154"/>
      <c r="E67" s="94">
        <f ca="1">TblConstr[[#This Row],[Land]]</f>
        <v>370</v>
      </c>
      <c r="F67" s="94">
        <f ca="1">TblPop[[#This Row],[Peasants]]</f>
        <v>3161</v>
      </c>
      <c r="G67" s="94">
        <f ca="1">TblMili[[#This Row],[Networth (2)]]</f>
        <v>9150</v>
      </c>
      <c r="H67" s="94">
        <f ca="1">OFFSET(TblProd[[#This Row],[Platinum]],-1,0)+OFFSET(TblProd[[#This Row],[Plat/hr]],-1,0) - TblProd[[#This Row],[Expenses Platinum]] + IF(TblProd[[#This Row],[Plat Bonus]],TblPop[[#This Row],[Peasants]]*4) + SUM(TblConstr[[#This Row],[Dest Hom]:[Dest Doc]])*TblConstr[[#This Row],[CPA Platinum -DB]]*tech_3_3_2*TblTech[[#This Row],[3-3]]</f>
        <v>1015605</v>
      </c>
      <c r="I67" s="94">
        <f ca="1">OFFSET(TblProd[[#This Row],[Food]],-1,0)+OFFSET(TblProd[[#This Row],[Food/hr]],-1,0)+ROUNDUP((TblConstr[[#This Row],[Farms]]*80+TblConstr[[#This Row],[Docks]]*35)*(1+OFFSET(TblProd[[#This Row],[Bonus Food/hr]],-1,0)),0)</f>
        <v>55677</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44996</v>
      </c>
      <c r="L67" s="94">
        <f ca="1">OFFSET(TblProd[[#This Row],[Ore]],-1,0)+OFFSET(TblProd[[#This Row],[Ore/hr]],-1,0) -TblProd[[#This Row],[Expenses Ore]]</f>
        <v>0</v>
      </c>
      <c r="M67" s="94">
        <f ca="1">OFFSET(TblProd[[#This Row],[Gems]],-1,0)+OFFSET(TblProd[[#This Row],[Gems/hr]],-1,0) - TblProd[[#This Row],[Expenses Gems]]</f>
        <v>47250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2709</v>
      </c>
      <c r="Q67" s="94">
        <f ca="1">MAX(3750,_xlfn.CEILING.MATH(TblProd[[#This Row],[Land]]*2.5+OFFSET(TblTech[[#This Row],[Sum of tech]],-1,0)*150))</f>
        <v>3750</v>
      </c>
      <c r="R67" s="142"/>
      <c r="S67" s="94">
        <f ca="1">ROUNDDOWN(TblProd[[#This Row],[Raw Plat/hr]]*(1+TblProd[[#This Row],[Bonus Plat/hr]]),0)</f>
        <v>10784</v>
      </c>
      <c r="T67" s="94">
        <f ca="1">ROUND(TblProd[[#This Row],[Raw Food/hr]]*(1+TblProd[[#This Row],[Bonus Food/hr]])-TblProd[[#This Row],[Food decay]]-TblProd[[#This Row],[Food eaten]],0)</f>
        <v>460</v>
      </c>
      <c r="U67" s="94">
        <f ca="1">ROUND(TblProd[[#This Row],[Raw Lumber/hr]]*(1+TblProd[[#This Row],[Bonus Lumber/hr]])-TblProd[[#This Row],[Lumber rot]],0)</f>
        <v>451</v>
      </c>
      <c r="V67" s="94">
        <f ca="1">ROUND(TblProd[[#This Row],[Raw Mana/hr]]*(1+TblProd[[#This Row],[Bonus Mana/hr]])-TblProd[[#This Row],[Mana drain]],0)</f>
        <v>350</v>
      </c>
      <c r="W67" s="94">
        <f ca="1">ROUNDDOWN(TblProd[[#This Row],[Raw Ore/hr]]*(1+TblProd[[#This Row],[Bonux Ore/hr]]),0)</f>
        <v>0</v>
      </c>
      <c r="X67" s="94">
        <f ca="1">ROUNDDOWN(TblProd[[#This Row],[Raw Gems/hr]]*(1+TblProd[[#This Row],[Bonus Gems/hr]]),0)</f>
        <v>750</v>
      </c>
      <c r="Y67" s="155">
        <f ca="1">OFFSET(TblConstr[[#This Row],[Tot Doc]],1,0)*dock_boats_hr * (1 + tech_4_1*TblTech[[#This Row],[4-1]])</f>
        <v>0</v>
      </c>
      <c r="Z67" s="154"/>
      <c r="AA67" s="94">
        <f ca="1">TblPop[[#This Row],[Peasants]]*tax*TblPop[[#This Row],[Employment]] + (Construction!AZ68+Construction!BX68)*(alch_plat+(Magic!AN67&gt;0)*alchemist_flame_bonus)</f>
        <v>10784.7</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1250</v>
      </c>
      <c r="AE67" s="94">
        <f ca="1">OFFSET(TblConstr[[#This Row],[Tot OM]],1,0)*om_ore+IF(race="Dwarf",TblMili[[#This Row],[Unit 2]]*0.5,0)</f>
        <v>0</v>
      </c>
      <c r="AF67" s="94">
        <f ca="1">OFFSET(TblConstr[[#This Row],[Tot DM]],1,0)*dm_gems</f>
        <v>750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556.77</v>
      </c>
      <c r="AP67" s="94">
        <f ca="1">(1+race_food_consumption)*TblPop[[#This Row],[Total]]*food_per_person*(1+tech_1_10*TblTech[[#This Row],[1-10]]+tech_7_5*TblTech[[#This Row],[7-5]] + IF(TblMagic[[#This Row],[Active Demonic Pact]]&gt;0,demonic_pact_food_cons,0))</f>
        <v>1563.25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899.92000000000007</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45817.624999999847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1015605</v>
      </c>
      <c r="BJ67" s="94">
        <f ca="1">TblProd[[#This Row],[Food]]</f>
        <v>55677</v>
      </c>
      <c r="BK67" s="94">
        <f ca="1">TblProd[[#This Row],[Lumber]]</f>
        <v>54871</v>
      </c>
      <c r="BL67" s="94">
        <f ca="1">TblProd[[#This Row],[Mana]]</f>
        <v>44996</v>
      </c>
      <c r="BM67" s="94">
        <f ca="1">TblProd[[#This Row],[Ore]]</f>
        <v>0</v>
      </c>
    </row>
    <row r="68" spans="1:65" x14ac:dyDescent="0.2">
      <c r="A68" s="137">
        <f t="shared" si="0"/>
        <v>17</v>
      </c>
      <c r="B68" s="152">
        <f ca="1">TblImps[[#This Row],[Time]]</f>
        <v>45817.666666666511</v>
      </c>
      <c r="C68" s="153"/>
      <c r="D68" s="154"/>
      <c r="E68" s="94">
        <f ca="1">TblConstr[[#This Row],[Land]]</f>
        <v>370</v>
      </c>
      <c r="F68" s="94">
        <f ca="1">TblPop[[#This Row],[Peasants]]</f>
        <v>3129</v>
      </c>
      <c r="G68" s="94">
        <f ca="1">TblMili[[#This Row],[Networth (2)]]</f>
        <v>9150</v>
      </c>
      <c r="H68" s="94">
        <f ca="1">OFFSET(TblProd[[#This Row],[Platinum]],-1,0)+OFFSET(TblProd[[#This Row],[Plat/hr]],-1,0) - TblProd[[#This Row],[Expenses Platinum]] + IF(TblProd[[#This Row],[Plat Bonus]],TblPop[[#This Row],[Peasants]]*4) + SUM(TblConstr[[#This Row],[Dest Hom]:[Dest Doc]])*TblConstr[[#This Row],[CPA Platinum -DB]]*tech_3_3_2*TblTech[[#This Row],[3-3]]</f>
        <v>1026389</v>
      </c>
      <c r="I68" s="94">
        <f ca="1">OFFSET(TblProd[[#This Row],[Food]],-1,0)+OFFSET(TblProd[[#This Row],[Food/hr]],-1,0)+ROUNDUP((TblConstr[[#This Row],[Farms]]*80+TblConstr[[#This Row],[Docks]]*35)*(1+OFFSET(TblProd[[#This Row],[Bonus Food/hr]],-1,0)),0)</f>
        <v>56137</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45346</v>
      </c>
      <c r="L68" s="94">
        <f ca="1">OFFSET(TblProd[[#This Row],[Ore]],-1,0)+OFFSET(TblProd[[#This Row],[Ore/hr]],-1,0) -TblProd[[#This Row],[Expenses Ore]]</f>
        <v>0</v>
      </c>
      <c r="M68" s="94">
        <f ca="1">OFFSET(TblProd[[#This Row],[Gems]],-1,0)+OFFSET(TblProd[[#This Row],[Gems/hr]],-1,0) - TblProd[[#This Row],[Expenses Gems]]</f>
        <v>48000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2752</v>
      </c>
      <c r="Q68" s="94">
        <f ca="1">MAX(3750,_xlfn.CEILING.MATH(TblProd[[#This Row],[Land]]*2.5+OFFSET(TblTech[[#This Row],[Sum of tech]],-1,0)*150))</f>
        <v>3750</v>
      </c>
      <c r="R68" s="142"/>
      <c r="S68" s="94">
        <f ca="1">ROUNDDOWN(TblProd[[#This Row],[Raw Plat/hr]]*(1+TblProd[[#This Row],[Bonus Plat/hr]]),0)</f>
        <v>10698</v>
      </c>
      <c r="T68" s="94">
        <f ca="1">ROUND(TblProd[[#This Row],[Raw Food/hr]]*(1+TblProd[[#This Row],[Bonus Food/hr]])-TblProd[[#This Row],[Food decay]]-TblProd[[#This Row],[Food eaten]],0)</f>
        <v>455</v>
      </c>
      <c r="U68" s="94">
        <f ca="1">ROUND(TblProd[[#This Row],[Raw Lumber/hr]]*(1+TblProd[[#This Row],[Bonus Lumber/hr]])-TblProd[[#This Row],[Lumber rot]],0)</f>
        <v>447</v>
      </c>
      <c r="V68" s="94">
        <f ca="1">ROUND(TblProd[[#This Row],[Raw Mana/hr]]*(1+TblProd[[#This Row],[Bonus Mana/hr]])-TblProd[[#This Row],[Mana drain]],0)</f>
        <v>343</v>
      </c>
      <c r="W68" s="94">
        <f ca="1">ROUNDDOWN(TblProd[[#This Row],[Raw Ore/hr]]*(1+TblProd[[#This Row],[Bonux Ore/hr]]),0)</f>
        <v>0</v>
      </c>
      <c r="X68" s="94">
        <f ca="1">ROUNDDOWN(TblProd[[#This Row],[Raw Gems/hr]]*(1+TblProd[[#This Row],[Bonus Gems/hr]]),0)</f>
        <v>750</v>
      </c>
      <c r="Y68" s="155">
        <f ca="1">OFFSET(TblConstr[[#This Row],[Tot Doc]],1,0)*dock_boats_hr * (1 + tech_4_1*TblTech[[#This Row],[4-1]])</f>
        <v>0</v>
      </c>
      <c r="Z68" s="154"/>
      <c r="AA68" s="94">
        <f ca="1">TblPop[[#This Row],[Peasants]]*tax*TblPop[[#This Row],[Employment]] + (Construction!AZ69+Construction!BX69)*(alch_plat+(Magic!AN68&gt;0)*alchemist_flame_bonus)</f>
        <v>10698.300000000001</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1250</v>
      </c>
      <c r="AE68" s="94">
        <f ca="1">OFFSET(TblConstr[[#This Row],[Tot OM]],1,0)*om_ore+IF(race="Dwarf",TblMili[[#This Row],[Unit 2]]*0.5,0)</f>
        <v>0</v>
      </c>
      <c r="AF68" s="94">
        <f ca="1">OFFSET(TblConstr[[#This Row],[Tot DM]],1,0)*dm_gems</f>
        <v>750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561.37</v>
      </c>
      <c r="AP68" s="94">
        <f ca="1">(1+race_food_consumption)*TblPop[[#This Row],[Total]]*food_per_person*(1+tech_1_10*TblTech[[#This Row],[1-10]]+tech_7_5*TblTech[[#This Row],[7-5]] + IF(TblMagic[[#This Row],[Active Demonic Pact]]&gt;0,demonic_pact_food_cons,0))</f>
        <v>1563.25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906.92000000000007</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45817.666666666511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1026389</v>
      </c>
      <c r="BJ68" s="94">
        <f ca="1">TblProd[[#This Row],[Food]]</f>
        <v>56137</v>
      </c>
      <c r="BK68" s="94">
        <f ca="1">TblProd[[#This Row],[Lumber]]</f>
        <v>55322</v>
      </c>
      <c r="BL68" s="94">
        <f ca="1">TblProd[[#This Row],[Mana]]</f>
        <v>45346</v>
      </c>
      <c r="BM68" s="94">
        <f ca="1">TblProd[[#This Row],[Ore]]</f>
        <v>0</v>
      </c>
    </row>
    <row r="69" spans="1:65" x14ac:dyDescent="0.2">
      <c r="A69" s="137">
        <f t="shared" si="0"/>
        <v>18</v>
      </c>
      <c r="B69" s="152">
        <f ca="1">TblImps[[#This Row],[Time]]</f>
        <v>45817.708333333176</v>
      </c>
      <c r="C69" s="153"/>
      <c r="D69" s="154"/>
      <c r="E69" s="94">
        <f ca="1">TblConstr[[#This Row],[Land]]</f>
        <v>370</v>
      </c>
      <c r="F69" s="94">
        <f ca="1">TblPop[[#This Row],[Peasants]]</f>
        <v>3098</v>
      </c>
      <c r="G69" s="94">
        <f ca="1">TblMili[[#This Row],[Networth (2)]]</f>
        <v>9150</v>
      </c>
      <c r="H69" s="94">
        <f ca="1">OFFSET(TblProd[[#This Row],[Platinum]],-1,0)+OFFSET(TblProd[[#This Row],[Plat/hr]],-1,0) - TblProd[[#This Row],[Expenses Platinum]] + IF(TblProd[[#This Row],[Plat Bonus]],TblPop[[#This Row],[Peasants]]*4) + SUM(TblConstr[[#This Row],[Dest Hom]:[Dest Doc]])*TblConstr[[#This Row],[CPA Platinum -DB]]*tech_3_3_2*TblTech[[#This Row],[3-3]]</f>
        <v>1037087</v>
      </c>
      <c r="I69" s="94">
        <f ca="1">OFFSET(TblProd[[#This Row],[Food]],-1,0)+OFFSET(TblProd[[#This Row],[Food/hr]],-1,0)+ROUNDUP((TblConstr[[#This Row],[Farms]]*80+TblConstr[[#This Row],[Docks]]*35)*(1+OFFSET(TblProd[[#This Row],[Bonus Food/hr]],-1,0)),0)</f>
        <v>56592</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45689</v>
      </c>
      <c r="L69" s="94">
        <f ca="1">OFFSET(TblProd[[#This Row],[Ore]],-1,0)+OFFSET(TblProd[[#This Row],[Ore/hr]],-1,0) -TblProd[[#This Row],[Expenses Ore]]</f>
        <v>0</v>
      </c>
      <c r="M69" s="94">
        <f ca="1">OFFSET(TblProd[[#This Row],[Gems]],-1,0)+OFFSET(TblProd[[#This Row],[Gems/hr]],-1,0) - TblProd[[#This Row],[Expenses Gems]]</f>
        <v>48750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2795</v>
      </c>
      <c r="Q69" s="94">
        <f ca="1">MAX(3750,_xlfn.CEILING.MATH(TblProd[[#This Row],[Land]]*2.5+OFFSET(TblTech[[#This Row],[Sum of tech]],-1,0)*150))</f>
        <v>3750</v>
      </c>
      <c r="R69" s="142"/>
      <c r="S69" s="94">
        <f ca="1">ROUNDDOWN(TblProd[[#This Row],[Raw Plat/hr]]*(1+TblProd[[#This Row],[Bonus Plat/hr]]),0)</f>
        <v>10614</v>
      </c>
      <c r="T69" s="94">
        <f ca="1">ROUND(TblProd[[#This Row],[Raw Food/hr]]*(1+TblProd[[#This Row],[Bonus Food/hr]])-TblProd[[#This Row],[Food decay]]-TblProd[[#This Row],[Food eaten]],0)</f>
        <v>451</v>
      </c>
      <c r="U69" s="94">
        <f ca="1">ROUND(TblProd[[#This Row],[Raw Lumber/hr]]*(1+TblProd[[#This Row],[Bonus Lumber/hr]])-TblProd[[#This Row],[Lumber rot]],0)</f>
        <v>442</v>
      </c>
      <c r="V69" s="94">
        <f ca="1">ROUND(TblProd[[#This Row],[Raw Mana/hr]]*(1+TblProd[[#This Row],[Bonus Mana/hr]])-TblProd[[#This Row],[Mana drain]],0)</f>
        <v>336</v>
      </c>
      <c r="W69" s="94">
        <f ca="1">ROUNDDOWN(TblProd[[#This Row],[Raw Ore/hr]]*(1+TblProd[[#This Row],[Bonux Ore/hr]]),0)</f>
        <v>0</v>
      </c>
      <c r="X69" s="94">
        <f ca="1">ROUNDDOWN(TblProd[[#This Row],[Raw Gems/hr]]*(1+TblProd[[#This Row],[Bonus Gems/hr]]),0)</f>
        <v>750</v>
      </c>
      <c r="Y69" s="155">
        <f ca="1">OFFSET(TblConstr[[#This Row],[Tot Doc]],1,0)*dock_boats_hr * (1 + tech_4_1*TblTech[[#This Row],[4-1]])</f>
        <v>0</v>
      </c>
      <c r="Z69" s="154"/>
      <c r="AA69" s="94">
        <f ca="1">TblPop[[#This Row],[Peasants]]*tax*TblPop[[#This Row],[Employment]] + (Construction!AZ70+Construction!BX70)*(alch_plat+(Magic!AN69&gt;0)*alchemist_flame_bonus)</f>
        <v>10614.6</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1250</v>
      </c>
      <c r="AE69" s="94">
        <f ca="1">OFFSET(TblConstr[[#This Row],[Tot OM]],1,0)*om_ore+IF(race="Dwarf",TblMili[[#This Row],[Unit 2]]*0.5,0)</f>
        <v>0</v>
      </c>
      <c r="AF69" s="94">
        <f ca="1">OFFSET(TblConstr[[#This Row],[Tot DM]],1,0)*dm_gems</f>
        <v>750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565.91999999999996</v>
      </c>
      <c r="AP69" s="94">
        <f ca="1">(1+race_food_consumption)*TblPop[[#This Row],[Total]]*food_per_person*(1+tech_1_10*TblTech[[#This Row],[1-10]]+tech_7_5*TblTech[[#This Row],[7-5]] + IF(TblMagic[[#This Row],[Active Demonic Pact]]&gt;0,demonic_pact_food_cons,0))</f>
        <v>1563.25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913.78</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45817.708333333176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1037087</v>
      </c>
      <c r="BJ69" s="94">
        <f ca="1">TblProd[[#This Row],[Food]]</f>
        <v>56592</v>
      </c>
      <c r="BK69" s="94">
        <f ca="1">TblProd[[#This Row],[Lumber]]</f>
        <v>55769</v>
      </c>
      <c r="BL69" s="94">
        <f ca="1">TblProd[[#This Row],[Mana]]</f>
        <v>45689</v>
      </c>
      <c r="BM69" s="94">
        <f ca="1">TblProd[[#This Row],[Ore]]</f>
        <v>0</v>
      </c>
    </row>
    <row r="70" spans="1:65" x14ac:dyDescent="0.2">
      <c r="A70" s="137">
        <f t="shared" si="0"/>
        <v>19</v>
      </c>
      <c r="B70" s="152">
        <f ca="1">TblImps[[#This Row],[Time]]</f>
        <v>45817.74999999984</v>
      </c>
      <c r="C70" s="153"/>
      <c r="D70" s="154"/>
      <c r="E70" s="94">
        <f ca="1">TblConstr[[#This Row],[Land]]</f>
        <v>370</v>
      </c>
      <c r="F70" s="94">
        <f ca="1">TblPop[[#This Row],[Peasants]]</f>
        <v>3067</v>
      </c>
      <c r="G70" s="94">
        <f ca="1">TblMili[[#This Row],[Networth (2)]]</f>
        <v>9150</v>
      </c>
      <c r="H70" s="94">
        <f ca="1">OFFSET(TblProd[[#This Row],[Platinum]],-1,0)+OFFSET(TblProd[[#This Row],[Plat/hr]],-1,0) - TblProd[[#This Row],[Expenses Platinum]] + IF(TblProd[[#This Row],[Plat Bonus]],TblPop[[#This Row],[Peasants]]*4) + SUM(TblConstr[[#This Row],[Dest Hom]:[Dest Doc]])*TblConstr[[#This Row],[CPA Platinum -DB]]*tech_3_3_2*TblTech[[#This Row],[3-3]]</f>
        <v>1047701</v>
      </c>
      <c r="I70" s="94">
        <f ca="1">OFFSET(TblProd[[#This Row],[Food]],-1,0)+OFFSET(TblProd[[#This Row],[Food/hr]],-1,0)+ROUNDUP((TblConstr[[#This Row],[Farms]]*80+TblConstr[[#This Row],[Docks]]*35)*(1+OFFSET(TblProd[[#This Row],[Bonus Food/hr]],-1,0)),0)</f>
        <v>57043</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46025</v>
      </c>
      <c r="L70" s="94">
        <f ca="1">OFFSET(TblProd[[#This Row],[Ore]],-1,0)+OFFSET(TblProd[[#This Row],[Ore/hr]],-1,0) -TblProd[[#This Row],[Expenses Ore]]</f>
        <v>0</v>
      </c>
      <c r="M70" s="94">
        <f ca="1">OFFSET(TblProd[[#This Row],[Gems]],-1,0)+OFFSET(TblProd[[#This Row],[Gems/hr]],-1,0) - TblProd[[#This Row],[Expenses Gems]]</f>
        <v>49500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2838</v>
      </c>
      <c r="Q70" s="94">
        <f ca="1">MAX(3750,_xlfn.CEILING.MATH(TblProd[[#This Row],[Land]]*2.5+OFFSET(TblTech[[#This Row],[Sum of tech]],-1,0)*150))</f>
        <v>3750</v>
      </c>
      <c r="R70" s="142"/>
      <c r="S70" s="94">
        <f ca="1">ROUNDDOWN(TblProd[[#This Row],[Raw Plat/hr]]*(1+TblProd[[#This Row],[Bonus Plat/hr]]),0)</f>
        <v>10530</v>
      </c>
      <c r="T70" s="94">
        <f ca="1">ROUND(TblProd[[#This Row],[Raw Food/hr]]*(1+TblProd[[#This Row],[Bonus Food/hr]])-TblProd[[#This Row],[Food decay]]-TblProd[[#This Row],[Food eaten]],0)</f>
        <v>446</v>
      </c>
      <c r="U70" s="94">
        <f ca="1">ROUND(TblProd[[#This Row],[Raw Lumber/hr]]*(1+TblProd[[#This Row],[Bonus Lumber/hr]])-TblProd[[#This Row],[Lumber rot]],0)</f>
        <v>438</v>
      </c>
      <c r="V70" s="94">
        <f ca="1">ROUND(TblProd[[#This Row],[Raw Mana/hr]]*(1+TblProd[[#This Row],[Bonus Mana/hr]])-TblProd[[#This Row],[Mana drain]],0)</f>
        <v>330</v>
      </c>
      <c r="W70" s="94">
        <f ca="1">ROUNDDOWN(TblProd[[#This Row],[Raw Ore/hr]]*(1+TblProd[[#This Row],[Bonux Ore/hr]]),0)</f>
        <v>0</v>
      </c>
      <c r="X70" s="94">
        <f ca="1">ROUNDDOWN(TblProd[[#This Row],[Raw Gems/hr]]*(1+TblProd[[#This Row],[Bonus Gems/hr]]),0)</f>
        <v>750</v>
      </c>
      <c r="Y70" s="155">
        <f ca="1">OFFSET(TblConstr[[#This Row],[Tot Doc]],1,0)*dock_boats_hr * (1 + tech_4_1*TblTech[[#This Row],[4-1]])</f>
        <v>0</v>
      </c>
      <c r="Z70" s="154"/>
      <c r="AA70" s="94">
        <f ca="1">TblPop[[#This Row],[Peasants]]*tax*TblPop[[#This Row],[Employment]] + (Construction!AZ71+Construction!BX71)*(alch_plat+(Magic!AN70&gt;0)*alchemist_flame_bonus)</f>
        <v>10530.9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1250</v>
      </c>
      <c r="AE70" s="94">
        <f ca="1">OFFSET(TblConstr[[#This Row],[Tot OM]],1,0)*om_ore+IF(race="Dwarf",TblMili[[#This Row],[Unit 2]]*0.5,0)</f>
        <v>0</v>
      </c>
      <c r="AF70" s="94">
        <f ca="1">OFFSET(TblConstr[[#This Row],[Tot DM]],1,0)*dm_gems</f>
        <v>750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570.43000000000006</v>
      </c>
      <c r="AP70" s="94">
        <f ca="1">(1+race_food_consumption)*TblPop[[#This Row],[Total]]*food_per_person*(1+tech_1_10*TblTech[[#This Row],[1-10]]+tech_7_5*TblTech[[#This Row],[7-5]] + IF(TblMagic[[#This Row],[Active Demonic Pact]]&gt;0,demonic_pact_food_cons,0))</f>
        <v>1563.25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920.5</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45817.74999999984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1047701</v>
      </c>
      <c r="BJ70" s="94">
        <f ca="1">TblProd[[#This Row],[Food]]</f>
        <v>57043</v>
      </c>
      <c r="BK70" s="94">
        <f ca="1">TblProd[[#This Row],[Lumber]]</f>
        <v>56211</v>
      </c>
      <c r="BL70" s="94">
        <f ca="1">TblProd[[#This Row],[Mana]]</f>
        <v>46025</v>
      </c>
      <c r="BM70" s="94">
        <f ca="1">TblProd[[#This Row],[Ore]]</f>
        <v>0</v>
      </c>
    </row>
    <row r="71" spans="1:65" x14ac:dyDescent="0.2">
      <c r="A71" s="137">
        <f t="shared" si="0"/>
        <v>20</v>
      </c>
      <c r="B71" s="152">
        <f ca="1">TblImps[[#This Row],[Time]]</f>
        <v>45817.791666666504</v>
      </c>
      <c r="C71" s="153"/>
      <c r="D71" s="154"/>
      <c r="E71" s="94">
        <f ca="1">TblConstr[[#This Row],[Land]]</f>
        <v>370</v>
      </c>
      <c r="F71" s="94">
        <f ca="1">TblPop[[#This Row],[Peasants]]</f>
        <v>3036</v>
      </c>
      <c r="G71" s="94">
        <f ca="1">TblMili[[#This Row],[Networth (2)]]</f>
        <v>9150</v>
      </c>
      <c r="H71" s="94">
        <f ca="1">OFFSET(TblProd[[#This Row],[Platinum]],-1,0)+OFFSET(TblProd[[#This Row],[Plat/hr]],-1,0) - TblProd[[#This Row],[Expenses Platinum]] + IF(TblProd[[#This Row],[Plat Bonus]],TblPop[[#This Row],[Peasants]]*4) + SUM(TblConstr[[#This Row],[Dest Hom]:[Dest Doc]])*TblConstr[[#This Row],[CPA Platinum -DB]]*tech_3_3_2*TblTech[[#This Row],[3-3]]</f>
        <v>1058231</v>
      </c>
      <c r="I71" s="94">
        <f ca="1">OFFSET(TblProd[[#This Row],[Food]],-1,0)+OFFSET(TblProd[[#This Row],[Food/hr]],-1,0)+ROUNDUP((TblConstr[[#This Row],[Farms]]*80+TblConstr[[#This Row],[Docks]]*35)*(1+OFFSET(TblProd[[#This Row],[Bonus Food/hr]],-1,0)),0)</f>
        <v>57489</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46355</v>
      </c>
      <c r="L71" s="94">
        <f ca="1">OFFSET(TblProd[[#This Row],[Ore]],-1,0)+OFFSET(TblProd[[#This Row],[Ore/hr]],-1,0) -TblProd[[#This Row],[Expenses Ore]]</f>
        <v>0</v>
      </c>
      <c r="M71" s="94">
        <f ca="1">OFFSET(TblProd[[#This Row],[Gems]],-1,0)+OFFSET(TblProd[[#This Row],[Gems/hr]],-1,0) - TblProd[[#This Row],[Expenses Gems]]</f>
        <v>50250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2881</v>
      </c>
      <c r="Q71" s="94">
        <f ca="1">MAX(3750,_xlfn.CEILING.MATH(TblProd[[#This Row],[Land]]*2.5+OFFSET(TblTech[[#This Row],[Sum of tech]],-1,0)*150))</f>
        <v>3750</v>
      </c>
      <c r="R71" s="142"/>
      <c r="S71" s="94">
        <f ca="1">ROUNDDOWN(TblProd[[#This Row],[Raw Plat/hr]]*(1+TblProd[[#This Row],[Bonus Plat/hr]]),0)</f>
        <v>10447</v>
      </c>
      <c r="T71" s="94">
        <f ca="1">ROUND(TblProd[[#This Row],[Raw Food/hr]]*(1+TblProd[[#This Row],[Bonus Food/hr]])-TblProd[[#This Row],[Food decay]]-TblProd[[#This Row],[Food eaten]],0)</f>
        <v>442</v>
      </c>
      <c r="U71" s="94">
        <f ca="1">ROUND(TblProd[[#This Row],[Raw Lumber/hr]]*(1+TblProd[[#This Row],[Bonus Lumber/hr]])-TblProd[[#This Row],[Lumber rot]],0)</f>
        <v>434</v>
      </c>
      <c r="V71" s="94">
        <f ca="1">ROUND(TblProd[[#This Row],[Raw Mana/hr]]*(1+TblProd[[#This Row],[Bonus Mana/hr]])-TblProd[[#This Row],[Mana drain]],0)</f>
        <v>323</v>
      </c>
      <c r="W71" s="94">
        <f ca="1">ROUNDDOWN(TblProd[[#This Row],[Raw Ore/hr]]*(1+TblProd[[#This Row],[Bonux Ore/hr]]),0)</f>
        <v>0</v>
      </c>
      <c r="X71" s="94">
        <f ca="1">ROUNDDOWN(TblProd[[#This Row],[Raw Gems/hr]]*(1+TblProd[[#This Row],[Bonus Gems/hr]]),0)</f>
        <v>750</v>
      </c>
      <c r="Y71" s="155">
        <f ca="1">OFFSET(TblConstr[[#This Row],[Tot Doc]],1,0)*dock_boats_hr * (1 + tech_4_1*TblTech[[#This Row],[4-1]])</f>
        <v>0</v>
      </c>
      <c r="Z71" s="154"/>
      <c r="AA71" s="94">
        <f ca="1">TblPop[[#This Row],[Peasants]]*tax*TblPop[[#This Row],[Employment]] + (Construction!AZ72+Construction!BX72)*(alch_plat+(Magic!AN71&gt;0)*alchemist_flame_bonus)</f>
        <v>10447.200000000001</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1250</v>
      </c>
      <c r="AE71" s="94">
        <f ca="1">OFFSET(TblConstr[[#This Row],[Tot OM]],1,0)*om_ore+IF(race="Dwarf",TblMili[[#This Row],[Unit 2]]*0.5,0)</f>
        <v>0</v>
      </c>
      <c r="AF71" s="94">
        <f ca="1">OFFSET(TblConstr[[#This Row],[Tot DM]],1,0)*dm_gems</f>
        <v>750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574.89</v>
      </c>
      <c r="AP71" s="94">
        <f ca="1">(1+race_food_consumption)*TblPop[[#This Row],[Total]]*food_per_person*(1+tech_1_10*TblTech[[#This Row],[1-10]]+tech_7_5*TblTech[[#This Row],[7-5]] + IF(TblMagic[[#This Row],[Active Demonic Pact]]&gt;0,demonic_pact_food_cons,0))</f>
        <v>1563.25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927.1</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45817.791666666504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1058231</v>
      </c>
      <c r="BJ71" s="94">
        <f ca="1">TblProd[[#This Row],[Food]]</f>
        <v>57489</v>
      </c>
      <c r="BK71" s="94">
        <f ca="1">TblProd[[#This Row],[Lumber]]</f>
        <v>56649</v>
      </c>
      <c r="BL71" s="94">
        <f ca="1">TblProd[[#This Row],[Mana]]</f>
        <v>46355</v>
      </c>
      <c r="BM71" s="94">
        <f ca="1">TblProd[[#This Row],[Ore]]</f>
        <v>0</v>
      </c>
    </row>
    <row r="72" spans="1:65" x14ac:dyDescent="0.2">
      <c r="A72" s="137">
        <f t="shared" si="0"/>
        <v>21</v>
      </c>
      <c r="B72" s="152">
        <f ca="1">TblImps[[#This Row],[Time]]</f>
        <v>45817.833333333168</v>
      </c>
      <c r="C72" s="153"/>
      <c r="D72" s="154"/>
      <c r="E72" s="94">
        <f ca="1">TblConstr[[#This Row],[Land]]</f>
        <v>370</v>
      </c>
      <c r="F72" s="94">
        <f ca="1">TblPop[[#This Row],[Peasants]]</f>
        <v>3006</v>
      </c>
      <c r="G72" s="94">
        <f ca="1">TblMili[[#This Row],[Networth (2)]]</f>
        <v>9150</v>
      </c>
      <c r="H72" s="94">
        <f ca="1">OFFSET(TblProd[[#This Row],[Platinum]],-1,0)+OFFSET(TblProd[[#This Row],[Plat/hr]],-1,0) - TblProd[[#This Row],[Expenses Platinum]] + IF(TblProd[[#This Row],[Plat Bonus]],TblPop[[#This Row],[Peasants]]*4) + SUM(TblConstr[[#This Row],[Dest Hom]:[Dest Doc]])*TblConstr[[#This Row],[CPA Platinum -DB]]*tech_3_3_2*TblTech[[#This Row],[3-3]]</f>
        <v>1068678</v>
      </c>
      <c r="I72" s="94">
        <f ca="1">OFFSET(TblProd[[#This Row],[Food]],-1,0)+OFFSET(TblProd[[#This Row],[Food/hr]],-1,0)+ROUNDUP((TblConstr[[#This Row],[Farms]]*80+TblConstr[[#This Row],[Docks]]*35)*(1+OFFSET(TblProd[[#This Row],[Bonus Food/hr]],-1,0)),0)</f>
        <v>57931</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46678</v>
      </c>
      <c r="L72" s="94">
        <f ca="1">OFFSET(TblProd[[#This Row],[Ore]],-1,0)+OFFSET(TblProd[[#This Row],[Ore/hr]],-1,0) -TblProd[[#This Row],[Expenses Ore]]</f>
        <v>0</v>
      </c>
      <c r="M72" s="94">
        <f ca="1">OFFSET(TblProd[[#This Row],[Gems]],-1,0)+OFFSET(TblProd[[#This Row],[Gems/hr]],-1,0) - TblProd[[#This Row],[Expenses Gems]]</f>
        <v>51000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2924</v>
      </c>
      <c r="Q72" s="94">
        <f ca="1">MAX(3750,_xlfn.CEILING.MATH(TblProd[[#This Row],[Land]]*2.5+OFFSET(TblTech[[#This Row],[Sum of tech]],-1,0)*150))</f>
        <v>3750</v>
      </c>
      <c r="R72" s="142"/>
      <c r="S72" s="94">
        <f ca="1">ROUNDDOWN(TblProd[[#This Row],[Raw Plat/hr]]*(1+TblProd[[#This Row],[Bonus Plat/hr]]),0)</f>
        <v>10366</v>
      </c>
      <c r="T72" s="94">
        <f ca="1">ROUND(TblProd[[#This Row],[Raw Food/hr]]*(1+TblProd[[#This Row],[Bonus Food/hr]])-TblProd[[#This Row],[Food decay]]-TblProd[[#This Row],[Food eaten]],0)</f>
        <v>437</v>
      </c>
      <c r="U72" s="94">
        <f ca="1">ROUND(TblProd[[#This Row],[Raw Lumber/hr]]*(1+TblProd[[#This Row],[Bonus Lumber/hr]])-TblProd[[#This Row],[Lumber rot]],0)</f>
        <v>429</v>
      </c>
      <c r="V72" s="94">
        <f ca="1">ROUND(TblProd[[#This Row],[Raw Mana/hr]]*(1+TblProd[[#This Row],[Bonus Mana/hr]])-TblProd[[#This Row],[Mana drain]],0)</f>
        <v>316</v>
      </c>
      <c r="W72" s="94">
        <f ca="1">ROUNDDOWN(TblProd[[#This Row],[Raw Ore/hr]]*(1+TblProd[[#This Row],[Bonux Ore/hr]]),0)</f>
        <v>0</v>
      </c>
      <c r="X72" s="94">
        <f ca="1">ROUNDDOWN(TblProd[[#This Row],[Raw Gems/hr]]*(1+TblProd[[#This Row],[Bonus Gems/hr]]),0)</f>
        <v>750</v>
      </c>
      <c r="Y72" s="155">
        <f ca="1">OFFSET(TblConstr[[#This Row],[Tot Doc]],1,0)*dock_boats_hr * (1 + tech_4_1*TblTech[[#This Row],[4-1]])</f>
        <v>0</v>
      </c>
      <c r="Z72" s="154"/>
      <c r="AA72" s="94">
        <f ca="1">TblPop[[#This Row],[Peasants]]*tax*TblPop[[#This Row],[Employment]] + (Construction!AZ73+Construction!BX73)*(alch_plat+(Magic!AN72&gt;0)*alchemist_flame_bonus)</f>
        <v>10366.200000000001</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1250</v>
      </c>
      <c r="AE72" s="94">
        <f ca="1">OFFSET(TblConstr[[#This Row],[Tot OM]],1,0)*om_ore+IF(race="Dwarf",TblMili[[#This Row],[Unit 2]]*0.5,0)</f>
        <v>0</v>
      </c>
      <c r="AF72" s="94">
        <f ca="1">OFFSET(TblConstr[[#This Row],[Tot DM]],1,0)*dm_gems</f>
        <v>750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579.31000000000006</v>
      </c>
      <c r="AP72" s="94">
        <f ca="1">(1+race_food_consumption)*TblPop[[#This Row],[Total]]*food_per_person*(1+tech_1_10*TblTech[[#This Row],[1-10]]+tech_7_5*TblTech[[#This Row],[7-5]] + IF(TblMagic[[#This Row],[Active Demonic Pact]]&gt;0,demonic_pact_food_cons,0))</f>
        <v>1563.25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933.56000000000006</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45817.833333333168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1068678</v>
      </c>
      <c r="BJ72" s="94">
        <f ca="1">TblProd[[#This Row],[Food]]</f>
        <v>57931</v>
      </c>
      <c r="BK72" s="94">
        <f ca="1">TblProd[[#This Row],[Lumber]]</f>
        <v>57083</v>
      </c>
      <c r="BL72" s="94">
        <f ca="1">TblProd[[#This Row],[Mana]]</f>
        <v>46678</v>
      </c>
      <c r="BM72" s="94">
        <f ca="1">TblProd[[#This Row],[Ore]]</f>
        <v>0</v>
      </c>
    </row>
    <row r="73" spans="1:65" x14ac:dyDescent="0.2">
      <c r="A73" s="137">
        <f t="shared" si="0"/>
        <v>22</v>
      </c>
      <c r="B73" s="152">
        <f ca="1">TblImps[[#This Row],[Time]]</f>
        <v>45817.874999999833</v>
      </c>
      <c r="C73" s="153"/>
      <c r="D73" s="154"/>
      <c r="E73" s="94">
        <f ca="1">TblConstr[[#This Row],[Land]]</f>
        <v>370</v>
      </c>
      <c r="F73" s="94">
        <f ca="1">TblPop[[#This Row],[Peasants]]</f>
        <v>2976</v>
      </c>
      <c r="G73" s="94">
        <f ca="1">TblMili[[#This Row],[Networth (2)]]</f>
        <v>9150</v>
      </c>
      <c r="H73" s="94">
        <f ca="1">OFFSET(TblProd[[#This Row],[Platinum]],-1,0)+OFFSET(TblProd[[#This Row],[Plat/hr]],-1,0) - TblProd[[#This Row],[Expenses Platinum]] + IF(TblProd[[#This Row],[Plat Bonus]],TblPop[[#This Row],[Peasants]]*4) + SUM(TblConstr[[#This Row],[Dest Hom]:[Dest Doc]])*TblConstr[[#This Row],[CPA Platinum -DB]]*tech_3_3_2*TblTech[[#This Row],[3-3]]</f>
        <v>1079044</v>
      </c>
      <c r="I73" s="94">
        <f ca="1">OFFSET(TblProd[[#This Row],[Food]],-1,0)+OFFSET(TblProd[[#This Row],[Food/hr]],-1,0)+ROUNDUP((TblConstr[[#This Row],[Farms]]*80+TblConstr[[#This Row],[Docks]]*35)*(1+OFFSET(TblProd[[#This Row],[Bonus Food/hr]],-1,0)),0)</f>
        <v>58368</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46994</v>
      </c>
      <c r="L73" s="94">
        <f ca="1">OFFSET(TblProd[[#This Row],[Ore]],-1,0)+OFFSET(TblProd[[#This Row],[Ore/hr]],-1,0) -TblProd[[#This Row],[Expenses Ore]]</f>
        <v>0</v>
      </c>
      <c r="M73" s="94">
        <f ca="1">OFFSET(TblProd[[#This Row],[Gems]],-1,0)+OFFSET(TblProd[[#This Row],[Gems/hr]],-1,0) - TblProd[[#This Row],[Expenses Gems]]</f>
        <v>51750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2967</v>
      </c>
      <c r="Q73" s="94">
        <f ca="1">MAX(3750,_xlfn.CEILING.MATH(TblProd[[#This Row],[Land]]*2.5+OFFSET(TblTech[[#This Row],[Sum of tech]],-1,0)*150))</f>
        <v>3750</v>
      </c>
      <c r="R73" s="142"/>
      <c r="S73" s="94">
        <f ca="1">ROUNDDOWN(TblProd[[#This Row],[Raw Plat/hr]]*(1+TblProd[[#This Row],[Bonus Plat/hr]]),0)</f>
        <v>10285</v>
      </c>
      <c r="T73" s="94">
        <f ca="1">ROUND(TblProd[[#This Row],[Raw Food/hr]]*(1+TblProd[[#This Row],[Bonus Food/hr]])-TblProd[[#This Row],[Food decay]]-TblProd[[#This Row],[Food eaten]],0)</f>
        <v>433</v>
      </c>
      <c r="U73" s="94">
        <f ca="1">ROUND(TblProd[[#This Row],[Raw Lumber/hr]]*(1+TblProd[[#This Row],[Bonus Lumber/hr]])-TblProd[[#This Row],[Lumber rot]],0)</f>
        <v>425</v>
      </c>
      <c r="V73" s="94">
        <f ca="1">ROUND(TblProd[[#This Row],[Raw Mana/hr]]*(1+TblProd[[#This Row],[Bonus Mana/hr]])-TblProd[[#This Row],[Mana drain]],0)</f>
        <v>310</v>
      </c>
      <c r="W73" s="94">
        <f ca="1">ROUNDDOWN(TblProd[[#This Row],[Raw Ore/hr]]*(1+TblProd[[#This Row],[Bonux Ore/hr]]),0)</f>
        <v>0</v>
      </c>
      <c r="X73" s="94">
        <f ca="1">ROUNDDOWN(TblProd[[#This Row],[Raw Gems/hr]]*(1+TblProd[[#This Row],[Bonus Gems/hr]]),0)</f>
        <v>750</v>
      </c>
      <c r="Y73" s="155">
        <f ca="1">OFFSET(TblConstr[[#This Row],[Tot Doc]],1,0)*dock_boats_hr * (1 + tech_4_1*TblTech[[#This Row],[4-1]])</f>
        <v>0</v>
      </c>
      <c r="Z73" s="154"/>
      <c r="AA73" s="94">
        <f ca="1">TblPop[[#This Row],[Peasants]]*tax*TblPop[[#This Row],[Employment]] + (Construction!AZ74+Construction!BX74)*(alch_plat+(Magic!AN73&gt;0)*alchemist_flame_bonus)</f>
        <v>10285.200000000001</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1250</v>
      </c>
      <c r="AE73" s="94">
        <f ca="1">OFFSET(TblConstr[[#This Row],[Tot OM]],1,0)*om_ore+IF(race="Dwarf",TblMili[[#This Row],[Unit 2]]*0.5,0)</f>
        <v>0</v>
      </c>
      <c r="AF73" s="94">
        <f ca="1">OFFSET(TblConstr[[#This Row],[Tot DM]],1,0)*dm_gems</f>
        <v>750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583.68000000000006</v>
      </c>
      <c r="AP73" s="94">
        <f ca="1">(1+race_food_consumption)*TblPop[[#This Row],[Total]]*food_per_person*(1+tech_1_10*TblTech[[#This Row],[1-10]]+tech_7_5*TblTech[[#This Row],[7-5]] + IF(TblMagic[[#This Row],[Active Demonic Pact]]&gt;0,demonic_pact_food_cons,0))</f>
        <v>1563.25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939.88</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45817.874999999833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1079044</v>
      </c>
      <c r="BJ73" s="94">
        <f ca="1">TblProd[[#This Row],[Food]]</f>
        <v>58368</v>
      </c>
      <c r="BK73" s="94">
        <f ca="1">TblProd[[#This Row],[Lumber]]</f>
        <v>57512</v>
      </c>
      <c r="BL73" s="94">
        <f ca="1">TblProd[[#This Row],[Mana]]</f>
        <v>46994</v>
      </c>
      <c r="BM73" s="94">
        <f ca="1">TblProd[[#This Row],[Ore]]</f>
        <v>0</v>
      </c>
    </row>
    <row r="74" spans="1:65" x14ac:dyDescent="0.2">
      <c r="A74" s="137">
        <f t="shared" si="0"/>
        <v>23</v>
      </c>
      <c r="B74" s="152">
        <f ca="1">TblImps[[#This Row],[Time]]</f>
        <v>45817.916666666497</v>
      </c>
      <c r="C74" s="153"/>
      <c r="D74" s="154"/>
      <c r="E74" s="94">
        <f ca="1">TblConstr[[#This Row],[Land]]</f>
        <v>370</v>
      </c>
      <c r="F74" s="94">
        <f ca="1">TblPop[[#This Row],[Peasants]]</f>
        <v>2946</v>
      </c>
      <c r="G74" s="94">
        <f ca="1">TblMili[[#This Row],[Networth (2)]]</f>
        <v>9150</v>
      </c>
      <c r="H74" s="94">
        <f ca="1">OFFSET(TblProd[[#This Row],[Platinum]],-1,0)+OFFSET(TblProd[[#This Row],[Plat/hr]],-1,0) - TblProd[[#This Row],[Expenses Platinum]] + IF(TblProd[[#This Row],[Plat Bonus]],TblPop[[#This Row],[Peasants]]*4) + SUM(TblConstr[[#This Row],[Dest Hom]:[Dest Doc]])*TblConstr[[#This Row],[CPA Platinum -DB]]*tech_3_3_2*TblTech[[#This Row],[3-3]]</f>
        <v>1089329</v>
      </c>
      <c r="I74" s="94">
        <f ca="1">OFFSET(TblProd[[#This Row],[Food]],-1,0)+OFFSET(TblProd[[#This Row],[Food/hr]],-1,0)+ROUNDUP((TblConstr[[#This Row],[Farms]]*80+TblConstr[[#This Row],[Docks]]*35)*(1+OFFSET(TblProd[[#This Row],[Bonus Food/hr]],-1,0)),0)</f>
        <v>58801</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47304</v>
      </c>
      <c r="L74" s="94">
        <f ca="1">OFFSET(TblProd[[#This Row],[Ore]],-1,0)+OFFSET(TblProd[[#This Row],[Ore/hr]],-1,0) -TblProd[[#This Row],[Expenses Ore]]</f>
        <v>0</v>
      </c>
      <c r="M74" s="94">
        <f ca="1">OFFSET(TblProd[[#This Row],[Gems]],-1,0)+OFFSET(TblProd[[#This Row],[Gems/hr]],-1,0) - TblProd[[#This Row],[Expenses Gems]]</f>
        <v>52500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3010</v>
      </c>
      <c r="Q74" s="94">
        <f ca="1">MAX(3750,_xlfn.CEILING.MATH(TblProd[[#This Row],[Land]]*2.5+OFFSET(TblTech[[#This Row],[Sum of tech]],-1,0)*150))</f>
        <v>3750</v>
      </c>
      <c r="R74" s="142"/>
      <c r="S74" s="94">
        <f ca="1">ROUNDDOWN(TblProd[[#This Row],[Raw Plat/hr]]*(1+TblProd[[#This Row],[Bonus Plat/hr]]),0)</f>
        <v>10204</v>
      </c>
      <c r="T74" s="94">
        <f ca="1">ROUND(TblProd[[#This Row],[Raw Food/hr]]*(1+TblProd[[#This Row],[Bonus Food/hr]])-TblProd[[#This Row],[Food decay]]-TblProd[[#This Row],[Food eaten]],0)</f>
        <v>429</v>
      </c>
      <c r="U74" s="94">
        <f ca="1">ROUND(TblProd[[#This Row],[Raw Lumber/hr]]*(1+TblProd[[#This Row],[Bonus Lumber/hr]])-TblProd[[#This Row],[Lumber rot]],0)</f>
        <v>421</v>
      </c>
      <c r="V74" s="94">
        <f ca="1">ROUND(TblProd[[#This Row],[Raw Mana/hr]]*(1+TblProd[[#This Row],[Bonus Mana/hr]])-TblProd[[#This Row],[Mana drain]],0)</f>
        <v>304</v>
      </c>
      <c r="W74" s="94">
        <f ca="1">ROUNDDOWN(TblProd[[#This Row],[Raw Ore/hr]]*(1+TblProd[[#This Row],[Bonux Ore/hr]]),0)</f>
        <v>0</v>
      </c>
      <c r="X74" s="94">
        <f ca="1">ROUNDDOWN(TblProd[[#This Row],[Raw Gems/hr]]*(1+TblProd[[#This Row],[Bonus Gems/hr]]),0)</f>
        <v>750</v>
      </c>
      <c r="Y74" s="155">
        <f ca="1">OFFSET(TblConstr[[#This Row],[Tot Doc]],1,0)*dock_boats_hr * (1 + tech_4_1*TblTech[[#This Row],[4-1]])</f>
        <v>0</v>
      </c>
      <c r="Z74" s="154"/>
      <c r="AA74" s="94">
        <f ca="1">TblPop[[#This Row],[Peasants]]*tax*TblPop[[#This Row],[Employment]] + (Construction!AZ75+Construction!BX75)*(alch_plat+(Magic!AN74&gt;0)*alchemist_flame_bonus)</f>
        <v>10204.200000000001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1250</v>
      </c>
      <c r="AE74" s="94">
        <f ca="1">OFFSET(TblConstr[[#This Row],[Tot OM]],1,0)*om_ore+IF(race="Dwarf",TblMili[[#This Row],[Unit 2]]*0.5,0)</f>
        <v>0</v>
      </c>
      <c r="AF74" s="94">
        <f ca="1">OFFSET(TblConstr[[#This Row],[Tot DM]],1,0)*dm_gems</f>
        <v>750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588.01</v>
      </c>
      <c r="AP74" s="94">
        <f ca="1">(1+race_food_consumption)*TblPop[[#This Row],[Total]]*food_per_person*(1+tech_1_10*TblTech[[#This Row],[1-10]]+tech_7_5*TblTech[[#This Row],[7-5]] + IF(TblMagic[[#This Row],[Active Demonic Pact]]&gt;0,demonic_pact_food_cons,0))</f>
        <v>1563.25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946.08</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45817.916666666497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1089329</v>
      </c>
      <c r="BJ74" s="94">
        <f ca="1">TblProd[[#This Row],[Food]]</f>
        <v>58801</v>
      </c>
      <c r="BK74" s="94">
        <f ca="1">TblProd[[#This Row],[Lumber]]</f>
        <v>57937</v>
      </c>
      <c r="BL74" s="94">
        <f ca="1">TblProd[[#This Row],[Mana]]</f>
        <v>47304</v>
      </c>
      <c r="BM74" s="94">
        <f ca="1">TblProd[[#This Row],[Ore]]</f>
        <v>0</v>
      </c>
    </row>
    <row r="75" spans="1:65" x14ac:dyDescent="0.2">
      <c r="A75" s="137">
        <f t="shared" si="0"/>
        <v>24</v>
      </c>
      <c r="B75" s="152">
        <f ca="1">TblImps[[#This Row],[Time]]</f>
        <v>45817.958333333161</v>
      </c>
      <c r="C75" s="153"/>
      <c r="D75" s="154"/>
      <c r="E75" s="94">
        <f ca="1">TblConstr[[#This Row],[Land]]</f>
        <v>370</v>
      </c>
      <c r="F75" s="94">
        <f ca="1">TblPop[[#This Row],[Peasants]]</f>
        <v>2917</v>
      </c>
      <c r="G75" s="94">
        <f ca="1">TblMili[[#This Row],[Networth (2)]]</f>
        <v>9150</v>
      </c>
      <c r="H75" s="94">
        <f ca="1">OFFSET(TblProd[[#This Row],[Platinum]],-1,0)+OFFSET(TblProd[[#This Row],[Plat/hr]],-1,0) - TblProd[[#This Row],[Expenses Platinum]] + IF(TblProd[[#This Row],[Plat Bonus]],TblPop[[#This Row],[Peasants]]*4) + SUM(TblConstr[[#This Row],[Dest Hom]:[Dest Doc]])*TblConstr[[#This Row],[CPA Platinum -DB]]*tech_3_3_2*TblTech[[#This Row],[3-3]]</f>
        <v>1099533</v>
      </c>
      <c r="I75" s="94">
        <f ca="1">OFFSET(TblProd[[#This Row],[Food]],-1,0)+OFFSET(TblProd[[#This Row],[Food/hr]],-1,0)+ROUNDUP((TblConstr[[#This Row],[Farms]]*80+TblConstr[[#This Row],[Docks]]*35)*(1+OFFSET(TblProd[[#This Row],[Bonus Food/hr]],-1,0)),0)</f>
        <v>59230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47608</v>
      </c>
      <c r="L75" s="94">
        <f ca="1">OFFSET(TblProd[[#This Row],[Ore]],-1,0)+OFFSET(TblProd[[#This Row],[Ore/hr]],-1,0) -TblProd[[#This Row],[Expenses Ore]]</f>
        <v>0</v>
      </c>
      <c r="M75" s="94">
        <f ca="1">OFFSET(TblProd[[#This Row],[Gems]],-1,0)+OFFSET(TblProd[[#This Row],[Gems/hr]],-1,0) - TblProd[[#This Row],[Expenses Gems]]</f>
        <v>53250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3053</v>
      </c>
      <c r="Q75" s="94">
        <f ca="1">MAX(3750,_xlfn.CEILING.MATH(TblProd[[#This Row],[Land]]*2.5+OFFSET(TblTech[[#This Row],[Sum of tech]],-1,0)*150))</f>
        <v>3750</v>
      </c>
      <c r="R75" s="142"/>
      <c r="S75" s="94">
        <f ca="1">ROUNDDOWN(TblProd[[#This Row],[Raw Plat/hr]]*(1+TblProd[[#This Row],[Bonus Plat/hr]]),0)</f>
        <v>10125</v>
      </c>
      <c r="T75" s="94">
        <f ca="1">ROUND(TblProd[[#This Row],[Raw Food/hr]]*(1+TblProd[[#This Row],[Bonus Food/hr]])-TblProd[[#This Row],[Food decay]]-TblProd[[#This Row],[Food eaten]],0)</f>
        <v>424</v>
      </c>
      <c r="U75" s="94">
        <f ca="1">ROUND(TblProd[[#This Row],[Raw Lumber/hr]]*(1+TblProd[[#This Row],[Bonus Lumber/hr]])-TblProd[[#This Row],[Lumber rot]],0)</f>
        <v>416</v>
      </c>
      <c r="V75" s="94">
        <f ca="1">ROUND(TblProd[[#This Row],[Raw Mana/hr]]*(1+TblProd[[#This Row],[Bonus Mana/hr]])-TblProd[[#This Row],[Mana drain]],0)</f>
        <v>298</v>
      </c>
      <c r="W75" s="94">
        <f ca="1">ROUNDDOWN(TblProd[[#This Row],[Raw Ore/hr]]*(1+TblProd[[#This Row],[Bonux Ore/hr]]),0)</f>
        <v>0</v>
      </c>
      <c r="X75" s="94">
        <f ca="1">ROUNDDOWN(TblProd[[#This Row],[Raw Gems/hr]]*(1+TblProd[[#This Row],[Bonus Gems/hr]]),0)</f>
        <v>750</v>
      </c>
      <c r="Y75" s="155">
        <f ca="1">OFFSET(TblConstr[[#This Row],[Tot Doc]],1,0)*dock_boats_hr * (1 + tech_4_1*TblTech[[#This Row],[4-1]])</f>
        <v>0</v>
      </c>
      <c r="Z75" s="154"/>
      <c r="AA75" s="94">
        <f ca="1">TblPop[[#This Row],[Peasants]]*tax*TblPop[[#This Row],[Employment]] + (Construction!AZ76+Construction!BX76)*(alch_plat+(Magic!AN75&gt;0)*alchemist_flame_bonus)</f>
        <v>10125.900000000001</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1250</v>
      </c>
      <c r="AE75" s="94">
        <f ca="1">OFFSET(TblConstr[[#This Row],[Tot OM]],1,0)*om_ore+IF(race="Dwarf",TblMili[[#This Row],[Unit 2]]*0.5,0)</f>
        <v>0</v>
      </c>
      <c r="AF75" s="94">
        <f ca="1">OFFSET(TblConstr[[#This Row],[Tot DM]],1,0)*dm_gems</f>
        <v>750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592.30000000000007</v>
      </c>
      <c r="AP75" s="94">
        <f ca="1">(1+race_food_consumption)*TblPop[[#This Row],[Total]]*food_per_person*(1+tech_1_10*TblTech[[#This Row],[1-10]]+tech_7_5*TblTech[[#This Row],[7-5]] + IF(TblMagic[[#This Row],[Active Demonic Pact]]&gt;0,demonic_pact_food_cons,0))</f>
        <v>1563.25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952.16</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45817.958333333161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1099533</v>
      </c>
      <c r="BJ75" s="94">
        <f ca="1">TblProd[[#This Row],[Food]]</f>
        <v>59230</v>
      </c>
      <c r="BK75" s="94">
        <f ca="1">TblProd[[#This Row],[Lumber]]</f>
        <v>58358</v>
      </c>
      <c r="BL75" s="94">
        <f ca="1">TblProd[[#This Row],[Mana]]</f>
        <v>47608</v>
      </c>
      <c r="BM75" s="94">
        <f ca="1">TblProd[[#This Row],[Ore]]</f>
        <v>0</v>
      </c>
    </row>
    <row r="76" spans="1:65" x14ac:dyDescent="0.2">
      <c r="A76" s="137">
        <f t="shared" si="0"/>
        <v>25</v>
      </c>
      <c r="B76" s="152">
        <f ca="1">TblImps[[#This Row],[Time]]</f>
        <v>45817.999999999825</v>
      </c>
      <c r="C76" s="153"/>
      <c r="D76" s="154"/>
      <c r="E76" s="94">
        <f ca="1">TblConstr[[#This Row],[Land]]</f>
        <v>370</v>
      </c>
      <c r="F76" s="94">
        <f ca="1">TblPop[[#This Row],[Peasants]]</f>
        <v>2888</v>
      </c>
      <c r="G76" s="94">
        <f ca="1">TblMili[[#This Row],[Networth (2)]]</f>
        <v>9150</v>
      </c>
      <c r="H76" s="94">
        <f ca="1">OFFSET(TblProd[[#This Row],[Platinum]],-1,0)+OFFSET(TblProd[[#This Row],[Plat/hr]],-1,0) - TblProd[[#This Row],[Expenses Platinum]] + IF(TblProd[[#This Row],[Plat Bonus]],TblPop[[#This Row],[Peasants]]*4) + SUM(TblConstr[[#This Row],[Dest Hom]:[Dest Doc]])*TblConstr[[#This Row],[CPA Platinum -DB]]*tech_3_3_2*TblTech[[#This Row],[3-3]]</f>
        <v>1109658</v>
      </c>
      <c r="I76" s="94">
        <f ca="1">OFFSET(TblProd[[#This Row],[Food]],-1,0)+OFFSET(TblProd[[#This Row],[Food/hr]],-1,0)+ROUNDUP((TblConstr[[#This Row],[Farms]]*80+TblConstr[[#This Row],[Docks]]*35)*(1+OFFSET(TblProd[[#This Row],[Bonus Food/hr]],-1,0)),0)</f>
        <v>59654</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47906</v>
      </c>
      <c r="L76" s="94">
        <f ca="1">OFFSET(TblProd[[#This Row],[Ore]],-1,0)+OFFSET(TblProd[[#This Row],[Ore/hr]],-1,0) -TblProd[[#This Row],[Expenses Ore]]</f>
        <v>0</v>
      </c>
      <c r="M76" s="94">
        <f ca="1">OFFSET(TblProd[[#This Row],[Gems]],-1,0)+OFFSET(TblProd[[#This Row],[Gems/hr]],-1,0) - TblProd[[#This Row],[Expenses Gems]]</f>
        <v>54000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3096</v>
      </c>
      <c r="Q76" s="94">
        <f ca="1">MAX(3750,_xlfn.CEILING.MATH(TblProd[[#This Row],[Land]]*2.5+OFFSET(TblTech[[#This Row],[Sum of tech]],-1,0)*150))</f>
        <v>3750</v>
      </c>
      <c r="S76" s="94">
        <f ca="1">ROUNDDOWN(TblProd[[#This Row],[Raw Plat/hr]]*(1+TblProd[[#This Row],[Bonus Plat/hr]]),0)</f>
        <v>10047</v>
      </c>
      <c r="T76" s="94">
        <f ca="1">ROUND(TblProd[[#This Row],[Raw Food/hr]]*(1+TblProd[[#This Row],[Bonus Food/hr]])-TblProd[[#This Row],[Food decay]]-TblProd[[#This Row],[Food eaten]],0)</f>
        <v>420</v>
      </c>
      <c r="U76" s="94">
        <f ca="1">ROUND(TblProd[[#This Row],[Raw Lumber/hr]]*(1+TblProd[[#This Row],[Bonus Lumber/hr]])-TblProd[[#This Row],[Lumber rot]],0)</f>
        <v>412</v>
      </c>
      <c r="V76" s="94">
        <f ca="1">ROUND(TblProd[[#This Row],[Raw Mana/hr]]*(1+TblProd[[#This Row],[Bonus Mana/hr]])-TblProd[[#This Row],[Mana drain]],0)</f>
        <v>292</v>
      </c>
      <c r="W76" s="94">
        <f ca="1">ROUNDDOWN(TblProd[[#This Row],[Raw Ore/hr]]*(1+TblProd[[#This Row],[Bonux Ore/hr]]),0)</f>
        <v>0</v>
      </c>
      <c r="X76" s="94">
        <f ca="1">ROUNDDOWN(TblProd[[#This Row],[Raw Gems/hr]]*(1+TblProd[[#This Row],[Bonus Gems/hr]]),0)</f>
        <v>750</v>
      </c>
      <c r="Y76" s="155">
        <f ca="1">OFFSET(TblConstr[[#This Row],[Tot Doc]],1,0)*dock_boats_hr * (1 + tech_4_1*TblTech[[#This Row],[4-1]])</f>
        <v>0</v>
      </c>
      <c r="Z76" s="94"/>
      <c r="AA76" s="94">
        <f ca="1">TblPop[[#This Row],[Peasants]]*tax*TblPop[[#This Row],[Employment]] + (Construction!AZ77+Construction!BX77)*(alch_plat+(Magic!AN76&gt;0)*alchemist_flame_bonus)</f>
        <v>10047.6</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1250</v>
      </c>
      <c r="AE76" s="94">
        <f ca="1">OFFSET(TblConstr[[#This Row],[Tot OM]],1,0)*om_ore+IF(race="Dwarf",TblMili[[#This Row],[Unit 2]]*0.5,0)</f>
        <v>0</v>
      </c>
      <c r="AF76" s="94">
        <f ca="1">OFFSET(TblConstr[[#This Row],[Tot DM]],1,0)*dm_gems</f>
        <v>750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596.54</v>
      </c>
      <c r="AP76" s="94">
        <f ca="1">(1+race_food_consumption)*TblPop[[#This Row],[Total]]*food_per_person*(1+tech_1_10*TblTech[[#This Row],[1-10]]+tech_7_5*TblTech[[#This Row],[7-5]] + IF(TblMagic[[#This Row],[Active Demonic Pact]]&gt;0,demonic_pact_food_cons,0))</f>
        <v>1563.25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958.12</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45817.999999999825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1109658</v>
      </c>
      <c r="BJ76" s="94">
        <f ca="1">TblProd[[#This Row],[Food]]</f>
        <v>59654</v>
      </c>
      <c r="BK76" s="94">
        <f ca="1">TblProd[[#This Row],[Lumber]]</f>
        <v>58774</v>
      </c>
      <c r="BL76" s="94">
        <f ca="1">TblProd[[#This Row],[Mana]]</f>
        <v>47906</v>
      </c>
      <c r="BM76" s="94">
        <f ca="1">TblProd[[#This Row],[Ore]]</f>
        <v>0</v>
      </c>
    </row>
    <row r="77" spans="1:65" x14ac:dyDescent="0.2">
      <c r="A77" s="137">
        <f t="shared" si="0"/>
        <v>26</v>
      </c>
      <c r="B77" s="152">
        <f ca="1">TblImps[[#This Row],[Time]]</f>
        <v>45818.04166666649</v>
      </c>
      <c r="C77" s="153"/>
      <c r="D77" s="154"/>
      <c r="E77" s="94">
        <f ca="1">TblConstr[[#This Row],[Land]]</f>
        <v>370</v>
      </c>
      <c r="F77" s="94">
        <f ca="1">TblPop[[#This Row],[Peasants]]</f>
        <v>2859</v>
      </c>
      <c r="G77" s="94">
        <f ca="1">TblMili[[#This Row],[Networth (2)]]</f>
        <v>9150</v>
      </c>
      <c r="H77" s="94">
        <f ca="1">OFFSET(TblProd[[#This Row],[Platinum]],-1,0)+OFFSET(TblProd[[#This Row],[Plat/hr]],-1,0) - TblProd[[#This Row],[Expenses Platinum]] + IF(TblProd[[#This Row],[Plat Bonus]],TblPop[[#This Row],[Peasants]]*4) + SUM(TblConstr[[#This Row],[Dest Hom]:[Dest Doc]])*TblConstr[[#This Row],[CPA Platinum -DB]]*tech_3_3_2*TblTech[[#This Row],[3-3]]</f>
        <v>1119705</v>
      </c>
      <c r="I77" s="94">
        <f ca="1">OFFSET(TblProd[[#This Row],[Food]],-1,0)+OFFSET(TblProd[[#This Row],[Food/hr]],-1,0)+ROUNDUP((TblConstr[[#This Row],[Farms]]*80+TblConstr[[#This Row],[Docks]]*35)*(1+OFFSET(TblProd[[#This Row],[Bonus Food/hr]],-1,0)),0)</f>
        <v>60074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48198</v>
      </c>
      <c r="L77" s="94">
        <f ca="1">OFFSET(TblProd[[#This Row],[Ore]],-1,0)+OFFSET(TblProd[[#This Row],[Ore/hr]],-1,0) -TblProd[[#This Row],[Expenses Ore]]</f>
        <v>0</v>
      </c>
      <c r="M77" s="94">
        <f ca="1">OFFSET(TblProd[[#This Row],[Gems]],-1,0)+OFFSET(TblProd[[#This Row],[Gems/hr]],-1,0) - TblProd[[#This Row],[Expenses Gems]]</f>
        <v>54750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3139</v>
      </c>
      <c r="Q77" s="94">
        <f ca="1">MAX(3750,_xlfn.CEILING.MATH(TblProd[[#This Row],[Land]]*2.5+OFFSET(TblTech[[#This Row],[Sum of tech]],-1,0)*150))</f>
        <v>3750</v>
      </c>
      <c r="R77" s="142"/>
      <c r="S77" s="94">
        <f ca="1">ROUNDDOWN(TblProd[[#This Row],[Raw Plat/hr]]*(1+TblProd[[#This Row],[Bonus Plat/hr]]),0)</f>
        <v>9969</v>
      </c>
      <c r="T77" s="94">
        <f ca="1">ROUND(TblProd[[#This Row],[Raw Food/hr]]*(1+TblProd[[#This Row],[Bonus Food/hr]])-TblProd[[#This Row],[Food decay]]-TblProd[[#This Row],[Food eaten]],0)</f>
        <v>416</v>
      </c>
      <c r="U77" s="94">
        <f ca="1">ROUND(TblProd[[#This Row],[Raw Lumber/hr]]*(1+TblProd[[#This Row],[Bonus Lumber/hr]])-TblProd[[#This Row],[Lumber rot]],0)</f>
        <v>408</v>
      </c>
      <c r="V77" s="94">
        <f ca="1">ROUND(TblProd[[#This Row],[Raw Mana/hr]]*(1+TblProd[[#This Row],[Bonus Mana/hr]])-TblProd[[#This Row],[Mana drain]],0)</f>
        <v>286</v>
      </c>
      <c r="W77" s="94">
        <f ca="1">ROUNDDOWN(TblProd[[#This Row],[Raw Ore/hr]]*(1+TblProd[[#This Row],[Bonux Ore/hr]]),0)</f>
        <v>0</v>
      </c>
      <c r="X77" s="94">
        <f ca="1">ROUNDDOWN(TblProd[[#This Row],[Raw Gems/hr]]*(1+TblProd[[#This Row],[Bonus Gems/hr]]),0)</f>
        <v>750</v>
      </c>
      <c r="Y77" s="155">
        <f ca="1">OFFSET(TblConstr[[#This Row],[Tot Doc]],1,0)*dock_boats_hr * (1 + tech_4_1*TblTech[[#This Row],[4-1]])</f>
        <v>0</v>
      </c>
      <c r="Z77" s="154"/>
      <c r="AA77" s="94">
        <f ca="1">TblPop[[#This Row],[Peasants]]*tax*TblPop[[#This Row],[Employment]] + (Construction!AZ78+Construction!BX78)*(alch_plat+(Magic!AN77&gt;0)*alchemist_flame_bonus)</f>
        <v>9969.2999999999993</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1250</v>
      </c>
      <c r="AE77" s="94">
        <f ca="1">OFFSET(TblConstr[[#This Row],[Tot OM]],1,0)*om_ore+IF(race="Dwarf",TblMili[[#This Row],[Unit 2]]*0.5,0)</f>
        <v>0</v>
      </c>
      <c r="AF77" s="94">
        <f ca="1">OFFSET(TblConstr[[#This Row],[Tot DM]],1,0)*dm_gems</f>
        <v>750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600.74</v>
      </c>
      <c r="AP77" s="94">
        <f ca="1">(1+race_food_consumption)*TblPop[[#This Row],[Total]]*food_per_person*(1+tech_1_10*TblTech[[#This Row],[1-10]]+tech_7_5*TblTech[[#This Row],[7-5]] + IF(TblMagic[[#This Row],[Active Demonic Pact]]&gt;0,demonic_pact_food_cons,0))</f>
        <v>1563.25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963.96</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45818.04166666649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1119705</v>
      </c>
      <c r="BJ77" s="94">
        <f ca="1">TblProd[[#This Row],[Food]]</f>
        <v>60074</v>
      </c>
      <c r="BK77" s="94">
        <f ca="1">TblProd[[#This Row],[Lumber]]</f>
        <v>59186</v>
      </c>
      <c r="BL77" s="94">
        <f ca="1">TblProd[[#This Row],[Mana]]</f>
        <v>48198</v>
      </c>
      <c r="BM77" s="94">
        <f ca="1">TblProd[[#This Row],[Ore]]</f>
        <v>0</v>
      </c>
    </row>
    <row r="78" spans="1:65" x14ac:dyDescent="0.2">
      <c r="A78" s="137">
        <f t="shared" si="0"/>
        <v>27</v>
      </c>
      <c r="B78" s="152">
        <f ca="1">TblImps[[#This Row],[Time]]</f>
        <v>45818.083333333154</v>
      </c>
      <c r="C78" s="153"/>
      <c r="D78" s="154"/>
      <c r="E78" s="94">
        <f ca="1">TblConstr[[#This Row],[Land]]</f>
        <v>370</v>
      </c>
      <c r="F78" s="94">
        <f ca="1">TblPop[[#This Row],[Peasants]]</f>
        <v>2830</v>
      </c>
      <c r="G78" s="94">
        <f ca="1">TblMili[[#This Row],[Networth (2)]]</f>
        <v>9150</v>
      </c>
      <c r="H78" s="94">
        <f ca="1">OFFSET(TblProd[[#This Row],[Platinum]],-1,0)+OFFSET(TblProd[[#This Row],[Plat/hr]],-1,0) - TblProd[[#This Row],[Expenses Platinum]] + IF(TblProd[[#This Row],[Plat Bonus]],TblPop[[#This Row],[Peasants]]*4) + SUM(TblConstr[[#This Row],[Dest Hom]:[Dest Doc]])*TblConstr[[#This Row],[CPA Platinum -DB]]*tech_3_3_2*TblTech[[#This Row],[3-3]]</f>
        <v>1129674</v>
      </c>
      <c r="I78" s="94">
        <f ca="1">OFFSET(TblProd[[#This Row],[Food]],-1,0)+OFFSET(TblProd[[#This Row],[Food/hr]],-1,0)+ROUNDUP((TblConstr[[#This Row],[Farms]]*80+TblConstr[[#This Row],[Docks]]*35)*(1+OFFSET(TblProd[[#This Row],[Bonus Food/hr]],-1,0)),0)</f>
        <v>60490</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48484</v>
      </c>
      <c r="L78" s="94">
        <f ca="1">OFFSET(TblProd[[#This Row],[Ore]],-1,0)+OFFSET(TblProd[[#This Row],[Ore/hr]],-1,0) -TblProd[[#This Row],[Expenses Ore]]</f>
        <v>0</v>
      </c>
      <c r="M78" s="94">
        <f ca="1">OFFSET(TblProd[[#This Row],[Gems]],-1,0)+OFFSET(TblProd[[#This Row],[Gems/hr]],-1,0) - TblProd[[#This Row],[Expenses Gems]]</f>
        <v>55500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3182</v>
      </c>
      <c r="Q78" s="94">
        <f ca="1">MAX(3750,_xlfn.CEILING.MATH(TblProd[[#This Row],[Land]]*2.5+OFFSET(TblTech[[#This Row],[Sum of tech]],-1,0)*150))</f>
        <v>3750</v>
      </c>
      <c r="R78" s="142"/>
      <c r="S78" s="94">
        <f ca="1">ROUNDDOWN(TblProd[[#This Row],[Raw Plat/hr]]*(1+TblProd[[#This Row],[Bonus Plat/hr]]),0)</f>
        <v>9891</v>
      </c>
      <c r="T78" s="94">
        <f ca="1">ROUND(TblProd[[#This Row],[Raw Food/hr]]*(1+TblProd[[#This Row],[Bonus Food/hr]])-TblProd[[#This Row],[Food decay]]-TblProd[[#This Row],[Food eaten]],0)</f>
        <v>412</v>
      </c>
      <c r="U78" s="94">
        <f ca="1">ROUND(TblProd[[#This Row],[Raw Lumber/hr]]*(1+TblProd[[#This Row],[Bonus Lumber/hr]])-TblProd[[#This Row],[Lumber rot]],0)</f>
        <v>404</v>
      </c>
      <c r="V78" s="94">
        <f ca="1">ROUND(TblProd[[#This Row],[Raw Mana/hr]]*(1+TblProd[[#This Row],[Bonus Mana/hr]])-TblProd[[#This Row],[Mana drain]],0)</f>
        <v>280</v>
      </c>
      <c r="W78" s="94">
        <f ca="1">ROUNDDOWN(TblProd[[#This Row],[Raw Ore/hr]]*(1+TblProd[[#This Row],[Bonux Ore/hr]]),0)</f>
        <v>0</v>
      </c>
      <c r="X78" s="94">
        <f ca="1">ROUNDDOWN(TblProd[[#This Row],[Raw Gems/hr]]*(1+TblProd[[#This Row],[Bonus Gems/hr]]),0)</f>
        <v>750</v>
      </c>
      <c r="Y78" s="155">
        <f ca="1">OFFSET(TblConstr[[#This Row],[Tot Doc]],1,0)*dock_boats_hr * (1 + tech_4_1*TblTech[[#This Row],[4-1]])</f>
        <v>0</v>
      </c>
      <c r="Z78" s="154"/>
      <c r="AA78" s="94">
        <f ca="1">TblPop[[#This Row],[Peasants]]*tax*TblPop[[#This Row],[Employment]] + (Construction!AZ79+Construction!BX79)*(alch_plat+(Magic!AN78&gt;0)*alchemist_flame_bonus)</f>
        <v>9891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1250</v>
      </c>
      <c r="AE78" s="94">
        <f ca="1">OFFSET(TblConstr[[#This Row],[Tot OM]],1,0)*om_ore+IF(race="Dwarf",TblMili[[#This Row],[Unit 2]]*0.5,0)</f>
        <v>0</v>
      </c>
      <c r="AF78" s="94">
        <f ca="1">OFFSET(TblConstr[[#This Row],[Tot DM]],1,0)*dm_gems</f>
        <v>750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604.9</v>
      </c>
      <c r="AP78" s="94">
        <f ca="1">(1+race_food_consumption)*TblPop[[#This Row],[Total]]*food_per_person*(1+tech_1_10*TblTech[[#This Row],[1-10]]+tech_7_5*TblTech[[#This Row],[7-5]] + IF(TblMagic[[#This Row],[Active Demonic Pact]]&gt;0,demonic_pact_food_cons,0))</f>
        <v>1563.25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969.68000000000006</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45818.083333333154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1129674</v>
      </c>
      <c r="BJ78" s="94">
        <f ca="1">TblProd[[#This Row],[Food]]</f>
        <v>60490</v>
      </c>
      <c r="BK78" s="94">
        <f ca="1">TblProd[[#This Row],[Lumber]]</f>
        <v>59594</v>
      </c>
      <c r="BL78" s="94">
        <f ca="1">TblProd[[#This Row],[Mana]]</f>
        <v>48484</v>
      </c>
      <c r="BM78" s="94">
        <f ca="1">TblProd[[#This Row],[Ore]]</f>
        <v>0</v>
      </c>
    </row>
    <row r="79" spans="1:65" x14ac:dyDescent="0.2">
      <c r="A79" s="137">
        <f t="shared" si="0"/>
        <v>28</v>
      </c>
      <c r="B79" s="152">
        <f ca="1">TblImps[[#This Row],[Time]]</f>
        <v>45818.124999999818</v>
      </c>
      <c r="C79" s="153"/>
      <c r="D79" s="154"/>
      <c r="E79" s="94">
        <f ca="1">TblConstr[[#This Row],[Land]]</f>
        <v>370</v>
      </c>
      <c r="F79" s="94">
        <f ca="1">TblPop[[#This Row],[Peasants]]</f>
        <v>2802</v>
      </c>
      <c r="G79" s="94">
        <f ca="1">TblMili[[#This Row],[Networth (2)]]</f>
        <v>9150</v>
      </c>
      <c r="H79" s="94">
        <f ca="1">OFFSET(TblProd[[#This Row],[Platinum]],-1,0)+OFFSET(TblProd[[#This Row],[Plat/hr]],-1,0) - TblProd[[#This Row],[Expenses Platinum]] + IF(TblProd[[#This Row],[Plat Bonus]],TblPop[[#This Row],[Peasants]]*4) + SUM(TblConstr[[#This Row],[Dest Hom]:[Dest Doc]])*TblConstr[[#This Row],[CPA Platinum -DB]]*tech_3_3_2*TblTech[[#This Row],[3-3]]</f>
        <v>1139565</v>
      </c>
      <c r="I79" s="94">
        <f ca="1">OFFSET(TblProd[[#This Row],[Food]],-1,0)+OFFSET(TblProd[[#This Row],[Food/hr]],-1,0)+ROUNDUP((TblConstr[[#This Row],[Farms]]*80+TblConstr[[#This Row],[Docks]]*35)*(1+OFFSET(TblProd[[#This Row],[Bonus Food/hr]],-1,0)),0)</f>
        <v>60902</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48764</v>
      </c>
      <c r="L79" s="94">
        <f ca="1">OFFSET(TblProd[[#This Row],[Ore]],-1,0)+OFFSET(TblProd[[#This Row],[Ore/hr]],-1,0) -TblProd[[#This Row],[Expenses Ore]]</f>
        <v>0</v>
      </c>
      <c r="M79" s="94">
        <f ca="1">OFFSET(TblProd[[#This Row],[Gems]],-1,0)+OFFSET(TblProd[[#This Row],[Gems/hr]],-1,0) - TblProd[[#This Row],[Expenses Gems]]</f>
        <v>56250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3225</v>
      </c>
      <c r="Q79" s="94">
        <f ca="1">MAX(3750,_xlfn.CEILING.MATH(TblProd[[#This Row],[Land]]*2.5+OFFSET(TblTech[[#This Row],[Sum of tech]],-1,0)*150))</f>
        <v>3750</v>
      </c>
      <c r="R79" s="142"/>
      <c r="S79" s="94">
        <f ca="1">ROUNDDOWN(TblProd[[#This Row],[Raw Plat/hr]]*(1+TblProd[[#This Row],[Bonus Plat/hr]]),0)</f>
        <v>9815</v>
      </c>
      <c r="T79" s="94">
        <f ca="1">ROUND(TblProd[[#This Row],[Raw Food/hr]]*(1+TblProd[[#This Row],[Bonus Food/hr]])-TblProd[[#This Row],[Food decay]]-TblProd[[#This Row],[Food eaten]],0)</f>
        <v>408</v>
      </c>
      <c r="U79" s="94">
        <f ca="1">ROUND(TblProd[[#This Row],[Raw Lumber/hr]]*(1+TblProd[[#This Row],[Bonus Lumber/hr]])-TblProd[[#This Row],[Lumber rot]],0)</f>
        <v>400</v>
      </c>
      <c r="V79" s="94">
        <f ca="1">ROUND(TblProd[[#This Row],[Raw Mana/hr]]*(1+TblProd[[#This Row],[Bonus Mana/hr]])-TblProd[[#This Row],[Mana drain]],0)</f>
        <v>275</v>
      </c>
      <c r="W79" s="94">
        <f ca="1">ROUNDDOWN(TblProd[[#This Row],[Raw Ore/hr]]*(1+TblProd[[#This Row],[Bonux Ore/hr]]),0)</f>
        <v>0</v>
      </c>
      <c r="X79" s="94">
        <f ca="1">ROUNDDOWN(TblProd[[#This Row],[Raw Gems/hr]]*(1+TblProd[[#This Row],[Bonus Gems/hr]]),0)</f>
        <v>750</v>
      </c>
      <c r="Y79" s="155">
        <f ca="1">OFFSET(TblConstr[[#This Row],[Tot Doc]],1,0)*dock_boats_hr * (1 + tech_4_1*TblTech[[#This Row],[4-1]])</f>
        <v>0</v>
      </c>
      <c r="Z79" s="154"/>
      <c r="AA79" s="94">
        <f ca="1">TblPop[[#This Row],[Peasants]]*tax*TblPop[[#This Row],[Employment]] + (Construction!AZ80+Construction!BX80)*(alch_plat+(Magic!AN79&gt;0)*alchemist_flame_bonus)</f>
        <v>9815.4000000000015</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1250</v>
      </c>
      <c r="AE79" s="94">
        <f ca="1">OFFSET(TblConstr[[#This Row],[Tot OM]],1,0)*om_ore+IF(race="Dwarf",TblMili[[#This Row],[Unit 2]]*0.5,0)</f>
        <v>0</v>
      </c>
      <c r="AF79" s="94">
        <f ca="1">OFFSET(TblConstr[[#This Row],[Tot DM]],1,0)*dm_gems</f>
        <v>750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609.02</v>
      </c>
      <c r="AP79" s="94">
        <f ca="1">(1+race_food_consumption)*TblPop[[#This Row],[Total]]*food_per_person*(1+tech_1_10*TblTech[[#This Row],[1-10]]+tech_7_5*TblTech[[#This Row],[7-5]] + IF(TblMagic[[#This Row],[Active Demonic Pact]]&gt;0,demonic_pact_food_cons,0))</f>
        <v>1563.25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975.28</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45818.124999999818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1139565</v>
      </c>
      <c r="BJ79" s="94">
        <f ca="1">TblProd[[#This Row],[Food]]</f>
        <v>60902</v>
      </c>
      <c r="BK79" s="94">
        <f ca="1">TblProd[[#This Row],[Lumber]]</f>
        <v>59998</v>
      </c>
      <c r="BL79" s="94">
        <f ca="1">TblProd[[#This Row],[Mana]]</f>
        <v>48764</v>
      </c>
      <c r="BM79" s="94">
        <f ca="1">TblProd[[#This Row],[Ore]]</f>
        <v>0</v>
      </c>
    </row>
    <row r="80" spans="1:65" x14ac:dyDescent="0.2">
      <c r="A80" s="137">
        <f t="shared" si="0"/>
        <v>29</v>
      </c>
      <c r="B80" s="152">
        <f ca="1">TblImps[[#This Row],[Time]]</f>
        <v>45818.166666666482</v>
      </c>
      <c r="C80" s="153"/>
      <c r="D80" s="154"/>
      <c r="E80" s="94">
        <f ca="1">TblConstr[[#This Row],[Land]]</f>
        <v>370</v>
      </c>
      <c r="F80" s="94">
        <f ca="1">TblPop[[#This Row],[Peasants]]</f>
        <v>2774</v>
      </c>
      <c r="G80" s="94">
        <f ca="1">TblMili[[#This Row],[Networth (2)]]</f>
        <v>9150</v>
      </c>
      <c r="H80" s="94">
        <f ca="1">OFFSET(TblProd[[#This Row],[Platinum]],-1,0)+OFFSET(TblProd[[#This Row],[Plat/hr]],-1,0) - TblProd[[#This Row],[Expenses Platinum]] + IF(TblProd[[#This Row],[Plat Bonus]],TblPop[[#This Row],[Peasants]]*4) + SUM(TblConstr[[#This Row],[Dest Hom]:[Dest Doc]])*TblConstr[[#This Row],[CPA Platinum -DB]]*tech_3_3_2*TblTech[[#This Row],[3-3]]</f>
        <v>1149380</v>
      </c>
      <c r="I80" s="94">
        <f ca="1">OFFSET(TblProd[[#This Row],[Food]],-1,0)+OFFSET(TblProd[[#This Row],[Food/hr]],-1,0)+ROUNDUP((TblConstr[[#This Row],[Farms]]*80+TblConstr[[#This Row],[Docks]]*35)*(1+OFFSET(TblProd[[#This Row],[Bonus Food/hr]],-1,0)),0)</f>
        <v>61310</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49039</v>
      </c>
      <c r="L80" s="94">
        <f ca="1">OFFSET(TblProd[[#This Row],[Ore]],-1,0)+OFFSET(TblProd[[#This Row],[Ore/hr]],-1,0) -TblProd[[#This Row],[Expenses Ore]]</f>
        <v>0</v>
      </c>
      <c r="M80" s="94">
        <f ca="1">OFFSET(TblProd[[#This Row],[Gems]],-1,0)+OFFSET(TblProd[[#This Row],[Gems/hr]],-1,0) - TblProd[[#This Row],[Expenses Gems]]</f>
        <v>57000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3268</v>
      </c>
      <c r="Q80" s="94">
        <f ca="1">MAX(3750,_xlfn.CEILING.MATH(TblProd[[#This Row],[Land]]*2.5+OFFSET(TblTech[[#This Row],[Sum of tech]],-1,0)*150))</f>
        <v>3750</v>
      </c>
      <c r="R80" s="142"/>
      <c r="S80" s="94">
        <f ca="1">ROUNDDOWN(TblProd[[#This Row],[Raw Plat/hr]]*(1+TblProd[[#This Row],[Bonus Plat/hr]]),0)</f>
        <v>9739</v>
      </c>
      <c r="T80" s="94">
        <f ca="1">ROUND(TblProd[[#This Row],[Raw Food/hr]]*(1+TblProd[[#This Row],[Bonus Food/hr]])-TblProd[[#This Row],[Food decay]]-TblProd[[#This Row],[Food eaten]],0)</f>
        <v>404</v>
      </c>
      <c r="U80" s="94">
        <f ca="1">ROUND(TblProd[[#This Row],[Raw Lumber/hr]]*(1+TblProd[[#This Row],[Bonus Lumber/hr]])-TblProd[[#This Row],[Lumber rot]],0)</f>
        <v>396</v>
      </c>
      <c r="V80" s="94">
        <f ca="1">ROUND(TblProd[[#This Row],[Raw Mana/hr]]*(1+TblProd[[#This Row],[Bonus Mana/hr]])-TblProd[[#This Row],[Mana drain]],0)</f>
        <v>269</v>
      </c>
      <c r="W80" s="94">
        <f ca="1">ROUNDDOWN(TblProd[[#This Row],[Raw Ore/hr]]*(1+TblProd[[#This Row],[Bonux Ore/hr]]),0)</f>
        <v>0</v>
      </c>
      <c r="X80" s="94">
        <f ca="1">ROUNDDOWN(TblProd[[#This Row],[Raw Gems/hr]]*(1+TblProd[[#This Row],[Bonus Gems/hr]]),0)</f>
        <v>750</v>
      </c>
      <c r="Y80" s="155">
        <f ca="1">OFFSET(TblConstr[[#This Row],[Tot Doc]],1,0)*dock_boats_hr * (1 + tech_4_1*TblTech[[#This Row],[4-1]])</f>
        <v>0</v>
      </c>
      <c r="Z80" s="154"/>
      <c r="AA80" s="94">
        <f ca="1">TblPop[[#This Row],[Peasants]]*tax*TblPop[[#This Row],[Employment]] + (Construction!AZ81+Construction!BX81)*(alch_plat+(Magic!AN80&gt;0)*alchemist_flame_bonus)</f>
        <v>9739.7999999999993</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1250</v>
      </c>
      <c r="AE80" s="94">
        <f ca="1">OFFSET(TblConstr[[#This Row],[Tot OM]],1,0)*om_ore+IF(race="Dwarf",TblMili[[#This Row],[Unit 2]]*0.5,0)</f>
        <v>0</v>
      </c>
      <c r="AF80" s="94">
        <f ca="1">OFFSET(TblConstr[[#This Row],[Tot DM]],1,0)*dm_gems</f>
        <v>750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613.1</v>
      </c>
      <c r="AP80" s="94">
        <f ca="1">(1+race_food_consumption)*TblPop[[#This Row],[Total]]*food_per_person*(1+tech_1_10*TblTech[[#This Row],[1-10]]+tech_7_5*TblTech[[#This Row],[7-5]] + IF(TblMagic[[#This Row],[Active Demonic Pact]]&gt;0,demonic_pact_food_cons,0))</f>
        <v>1563.25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980.78</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45818.166666666482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1149380</v>
      </c>
      <c r="BJ80" s="94">
        <f ca="1">TblProd[[#This Row],[Food]]</f>
        <v>61310</v>
      </c>
      <c r="BK80" s="94">
        <f ca="1">TblProd[[#This Row],[Lumber]]</f>
        <v>60398</v>
      </c>
      <c r="BL80" s="94">
        <f ca="1">TblProd[[#This Row],[Mana]]</f>
        <v>49039</v>
      </c>
      <c r="BM80" s="94">
        <f ca="1">TblProd[[#This Row],[Ore]]</f>
        <v>0</v>
      </c>
    </row>
    <row r="81" spans="1:65" x14ac:dyDescent="0.2">
      <c r="A81" s="137">
        <f t="shared" si="0"/>
        <v>30</v>
      </c>
      <c r="B81" s="152">
        <f ca="1">TblImps[[#This Row],[Time]]</f>
        <v>45818.208333333147</v>
      </c>
      <c r="C81" s="153"/>
      <c r="D81" s="154"/>
      <c r="E81" s="94">
        <f ca="1">TblConstr[[#This Row],[Land]]</f>
        <v>370</v>
      </c>
      <c r="F81" s="94">
        <f ca="1">TblPop[[#This Row],[Peasants]]</f>
        <v>2746</v>
      </c>
      <c r="G81" s="94">
        <f ca="1">TblMili[[#This Row],[Networth (2)]]</f>
        <v>9150</v>
      </c>
      <c r="H81" s="94">
        <f ca="1">OFFSET(TblProd[[#This Row],[Platinum]],-1,0)+OFFSET(TblProd[[#This Row],[Plat/hr]],-1,0) - TblProd[[#This Row],[Expenses Platinum]] + IF(TblProd[[#This Row],[Plat Bonus]],TblPop[[#This Row],[Peasants]]*4) + SUM(TblConstr[[#This Row],[Dest Hom]:[Dest Doc]])*TblConstr[[#This Row],[CPA Platinum -DB]]*tech_3_3_2*TblTech[[#This Row],[3-3]]</f>
        <v>1159119</v>
      </c>
      <c r="I81" s="94">
        <f ca="1">OFFSET(TblProd[[#This Row],[Food]],-1,0)+OFFSET(TblProd[[#This Row],[Food/hr]],-1,0)+ROUNDUP((TblConstr[[#This Row],[Farms]]*80+TblConstr[[#This Row],[Docks]]*35)*(1+OFFSET(TblProd[[#This Row],[Bonus Food/hr]],-1,0)),0)</f>
        <v>61714</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49308</v>
      </c>
      <c r="L81" s="94">
        <f ca="1">OFFSET(TblProd[[#This Row],[Ore]],-1,0)+OFFSET(TblProd[[#This Row],[Ore/hr]],-1,0) -TblProd[[#This Row],[Expenses Ore]]</f>
        <v>0</v>
      </c>
      <c r="M81" s="94">
        <f ca="1">OFFSET(TblProd[[#This Row],[Gems]],-1,0)+OFFSET(TblProd[[#This Row],[Gems/hr]],-1,0) - TblProd[[#This Row],[Expenses Gems]]</f>
        <v>57750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3311</v>
      </c>
      <c r="Q81" s="94">
        <f ca="1">MAX(3750,_xlfn.CEILING.MATH(TblProd[[#This Row],[Land]]*2.5+OFFSET(TblTech[[#This Row],[Sum of tech]],-1,0)*150))</f>
        <v>3750</v>
      </c>
      <c r="R81" s="142"/>
      <c r="S81" s="94">
        <f ca="1">ROUNDDOWN(TblProd[[#This Row],[Raw Plat/hr]]*(1+TblProd[[#This Row],[Bonus Plat/hr]]),0)</f>
        <v>9664</v>
      </c>
      <c r="T81" s="94">
        <f ca="1">ROUND(TblProd[[#This Row],[Raw Food/hr]]*(1+TblProd[[#This Row],[Bonus Food/hr]])-TblProd[[#This Row],[Food decay]]-TblProd[[#This Row],[Food eaten]],0)</f>
        <v>400</v>
      </c>
      <c r="U81" s="94">
        <f ca="1">ROUND(TblProd[[#This Row],[Raw Lumber/hr]]*(1+TblProd[[#This Row],[Bonus Lumber/hr]])-TblProd[[#This Row],[Lumber rot]],0)</f>
        <v>392</v>
      </c>
      <c r="V81" s="94">
        <f ca="1">ROUND(TblProd[[#This Row],[Raw Mana/hr]]*(1+TblProd[[#This Row],[Bonus Mana/hr]])-TblProd[[#This Row],[Mana drain]],0)</f>
        <v>264</v>
      </c>
      <c r="W81" s="94">
        <f ca="1">ROUNDDOWN(TblProd[[#This Row],[Raw Ore/hr]]*(1+TblProd[[#This Row],[Bonux Ore/hr]]),0)</f>
        <v>0</v>
      </c>
      <c r="X81" s="94">
        <f ca="1">ROUNDDOWN(TblProd[[#This Row],[Raw Gems/hr]]*(1+TblProd[[#This Row],[Bonus Gems/hr]]),0)</f>
        <v>750</v>
      </c>
      <c r="Y81" s="155">
        <f ca="1">OFFSET(TblConstr[[#This Row],[Tot Doc]],1,0)*dock_boats_hr * (1 + tech_4_1*TblTech[[#This Row],[4-1]])</f>
        <v>0</v>
      </c>
      <c r="Z81" s="154"/>
      <c r="AA81" s="94">
        <f ca="1">TblPop[[#This Row],[Peasants]]*tax*TblPop[[#This Row],[Employment]] + (Construction!AZ82+Construction!BX82)*(alch_plat+(Magic!AN81&gt;0)*alchemist_flame_bonus)</f>
        <v>9664.2000000000007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1250</v>
      </c>
      <c r="AE81" s="94">
        <f ca="1">OFFSET(TblConstr[[#This Row],[Tot OM]],1,0)*om_ore+IF(race="Dwarf",TblMili[[#This Row],[Unit 2]]*0.5,0)</f>
        <v>0</v>
      </c>
      <c r="AF81" s="94">
        <f ca="1">OFFSET(TblConstr[[#This Row],[Tot DM]],1,0)*dm_gems</f>
        <v>750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617.14</v>
      </c>
      <c r="AP81" s="94">
        <f ca="1">(1+race_food_consumption)*TblPop[[#This Row],[Total]]*food_per_person*(1+tech_1_10*TblTech[[#This Row],[1-10]]+tech_7_5*TblTech[[#This Row],[7-5]] + IF(TblMagic[[#This Row],[Active Demonic Pact]]&gt;0,demonic_pact_food_cons,0))</f>
        <v>1563.25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986.16</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45818.208333333147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1159119</v>
      </c>
      <c r="BJ81" s="94">
        <f ca="1">TblProd[[#This Row],[Food]]</f>
        <v>61714</v>
      </c>
      <c r="BK81" s="94">
        <f ca="1">TblProd[[#This Row],[Lumber]]</f>
        <v>60794</v>
      </c>
      <c r="BL81" s="94">
        <f ca="1">TblProd[[#This Row],[Mana]]</f>
        <v>49308</v>
      </c>
      <c r="BM81" s="94">
        <f ca="1">TblProd[[#This Row],[Ore]]</f>
        <v>0</v>
      </c>
    </row>
    <row r="82" spans="1:65" x14ac:dyDescent="0.2">
      <c r="A82" s="137">
        <f t="shared" si="0"/>
        <v>31</v>
      </c>
      <c r="B82" s="152">
        <f ca="1">TblImps[[#This Row],[Time]]</f>
        <v>45818.249999999811</v>
      </c>
      <c r="C82" s="153"/>
      <c r="D82" s="154"/>
      <c r="E82" s="94">
        <f ca="1">TblConstr[[#This Row],[Land]]</f>
        <v>370</v>
      </c>
      <c r="F82" s="94">
        <f ca="1">TblPop[[#This Row],[Peasants]]</f>
        <v>2719</v>
      </c>
      <c r="G82" s="94">
        <f ca="1">TblMili[[#This Row],[Networth (2)]]</f>
        <v>9150</v>
      </c>
      <c r="H82" s="94">
        <f ca="1">OFFSET(TblProd[[#This Row],[Platinum]],-1,0)+OFFSET(TblProd[[#This Row],[Plat/hr]],-1,0) - TblProd[[#This Row],[Expenses Platinum]] + IF(TblProd[[#This Row],[Plat Bonus]],TblPop[[#This Row],[Peasants]]*4) + SUM(TblConstr[[#This Row],[Dest Hom]:[Dest Doc]])*TblConstr[[#This Row],[CPA Platinum -DB]]*tech_3_3_2*TblTech[[#This Row],[3-3]]</f>
        <v>1168783</v>
      </c>
      <c r="I82" s="94">
        <f ca="1">OFFSET(TblProd[[#This Row],[Food]],-1,0)+OFFSET(TblProd[[#This Row],[Food/hr]],-1,0)+ROUNDUP((TblConstr[[#This Row],[Farms]]*80+TblConstr[[#This Row],[Docks]]*35)*(1+OFFSET(TblProd[[#This Row],[Bonus Food/hr]],-1,0)),0)</f>
        <v>62114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49572</v>
      </c>
      <c r="L82" s="94">
        <f ca="1">OFFSET(TblProd[[#This Row],[Ore]],-1,0)+OFFSET(TblProd[[#This Row],[Ore/hr]],-1,0) -TblProd[[#This Row],[Expenses Ore]]</f>
        <v>0</v>
      </c>
      <c r="M82" s="94">
        <f ca="1">OFFSET(TblProd[[#This Row],[Gems]],-1,0)+OFFSET(TblProd[[#This Row],[Gems/hr]],-1,0) - TblProd[[#This Row],[Expenses Gems]]</f>
        <v>58500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3354</v>
      </c>
      <c r="Q82" s="94">
        <f ca="1">MAX(3750,_xlfn.CEILING.MATH(TblProd[[#This Row],[Land]]*2.5+OFFSET(TblTech[[#This Row],[Sum of tech]],-1,0)*150))</f>
        <v>3750</v>
      </c>
      <c r="R82" s="142"/>
      <c r="S82" s="94">
        <f ca="1">ROUNDDOWN(TblProd[[#This Row],[Raw Plat/hr]]*(1+TblProd[[#This Row],[Bonus Plat/hr]]),0)</f>
        <v>9591</v>
      </c>
      <c r="T82" s="94">
        <f ca="1">ROUND(TblProd[[#This Row],[Raw Food/hr]]*(1+TblProd[[#This Row],[Bonus Food/hr]])-TblProd[[#This Row],[Food decay]]-TblProd[[#This Row],[Food eaten]],0)</f>
        <v>396</v>
      </c>
      <c r="U82" s="94">
        <f ca="1">ROUND(TblProd[[#This Row],[Raw Lumber/hr]]*(1+TblProd[[#This Row],[Bonus Lumber/hr]])-TblProd[[#This Row],[Lumber rot]],0)</f>
        <v>388</v>
      </c>
      <c r="V82" s="94">
        <f ca="1">ROUND(TblProd[[#This Row],[Raw Mana/hr]]*(1+TblProd[[#This Row],[Bonus Mana/hr]])-TblProd[[#This Row],[Mana drain]],0)</f>
        <v>259</v>
      </c>
      <c r="W82" s="94">
        <f ca="1">ROUNDDOWN(TblProd[[#This Row],[Raw Ore/hr]]*(1+TblProd[[#This Row],[Bonux Ore/hr]]),0)</f>
        <v>0</v>
      </c>
      <c r="X82" s="94">
        <f ca="1">ROUNDDOWN(TblProd[[#This Row],[Raw Gems/hr]]*(1+TblProd[[#This Row],[Bonus Gems/hr]]),0)</f>
        <v>750</v>
      </c>
      <c r="Y82" s="155">
        <f ca="1">OFFSET(TblConstr[[#This Row],[Tot Doc]],1,0)*dock_boats_hr * (1 + tech_4_1*TblTech[[#This Row],[4-1]])</f>
        <v>0</v>
      </c>
      <c r="Z82" s="154"/>
      <c r="AA82" s="94">
        <f ca="1">TblPop[[#This Row],[Peasants]]*tax*TblPop[[#This Row],[Employment]] + (Construction!AZ83+Construction!BX83)*(alch_plat+(Magic!AN82&gt;0)*alchemist_flame_bonus)</f>
        <v>9591.2999999999993</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1250</v>
      </c>
      <c r="AE82" s="94">
        <f ca="1">OFFSET(TblConstr[[#This Row],[Tot OM]],1,0)*om_ore+IF(race="Dwarf",TblMili[[#This Row],[Unit 2]]*0.5,0)</f>
        <v>0</v>
      </c>
      <c r="AF82" s="94">
        <f ca="1">OFFSET(TblConstr[[#This Row],[Tot DM]],1,0)*dm_gems</f>
        <v>750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621.14</v>
      </c>
      <c r="AP82" s="94">
        <f ca="1">(1+race_food_consumption)*TblPop[[#This Row],[Total]]*food_per_person*(1+tech_1_10*TblTech[[#This Row],[1-10]]+tech_7_5*TblTech[[#This Row],[7-5]] + IF(TblMagic[[#This Row],[Active Demonic Pact]]&gt;0,demonic_pact_food_cons,0))</f>
        <v>1563.25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991.44</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45818.249999999811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1168783</v>
      </c>
      <c r="BJ82" s="94">
        <f ca="1">TblProd[[#This Row],[Food]]</f>
        <v>62114</v>
      </c>
      <c r="BK82" s="94">
        <f ca="1">TblProd[[#This Row],[Lumber]]</f>
        <v>61186</v>
      </c>
      <c r="BL82" s="94">
        <f ca="1">TblProd[[#This Row],[Mana]]</f>
        <v>49572</v>
      </c>
      <c r="BM82" s="94">
        <f ca="1">TblProd[[#This Row],[Ore]]</f>
        <v>0</v>
      </c>
    </row>
    <row r="83" spans="1:65" x14ac:dyDescent="0.2">
      <c r="A83" s="137">
        <f t="shared" si="0"/>
        <v>32</v>
      </c>
      <c r="B83" s="152">
        <f ca="1">TblImps[[#This Row],[Time]]</f>
        <v>45818.291666666475</v>
      </c>
      <c r="C83" s="153"/>
      <c r="D83" s="154"/>
      <c r="E83" s="94">
        <f ca="1">TblConstr[[#This Row],[Land]]</f>
        <v>370</v>
      </c>
      <c r="F83" s="94">
        <f ca="1">TblPop[[#This Row],[Peasants]]</f>
        <v>2692</v>
      </c>
      <c r="G83" s="94">
        <f ca="1">TblMili[[#This Row],[Networth (2)]]</f>
        <v>9150</v>
      </c>
      <c r="H83" s="94">
        <f ca="1">OFFSET(TblProd[[#This Row],[Platinum]],-1,0)+OFFSET(TblProd[[#This Row],[Plat/hr]],-1,0) - TblProd[[#This Row],[Expenses Platinum]] + IF(TblProd[[#This Row],[Plat Bonus]],TblPop[[#This Row],[Peasants]]*4) + SUM(TblConstr[[#This Row],[Dest Hom]:[Dest Doc]])*TblConstr[[#This Row],[CPA Platinum -DB]]*tech_3_3_2*TblTech[[#This Row],[3-3]]</f>
        <v>1178374</v>
      </c>
      <c r="I83" s="94">
        <f ca="1">OFFSET(TblProd[[#This Row],[Food]],-1,0)+OFFSET(TblProd[[#This Row],[Food/hr]],-1,0)+ROUNDUP((TblConstr[[#This Row],[Farms]]*80+TblConstr[[#This Row],[Docks]]*35)*(1+OFFSET(TblProd[[#This Row],[Bonus Food/hr]],-1,0)),0)</f>
        <v>62510</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49831</v>
      </c>
      <c r="L83" s="94">
        <f ca="1">OFFSET(TblProd[[#This Row],[Ore]],-1,0)+OFFSET(TblProd[[#This Row],[Ore/hr]],-1,0) -TblProd[[#This Row],[Expenses Ore]]</f>
        <v>0</v>
      </c>
      <c r="M83" s="94">
        <f ca="1">OFFSET(TblProd[[#This Row],[Gems]],-1,0)+OFFSET(TblProd[[#This Row],[Gems/hr]],-1,0) - TblProd[[#This Row],[Expenses Gems]]</f>
        <v>59250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3397</v>
      </c>
      <c r="Q83" s="94">
        <f ca="1">MAX(3750,_xlfn.CEILING.MATH(TblProd[[#This Row],[Land]]*2.5+OFFSET(TblTech[[#This Row],[Sum of tech]],-1,0)*150))</f>
        <v>3750</v>
      </c>
      <c r="R83" s="142"/>
      <c r="S83" s="94">
        <f ca="1">ROUNDDOWN(TblProd[[#This Row],[Raw Plat/hr]]*(1+TblProd[[#This Row],[Bonus Plat/hr]]),0)</f>
        <v>9518</v>
      </c>
      <c r="T83" s="94">
        <f ca="1">ROUND(TblProd[[#This Row],[Raw Food/hr]]*(1+TblProd[[#This Row],[Bonus Food/hr]])-TblProd[[#This Row],[Food decay]]-TblProd[[#This Row],[Food eaten]],0)</f>
        <v>392</v>
      </c>
      <c r="U83" s="94">
        <f ca="1">ROUND(TblProd[[#This Row],[Raw Lumber/hr]]*(1+TblProd[[#This Row],[Bonus Lumber/hr]])-TblProd[[#This Row],[Lumber rot]],0)</f>
        <v>384</v>
      </c>
      <c r="V83" s="94">
        <f ca="1">ROUND(TblProd[[#This Row],[Raw Mana/hr]]*(1+TblProd[[#This Row],[Bonus Mana/hr]])-TblProd[[#This Row],[Mana drain]],0)</f>
        <v>253</v>
      </c>
      <c r="W83" s="94">
        <f ca="1">ROUNDDOWN(TblProd[[#This Row],[Raw Ore/hr]]*(1+TblProd[[#This Row],[Bonux Ore/hr]]),0)</f>
        <v>0</v>
      </c>
      <c r="X83" s="94">
        <f ca="1">ROUNDDOWN(TblProd[[#This Row],[Raw Gems/hr]]*(1+TblProd[[#This Row],[Bonus Gems/hr]]),0)</f>
        <v>750</v>
      </c>
      <c r="Y83" s="155">
        <f ca="1">OFFSET(TblConstr[[#This Row],[Tot Doc]],1,0)*dock_boats_hr * (1 + tech_4_1*TblTech[[#This Row],[4-1]])</f>
        <v>0</v>
      </c>
      <c r="Z83" s="154"/>
      <c r="AA83" s="94">
        <f ca="1">TblPop[[#This Row],[Peasants]]*tax*TblPop[[#This Row],[Employment]] + (Construction!AZ84+Construction!BX84)*(alch_plat+(Magic!AN83&gt;0)*alchemist_flame_bonus)</f>
        <v>9518.4000000000015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1250</v>
      </c>
      <c r="AE83" s="94">
        <f ca="1">OFFSET(TblConstr[[#This Row],[Tot OM]],1,0)*om_ore+IF(race="Dwarf",TblMili[[#This Row],[Unit 2]]*0.5,0)</f>
        <v>0</v>
      </c>
      <c r="AF83" s="94">
        <f ca="1">OFFSET(TblConstr[[#This Row],[Tot DM]],1,0)*dm_gems</f>
        <v>750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625.1</v>
      </c>
      <c r="AP83" s="94">
        <f ca="1">(1+race_food_consumption)*TblPop[[#This Row],[Total]]*food_per_person*(1+tech_1_10*TblTech[[#This Row],[1-10]]+tech_7_5*TblTech[[#This Row],[7-5]] + IF(TblMagic[[#This Row],[Active Demonic Pact]]&gt;0,demonic_pact_food_cons,0))</f>
        <v>1563.25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996.62</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45818.291666666475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1178374</v>
      </c>
      <c r="BJ83" s="94">
        <f ca="1">TblProd[[#This Row],[Food]]</f>
        <v>62510</v>
      </c>
      <c r="BK83" s="94">
        <f ca="1">TblProd[[#This Row],[Lumber]]</f>
        <v>61574</v>
      </c>
      <c r="BL83" s="94">
        <f ca="1">TblProd[[#This Row],[Mana]]</f>
        <v>49831</v>
      </c>
      <c r="BM83" s="94">
        <f ca="1">TblProd[[#This Row],[Ore]]</f>
        <v>0</v>
      </c>
    </row>
    <row r="84" spans="1:65" x14ac:dyDescent="0.2">
      <c r="A84" s="137">
        <f t="shared" si="0"/>
        <v>33</v>
      </c>
      <c r="B84" s="152">
        <f ca="1">TblImps[[#This Row],[Time]]</f>
        <v>45818.333333333139</v>
      </c>
      <c r="C84" s="153"/>
      <c r="D84" s="154"/>
      <c r="E84" s="94">
        <f ca="1">TblConstr[[#This Row],[Land]]</f>
        <v>370</v>
      </c>
      <c r="F84" s="94">
        <f ca="1">TblPop[[#This Row],[Peasants]]</f>
        <v>2665</v>
      </c>
      <c r="G84" s="94">
        <f ca="1">TblMili[[#This Row],[Networth (2)]]</f>
        <v>9150</v>
      </c>
      <c r="H84" s="94">
        <f ca="1">OFFSET(TblProd[[#This Row],[Platinum]],-1,0)+OFFSET(TblProd[[#This Row],[Plat/hr]],-1,0) - TblProd[[#This Row],[Expenses Platinum]] + IF(TblProd[[#This Row],[Plat Bonus]],TblPop[[#This Row],[Peasants]]*4) + SUM(TblConstr[[#This Row],[Dest Hom]:[Dest Doc]])*TblConstr[[#This Row],[CPA Platinum -DB]]*tech_3_3_2*TblTech[[#This Row],[3-3]]</f>
        <v>1187892</v>
      </c>
      <c r="I84" s="94">
        <f ca="1">OFFSET(TblProd[[#This Row],[Food]],-1,0)+OFFSET(TblProd[[#This Row],[Food/hr]],-1,0)+ROUNDUP((TblConstr[[#This Row],[Farms]]*80+TblConstr[[#This Row],[Docks]]*35)*(1+OFFSET(TblProd[[#This Row],[Bonus Food/hr]],-1,0)),0)</f>
        <v>62902</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50084</v>
      </c>
      <c r="L84" s="94">
        <f ca="1">OFFSET(TblProd[[#This Row],[Ore]],-1,0)+OFFSET(TblProd[[#This Row],[Ore/hr]],-1,0) -TblProd[[#This Row],[Expenses Ore]]</f>
        <v>0</v>
      </c>
      <c r="M84" s="94">
        <f ca="1">OFFSET(TblProd[[#This Row],[Gems]],-1,0)+OFFSET(TblProd[[#This Row],[Gems/hr]],-1,0) - TblProd[[#This Row],[Expenses Gems]]</f>
        <v>60000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3440</v>
      </c>
      <c r="Q84" s="94">
        <f ca="1">MAX(3750,_xlfn.CEILING.MATH(TblProd[[#This Row],[Land]]*2.5+OFFSET(TblTech[[#This Row],[Sum of tech]],-1,0)*150))</f>
        <v>3750</v>
      </c>
      <c r="R84" s="142"/>
      <c r="S84" s="94">
        <f ca="1">ROUNDDOWN(TblProd[[#This Row],[Raw Plat/hr]]*(1+TblProd[[#This Row],[Bonus Plat/hr]]),0)</f>
        <v>9445</v>
      </c>
      <c r="T84" s="94">
        <f ca="1">ROUND(TblProd[[#This Row],[Raw Food/hr]]*(1+TblProd[[#This Row],[Bonus Food/hr]])-TblProd[[#This Row],[Food decay]]-TblProd[[#This Row],[Food eaten]],0)</f>
        <v>388</v>
      </c>
      <c r="U84" s="94">
        <f ca="1">ROUND(TblProd[[#This Row],[Raw Lumber/hr]]*(1+TblProd[[#This Row],[Bonus Lumber/hr]])-TblProd[[#This Row],[Lumber rot]],0)</f>
        <v>380</v>
      </c>
      <c r="V84" s="94">
        <f ca="1">ROUND(TblProd[[#This Row],[Raw Mana/hr]]*(1+TblProd[[#This Row],[Bonus Mana/hr]])-TblProd[[#This Row],[Mana drain]],0)</f>
        <v>248</v>
      </c>
      <c r="W84" s="94">
        <f ca="1">ROUNDDOWN(TblProd[[#This Row],[Raw Ore/hr]]*(1+TblProd[[#This Row],[Bonux Ore/hr]]),0)</f>
        <v>0</v>
      </c>
      <c r="X84" s="94">
        <f ca="1">ROUNDDOWN(TblProd[[#This Row],[Raw Gems/hr]]*(1+TblProd[[#This Row],[Bonus Gems/hr]]),0)</f>
        <v>750</v>
      </c>
      <c r="Y84" s="155">
        <f ca="1">OFFSET(TblConstr[[#This Row],[Tot Doc]],1,0)*dock_boats_hr * (1 + tech_4_1*TblTech[[#This Row],[4-1]])</f>
        <v>0</v>
      </c>
      <c r="Z84" s="154"/>
      <c r="AA84" s="94">
        <f ca="1">TblPop[[#This Row],[Peasants]]*tax*TblPop[[#This Row],[Employment]] + (Construction!AZ85+Construction!BX85)*(alch_plat+(Magic!AN84&gt;0)*alchemist_flame_bonus)</f>
        <v>9445.5</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1250</v>
      </c>
      <c r="AE84" s="94">
        <f ca="1">OFFSET(TblConstr[[#This Row],[Tot OM]],1,0)*om_ore+IF(race="Dwarf",TblMili[[#This Row],[Unit 2]]*0.5,0)</f>
        <v>0</v>
      </c>
      <c r="AF84" s="94">
        <f ca="1">OFFSET(TblConstr[[#This Row],[Tot DM]],1,0)*dm_gems</f>
        <v>750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629.02</v>
      </c>
      <c r="AP84" s="94">
        <f ca="1">(1+race_food_consumption)*TblPop[[#This Row],[Total]]*food_per_person*(1+tech_1_10*TblTech[[#This Row],[1-10]]+tech_7_5*TblTech[[#This Row],[7-5]] + IF(TblMagic[[#This Row],[Active Demonic Pact]]&gt;0,demonic_pact_food_cons,0))</f>
        <v>1563.25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1001.6800000000001</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45818.333333333139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1187892</v>
      </c>
      <c r="BJ84" s="94">
        <f ca="1">TblProd[[#This Row],[Food]]</f>
        <v>62902</v>
      </c>
      <c r="BK84" s="94">
        <f ca="1">TblProd[[#This Row],[Lumber]]</f>
        <v>61958</v>
      </c>
      <c r="BL84" s="94">
        <f ca="1">TblProd[[#This Row],[Mana]]</f>
        <v>50084</v>
      </c>
      <c r="BM84" s="94">
        <f ca="1">TblProd[[#This Row],[Ore]]</f>
        <v>0</v>
      </c>
    </row>
    <row r="85" spans="1:65" x14ac:dyDescent="0.2">
      <c r="A85" s="137">
        <f t="shared" si="0"/>
        <v>34</v>
      </c>
      <c r="B85" s="152">
        <f ca="1">TblImps[[#This Row],[Time]]</f>
        <v>45818.374999999804</v>
      </c>
      <c r="C85" s="153"/>
      <c r="D85" s="154"/>
      <c r="E85" s="94">
        <f ca="1">TblConstr[[#This Row],[Land]]</f>
        <v>370</v>
      </c>
      <c r="F85" s="94">
        <f ca="1">TblPop[[#This Row],[Peasants]]</f>
        <v>2638</v>
      </c>
      <c r="G85" s="94">
        <f ca="1">TblMili[[#This Row],[Networth (2)]]</f>
        <v>9150</v>
      </c>
      <c r="H85" s="94">
        <f ca="1">OFFSET(TblProd[[#This Row],[Platinum]],-1,0)+OFFSET(TblProd[[#This Row],[Plat/hr]],-1,0) - TblProd[[#This Row],[Expenses Platinum]] + IF(TblProd[[#This Row],[Plat Bonus]],TblPop[[#This Row],[Peasants]]*4) + SUM(TblConstr[[#This Row],[Dest Hom]:[Dest Doc]])*TblConstr[[#This Row],[CPA Platinum -DB]]*tech_3_3_2*TblTech[[#This Row],[3-3]]</f>
        <v>1197337</v>
      </c>
      <c r="I85" s="94">
        <f ca="1">OFFSET(TblProd[[#This Row],[Food]],-1,0)+OFFSET(TblProd[[#This Row],[Food/hr]],-1,0)+ROUNDUP((TblConstr[[#This Row],[Farms]]*80+TblConstr[[#This Row],[Docks]]*35)*(1+OFFSET(TblProd[[#This Row],[Bonus Food/hr]],-1,0)),0)</f>
        <v>63290</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50332</v>
      </c>
      <c r="L85" s="94">
        <f ca="1">OFFSET(TblProd[[#This Row],[Ore]],-1,0)+OFFSET(TblProd[[#This Row],[Ore/hr]],-1,0) -TblProd[[#This Row],[Expenses Ore]]</f>
        <v>0</v>
      </c>
      <c r="M85" s="94">
        <f ca="1">OFFSET(TblProd[[#This Row],[Gems]],-1,0)+OFFSET(TblProd[[#This Row],[Gems/hr]],-1,0) - TblProd[[#This Row],[Expenses Gems]]</f>
        <v>60750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3483</v>
      </c>
      <c r="Q85" s="94">
        <f ca="1">MAX(3750,_xlfn.CEILING.MATH(TblProd[[#This Row],[Land]]*2.5+OFFSET(TblTech[[#This Row],[Sum of tech]],-1,0)*150))</f>
        <v>3750</v>
      </c>
      <c r="R85" s="142"/>
      <c r="S85" s="94">
        <f ca="1">ROUNDDOWN(TblProd[[#This Row],[Raw Plat/hr]]*(1+TblProd[[#This Row],[Bonus Plat/hr]]),0)</f>
        <v>9372</v>
      </c>
      <c r="T85" s="94">
        <f ca="1">ROUND(TblProd[[#This Row],[Raw Food/hr]]*(1+TblProd[[#This Row],[Bonus Food/hr]])-TblProd[[#This Row],[Food decay]]-TblProd[[#This Row],[Food eaten]],0)</f>
        <v>384</v>
      </c>
      <c r="U85" s="94">
        <f ca="1">ROUND(TblProd[[#This Row],[Raw Lumber/hr]]*(1+TblProd[[#This Row],[Bonus Lumber/hr]])-TblProd[[#This Row],[Lumber rot]],0)</f>
        <v>377</v>
      </c>
      <c r="V85" s="94">
        <f ca="1">ROUND(TblProd[[#This Row],[Raw Mana/hr]]*(1+TblProd[[#This Row],[Bonus Mana/hr]])-TblProd[[#This Row],[Mana drain]],0)</f>
        <v>243</v>
      </c>
      <c r="W85" s="94">
        <f ca="1">ROUNDDOWN(TblProd[[#This Row],[Raw Ore/hr]]*(1+TblProd[[#This Row],[Bonux Ore/hr]]),0)</f>
        <v>0</v>
      </c>
      <c r="X85" s="94">
        <f ca="1">ROUNDDOWN(TblProd[[#This Row],[Raw Gems/hr]]*(1+TblProd[[#This Row],[Bonus Gems/hr]]),0)</f>
        <v>750</v>
      </c>
      <c r="Y85" s="155">
        <f ca="1">OFFSET(TblConstr[[#This Row],[Tot Doc]],1,0)*dock_boats_hr * (1 + tech_4_1*TblTech[[#This Row],[4-1]])</f>
        <v>0</v>
      </c>
      <c r="Z85" s="154"/>
      <c r="AA85" s="94">
        <f ca="1">TblPop[[#This Row],[Peasants]]*tax*TblPop[[#This Row],[Employment]] + (Construction!AZ86+Construction!BX86)*(alch_plat+(Magic!AN85&gt;0)*alchemist_flame_bonus)</f>
        <v>9372.6</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1250</v>
      </c>
      <c r="AE85" s="94">
        <f ca="1">OFFSET(TblConstr[[#This Row],[Tot OM]],1,0)*om_ore+IF(race="Dwarf",TblMili[[#This Row],[Unit 2]]*0.5,0)</f>
        <v>0</v>
      </c>
      <c r="AF85" s="94">
        <f ca="1">OFFSET(TblConstr[[#This Row],[Tot DM]],1,0)*dm_gems</f>
        <v>750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632.9</v>
      </c>
      <c r="AP85" s="94">
        <f ca="1">(1+race_food_consumption)*TblPop[[#This Row],[Total]]*food_per_person*(1+tech_1_10*TblTech[[#This Row],[1-10]]+tech_7_5*TblTech[[#This Row],[7-5]] + IF(TblMagic[[#This Row],[Active Demonic Pact]]&gt;0,demonic_pact_food_cons,0))</f>
        <v>1563.25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1006.64</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45818.374999999804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1197337</v>
      </c>
      <c r="BJ85" s="94">
        <f ca="1">TblProd[[#This Row],[Food]]</f>
        <v>63290</v>
      </c>
      <c r="BK85" s="94">
        <f ca="1">TblProd[[#This Row],[Lumber]]</f>
        <v>62338</v>
      </c>
      <c r="BL85" s="94">
        <f ca="1">TblProd[[#This Row],[Mana]]</f>
        <v>50332</v>
      </c>
      <c r="BM85" s="94">
        <f ca="1">TblProd[[#This Row],[Ore]]</f>
        <v>0</v>
      </c>
    </row>
    <row r="86" spans="1:65" x14ac:dyDescent="0.2">
      <c r="A86" s="137">
        <f t="shared" si="0"/>
        <v>35</v>
      </c>
      <c r="B86" s="152">
        <f ca="1">TblImps[[#This Row],[Time]]</f>
        <v>45818.416666666468</v>
      </c>
      <c r="C86" s="153"/>
      <c r="D86" s="154"/>
      <c r="E86" s="94">
        <f ca="1">TblConstr[[#This Row],[Land]]</f>
        <v>370</v>
      </c>
      <c r="F86" s="94">
        <f ca="1">TblPop[[#This Row],[Peasants]]</f>
        <v>2612</v>
      </c>
      <c r="G86" s="94">
        <f ca="1">TblMili[[#This Row],[Networth (2)]]</f>
        <v>9150</v>
      </c>
      <c r="H86" s="94">
        <f ca="1">OFFSET(TblProd[[#This Row],[Platinum]],-1,0)+OFFSET(TblProd[[#This Row],[Plat/hr]],-1,0) - TblProd[[#This Row],[Expenses Platinum]] + IF(TblProd[[#This Row],[Plat Bonus]],TblPop[[#This Row],[Peasants]]*4) + SUM(TblConstr[[#This Row],[Dest Hom]:[Dest Doc]])*TblConstr[[#This Row],[CPA Platinum -DB]]*tech_3_3_2*TblTech[[#This Row],[3-3]]</f>
        <v>1206709</v>
      </c>
      <c r="I86" s="94">
        <f ca="1">OFFSET(TblProd[[#This Row],[Food]],-1,0)+OFFSET(TblProd[[#This Row],[Food/hr]],-1,0)+ROUNDUP((TblConstr[[#This Row],[Farms]]*80+TblConstr[[#This Row],[Docks]]*35)*(1+OFFSET(TblProd[[#This Row],[Bonus Food/hr]],-1,0)),0)</f>
        <v>63674</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50575</v>
      </c>
      <c r="L86" s="94">
        <f ca="1">OFFSET(TblProd[[#This Row],[Ore]],-1,0)+OFFSET(TblProd[[#This Row],[Ore/hr]],-1,0) -TblProd[[#This Row],[Expenses Ore]]</f>
        <v>0</v>
      </c>
      <c r="M86" s="94">
        <f ca="1">OFFSET(TblProd[[#This Row],[Gems]],-1,0)+OFFSET(TblProd[[#This Row],[Gems/hr]],-1,0) - TblProd[[#This Row],[Expenses Gems]]</f>
        <v>61500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3526</v>
      </c>
      <c r="Q86" s="94">
        <f ca="1">MAX(3750,_xlfn.CEILING.MATH(TblProd[[#This Row],[Land]]*2.5+OFFSET(TblTech[[#This Row],[Sum of tech]],-1,0)*150))</f>
        <v>3750</v>
      </c>
      <c r="R86" s="142"/>
      <c r="S86" s="94">
        <f ca="1">ROUNDDOWN(TblProd[[#This Row],[Raw Plat/hr]]*(1+TblProd[[#This Row],[Bonus Plat/hr]]),0)</f>
        <v>9302</v>
      </c>
      <c r="T86" s="94">
        <f ca="1">ROUND(TblProd[[#This Row],[Raw Food/hr]]*(1+TblProd[[#This Row],[Bonus Food/hr]])-TblProd[[#This Row],[Food decay]]-TblProd[[#This Row],[Food eaten]],0)</f>
        <v>380</v>
      </c>
      <c r="U86" s="94">
        <f ca="1">ROUND(TblProd[[#This Row],[Raw Lumber/hr]]*(1+TblProd[[#This Row],[Bonus Lumber/hr]])-TblProd[[#This Row],[Lumber rot]],0)</f>
        <v>373</v>
      </c>
      <c r="V86" s="94">
        <f ca="1">ROUND(TblProd[[#This Row],[Raw Mana/hr]]*(1+TblProd[[#This Row],[Bonus Mana/hr]])-TblProd[[#This Row],[Mana drain]],0)</f>
        <v>239</v>
      </c>
      <c r="W86" s="94">
        <f ca="1">ROUNDDOWN(TblProd[[#This Row],[Raw Ore/hr]]*(1+TblProd[[#This Row],[Bonux Ore/hr]]),0)</f>
        <v>0</v>
      </c>
      <c r="X86" s="94">
        <f ca="1">ROUNDDOWN(TblProd[[#This Row],[Raw Gems/hr]]*(1+TblProd[[#This Row],[Bonus Gems/hr]]),0)</f>
        <v>750</v>
      </c>
      <c r="Y86" s="155">
        <f ca="1">OFFSET(TblConstr[[#This Row],[Tot Doc]],1,0)*dock_boats_hr * (1 + tech_4_1*TblTech[[#This Row],[4-1]])</f>
        <v>0</v>
      </c>
      <c r="Z86" s="154"/>
      <c r="AA86" s="94">
        <f ca="1">TblPop[[#This Row],[Peasants]]*tax*TblPop[[#This Row],[Employment]] + (Construction!AZ87+Construction!BX87)*(alch_plat+(Magic!AN86&gt;0)*alchemist_flame_bonus)</f>
        <v>9302.4000000000015</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1250</v>
      </c>
      <c r="AE86" s="94">
        <f ca="1">OFFSET(TblConstr[[#This Row],[Tot OM]],1,0)*om_ore+IF(race="Dwarf",TblMili[[#This Row],[Unit 2]]*0.5,0)</f>
        <v>0</v>
      </c>
      <c r="AF86" s="94">
        <f ca="1">OFFSET(TblConstr[[#This Row],[Tot DM]],1,0)*dm_gems</f>
        <v>750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636.74</v>
      </c>
      <c r="AP86" s="94">
        <f ca="1">(1+race_food_consumption)*TblPop[[#This Row],[Total]]*food_per_person*(1+tech_1_10*TblTech[[#This Row],[1-10]]+tech_7_5*TblTech[[#This Row],[7-5]] + IF(TblMagic[[#This Row],[Active Demonic Pact]]&gt;0,demonic_pact_food_cons,0))</f>
        <v>1563.25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1011.5</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45818.416666666468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1206709</v>
      </c>
      <c r="BJ86" s="94">
        <f ca="1">TblProd[[#This Row],[Food]]</f>
        <v>63674</v>
      </c>
      <c r="BK86" s="94">
        <f ca="1">TblProd[[#This Row],[Lumber]]</f>
        <v>62715</v>
      </c>
      <c r="BL86" s="94">
        <f ca="1">TblProd[[#This Row],[Mana]]</f>
        <v>50575</v>
      </c>
      <c r="BM86" s="94">
        <f ca="1">TblProd[[#This Row],[Ore]]</f>
        <v>0</v>
      </c>
    </row>
    <row r="87" spans="1:65" x14ac:dyDescent="0.2">
      <c r="A87" s="137">
        <f t="shared" si="0"/>
        <v>36</v>
      </c>
      <c r="B87" s="152">
        <f ca="1">TblImps[[#This Row],[Time]]</f>
        <v>45818.458333333132</v>
      </c>
      <c r="C87" s="153"/>
      <c r="D87" s="154"/>
      <c r="E87" s="94">
        <f ca="1">TblConstr[[#This Row],[Land]]</f>
        <v>370</v>
      </c>
      <c r="F87" s="94">
        <f ca="1">TblPop[[#This Row],[Peasants]]</f>
        <v>2586</v>
      </c>
      <c r="G87" s="94">
        <f ca="1">TblMili[[#This Row],[Networth (2)]]</f>
        <v>9150</v>
      </c>
      <c r="H87" s="94">
        <f ca="1">OFFSET(TblProd[[#This Row],[Platinum]],-1,0)+OFFSET(TblProd[[#This Row],[Plat/hr]],-1,0) - TblProd[[#This Row],[Expenses Platinum]] + IF(TblProd[[#This Row],[Plat Bonus]],TblPop[[#This Row],[Peasants]]*4) + SUM(TblConstr[[#This Row],[Dest Hom]:[Dest Doc]])*TblConstr[[#This Row],[CPA Platinum -DB]]*tech_3_3_2*TblTech[[#This Row],[3-3]]</f>
        <v>1216011</v>
      </c>
      <c r="I87" s="94">
        <f ca="1">OFFSET(TblProd[[#This Row],[Food]],-1,0)+OFFSET(TblProd[[#This Row],[Food/hr]],-1,0)+ROUNDUP((TblConstr[[#This Row],[Farms]]*80+TblConstr[[#This Row],[Docks]]*35)*(1+OFFSET(TblProd[[#This Row],[Bonus Food/hr]],-1,0)),0)</f>
        <v>64054</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50814</v>
      </c>
      <c r="L87" s="94">
        <f ca="1">OFFSET(TblProd[[#This Row],[Ore]],-1,0)+OFFSET(TblProd[[#This Row],[Ore/hr]],-1,0) -TblProd[[#This Row],[Expenses Ore]]</f>
        <v>0</v>
      </c>
      <c r="M87" s="94">
        <f ca="1">OFFSET(TblProd[[#This Row],[Gems]],-1,0)+OFFSET(TblProd[[#This Row],[Gems/hr]],-1,0) - TblProd[[#This Row],[Expenses Gems]]</f>
        <v>62250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3569</v>
      </c>
      <c r="Q87" s="94">
        <f ca="1">MAX(3750,_xlfn.CEILING.MATH(TblProd[[#This Row],[Land]]*2.5+OFFSET(TblTech[[#This Row],[Sum of tech]],-1,0)*150))</f>
        <v>3750</v>
      </c>
      <c r="R87" s="142"/>
      <c r="S87" s="94">
        <f ca="1">ROUNDDOWN(TblProd[[#This Row],[Raw Plat/hr]]*(1+TblProd[[#This Row],[Bonus Plat/hr]]),0)</f>
        <v>9232</v>
      </c>
      <c r="T87" s="94">
        <f ca="1">ROUND(TblProd[[#This Row],[Raw Food/hr]]*(1+TblProd[[#This Row],[Bonus Food/hr]])-TblProd[[#This Row],[Food decay]]-TblProd[[#This Row],[Food eaten]],0)</f>
        <v>376</v>
      </c>
      <c r="U87" s="94">
        <f ca="1">ROUND(TblProd[[#This Row],[Raw Lumber/hr]]*(1+TblProd[[#This Row],[Bonus Lumber/hr]])-TblProd[[#This Row],[Lumber rot]],0)</f>
        <v>369</v>
      </c>
      <c r="V87" s="94">
        <f ca="1">ROUND(TblProd[[#This Row],[Raw Mana/hr]]*(1+TblProd[[#This Row],[Bonus Mana/hr]])-TblProd[[#This Row],[Mana drain]],0)</f>
        <v>234</v>
      </c>
      <c r="W87" s="94">
        <f ca="1">ROUNDDOWN(TblProd[[#This Row],[Raw Ore/hr]]*(1+TblProd[[#This Row],[Bonux Ore/hr]]),0)</f>
        <v>0</v>
      </c>
      <c r="X87" s="94">
        <f ca="1">ROUNDDOWN(TblProd[[#This Row],[Raw Gems/hr]]*(1+TblProd[[#This Row],[Bonus Gems/hr]]),0)</f>
        <v>750</v>
      </c>
      <c r="Y87" s="155">
        <f ca="1">OFFSET(TblConstr[[#This Row],[Tot Doc]],1,0)*dock_boats_hr * (1 + tech_4_1*TblTech[[#This Row],[4-1]])</f>
        <v>0</v>
      </c>
      <c r="Z87" s="154"/>
      <c r="AA87" s="94">
        <f ca="1">TblPop[[#This Row],[Peasants]]*tax*TblPop[[#This Row],[Employment]] + (Construction!AZ88+Construction!BX88)*(alch_plat+(Magic!AN87&gt;0)*alchemist_flame_bonus)</f>
        <v>9232.2000000000007</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1250</v>
      </c>
      <c r="AE87" s="94">
        <f ca="1">OFFSET(TblConstr[[#This Row],[Tot OM]],1,0)*om_ore+IF(race="Dwarf",TblMili[[#This Row],[Unit 2]]*0.5,0)</f>
        <v>0</v>
      </c>
      <c r="AF87" s="94">
        <f ca="1">OFFSET(TblConstr[[#This Row],[Tot DM]],1,0)*dm_gems</f>
        <v>750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640.54</v>
      </c>
      <c r="AP87" s="94">
        <f ca="1">(1+race_food_consumption)*TblPop[[#This Row],[Total]]*food_per_person*(1+tech_1_10*TblTech[[#This Row],[1-10]]+tech_7_5*TblTech[[#This Row],[7-5]] + IF(TblMagic[[#This Row],[Active Demonic Pact]]&gt;0,demonic_pact_food_cons,0))</f>
        <v>1563.25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1016.28</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45818.458333333132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1216011</v>
      </c>
      <c r="BJ87" s="94">
        <f ca="1">TblProd[[#This Row],[Food]]</f>
        <v>64054</v>
      </c>
      <c r="BK87" s="94">
        <f ca="1">TblProd[[#This Row],[Lumber]]</f>
        <v>63088</v>
      </c>
      <c r="BL87" s="94">
        <f ca="1">TblProd[[#This Row],[Mana]]</f>
        <v>50814</v>
      </c>
      <c r="BM87" s="94">
        <f ca="1">TblProd[[#This Row],[Ore]]</f>
        <v>0</v>
      </c>
    </row>
    <row r="88" spans="1:65" x14ac:dyDescent="0.2">
      <c r="A88" s="137">
        <f t="shared" si="0"/>
        <v>37</v>
      </c>
      <c r="B88" s="152">
        <f ca="1">TblImps[[#This Row],[Time]]</f>
        <v>45818.499999999796</v>
      </c>
      <c r="C88" s="153"/>
      <c r="D88" s="154"/>
      <c r="E88" s="94">
        <f ca="1">TblConstr[[#This Row],[Land]]</f>
        <v>370</v>
      </c>
      <c r="F88" s="94">
        <f ca="1">TblPop[[#This Row],[Peasants]]</f>
        <v>2560</v>
      </c>
      <c r="G88" s="94">
        <f ca="1">TblMili[[#This Row],[Networth (2)]]</f>
        <v>9150</v>
      </c>
      <c r="H88" s="94">
        <f ca="1">OFFSET(TblProd[[#This Row],[Platinum]],-1,0)+OFFSET(TblProd[[#This Row],[Plat/hr]],-1,0) - TblProd[[#This Row],[Expenses Platinum]] + IF(TblProd[[#This Row],[Plat Bonus]],TblPop[[#This Row],[Peasants]]*4) + SUM(TblConstr[[#This Row],[Dest Hom]:[Dest Doc]])*TblConstr[[#This Row],[CPA Platinum -DB]]*tech_3_3_2*TblTech[[#This Row],[3-3]]</f>
        <v>1225243</v>
      </c>
      <c r="I88" s="94">
        <f ca="1">OFFSET(TblProd[[#This Row],[Food]],-1,0)+OFFSET(TblProd[[#This Row],[Food/hr]],-1,0)+ROUNDUP((TblConstr[[#This Row],[Farms]]*80+TblConstr[[#This Row],[Docks]]*35)*(1+OFFSET(TblProd[[#This Row],[Bonus Food/hr]],-1,0)),0)</f>
        <v>64430</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51048</v>
      </c>
      <c r="L88" s="94">
        <f ca="1">OFFSET(TblProd[[#This Row],[Ore]],-1,0)+OFFSET(TblProd[[#This Row],[Ore/hr]],-1,0) -TblProd[[#This Row],[Expenses Ore]]</f>
        <v>0</v>
      </c>
      <c r="M88" s="94">
        <f ca="1">OFFSET(TblProd[[#This Row],[Gems]],-1,0)+OFFSET(TblProd[[#This Row],[Gems/hr]],-1,0) - TblProd[[#This Row],[Expenses Gems]]</f>
        <v>63000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3612</v>
      </c>
      <c r="Q88" s="94">
        <f ca="1">MAX(3750,_xlfn.CEILING.MATH(TblProd[[#This Row],[Land]]*2.5+OFFSET(TblTech[[#This Row],[Sum of tech]],-1,0)*150))</f>
        <v>3750</v>
      </c>
      <c r="R88" s="142"/>
      <c r="S88" s="94">
        <f ca="1">ROUNDDOWN(TblProd[[#This Row],[Raw Plat/hr]]*(1+TblProd[[#This Row],[Bonus Plat/hr]]),0)</f>
        <v>9162</v>
      </c>
      <c r="T88" s="94">
        <f ca="1">ROUND(TblProd[[#This Row],[Raw Food/hr]]*(1+TblProd[[#This Row],[Bonus Food/hr]])-TblProd[[#This Row],[Food decay]]-TblProd[[#This Row],[Food eaten]],0)</f>
        <v>372</v>
      </c>
      <c r="U88" s="94">
        <f ca="1">ROUND(TblProd[[#This Row],[Raw Lumber/hr]]*(1+TblProd[[#This Row],[Bonus Lumber/hr]])-TblProd[[#This Row],[Lumber rot]],0)</f>
        <v>365</v>
      </c>
      <c r="V88" s="94">
        <f ca="1">ROUND(TblProd[[#This Row],[Raw Mana/hr]]*(1+TblProd[[#This Row],[Bonus Mana/hr]])-TblProd[[#This Row],[Mana drain]],0)</f>
        <v>229</v>
      </c>
      <c r="W88" s="94">
        <f ca="1">ROUNDDOWN(TblProd[[#This Row],[Raw Ore/hr]]*(1+TblProd[[#This Row],[Bonux Ore/hr]]),0)</f>
        <v>0</v>
      </c>
      <c r="X88" s="94">
        <f ca="1">ROUNDDOWN(TblProd[[#This Row],[Raw Gems/hr]]*(1+TblProd[[#This Row],[Bonus Gems/hr]]),0)</f>
        <v>750</v>
      </c>
      <c r="Y88" s="155">
        <f ca="1">OFFSET(TblConstr[[#This Row],[Tot Doc]],1,0)*dock_boats_hr * (1 + tech_4_1*TblTech[[#This Row],[4-1]])</f>
        <v>0</v>
      </c>
      <c r="Z88" s="154"/>
      <c r="AA88" s="94">
        <f ca="1">TblPop[[#This Row],[Peasants]]*tax*TblPop[[#This Row],[Employment]] + (Construction!AZ89+Construction!BX89)*(alch_plat+(Magic!AN88&gt;0)*alchemist_flame_bonus)</f>
        <v>9162</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1250</v>
      </c>
      <c r="AE88" s="94">
        <f ca="1">OFFSET(TblConstr[[#This Row],[Tot OM]],1,0)*om_ore+IF(race="Dwarf",TblMili[[#This Row],[Unit 2]]*0.5,0)</f>
        <v>0</v>
      </c>
      <c r="AF88" s="94">
        <f ca="1">OFFSET(TblConstr[[#This Row],[Tot DM]],1,0)*dm_gems</f>
        <v>750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644.30000000000007</v>
      </c>
      <c r="AP88" s="94">
        <f ca="1">(1+race_food_consumption)*TblPop[[#This Row],[Total]]*food_per_person*(1+tech_1_10*TblTech[[#This Row],[1-10]]+tech_7_5*TblTech[[#This Row],[7-5]] + IF(TblMagic[[#This Row],[Active Demonic Pact]]&gt;0,demonic_pact_food_cons,0))</f>
        <v>1563.25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1020.96</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45818.499999999796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1225243</v>
      </c>
      <c r="BJ88" s="94">
        <f ca="1">TblProd[[#This Row],[Food]]</f>
        <v>64430</v>
      </c>
      <c r="BK88" s="94">
        <f ca="1">TblProd[[#This Row],[Lumber]]</f>
        <v>63457</v>
      </c>
      <c r="BL88" s="94">
        <f ca="1">TblProd[[#This Row],[Mana]]</f>
        <v>51048</v>
      </c>
      <c r="BM88" s="94">
        <f ca="1">TblProd[[#This Row],[Ore]]</f>
        <v>0</v>
      </c>
    </row>
    <row r="89" spans="1:65" x14ac:dyDescent="0.2">
      <c r="A89" s="137">
        <f t="shared" si="0"/>
        <v>38</v>
      </c>
      <c r="B89" s="152">
        <f ca="1">TblImps[[#This Row],[Time]]</f>
        <v>45818.541666666461</v>
      </c>
      <c r="C89" s="153"/>
      <c r="D89" s="154"/>
      <c r="E89" s="94">
        <f ca="1">TblConstr[[#This Row],[Land]]</f>
        <v>370</v>
      </c>
      <c r="F89" s="94">
        <f ca="1">TblPop[[#This Row],[Peasants]]</f>
        <v>2534</v>
      </c>
      <c r="G89" s="94">
        <f ca="1">TblMili[[#This Row],[Networth (2)]]</f>
        <v>9150</v>
      </c>
      <c r="H89" s="94">
        <f ca="1">OFFSET(TblProd[[#This Row],[Platinum]],-1,0)+OFFSET(TblProd[[#This Row],[Plat/hr]],-1,0) - TblProd[[#This Row],[Expenses Platinum]] + IF(TblProd[[#This Row],[Plat Bonus]],TblPop[[#This Row],[Peasants]]*4) + SUM(TblConstr[[#This Row],[Dest Hom]:[Dest Doc]])*TblConstr[[#This Row],[CPA Platinum -DB]]*tech_3_3_2*TblTech[[#This Row],[3-3]]</f>
        <v>1234405</v>
      </c>
      <c r="I89" s="94">
        <f ca="1">OFFSET(TblProd[[#This Row],[Food]],-1,0)+OFFSET(TblProd[[#This Row],[Food/hr]],-1,0)+ROUNDUP((TblConstr[[#This Row],[Farms]]*80+TblConstr[[#This Row],[Docks]]*35)*(1+OFFSET(TblProd[[#This Row],[Bonus Food/hr]],-1,0)),0)</f>
        <v>64802</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51277</v>
      </c>
      <c r="L89" s="94">
        <f ca="1">OFFSET(TblProd[[#This Row],[Ore]],-1,0)+OFFSET(TblProd[[#This Row],[Ore/hr]],-1,0) -TblProd[[#This Row],[Expenses Ore]]</f>
        <v>0</v>
      </c>
      <c r="M89" s="94">
        <f ca="1">OFFSET(TblProd[[#This Row],[Gems]],-1,0)+OFFSET(TblProd[[#This Row],[Gems/hr]],-1,0) - TblProd[[#This Row],[Expenses Gems]]</f>
        <v>63750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3655</v>
      </c>
      <c r="Q89" s="94">
        <f ca="1">MAX(3750,_xlfn.CEILING.MATH(TblProd[[#This Row],[Land]]*2.5+OFFSET(TblTech[[#This Row],[Sum of tech]],-1,0)*150))</f>
        <v>3750</v>
      </c>
      <c r="R89" s="142"/>
      <c r="S89" s="94">
        <f ca="1">ROUNDDOWN(TblProd[[#This Row],[Raw Plat/hr]]*(1+TblProd[[#This Row],[Bonus Plat/hr]]),0)</f>
        <v>9091</v>
      </c>
      <c r="T89" s="94">
        <f ca="1">ROUND(TblProd[[#This Row],[Raw Food/hr]]*(1+TblProd[[#This Row],[Bonus Food/hr]])-TblProd[[#This Row],[Food decay]]-TblProd[[#This Row],[Food eaten]],0)</f>
        <v>369</v>
      </c>
      <c r="U89" s="94">
        <f ca="1">ROUND(TblProd[[#This Row],[Raw Lumber/hr]]*(1+TblProd[[#This Row],[Bonus Lumber/hr]])-TblProd[[#This Row],[Lumber rot]],0)</f>
        <v>362</v>
      </c>
      <c r="V89" s="94">
        <f ca="1">ROUND(TblProd[[#This Row],[Raw Mana/hr]]*(1+TblProd[[#This Row],[Bonus Mana/hr]])-TblProd[[#This Row],[Mana drain]],0)</f>
        <v>224</v>
      </c>
      <c r="W89" s="94">
        <f ca="1">ROUNDDOWN(TblProd[[#This Row],[Raw Ore/hr]]*(1+TblProd[[#This Row],[Bonux Ore/hr]]),0)</f>
        <v>0</v>
      </c>
      <c r="X89" s="94">
        <f ca="1">ROUNDDOWN(TblProd[[#This Row],[Raw Gems/hr]]*(1+TblProd[[#This Row],[Bonus Gems/hr]]),0)</f>
        <v>750</v>
      </c>
      <c r="Y89" s="155">
        <f ca="1">OFFSET(TblConstr[[#This Row],[Tot Doc]],1,0)*dock_boats_hr * (1 + tech_4_1*TblTech[[#This Row],[4-1]])</f>
        <v>0</v>
      </c>
      <c r="Z89" s="154"/>
      <c r="AA89" s="94">
        <f ca="1">TblPop[[#This Row],[Peasants]]*tax*TblPop[[#This Row],[Employment]] + (Construction!AZ90+Construction!BX90)*(alch_plat+(Magic!AN89&gt;0)*alchemist_flame_bonus)</f>
        <v>9091.7999999999993</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1250</v>
      </c>
      <c r="AE89" s="94">
        <f ca="1">OFFSET(TblConstr[[#This Row],[Tot OM]],1,0)*om_ore+IF(race="Dwarf",TblMili[[#This Row],[Unit 2]]*0.5,0)</f>
        <v>0</v>
      </c>
      <c r="AF89" s="94">
        <f ca="1">OFFSET(TblConstr[[#This Row],[Tot DM]],1,0)*dm_gems</f>
        <v>750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648.02</v>
      </c>
      <c r="AP89" s="94">
        <f ca="1">(1+race_food_consumption)*TblPop[[#This Row],[Total]]*food_per_person*(1+tech_1_10*TblTech[[#This Row],[1-10]]+tech_7_5*TblTech[[#This Row],[7-5]] + IF(TblMagic[[#This Row],[Active Demonic Pact]]&gt;0,demonic_pact_food_cons,0))</f>
        <v>1563.25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1025.54</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45818.541666666461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1234405</v>
      </c>
      <c r="BJ89" s="94">
        <f ca="1">TblProd[[#This Row],[Food]]</f>
        <v>64802</v>
      </c>
      <c r="BK89" s="94">
        <f ca="1">TblProd[[#This Row],[Lumber]]</f>
        <v>63822</v>
      </c>
      <c r="BL89" s="94">
        <f ca="1">TblProd[[#This Row],[Mana]]</f>
        <v>51277</v>
      </c>
      <c r="BM89" s="94">
        <f ca="1">TblProd[[#This Row],[Ore]]</f>
        <v>0</v>
      </c>
    </row>
    <row r="90" spans="1:65" x14ac:dyDescent="0.2">
      <c r="A90" s="137">
        <f t="shared" si="0"/>
        <v>39</v>
      </c>
      <c r="B90" s="152">
        <f ca="1">TblImps[[#This Row],[Time]]</f>
        <v>45818.583333333125</v>
      </c>
      <c r="C90" s="153"/>
      <c r="D90" s="154"/>
      <c r="E90" s="94">
        <f ca="1">TblConstr[[#This Row],[Land]]</f>
        <v>370</v>
      </c>
      <c r="F90" s="94">
        <f ca="1">TblPop[[#This Row],[Peasants]]</f>
        <v>2509</v>
      </c>
      <c r="G90" s="94">
        <f ca="1">TblMili[[#This Row],[Networth (2)]]</f>
        <v>9150</v>
      </c>
      <c r="H90" s="94">
        <f ca="1">OFFSET(TblProd[[#This Row],[Platinum]],-1,0)+OFFSET(TblProd[[#This Row],[Plat/hr]],-1,0) - TblProd[[#This Row],[Expenses Platinum]] + IF(TblProd[[#This Row],[Plat Bonus]],TblPop[[#This Row],[Peasants]]*4) + SUM(TblConstr[[#This Row],[Dest Hom]:[Dest Doc]])*TblConstr[[#This Row],[CPA Platinum -DB]]*tech_3_3_2*TblTech[[#This Row],[3-3]]</f>
        <v>1243496</v>
      </c>
      <c r="I90" s="94">
        <f ca="1">OFFSET(TblProd[[#This Row],[Food]],-1,0)+OFFSET(TblProd[[#This Row],[Food/hr]],-1,0)+ROUNDUP((TblConstr[[#This Row],[Farms]]*80+TblConstr[[#This Row],[Docks]]*35)*(1+OFFSET(TblProd[[#This Row],[Bonus Food/hr]],-1,0)),0)</f>
        <v>65171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51501</v>
      </c>
      <c r="L90" s="94">
        <f ca="1">OFFSET(TblProd[[#This Row],[Ore]],-1,0)+OFFSET(TblProd[[#This Row],[Ore/hr]],-1,0) -TblProd[[#This Row],[Expenses Ore]]</f>
        <v>0</v>
      </c>
      <c r="M90" s="94">
        <f ca="1">OFFSET(TblProd[[#This Row],[Gems]],-1,0)+OFFSET(TblProd[[#This Row],[Gems/hr]],-1,0) - TblProd[[#This Row],[Expenses Gems]]</f>
        <v>64500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3698</v>
      </c>
      <c r="Q90" s="94">
        <f ca="1">MAX(3750,_xlfn.CEILING.MATH(TblProd[[#This Row],[Land]]*2.5+OFFSET(TblTech[[#This Row],[Sum of tech]],-1,0)*150))</f>
        <v>3750</v>
      </c>
      <c r="R90" s="142"/>
      <c r="S90" s="94">
        <f ca="1">ROUNDDOWN(TblProd[[#This Row],[Raw Plat/hr]]*(1+TblProd[[#This Row],[Bonus Plat/hr]]),0)</f>
        <v>9024</v>
      </c>
      <c r="T90" s="94">
        <f ca="1">ROUND(TblProd[[#This Row],[Raw Food/hr]]*(1+TblProd[[#This Row],[Bonus Food/hr]])-TblProd[[#This Row],[Food decay]]-TblProd[[#This Row],[Food eaten]],0)</f>
        <v>365</v>
      </c>
      <c r="U90" s="94">
        <f ca="1">ROUND(TblProd[[#This Row],[Raw Lumber/hr]]*(1+TblProd[[#This Row],[Bonus Lumber/hr]])-TblProd[[#This Row],[Lumber rot]],0)</f>
        <v>358</v>
      </c>
      <c r="V90" s="94">
        <f ca="1">ROUND(TblProd[[#This Row],[Raw Mana/hr]]*(1+TblProd[[#This Row],[Bonus Mana/hr]])-TblProd[[#This Row],[Mana drain]],0)</f>
        <v>220</v>
      </c>
      <c r="W90" s="94">
        <f ca="1">ROUNDDOWN(TblProd[[#This Row],[Raw Ore/hr]]*(1+TblProd[[#This Row],[Bonux Ore/hr]]),0)</f>
        <v>0</v>
      </c>
      <c r="X90" s="94">
        <f ca="1">ROUNDDOWN(TblProd[[#This Row],[Raw Gems/hr]]*(1+TblProd[[#This Row],[Bonus Gems/hr]]),0)</f>
        <v>750</v>
      </c>
      <c r="Y90" s="155">
        <f ca="1">OFFSET(TblConstr[[#This Row],[Tot Doc]],1,0)*dock_boats_hr * (1 + tech_4_1*TblTech[[#This Row],[4-1]])</f>
        <v>0</v>
      </c>
      <c r="Z90" s="154"/>
      <c r="AA90" s="94">
        <f ca="1">TblPop[[#This Row],[Peasants]]*tax*TblPop[[#This Row],[Employment]] + (Construction!AZ91+Construction!BX91)*(alch_plat+(Magic!AN90&gt;0)*alchemist_flame_bonus)</f>
        <v>9024.2999999999993</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1250</v>
      </c>
      <c r="AE90" s="94">
        <f ca="1">OFFSET(TblConstr[[#This Row],[Tot OM]],1,0)*om_ore+IF(race="Dwarf",TblMili[[#This Row],[Unit 2]]*0.5,0)</f>
        <v>0</v>
      </c>
      <c r="AF90" s="94">
        <f ca="1">OFFSET(TblConstr[[#This Row],[Tot DM]],1,0)*dm_gems</f>
        <v>750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651.71</v>
      </c>
      <c r="AP90" s="94">
        <f ca="1">(1+race_food_consumption)*TblPop[[#This Row],[Total]]*food_per_person*(1+tech_1_10*TblTech[[#This Row],[1-10]]+tech_7_5*TblTech[[#This Row],[7-5]] + IF(TblMagic[[#This Row],[Active Demonic Pact]]&gt;0,demonic_pact_food_cons,0))</f>
        <v>1563.25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1030.02</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45818.583333333125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1243496</v>
      </c>
      <c r="BJ90" s="94">
        <f ca="1">TblProd[[#This Row],[Food]]</f>
        <v>65171</v>
      </c>
      <c r="BK90" s="94">
        <f ca="1">TblProd[[#This Row],[Lumber]]</f>
        <v>64184</v>
      </c>
      <c r="BL90" s="94">
        <f ca="1">TblProd[[#This Row],[Mana]]</f>
        <v>51501</v>
      </c>
      <c r="BM90" s="94">
        <f ca="1">TblProd[[#This Row],[Ore]]</f>
        <v>0</v>
      </c>
    </row>
    <row r="91" spans="1:65" x14ac:dyDescent="0.2">
      <c r="A91" s="137">
        <f t="shared" si="0"/>
        <v>40</v>
      </c>
      <c r="B91" s="152">
        <f ca="1">TblImps[[#This Row],[Time]]</f>
        <v>45818.624999999789</v>
      </c>
      <c r="C91" s="153"/>
      <c r="D91" s="154"/>
      <c r="E91" s="94">
        <f ca="1">TblConstr[[#This Row],[Land]]</f>
        <v>370</v>
      </c>
      <c r="F91" s="94">
        <f ca="1">TblPop[[#This Row],[Peasants]]</f>
        <v>2484</v>
      </c>
      <c r="G91" s="94">
        <f ca="1">TblMili[[#This Row],[Networth (2)]]</f>
        <v>9150</v>
      </c>
      <c r="H91" s="94">
        <f ca="1">OFFSET(TblProd[[#This Row],[Platinum]],-1,0)+OFFSET(TblProd[[#This Row],[Plat/hr]],-1,0) - TblProd[[#This Row],[Expenses Platinum]] + IF(TblProd[[#This Row],[Plat Bonus]],TblPop[[#This Row],[Peasants]]*4) + SUM(TblConstr[[#This Row],[Dest Hom]:[Dest Doc]])*TblConstr[[#This Row],[CPA Platinum -DB]]*tech_3_3_2*TblTech[[#This Row],[3-3]]</f>
        <v>1252520</v>
      </c>
      <c r="I91" s="94">
        <f ca="1">OFFSET(TblProd[[#This Row],[Food]],-1,0)+OFFSET(TblProd[[#This Row],[Food/hr]],-1,0)+ROUNDUP((TblConstr[[#This Row],[Farms]]*80+TblConstr[[#This Row],[Docks]]*35)*(1+OFFSET(TblProd[[#This Row],[Bonus Food/hr]],-1,0)),0)</f>
        <v>65536</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51721</v>
      </c>
      <c r="L91" s="94">
        <f ca="1">OFFSET(TblProd[[#This Row],[Ore]],-1,0)+OFFSET(TblProd[[#This Row],[Ore/hr]],-1,0) -TblProd[[#This Row],[Expenses Ore]]</f>
        <v>0</v>
      </c>
      <c r="M91" s="94">
        <f ca="1">OFFSET(TblProd[[#This Row],[Gems]],-1,0)+OFFSET(TblProd[[#This Row],[Gems/hr]],-1,0) - TblProd[[#This Row],[Expenses Gems]]</f>
        <v>65250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3741</v>
      </c>
      <c r="Q91" s="94">
        <f ca="1">MAX(3750,_xlfn.CEILING.MATH(TblProd[[#This Row],[Land]]*2.5+OFFSET(TblTech[[#This Row],[Sum of tech]],-1,0)*150))</f>
        <v>3750</v>
      </c>
      <c r="R91" s="142"/>
      <c r="S91" s="94">
        <f ca="1">ROUNDDOWN(TblProd[[#This Row],[Raw Plat/hr]]*(1+TblProd[[#This Row],[Bonus Plat/hr]]),0)</f>
        <v>8956</v>
      </c>
      <c r="T91" s="94">
        <f ca="1">ROUND(TblProd[[#This Row],[Raw Food/hr]]*(1+TblProd[[#This Row],[Bonus Food/hr]])-TblProd[[#This Row],[Food decay]]-TblProd[[#This Row],[Food eaten]],0)</f>
        <v>361</v>
      </c>
      <c r="U91" s="94">
        <f ca="1">ROUND(TblProd[[#This Row],[Raw Lumber/hr]]*(1+TblProd[[#This Row],[Bonus Lumber/hr]])-TblProd[[#This Row],[Lumber rot]],0)</f>
        <v>355</v>
      </c>
      <c r="V91" s="94">
        <f ca="1">ROUND(TblProd[[#This Row],[Raw Mana/hr]]*(1+TblProd[[#This Row],[Bonus Mana/hr]])-TblProd[[#This Row],[Mana drain]],0)</f>
        <v>216</v>
      </c>
      <c r="W91" s="94">
        <f ca="1">ROUNDDOWN(TblProd[[#This Row],[Raw Ore/hr]]*(1+TblProd[[#This Row],[Bonux Ore/hr]]),0)</f>
        <v>0</v>
      </c>
      <c r="X91" s="94">
        <f ca="1">ROUNDDOWN(TblProd[[#This Row],[Raw Gems/hr]]*(1+TblProd[[#This Row],[Bonus Gems/hr]]),0)</f>
        <v>750</v>
      </c>
      <c r="Y91" s="155">
        <f ca="1">OFFSET(TblConstr[[#This Row],[Tot Doc]],1,0)*dock_boats_hr * (1 + tech_4_1*TblTech[[#This Row],[4-1]])</f>
        <v>0</v>
      </c>
      <c r="Z91" s="154"/>
      <c r="AA91" s="94">
        <f ca="1">TblPop[[#This Row],[Peasants]]*tax*TblPop[[#This Row],[Employment]] + (Construction!AZ92+Construction!BX92)*(alch_plat+(Magic!AN91&gt;0)*alchemist_flame_bonus)</f>
        <v>8956.7999999999993</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1250</v>
      </c>
      <c r="AE91" s="94">
        <f ca="1">OFFSET(TblConstr[[#This Row],[Tot OM]],1,0)*om_ore+IF(race="Dwarf",TblMili[[#This Row],[Unit 2]]*0.5,0)</f>
        <v>0</v>
      </c>
      <c r="AF91" s="94">
        <f ca="1">OFFSET(TblConstr[[#This Row],[Tot DM]],1,0)*dm_gems</f>
        <v>750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655.36</v>
      </c>
      <c r="AP91" s="94">
        <f ca="1">(1+race_food_consumption)*TblPop[[#This Row],[Total]]*food_per_person*(1+tech_1_10*TblTech[[#This Row],[1-10]]+tech_7_5*TblTech[[#This Row],[7-5]] + IF(TblMagic[[#This Row],[Active Demonic Pact]]&gt;0,demonic_pact_food_cons,0))</f>
        <v>1563.25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1034.42</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45818.624999999789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1252520</v>
      </c>
      <c r="BJ91" s="94">
        <f ca="1">TblProd[[#This Row],[Food]]</f>
        <v>65536</v>
      </c>
      <c r="BK91" s="94">
        <f ca="1">TblProd[[#This Row],[Lumber]]</f>
        <v>64542</v>
      </c>
      <c r="BL91" s="94">
        <f ca="1">TblProd[[#This Row],[Mana]]</f>
        <v>51721</v>
      </c>
      <c r="BM91" s="94">
        <f ca="1">TblProd[[#This Row],[Ore]]</f>
        <v>0</v>
      </c>
    </row>
    <row r="92" spans="1:65" x14ac:dyDescent="0.2">
      <c r="A92" s="137">
        <f t="shared" si="0"/>
        <v>41</v>
      </c>
      <c r="B92" s="152">
        <f ca="1">TblImps[[#This Row],[Time]]</f>
        <v>45818.666666666453</v>
      </c>
      <c r="C92" s="153"/>
      <c r="D92" s="154"/>
      <c r="E92" s="94">
        <f ca="1">TblConstr[[#This Row],[Land]]</f>
        <v>370</v>
      </c>
      <c r="F92" s="94">
        <f ca="1">TblPop[[#This Row],[Peasants]]</f>
        <v>2459</v>
      </c>
      <c r="G92" s="94">
        <f ca="1">TblMili[[#This Row],[Networth (2)]]</f>
        <v>9150</v>
      </c>
      <c r="H92" s="94">
        <f ca="1">OFFSET(TblProd[[#This Row],[Platinum]],-1,0)+OFFSET(TblProd[[#This Row],[Plat/hr]],-1,0) - TblProd[[#This Row],[Expenses Platinum]] + IF(TblProd[[#This Row],[Plat Bonus]],TblPop[[#This Row],[Peasants]]*4) + SUM(TblConstr[[#This Row],[Dest Hom]:[Dest Doc]])*TblConstr[[#This Row],[CPA Platinum -DB]]*tech_3_3_2*TblTech[[#This Row],[3-3]]</f>
        <v>1261476</v>
      </c>
      <c r="I92" s="94">
        <f ca="1">OFFSET(TblProd[[#This Row],[Food]],-1,0)+OFFSET(TblProd[[#This Row],[Food/hr]],-1,0)+ROUNDUP((TblConstr[[#This Row],[Farms]]*80+TblConstr[[#This Row],[Docks]]*35)*(1+OFFSET(TblProd[[#This Row],[Bonus Food/hr]],-1,0)),0)</f>
        <v>65897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51937</v>
      </c>
      <c r="L92" s="94">
        <f ca="1">OFFSET(TblProd[[#This Row],[Ore]],-1,0)+OFFSET(TblProd[[#This Row],[Ore/hr]],-1,0) -TblProd[[#This Row],[Expenses Ore]]</f>
        <v>0</v>
      </c>
      <c r="M92" s="94">
        <f ca="1">OFFSET(TblProd[[#This Row],[Gems]],-1,0)+OFFSET(TblProd[[#This Row],[Gems/hr]],-1,0) - TblProd[[#This Row],[Expenses Gems]]</f>
        <v>66000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3784</v>
      </c>
      <c r="Q92" s="94">
        <f ca="1">MAX(3750,_xlfn.CEILING.MATH(TblProd[[#This Row],[Land]]*2.5+OFFSET(TblTech[[#This Row],[Sum of tech]],-1,0)*150))</f>
        <v>3750</v>
      </c>
      <c r="R92" s="142"/>
      <c r="S92" s="94">
        <f ca="1">ROUNDDOWN(TblProd[[#This Row],[Raw Plat/hr]]*(1+TblProd[[#This Row],[Bonus Plat/hr]]),0)</f>
        <v>8889</v>
      </c>
      <c r="T92" s="94">
        <f ca="1">ROUND(TblProd[[#This Row],[Raw Food/hr]]*(1+TblProd[[#This Row],[Bonus Food/hr]])-TblProd[[#This Row],[Food decay]]-TblProd[[#This Row],[Food eaten]],0)</f>
        <v>358</v>
      </c>
      <c r="U92" s="94">
        <f ca="1">ROUND(TblProd[[#This Row],[Raw Lumber/hr]]*(1+TblProd[[#This Row],[Bonus Lumber/hr]])-TblProd[[#This Row],[Lumber rot]],0)</f>
        <v>351</v>
      </c>
      <c r="V92" s="94">
        <f ca="1">ROUND(TblProd[[#This Row],[Raw Mana/hr]]*(1+TblProd[[#This Row],[Bonus Mana/hr]])-TblProd[[#This Row],[Mana drain]],0)</f>
        <v>211</v>
      </c>
      <c r="W92" s="94">
        <f ca="1">ROUNDDOWN(TblProd[[#This Row],[Raw Ore/hr]]*(1+TblProd[[#This Row],[Bonux Ore/hr]]),0)</f>
        <v>0</v>
      </c>
      <c r="X92" s="94">
        <f ca="1">ROUNDDOWN(TblProd[[#This Row],[Raw Gems/hr]]*(1+TblProd[[#This Row],[Bonus Gems/hr]]),0)</f>
        <v>750</v>
      </c>
      <c r="Y92" s="155">
        <f ca="1">OFFSET(TblConstr[[#This Row],[Tot Doc]],1,0)*dock_boats_hr * (1 + tech_4_1*TblTech[[#This Row],[4-1]])</f>
        <v>0</v>
      </c>
      <c r="Z92" s="154"/>
      <c r="AA92" s="94">
        <f ca="1">TblPop[[#This Row],[Peasants]]*tax*TblPop[[#This Row],[Employment]] + (Construction!AZ93+Construction!BX93)*(alch_plat+(Magic!AN92&gt;0)*alchemist_flame_bonus)</f>
        <v>8889.2999999999993</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1250</v>
      </c>
      <c r="AE92" s="94">
        <f ca="1">OFFSET(TblConstr[[#This Row],[Tot OM]],1,0)*om_ore+IF(race="Dwarf",TblMili[[#This Row],[Unit 2]]*0.5,0)</f>
        <v>0</v>
      </c>
      <c r="AF92" s="94">
        <f ca="1">OFFSET(TblConstr[[#This Row],[Tot DM]],1,0)*dm_gems</f>
        <v>750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658.97</v>
      </c>
      <c r="AP92" s="94">
        <f ca="1">(1+race_food_consumption)*TblPop[[#This Row],[Total]]*food_per_person*(1+tech_1_10*TblTech[[#This Row],[1-10]]+tech_7_5*TblTech[[#This Row],[7-5]] + IF(TblMagic[[#This Row],[Active Demonic Pact]]&gt;0,demonic_pact_food_cons,0))</f>
        <v>1563.25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1038.74</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45818.666666666453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1261476</v>
      </c>
      <c r="BJ92" s="94">
        <f ca="1">TblProd[[#This Row],[Food]]</f>
        <v>65897</v>
      </c>
      <c r="BK92" s="94">
        <f ca="1">TblProd[[#This Row],[Lumber]]</f>
        <v>64897</v>
      </c>
      <c r="BL92" s="94">
        <f ca="1">TblProd[[#This Row],[Mana]]</f>
        <v>51937</v>
      </c>
      <c r="BM92" s="94">
        <f ca="1">TblProd[[#This Row],[Ore]]</f>
        <v>0</v>
      </c>
    </row>
    <row r="93" spans="1:65" x14ac:dyDescent="0.2">
      <c r="A93" s="137">
        <f t="shared" si="0"/>
        <v>42</v>
      </c>
      <c r="B93" s="152">
        <f ca="1">TblImps[[#This Row],[Time]]</f>
        <v>45818.708333333117</v>
      </c>
      <c r="C93" s="153"/>
      <c r="D93" s="154"/>
      <c r="E93" s="94">
        <f ca="1">TblConstr[[#This Row],[Land]]</f>
        <v>370</v>
      </c>
      <c r="F93" s="94">
        <f ca="1">TblPop[[#This Row],[Peasants]]</f>
        <v>2434</v>
      </c>
      <c r="G93" s="94">
        <f ca="1">TblMili[[#This Row],[Networth (2)]]</f>
        <v>9150</v>
      </c>
      <c r="H93" s="94">
        <f ca="1">OFFSET(TblProd[[#This Row],[Platinum]],-1,0)+OFFSET(TblProd[[#This Row],[Plat/hr]],-1,0) - TblProd[[#This Row],[Expenses Platinum]] + IF(TblProd[[#This Row],[Plat Bonus]],TblPop[[#This Row],[Peasants]]*4) + SUM(TblConstr[[#This Row],[Dest Hom]:[Dest Doc]])*TblConstr[[#This Row],[CPA Platinum -DB]]*tech_3_3_2*TblTech[[#This Row],[3-3]]</f>
        <v>1270365</v>
      </c>
      <c r="I93" s="94">
        <f ca="1">OFFSET(TblProd[[#This Row],[Food]],-1,0)+OFFSET(TblProd[[#This Row],[Food/hr]],-1,0)+ROUNDUP((TblConstr[[#This Row],[Farms]]*80+TblConstr[[#This Row],[Docks]]*35)*(1+OFFSET(TblProd[[#This Row],[Bonus Food/hr]],-1,0)),0)</f>
        <v>66255</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52148</v>
      </c>
      <c r="L93" s="94">
        <f ca="1">OFFSET(TblProd[[#This Row],[Ore]],-1,0)+OFFSET(TblProd[[#This Row],[Ore/hr]],-1,0) -TblProd[[#This Row],[Expenses Ore]]</f>
        <v>0</v>
      </c>
      <c r="M93" s="94">
        <f ca="1">OFFSET(TblProd[[#This Row],[Gems]],-1,0)+OFFSET(TblProd[[#This Row],[Gems/hr]],-1,0) - TblProd[[#This Row],[Expenses Gems]]</f>
        <v>66750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3827</v>
      </c>
      <c r="Q93" s="94">
        <f ca="1">MAX(3750,_xlfn.CEILING.MATH(TblProd[[#This Row],[Land]]*2.5+OFFSET(TblTech[[#This Row],[Sum of tech]],-1,0)*150))</f>
        <v>3750</v>
      </c>
      <c r="R93" s="142"/>
      <c r="S93" s="94">
        <f ca="1">ROUNDDOWN(TblProd[[#This Row],[Raw Plat/hr]]*(1+TblProd[[#This Row],[Bonus Plat/hr]]),0)</f>
        <v>8821</v>
      </c>
      <c r="T93" s="94">
        <f ca="1">ROUND(TblProd[[#This Row],[Raw Food/hr]]*(1+TblProd[[#This Row],[Bonus Food/hr]])-TblProd[[#This Row],[Food decay]]-TblProd[[#This Row],[Food eaten]],0)</f>
        <v>354</v>
      </c>
      <c r="U93" s="94">
        <f ca="1">ROUND(TblProd[[#This Row],[Raw Lumber/hr]]*(1+TblProd[[#This Row],[Bonus Lumber/hr]])-TblProd[[#This Row],[Lumber rot]],0)</f>
        <v>348</v>
      </c>
      <c r="V93" s="94">
        <f ca="1">ROUND(TblProd[[#This Row],[Raw Mana/hr]]*(1+TblProd[[#This Row],[Bonus Mana/hr]])-TblProd[[#This Row],[Mana drain]],0)</f>
        <v>207</v>
      </c>
      <c r="W93" s="94">
        <f ca="1">ROUNDDOWN(TblProd[[#This Row],[Raw Ore/hr]]*(1+TblProd[[#This Row],[Bonux Ore/hr]]),0)</f>
        <v>0</v>
      </c>
      <c r="X93" s="94">
        <f ca="1">ROUNDDOWN(TblProd[[#This Row],[Raw Gems/hr]]*(1+TblProd[[#This Row],[Bonus Gems/hr]]),0)</f>
        <v>750</v>
      </c>
      <c r="Y93" s="155">
        <f ca="1">OFFSET(TblConstr[[#This Row],[Tot Doc]],1,0)*dock_boats_hr * (1 + tech_4_1*TblTech[[#This Row],[4-1]])</f>
        <v>0</v>
      </c>
      <c r="Z93" s="154"/>
      <c r="AA93" s="94">
        <f ca="1">TblPop[[#This Row],[Peasants]]*tax*TblPop[[#This Row],[Employment]] + (Construction!AZ94+Construction!BX94)*(alch_plat+(Magic!AN93&gt;0)*alchemist_flame_bonus)</f>
        <v>8821.7999999999993</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1250</v>
      </c>
      <c r="AE93" s="94">
        <f ca="1">OFFSET(TblConstr[[#This Row],[Tot OM]],1,0)*om_ore+IF(race="Dwarf",TblMili[[#This Row],[Unit 2]]*0.5,0)</f>
        <v>0</v>
      </c>
      <c r="AF93" s="94">
        <f ca="1">OFFSET(TblConstr[[#This Row],[Tot DM]],1,0)*dm_gems</f>
        <v>750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662.55000000000007</v>
      </c>
      <c r="AP93" s="94">
        <f ca="1">(1+race_food_consumption)*TblPop[[#This Row],[Total]]*food_per_person*(1+tech_1_10*TblTech[[#This Row],[1-10]]+tech_7_5*TblTech[[#This Row],[7-5]] + IF(TblMagic[[#This Row],[Active Demonic Pact]]&gt;0,demonic_pact_food_cons,0))</f>
        <v>1563.25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1042.96</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45818.708333333117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1270365</v>
      </c>
      <c r="BJ93" s="94">
        <f ca="1">TblProd[[#This Row],[Food]]</f>
        <v>66255</v>
      </c>
      <c r="BK93" s="94">
        <f ca="1">TblProd[[#This Row],[Lumber]]</f>
        <v>65248</v>
      </c>
      <c r="BL93" s="94">
        <f ca="1">TblProd[[#This Row],[Mana]]</f>
        <v>52148</v>
      </c>
      <c r="BM93" s="94">
        <f ca="1">TblProd[[#This Row],[Ore]]</f>
        <v>0</v>
      </c>
    </row>
    <row r="94" spans="1:65" x14ac:dyDescent="0.2">
      <c r="A94" s="137">
        <f t="shared" si="0"/>
        <v>43</v>
      </c>
      <c r="B94" s="152">
        <f ca="1">TblImps[[#This Row],[Time]]</f>
        <v>45818.749999999782</v>
      </c>
      <c r="C94" s="153"/>
      <c r="D94" s="154"/>
      <c r="E94" s="94">
        <f ca="1">TblConstr[[#This Row],[Land]]</f>
        <v>370</v>
      </c>
      <c r="F94" s="94">
        <f ca="1">TblPop[[#This Row],[Peasants]]</f>
        <v>2410</v>
      </c>
      <c r="G94" s="94">
        <f ca="1">TblMili[[#This Row],[Networth (2)]]</f>
        <v>9150</v>
      </c>
      <c r="H94" s="94">
        <f ca="1">OFFSET(TblProd[[#This Row],[Platinum]],-1,0)+OFFSET(TblProd[[#This Row],[Plat/hr]],-1,0) - TblProd[[#This Row],[Expenses Platinum]] + IF(TblProd[[#This Row],[Plat Bonus]],TblPop[[#This Row],[Peasants]]*4) + SUM(TblConstr[[#This Row],[Dest Hom]:[Dest Doc]])*TblConstr[[#This Row],[CPA Platinum -DB]]*tech_3_3_2*TblTech[[#This Row],[3-3]]</f>
        <v>1279186</v>
      </c>
      <c r="I94" s="94">
        <f ca="1">OFFSET(TblProd[[#This Row],[Food]],-1,0)+OFFSET(TblProd[[#This Row],[Food/hr]],-1,0)+ROUNDUP((TblConstr[[#This Row],[Farms]]*80+TblConstr[[#This Row],[Docks]]*35)*(1+OFFSET(TblProd[[#This Row],[Bonus Food/hr]],-1,0)),0)</f>
        <v>66609</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52355</v>
      </c>
      <c r="L94" s="94">
        <f ca="1">OFFSET(TblProd[[#This Row],[Ore]],-1,0)+OFFSET(TblProd[[#This Row],[Ore/hr]],-1,0) -TblProd[[#This Row],[Expenses Ore]]</f>
        <v>0</v>
      </c>
      <c r="M94" s="94">
        <f ca="1">OFFSET(TblProd[[#This Row],[Gems]],-1,0)+OFFSET(TblProd[[#This Row],[Gems/hr]],-1,0) - TblProd[[#This Row],[Expenses Gems]]</f>
        <v>67500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3870</v>
      </c>
      <c r="Q94" s="94">
        <f ca="1">MAX(3750,_xlfn.CEILING.MATH(TblProd[[#This Row],[Land]]*2.5+OFFSET(TblTech[[#This Row],[Sum of tech]],-1,0)*150))</f>
        <v>3750</v>
      </c>
      <c r="R94" s="142"/>
      <c r="S94" s="94">
        <f ca="1">ROUNDDOWN(TblProd[[#This Row],[Raw Plat/hr]]*(1+TblProd[[#This Row],[Bonus Plat/hr]]),0)</f>
        <v>8757</v>
      </c>
      <c r="T94" s="94">
        <f ca="1">ROUND(TblProd[[#This Row],[Raw Food/hr]]*(1+TblProd[[#This Row],[Bonus Food/hr]])-TblProd[[#This Row],[Food decay]]-TblProd[[#This Row],[Food eaten]],0)</f>
        <v>351</v>
      </c>
      <c r="U94" s="94">
        <f ca="1">ROUND(TblProd[[#This Row],[Raw Lumber/hr]]*(1+TblProd[[#This Row],[Bonus Lumber/hr]])-TblProd[[#This Row],[Lumber rot]],0)</f>
        <v>344</v>
      </c>
      <c r="V94" s="94">
        <f ca="1">ROUND(TblProd[[#This Row],[Raw Mana/hr]]*(1+TblProd[[#This Row],[Bonus Mana/hr]])-TblProd[[#This Row],[Mana drain]],0)</f>
        <v>203</v>
      </c>
      <c r="W94" s="94">
        <f ca="1">ROUNDDOWN(TblProd[[#This Row],[Raw Ore/hr]]*(1+TblProd[[#This Row],[Bonux Ore/hr]]),0)</f>
        <v>0</v>
      </c>
      <c r="X94" s="94">
        <f ca="1">ROUNDDOWN(TblProd[[#This Row],[Raw Gems/hr]]*(1+TblProd[[#This Row],[Bonus Gems/hr]]),0)</f>
        <v>750</v>
      </c>
      <c r="Y94" s="155">
        <f ca="1">OFFSET(TblConstr[[#This Row],[Tot Doc]],1,0)*dock_boats_hr * (1 + tech_4_1*TblTech[[#This Row],[4-1]])</f>
        <v>0</v>
      </c>
      <c r="Z94" s="154"/>
      <c r="AA94" s="94">
        <f ca="1">TblPop[[#This Row],[Peasants]]*tax*TblPop[[#This Row],[Employment]] + (Construction!AZ95+Construction!BX95)*(alch_plat+(Magic!AN94&gt;0)*alchemist_flame_bonus)</f>
        <v>8757</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1250</v>
      </c>
      <c r="AE94" s="94">
        <f ca="1">OFFSET(TblConstr[[#This Row],[Tot OM]],1,0)*om_ore+IF(race="Dwarf",TblMili[[#This Row],[Unit 2]]*0.5,0)</f>
        <v>0</v>
      </c>
      <c r="AF94" s="94">
        <f ca="1">OFFSET(TblConstr[[#This Row],[Tot DM]],1,0)*dm_gems</f>
        <v>750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666.09</v>
      </c>
      <c r="AP94" s="94">
        <f ca="1">(1+race_food_consumption)*TblPop[[#This Row],[Total]]*food_per_person*(1+tech_1_10*TblTech[[#This Row],[1-10]]+tech_7_5*TblTech[[#This Row],[7-5]] + IF(TblMagic[[#This Row],[Active Demonic Pact]]&gt;0,demonic_pact_food_cons,0))</f>
        <v>1563.25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1047.0999999999999</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45818.749999999782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1279186</v>
      </c>
      <c r="BJ94" s="94">
        <f ca="1">TblProd[[#This Row],[Food]]</f>
        <v>66609</v>
      </c>
      <c r="BK94" s="94">
        <f ca="1">TblProd[[#This Row],[Lumber]]</f>
        <v>65596</v>
      </c>
      <c r="BL94" s="94">
        <f ca="1">TblProd[[#This Row],[Mana]]</f>
        <v>52355</v>
      </c>
      <c r="BM94" s="94">
        <f ca="1">TblProd[[#This Row],[Ore]]</f>
        <v>0</v>
      </c>
    </row>
    <row r="95" spans="1:65" x14ac:dyDescent="0.2">
      <c r="A95" s="137">
        <f t="shared" si="0"/>
        <v>44</v>
      </c>
      <c r="B95" s="152">
        <f ca="1">TblImps[[#This Row],[Time]]</f>
        <v>45818.791666666446</v>
      </c>
      <c r="C95" s="153"/>
      <c r="D95" s="154"/>
      <c r="E95" s="94">
        <f ca="1">TblConstr[[#This Row],[Land]]</f>
        <v>370</v>
      </c>
      <c r="F95" s="94">
        <f ca="1">TblPop[[#This Row],[Peasants]]</f>
        <v>2386</v>
      </c>
      <c r="G95" s="94">
        <f ca="1">TblMili[[#This Row],[Networth (2)]]</f>
        <v>9150</v>
      </c>
      <c r="H95" s="94">
        <f ca="1">OFFSET(TblProd[[#This Row],[Platinum]],-1,0)+OFFSET(TblProd[[#This Row],[Plat/hr]],-1,0) - TblProd[[#This Row],[Expenses Platinum]] + IF(TblProd[[#This Row],[Plat Bonus]],TblPop[[#This Row],[Peasants]]*4) + SUM(TblConstr[[#This Row],[Dest Hom]:[Dest Doc]])*TblConstr[[#This Row],[CPA Platinum -DB]]*tech_3_3_2*TblTech[[#This Row],[3-3]]</f>
        <v>1287943</v>
      </c>
      <c r="I95" s="94">
        <f ca="1">OFFSET(TblProd[[#This Row],[Food]],-1,0)+OFFSET(TblProd[[#This Row],[Food/hr]],-1,0)+ROUNDUP((TblConstr[[#This Row],[Farms]]*80+TblConstr[[#This Row],[Docks]]*35)*(1+OFFSET(TblProd[[#This Row],[Bonus Food/hr]],-1,0)),0)</f>
        <v>66960</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52558</v>
      </c>
      <c r="L95" s="94">
        <f ca="1">OFFSET(TblProd[[#This Row],[Ore]],-1,0)+OFFSET(TblProd[[#This Row],[Ore/hr]],-1,0) -TblProd[[#This Row],[Expenses Ore]]</f>
        <v>0</v>
      </c>
      <c r="M95" s="94">
        <f ca="1">OFFSET(TblProd[[#This Row],[Gems]],-1,0)+OFFSET(TblProd[[#This Row],[Gems/hr]],-1,0) - TblProd[[#This Row],[Expenses Gems]]</f>
        <v>68250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3913</v>
      </c>
      <c r="Q95" s="94">
        <f ca="1">MAX(3750,_xlfn.CEILING.MATH(TblProd[[#This Row],[Land]]*2.5+OFFSET(TblTech[[#This Row],[Sum of tech]],-1,0)*150))</f>
        <v>3750</v>
      </c>
      <c r="R95" s="142"/>
      <c r="S95" s="94">
        <f ca="1">ROUNDDOWN(TblProd[[#This Row],[Raw Plat/hr]]*(1+TblProd[[#This Row],[Bonus Plat/hr]]),0)</f>
        <v>8692</v>
      </c>
      <c r="T95" s="94">
        <f ca="1">ROUND(TblProd[[#This Row],[Raw Food/hr]]*(1+TblProd[[#This Row],[Bonus Food/hr]])-TblProd[[#This Row],[Food decay]]-TblProd[[#This Row],[Food eaten]],0)</f>
        <v>347</v>
      </c>
      <c r="U95" s="94">
        <f ca="1">ROUND(TblProd[[#This Row],[Raw Lumber/hr]]*(1+TblProd[[#This Row],[Bonus Lumber/hr]])-TblProd[[#This Row],[Lumber rot]],0)</f>
        <v>341</v>
      </c>
      <c r="V95" s="94">
        <f ca="1">ROUND(TblProd[[#This Row],[Raw Mana/hr]]*(1+TblProd[[#This Row],[Bonus Mana/hr]])-TblProd[[#This Row],[Mana drain]],0)</f>
        <v>199</v>
      </c>
      <c r="W95" s="94">
        <f ca="1">ROUNDDOWN(TblProd[[#This Row],[Raw Ore/hr]]*(1+TblProd[[#This Row],[Bonux Ore/hr]]),0)</f>
        <v>0</v>
      </c>
      <c r="X95" s="94">
        <f ca="1">ROUNDDOWN(TblProd[[#This Row],[Raw Gems/hr]]*(1+TblProd[[#This Row],[Bonus Gems/hr]]),0)</f>
        <v>750</v>
      </c>
      <c r="Y95" s="155">
        <f ca="1">OFFSET(TblConstr[[#This Row],[Tot Doc]],1,0)*dock_boats_hr * (1 + tech_4_1*TblTech[[#This Row],[4-1]])</f>
        <v>0</v>
      </c>
      <c r="Z95" s="154"/>
      <c r="AA95" s="94">
        <f ca="1">TblPop[[#This Row],[Peasants]]*tax*TblPop[[#This Row],[Employment]] + (Construction!AZ96+Construction!BX96)*(alch_plat+(Magic!AN95&gt;0)*alchemist_flame_bonus)</f>
        <v>8692.2000000000007</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1250</v>
      </c>
      <c r="AE95" s="94">
        <f ca="1">OFFSET(TblConstr[[#This Row],[Tot OM]],1,0)*om_ore+IF(race="Dwarf",TblMili[[#This Row],[Unit 2]]*0.5,0)</f>
        <v>0</v>
      </c>
      <c r="AF95" s="94">
        <f ca="1">OFFSET(TblConstr[[#This Row],[Tot DM]],1,0)*dm_gems</f>
        <v>750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669.6</v>
      </c>
      <c r="AP95" s="94">
        <f ca="1">(1+race_food_consumption)*TblPop[[#This Row],[Total]]*food_per_person*(1+tech_1_10*TblTech[[#This Row],[1-10]]+tech_7_5*TblTech[[#This Row],[7-5]] + IF(TblMagic[[#This Row],[Active Demonic Pact]]&gt;0,demonic_pact_food_cons,0))</f>
        <v>1563.25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1051.1600000000001</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45818.791666666446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1287943</v>
      </c>
      <c r="BJ95" s="94">
        <f ca="1">TblProd[[#This Row],[Food]]</f>
        <v>66960</v>
      </c>
      <c r="BK95" s="94">
        <f ca="1">TblProd[[#This Row],[Lumber]]</f>
        <v>65940</v>
      </c>
      <c r="BL95" s="94">
        <f ca="1">TblProd[[#This Row],[Mana]]</f>
        <v>52558</v>
      </c>
      <c r="BM95" s="94">
        <f ca="1">TblProd[[#This Row],[Ore]]</f>
        <v>0</v>
      </c>
    </row>
    <row r="96" spans="1:65" x14ac:dyDescent="0.2">
      <c r="A96" s="137">
        <f t="shared" si="0"/>
        <v>45</v>
      </c>
      <c r="B96" s="152">
        <f ca="1">TblImps[[#This Row],[Time]]</f>
        <v>45818.83333333311</v>
      </c>
      <c r="C96" s="153"/>
      <c r="D96" s="154"/>
      <c r="E96" s="94">
        <f ca="1">TblConstr[[#This Row],[Land]]</f>
        <v>370</v>
      </c>
      <c r="F96" s="94">
        <f ca="1">TblPop[[#This Row],[Peasants]]</f>
        <v>2362</v>
      </c>
      <c r="G96" s="94">
        <f ca="1">TblMili[[#This Row],[Networth (2)]]</f>
        <v>9150</v>
      </c>
      <c r="H96" s="94">
        <f ca="1">OFFSET(TblProd[[#This Row],[Platinum]],-1,0)+OFFSET(TblProd[[#This Row],[Plat/hr]],-1,0) - TblProd[[#This Row],[Expenses Platinum]] + IF(TblProd[[#This Row],[Plat Bonus]],TblPop[[#This Row],[Peasants]]*4) + SUM(TblConstr[[#This Row],[Dest Hom]:[Dest Doc]])*TblConstr[[#This Row],[CPA Platinum -DB]]*tech_3_3_2*TblTech[[#This Row],[3-3]]</f>
        <v>1296635</v>
      </c>
      <c r="I96" s="94">
        <f ca="1">OFFSET(TblProd[[#This Row],[Food]],-1,0)+OFFSET(TblProd[[#This Row],[Food/hr]],-1,0)+ROUNDUP((TblConstr[[#This Row],[Farms]]*80+TblConstr[[#This Row],[Docks]]*35)*(1+OFFSET(TblProd[[#This Row],[Bonus Food/hr]],-1,0)),0)</f>
        <v>67307</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52757</v>
      </c>
      <c r="L96" s="94">
        <f ca="1">OFFSET(TblProd[[#This Row],[Ore]],-1,0)+OFFSET(TblProd[[#This Row],[Ore/hr]],-1,0) -TblProd[[#This Row],[Expenses Ore]]</f>
        <v>0</v>
      </c>
      <c r="M96" s="94">
        <f ca="1">OFFSET(TblProd[[#This Row],[Gems]],-1,0)+OFFSET(TblProd[[#This Row],[Gems/hr]],-1,0) - TblProd[[#This Row],[Expenses Gems]]</f>
        <v>69000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3956</v>
      </c>
      <c r="Q96" s="94">
        <f ca="1">MAX(3750,_xlfn.CEILING.MATH(TblProd[[#This Row],[Land]]*2.5+OFFSET(TblTech[[#This Row],[Sum of tech]],-1,0)*150))</f>
        <v>3750</v>
      </c>
      <c r="R96" s="142"/>
      <c r="S96" s="94">
        <f ca="1">ROUNDDOWN(TblProd[[#This Row],[Raw Plat/hr]]*(1+TblProd[[#This Row],[Bonus Plat/hr]]),0)</f>
        <v>8627</v>
      </c>
      <c r="T96" s="94">
        <f ca="1">ROUND(TblProd[[#This Row],[Raw Food/hr]]*(1+TblProd[[#This Row],[Bonus Food/hr]])-TblProd[[#This Row],[Food decay]]-TblProd[[#This Row],[Food eaten]],0)</f>
        <v>344</v>
      </c>
      <c r="U96" s="94">
        <f ca="1">ROUND(TblProd[[#This Row],[Raw Lumber/hr]]*(1+TblProd[[#This Row],[Bonus Lumber/hr]])-TblProd[[#This Row],[Lumber rot]],0)</f>
        <v>337</v>
      </c>
      <c r="V96" s="94">
        <f ca="1">ROUND(TblProd[[#This Row],[Raw Mana/hr]]*(1+TblProd[[#This Row],[Bonus Mana/hr]])-TblProd[[#This Row],[Mana drain]],0)</f>
        <v>195</v>
      </c>
      <c r="W96" s="94">
        <f ca="1">ROUNDDOWN(TblProd[[#This Row],[Raw Ore/hr]]*(1+TblProd[[#This Row],[Bonux Ore/hr]]),0)</f>
        <v>0</v>
      </c>
      <c r="X96" s="94">
        <f ca="1">ROUNDDOWN(TblProd[[#This Row],[Raw Gems/hr]]*(1+TblProd[[#This Row],[Bonus Gems/hr]]),0)</f>
        <v>750</v>
      </c>
      <c r="Y96" s="155">
        <f ca="1">OFFSET(TblConstr[[#This Row],[Tot Doc]],1,0)*dock_boats_hr * (1 + tech_4_1*TblTech[[#This Row],[4-1]])</f>
        <v>0</v>
      </c>
      <c r="Z96" s="154"/>
      <c r="AA96" s="94">
        <f ca="1">TblPop[[#This Row],[Peasants]]*tax*TblPop[[#This Row],[Employment]] + (Construction!AZ97+Construction!BX97)*(alch_plat+(Magic!AN96&gt;0)*alchemist_flame_bonus)</f>
        <v>8627.4000000000015</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1250</v>
      </c>
      <c r="AE96" s="94">
        <f ca="1">OFFSET(TblConstr[[#This Row],[Tot OM]],1,0)*om_ore+IF(race="Dwarf",TblMili[[#This Row],[Unit 2]]*0.5,0)</f>
        <v>0</v>
      </c>
      <c r="AF96" s="94">
        <f ca="1">OFFSET(TblConstr[[#This Row],[Tot DM]],1,0)*dm_gems</f>
        <v>750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673.07</v>
      </c>
      <c r="AP96" s="94">
        <f ca="1">(1+race_food_consumption)*TblPop[[#This Row],[Total]]*food_per_person*(1+tech_1_10*TblTech[[#This Row],[1-10]]+tech_7_5*TblTech[[#This Row],[7-5]] + IF(TblMagic[[#This Row],[Active Demonic Pact]]&gt;0,demonic_pact_food_cons,0))</f>
        <v>1563.25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1055.1400000000001</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45818.83333333311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1296635</v>
      </c>
      <c r="BJ96" s="94">
        <f ca="1">TblProd[[#This Row],[Food]]</f>
        <v>67307</v>
      </c>
      <c r="BK96" s="94">
        <f ca="1">TblProd[[#This Row],[Lumber]]</f>
        <v>66281</v>
      </c>
      <c r="BL96" s="94">
        <f ca="1">TblProd[[#This Row],[Mana]]</f>
        <v>52757</v>
      </c>
      <c r="BM96" s="94">
        <f ca="1">TblProd[[#This Row],[Ore]]</f>
        <v>0</v>
      </c>
    </row>
    <row r="97" spans="1:65" x14ac:dyDescent="0.2">
      <c r="A97" s="137">
        <f t="shared" si="0"/>
        <v>46</v>
      </c>
      <c r="B97" s="152">
        <f ca="1">TblImps[[#This Row],[Time]]</f>
        <v>45818.874999999774</v>
      </c>
      <c r="C97" s="153"/>
      <c r="D97" s="154"/>
      <c r="E97" s="94">
        <f ca="1">TblConstr[[#This Row],[Land]]</f>
        <v>370</v>
      </c>
      <c r="F97" s="94">
        <f ca="1">TblPop[[#This Row],[Peasants]]</f>
        <v>2338</v>
      </c>
      <c r="G97" s="94">
        <f ca="1">TblMili[[#This Row],[Networth (2)]]</f>
        <v>9150</v>
      </c>
      <c r="H97" s="94">
        <f ca="1">OFFSET(TblProd[[#This Row],[Platinum]],-1,0)+OFFSET(TblProd[[#This Row],[Plat/hr]],-1,0) - TblProd[[#This Row],[Expenses Platinum]] + IF(TblProd[[#This Row],[Plat Bonus]],TblPop[[#This Row],[Peasants]]*4) + SUM(TblConstr[[#This Row],[Dest Hom]:[Dest Doc]])*TblConstr[[#This Row],[CPA Platinum -DB]]*tech_3_3_2*TblTech[[#This Row],[3-3]]</f>
        <v>1305262</v>
      </c>
      <c r="I97" s="94">
        <f ca="1">OFFSET(TblProd[[#This Row],[Food]],-1,0)+OFFSET(TblProd[[#This Row],[Food/hr]],-1,0)+ROUNDUP((TblConstr[[#This Row],[Farms]]*80+TblConstr[[#This Row],[Docks]]*35)*(1+OFFSET(TblProd[[#This Row],[Bonus Food/hr]],-1,0)),0)</f>
        <v>67651</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52952</v>
      </c>
      <c r="L97" s="94">
        <f ca="1">OFFSET(TblProd[[#This Row],[Ore]],-1,0)+OFFSET(TblProd[[#This Row],[Ore/hr]],-1,0) -TblProd[[#This Row],[Expenses Ore]]</f>
        <v>0</v>
      </c>
      <c r="M97" s="94">
        <f ca="1">OFFSET(TblProd[[#This Row],[Gems]],-1,0)+OFFSET(TblProd[[#This Row],[Gems/hr]],-1,0) - TblProd[[#This Row],[Expenses Gems]]</f>
        <v>69750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3999</v>
      </c>
      <c r="Q97" s="94">
        <f ca="1">MAX(3750,_xlfn.CEILING.MATH(TblProd[[#This Row],[Land]]*2.5+OFFSET(TblTech[[#This Row],[Sum of tech]],-1,0)*150))</f>
        <v>3750</v>
      </c>
      <c r="R97" s="142"/>
      <c r="S97" s="94">
        <f ca="1">ROUNDDOWN(TblProd[[#This Row],[Raw Plat/hr]]*(1+TblProd[[#This Row],[Bonus Plat/hr]]),0)</f>
        <v>8562</v>
      </c>
      <c r="T97" s="94">
        <f ca="1">ROUND(TblProd[[#This Row],[Raw Food/hr]]*(1+TblProd[[#This Row],[Bonus Food/hr]])-TblProd[[#This Row],[Food decay]]-TblProd[[#This Row],[Food eaten]],0)</f>
        <v>340</v>
      </c>
      <c r="U97" s="94">
        <f ca="1">ROUND(TblProd[[#This Row],[Raw Lumber/hr]]*(1+TblProd[[#This Row],[Bonus Lumber/hr]])-TblProd[[#This Row],[Lumber rot]],0)</f>
        <v>334</v>
      </c>
      <c r="V97" s="94">
        <f ca="1">ROUND(TblProd[[#This Row],[Raw Mana/hr]]*(1+TblProd[[#This Row],[Bonus Mana/hr]])-TblProd[[#This Row],[Mana drain]],0)</f>
        <v>191</v>
      </c>
      <c r="W97" s="94">
        <f ca="1">ROUNDDOWN(TblProd[[#This Row],[Raw Ore/hr]]*(1+TblProd[[#This Row],[Bonux Ore/hr]]),0)</f>
        <v>0</v>
      </c>
      <c r="X97" s="94">
        <f ca="1">ROUNDDOWN(TblProd[[#This Row],[Raw Gems/hr]]*(1+TblProd[[#This Row],[Bonus Gems/hr]]),0)</f>
        <v>750</v>
      </c>
      <c r="Y97" s="155">
        <f ca="1">OFFSET(TblConstr[[#This Row],[Tot Doc]],1,0)*dock_boats_hr * (1 + tech_4_1*TblTech[[#This Row],[4-1]])</f>
        <v>0</v>
      </c>
      <c r="Z97" s="154"/>
      <c r="AA97" s="94">
        <f ca="1">TblPop[[#This Row],[Peasants]]*tax*TblPop[[#This Row],[Employment]] + (Construction!AZ98+Construction!BX98)*(alch_plat+(Magic!AN97&gt;0)*alchemist_flame_bonus)</f>
        <v>8562.6</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1250</v>
      </c>
      <c r="AE97" s="94">
        <f ca="1">OFFSET(TblConstr[[#This Row],[Tot OM]],1,0)*om_ore+IF(race="Dwarf",TblMili[[#This Row],[Unit 2]]*0.5,0)</f>
        <v>0</v>
      </c>
      <c r="AF97" s="94">
        <f ca="1">OFFSET(TblConstr[[#This Row],[Tot DM]],1,0)*dm_gems</f>
        <v>750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676.51</v>
      </c>
      <c r="AP97" s="94">
        <f ca="1">(1+race_food_consumption)*TblPop[[#This Row],[Total]]*food_per_person*(1+tech_1_10*TblTech[[#This Row],[1-10]]+tech_7_5*TblTech[[#This Row],[7-5]] + IF(TblMagic[[#This Row],[Active Demonic Pact]]&gt;0,demonic_pact_food_cons,0))</f>
        <v>1563.25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1059.04</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45818.874999999774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1305262</v>
      </c>
      <c r="BJ97" s="94">
        <f ca="1">TblProd[[#This Row],[Food]]</f>
        <v>67651</v>
      </c>
      <c r="BK97" s="94">
        <f ca="1">TblProd[[#This Row],[Lumber]]</f>
        <v>66618</v>
      </c>
      <c r="BL97" s="94">
        <f ca="1">TblProd[[#This Row],[Mana]]</f>
        <v>52952</v>
      </c>
      <c r="BM97" s="94">
        <f ca="1">TblProd[[#This Row],[Ore]]</f>
        <v>0</v>
      </c>
    </row>
    <row r="98" spans="1:65" x14ac:dyDescent="0.2">
      <c r="A98" s="137">
        <f t="shared" si="0"/>
        <v>47</v>
      </c>
      <c r="B98" s="152">
        <f ca="1">TblImps[[#This Row],[Time]]</f>
        <v>45818.916666666439</v>
      </c>
      <c r="C98" s="153"/>
      <c r="D98" s="154"/>
      <c r="E98" s="94">
        <f ca="1">TblConstr[[#This Row],[Land]]</f>
        <v>370</v>
      </c>
      <c r="F98" s="94">
        <f ca="1">TblPop[[#This Row],[Peasants]]</f>
        <v>2315</v>
      </c>
      <c r="G98" s="94">
        <f ca="1">TblMili[[#This Row],[Networth (2)]]</f>
        <v>9150</v>
      </c>
      <c r="H98" s="94">
        <f ca="1">OFFSET(TblProd[[#This Row],[Platinum]],-1,0)+OFFSET(TblProd[[#This Row],[Plat/hr]],-1,0) - TblProd[[#This Row],[Expenses Platinum]] + IF(TblProd[[#This Row],[Plat Bonus]],TblPop[[#This Row],[Peasants]]*4) + SUM(TblConstr[[#This Row],[Dest Hom]:[Dest Doc]])*TblConstr[[#This Row],[CPA Platinum -DB]]*tech_3_3_2*TblTech[[#This Row],[3-3]]</f>
        <v>1313824</v>
      </c>
      <c r="I98" s="94">
        <f ca="1">OFFSET(TblProd[[#This Row],[Food]],-1,0)+OFFSET(TblProd[[#This Row],[Food/hr]],-1,0)+ROUNDUP((TblConstr[[#This Row],[Farms]]*80+TblConstr[[#This Row],[Docks]]*35)*(1+OFFSET(TblProd[[#This Row],[Bonus Food/hr]],-1,0)),0)</f>
        <v>67991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53143</v>
      </c>
      <c r="L98" s="94">
        <f ca="1">OFFSET(TblProd[[#This Row],[Ore]],-1,0)+OFFSET(TblProd[[#This Row],[Ore/hr]],-1,0) -TblProd[[#This Row],[Expenses Ore]]</f>
        <v>0</v>
      </c>
      <c r="M98" s="94">
        <f ca="1">OFFSET(TblProd[[#This Row],[Gems]],-1,0)+OFFSET(TblProd[[#This Row],[Gems/hr]],-1,0) - TblProd[[#This Row],[Expenses Gems]]</f>
        <v>70500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4042</v>
      </c>
      <c r="Q98" s="94">
        <f ca="1">MAX(3750,_xlfn.CEILING.MATH(TblProd[[#This Row],[Land]]*2.5+OFFSET(TblTech[[#This Row],[Sum of tech]],-1,0)*150))</f>
        <v>3750</v>
      </c>
      <c r="R98" s="142"/>
      <c r="S98" s="94">
        <f ca="1">ROUNDDOWN(TblProd[[#This Row],[Raw Plat/hr]]*(1+TblProd[[#This Row],[Bonus Plat/hr]]),0)</f>
        <v>8500</v>
      </c>
      <c r="T98" s="94">
        <f ca="1">ROUND(TblProd[[#This Row],[Raw Food/hr]]*(1+TblProd[[#This Row],[Bonus Food/hr]])-TblProd[[#This Row],[Food decay]]-TblProd[[#This Row],[Food eaten]],0)</f>
        <v>337</v>
      </c>
      <c r="U98" s="94">
        <f ca="1">ROUND(TblProd[[#This Row],[Raw Lumber/hr]]*(1+TblProd[[#This Row],[Bonus Lumber/hr]])-TblProd[[#This Row],[Lumber rot]],0)</f>
        <v>330</v>
      </c>
      <c r="V98" s="94">
        <f ca="1">ROUND(TblProd[[#This Row],[Raw Mana/hr]]*(1+TblProd[[#This Row],[Bonus Mana/hr]])-TblProd[[#This Row],[Mana drain]],0)</f>
        <v>187</v>
      </c>
      <c r="W98" s="94">
        <f ca="1">ROUNDDOWN(TblProd[[#This Row],[Raw Ore/hr]]*(1+TblProd[[#This Row],[Bonux Ore/hr]]),0)</f>
        <v>0</v>
      </c>
      <c r="X98" s="94">
        <f ca="1">ROUNDDOWN(TblProd[[#This Row],[Raw Gems/hr]]*(1+TblProd[[#This Row],[Bonus Gems/hr]]),0)</f>
        <v>750</v>
      </c>
      <c r="Y98" s="155">
        <f ca="1">OFFSET(TblConstr[[#This Row],[Tot Doc]],1,0)*dock_boats_hr * (1 + tech_4_1*TblTech[[#This Row],[4-1]])</f>
        <v>0</v>
      </c>
      <c r="Z98" s="154"/>
      <c r="AA98" s="94">
        <f ca="1">TblPop[[#This Row],[Peasants]]*tax*TblPop[[#This Row],[Employment]] + (Construction!AZ99+Construction!BX99)*(alch_plat+(Magic!AN98&gt;0)*alchemist_flame_bonus)</f>
        <v>8500.5</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1250</v>
      </c>
      <c r="AE98" s="94">
        <f ca="1">OFFSET(TblConstr[[#This Row],[Tot OM]],1,0)*om_ore+IF(race="Dwarf",TblMili[[#This Row],[Unit 2]]*0.5,0)</f>
        <v>0</v>
      </c>
      <c r="AF98" s="94">
        <f ca="1">OFFSET(TblConstr[[#This Row],[Tot DM]],1,0)*dm_gems</f>
        <v>750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679.91</v>
      </c>
      <c r="AP98" s="94">
        <f ca="1">(1+race_food_consumption)*TblPop[[#This Row],[Total]]*food_per_person*(1+tech_1_10*TblTech[[#This Row],[1-10]]+tech_7_5*TblTech[[#This Row],[7-5]] + IF(TblMagic[[#This Row],[Active Demonic Pact]]&gt;0,demonic_pact_food_cons,0))</f>
        <v>1563.25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1062.8600000000001</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45818.916666666439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1313824</v>
      </c>
      <c r="BJ98" s="94">
        <f ca="1">TblProd[[#This Row],[Food]]</f>
        <v>67991</v>
      </c>
      <c r="BK98" s="94">
        <f ca="1">TblProd[[#This Row],[Lumber]]</f>
        <v>66952</v>
      </c>
      <c r="BL98" s="94">
        <f ca="1">TblProd[[#This Row],[Mana]]</f>
        <v>53143</v>
      </c>
      <c r="BM98" s="94">
        <f ca="1">TblProd[[#This Row],[Ore]]</f>
        <v>0</v>
      </c>
    </row>
    <row r="99" spans="1:65" x14ac:dyDescent="0.2">
      <c r="A99" s="137">
        <f t="shared" si="0"/>
        <v>48</v>
      </c>
      <c r="B99" s="152">
        <f ca="1">TblImps[[#This Row],[Time]]</f>
        <v>45818.958333333103</v>
      </c>
      <c r="C99" s="153"/>
      <c r="D99" s="154"/>
      <c r="E99" s="94">
        <f ca="1">TblConstr[[#This Row],[Land]]</f>
        <v>370</v>
      </c>
      <c r="F99" s="94">
        <f ca="1">TblPop[[#This Row],[Peasants]]</f>
        <v>2292</v>
      </c>
      <c r="G99" s="94">
        <f ca="1">TblMili[[#This Row],[Networth (2)]]</f>
        <v>9150</v>
      </c>
      <c r="H99" s="94">
        <f ca="1">OFFSET(TblProd[[#This Row],[Platinum]],-1,0)+OFFSET(TblProd[[#This Row],[Plat/hr]],-1,0) - TblProd[[#This Row],[Expenses Platinum]] + IF(TblProd[[#This Row],[Plat Bonus]],TblPop[[#This Row],[Peasants]]*4) + SUM(TblConstr[[#This Row],[Dest Hom]:[Dest Doc]])*TblConstr[[#This Row],[CPA Platinum -DB]]*tech_3_3_2*TblTech[[#This Row],[3-3]]</f>
        <v>1322324</v>
      </c>
      <c r="I99" s="94">
        <f ca="1">OFFSET(TblProd[[#This Row],[Food]],-1,0)+OFFSET(TblProd[[#This Row],[Food/hr]],-1,0)+ROUNDUP((TblConstr[[#This Row],[Farms]]*80+TblConstr[[#This Row],[Docks]]*35)*(1+OFFSET(TblProd[[#This Row],[Bonus Food/hr]],-1,0)),0)</f>
        <v>68328</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53330</v>
      </c>
      <c r="L99" s="94">
        <f ca="1">OFFSET(TblProd[[#This Row],[Ore]],-1,0)+OFFSET(TblProd[[#This Row],[Ore/hr]],-1,0) -TblProd[[#This Row],[Expenses Ore]]</f>
        <v>0</v>
      </c>
      <c r="M99" s="94">
        <f ca="1">OFFSET(TblProd[[#This Row],[Gems]],-1,0)+OFFSET(TblProd[[#This Row],[Gems/hr]],-1,0) - TblProd[[#This Row],[Expenses Gems]]</f>
        <v>71250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4085</v>
      </c>
      <c r="Q99" s="94">
        <f ca="1">MAX(3750,_xlfn.CEILING.MATH(TblProd[[#This Row],[Land]]*2.5+OFFSET(TblTech[[#This Row],[Sum of tech]],-1,0)*150))</f>
        <v>3750</v>
      </c>
      <c r="R99" s="142"/>
      <c r="S99" s="94">
        <f ca="1">ROUNDDOWN(TblProd[[#This Row],[Raw Plat/hr]]*(1+TblProd[[#This Row],[Bonus Plat/hr]]),0)</f>
        <v>8438</v>
      </c>
      <c r="T99" s="94">
        <f ca="1">ROUND(TblProd[[#This Row],[Raw Food/hr]]*(1+TblProd[[#This Row],[Bonus Food/hr]])-TblProd[[#This Row],[Food decay]]-TblProd[[#This Row],[Food eaten]],0)</f>
        <v>333</v>
      </c>
      <c r="U99" s="94">
        <f ca="1">ROUND(TblProd[[#This Row],[Raw Lumber/hr]]*(1+TblProd[[#This Row],[Bonus Lumber/hr]])-TblProd[[#This Row],[Lumber rot]],0)</f>
        <v>327</v>
      </c>
      <c r="V99" s="94">
        <f ca="1">ROUND(TblProd[[#This Row],[Raw Mana/hr]]*(1+TblProd[[#This Row],[Bonus Mana/hr]])-TblProd[[#This Row],[Mana drain]],0)</f>
        <v>183</v>
      </c>
      <c r="W99" s="94">
        <f ca="1">ROUNDDOWN(TblProd[[#This Row],[Raw Ore/hr]]*(1+TblProd[[#This Row],[Bonux Ore/hr]]),0)</f>
        <v>0</v>
      </c>
      <c r="X99" s="94">
        <f ca="1">ROUNDDOWN(TblProd[[#This Row],[Raw Gems/hr]]*(1+TblProd[[#This Row],[Bonus Gems/hr]]),0)</f>
        <v>750</v>
      </c>
      <c r="Y99" s="155">
        <f ca="1">OFFSET(TblConstr[[#This Row],[Tot Doc]],1,0)*dock_boats_hr * (1 + tech_4_1*TblTech[[#This Row],[4-1]])</f>
        <v>0</v>
      </c>
      <c r="Z99" s="154"/>
      <c r="AA99" s="94">
        <f ca="1">TblPop[[#This Row],[Peasants]]*tax*TblPop[[#This Row],[Employment]] + (Construction!AZ100+Construction!BX100)*(alch_plat+(Magic!AN99&gt;0)*alchemist_flame_bonus)</f>
        <v>8438.4000000000015</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1250</v>
      </c>
      <c r="AE99" s="94">
        <f ca="1">OFFSET(TblConstr[[#This Row],[Tot OM]],1,0)*om_ore+IF(race="Dwarf",TblMili[[#This Row],[Unit 2]]*0.5,0)</f>
        <v>0</v>
      </c>
      <c r="AF99" s="94">
        <f ca="1">OFFSET(TblConstr[[#This Row],[Tot DM]],1,0)*dm_gems</f>
        <v>750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683.28</v>
      </c>
      <c r="AP99" s="94">
        <f ca="1">(1+race_food_consumption)*TblPop[[#This Row],[Total]]*food_per_person*(1+tech_1_10*TblTech[[#This Row],[1-10]]+tech_7_5*TblTech[[#This Row],[7-5]] + IF(TblMagic[[#This Row],[Active Demonic Pact]]&gt;0,demonic_pact_food_cons,0))</f>
        <v>1563.25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1066.5999999999999</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45818.958333333103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1322324</v>
      </c>
      <c r="BJ99" s="94">
        <f ca="1">TblProd[[#This Row],[Food]]</f>
        <v>68328</v>
      </c>
      <c r="BK99" s="94">
        <f ca="1">TblProd[[#This Row],[Lumber]]</f>
        <v>67282</v>
      </c>
      <c r="BL99" s="94">
        <f ca="1">TblProd[[#This Row],[Mana]]</f>
        <v>53330</v>
      </c>
      <c r="BM99" s="94">
        <f ca="1">TblProd[[#This Row],[Ore]]</f>
        <v>0</v>
      </c>
    </row>
    <row r="100" spans="1:65" x14ac:dyDescent="0.2">
      <c r="A100" s="137">
        <f t="shared" si="0"/>
        <v>49</v>
      </c>
      <c r="B100" s="152">
        <f ca="1">TblImps[[#This Row],[Time]]</f>
        <v>45818.999999999767</v>
      </c>
      <c r="C100" s="153"/>
      <c r="D100" s="154"/>
      <c r="E100" s="94">
        <f ca="1">TblConstr[[#This Row],[Land]]</f>
        <v>370</v>
      </c>
      <c r="F100" s="94">
        <f ca="1">TblPop[[#This Row],[Peasants]]</f>
        <v>2269</v>
      </c>
      <c r="G100" s="94">
        <f ca="1">TblMili[[#This Row],[Networth (2)]]</f>
        <v>9150</v>
      </c>
      <c r="H100" s="94">
        <f ca="1">OFFSET(TblProd[[#This Row],[Platinum]],-1,0)+OFFSET(TblProd[[#This Row],[Plat/hr]],-1,0) - TblProd[[#This Row],[Expenses Platinum]] + IF(TblProd[[#This Row],[Plat Bonus]],TblPop[[#This Row],[Peasants]]*4) + SUM(TblConstr[[#This Row],[Dest Hom]:[Dest Doc]])*TblConstr[[#This Row],[CPA Platinum -DB]]*tech_3_3_2*TblTech[[#This Row],[3-3]]</f>
        <v>1330762</v>
      </c>
      <c r="I100" s="94">
        <f ca="1">OFFSET(TblProd[[#This Row],[Food]],-1,0)+OFFSET(TblProd[[#This Row],[Food/hr]],-1,0)+ROUNDUP((TblConstr[[#This Row],[Farms]]*80+TblConstr[[#This Row],[Docks]]*35)*(1+OFFSET(TblProd[[#This Row],[Bonus Food/hr]],-1,0)),0)</f>
        <v>68661</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53513</v>
      </c>
      <c r="L100" s="94">
        <f ca="1">OFFSET(TblProd[[#This Row],[Ore]],-1,0)+OFFSET(TblProd[[#This Row],[Ore/hr]],-1,0) -TblProd[[#This Row],[Expenses Ore]]</f>
        <v>0</v>
      </c>
      <c r="M100" s="94">
        <f ca="1">OFFSET(TblProd[[#This Row],[Gems]],-1,0)+OFFSET(TblProd[[#This Row],[Gems/hr]],-1,0) - TblProd[[#This Row],[Expenses Gems]]</f>
        <v>72000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4128</v>
      </c>
      <c r="Q100" s="94">
        <f ca="1">MAX(3750,_xlfn.CEILING.MATH(TblProd[[#This Row],[Land]]*2.5+OFFSET(TblTech[[#This Row],[Sum of tech]],-1,0)*150))</f>
        <v>3750</v>
      </c>
      <c r="R100" s="142"/>
      <c r="S100" s="94">
        <f ca="1">ROUNDDOWN(TblProd[[#This Row],[Raw Plat/hr]]*(1+TblProd[[#This Row],[Bonus Plat/hr]]),0)</f>
        <v>8376</v>
      </c>
      <c r="T100" s="94">
        <f ca="1">ROUND(TblProd[[#This Row],[Raw Food/hr]]*(1+TblProd[[#This Row],[Bonus Food/hr]])-TblProd[[#This Row],[Food decay]]-TblProd[[#This Row],[Food eaten]],0)</f>
        <v>330</v>
      </c>
      <c r="U100" s="94">
        <f ca="1">ROUND(TblProd[[#This Row],[Raw Lumber/hr]]*(1+TblProd[[#This Row],[Bonus Lumber/hr]])-TblProd[[#This Row],[Lumber rot]],0)</f>
        <v>324</v>
      </c>
      <c r="V100" s="94">
        <f ca="1">ROUND(TblProd[[#This Row],[Raw Mana/hr]]*(1+TblProd[[#This Row],[Bonus Mana/hr]])-TblProd[[#This Row],[Mana drain]],0)</f>
        <v>180</v>
      </c>
      <c r="W100" s="94">
        <f ca="1">ROUNDDOWN(TblProd[[#This Row],[Raw Ore/hr]]*(1+TblProd[[#This Row],[Bonux Ore/hr]]),0)</f>
        <v>0</v>
      </c>
      <c r="X100" s="94">
        <f ca="1">ROUNDDOWN(TblProd[[#This Row],[Raw Gems/hr]]*(1+TblProd[[#This Row],[Bonus Gems/hr]]),0)</f>
        <v>750</v>
      </c>
      <c r="Y100" s="155">
        <f ca="1">OFFSET(TblConstr[[#This Row],[Tot Doc]],1,0)*dock_boats_hr * (1 + tech_4_1*TblTech[[#This Row],[4-1]])</f>
        <v>0</v>
      </c>
      <c r="Z100" s="154"/>
      <c r="AA100" s="94">
        <f ca="1">TblPop[[#This Row],[Peasants]]*tax*TblPop[[#This Row],[Employment]] + (Construction!AZ101+Construction!BX101)*(alch_plat+(Magic!AN100&gt;0)*alchemist_flame_bonus)</f>
        <v>8376.2999999999993</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1250</v>
      </c>
      <c r="AE100" s="94">
        <f ca="1">OFFSET(TblConstr[[#This Row],[Tot OM]],1,0)*om_ore+IF(race="Dwarf",TblMili[[#This Row],[Unit 2]]*0.5,0)</f>
        <v>0</v>
      </c>
      <c r="AF100" s="94">
        <f ca="1">OFFSET(TblConstr[[#This Row],[Tot DM]],1,0)*dm_gems</f>
        <v>750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686.61</v>
      </c>
      <c r="AP100" s="94">
        <f ca="1">(1+race_food_consumption)*TblPop[[#This Row],[Total]]*food_per_person*(1+tech_1_10*TblTech[[#This Row],[1-10]]+tech_7_5*TblTech[[#This Row],[7-5]] + IF(TblMagic[[#This Row],[Active Demonic Pact]]&gt;0,demonic_pact_food_cons,0))</f>
        <v>1563.25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1070.26</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45818.999999999767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1330762</v>
      </c>
      <c r="BJ100" s="94">
        <f ca="1">TblProd[[#This Row],[Food]]</f>
        <v>68661</v>
      </c>
      <c r="BK100" s="94">
        <f ca="1">TblProd[[#This Row],[Lumber]]</f>
        <v>67609</v>
      </c>
      <c r="BL100" s="94">
        <f ca="1">TblProd[[#This Row],[Mana]]</f>
        <v>53513</v>
      </c>
      <c r="BM100" s="94">
        <f ca="1">TblProd[[#This Row],[Ore]]</f>
        <v>0</v>
      </c>
    </row>
    <row r="101" spans="1:65" x14ac:dyDescent="0.2">
      <c r="A101" s="137">
        <f t="shared" si="0"/>
        <v>50</v>
      </c>
      <c r="B101" s="152">
        <f ca="1">TblImps[[#This Row],[Time]]</f>
        <v>45819.041666666431</v>
      </c>
      <c r="C101" s="153"/>
      <c r="D101" s="154"/>
      <c r="E101" s="94">
        <f ca="1">TblConstr[[#This Row],[Land]]</f>
        <v>370</v>
      </c>
      <c r="F101" s="94">
        <f ca="1">TblPop[[#This Row],[Peasants]]</f>
        <v>2246</v>
      </c>
      <c r="G101" s="94">
        <f ca="1">TblMili[[#This Row],[Networth (2)]]</f>
        <v>9150</v>
      </c>
      <c r="H101" s="94">
        <f ca="1">OFFSET(TblProd[[#This Row],[Platinum]],-1,0)+OFFSET(TblProd[[#This Row],[Plat/hr]],-1,0) - TblProd[[#This Row],[Expenses Platinum]] + IF(TblProd[[#This Row],[Plat Bonus]],TblPop[[#This Row],[Peasants]]*4) + SUM(TblConstr[[#This Row],[Dest Hom]:[Dest Doc]])*TblConstr[[#This Row],[CPA Platinum -DB]]*tech_3_3_2*TblTech[[#This Row],[3-3]]</f>
        <v>1339138</v>
      </c>
      <c r="I101" s="94">
        <f ca="1">OFFSET(TblProd[[#This Row],[Food]],-1,0)+OFFSET(TblProd[[#This Row],[Food/hr]],-1,0)+ROUNDUP((TblConstr[[#This Row],[Farms]]*80+TblConstr[[#This Row],[Docks]]*35)*(1+OFFSET(TblProd[[#This Row],[Bonus Food/hr]],-1,0)),0)</f>
        <v>68991</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53693</v>
      </c>
      <c r="L101" s="94">
        <f ca="1">OFFSET(TblProd[[#This Row],[Ore]],-1,0)+OFFSET(TblProd[[#This Row],[Ore/hr]],-1,0) -TblProd[[#This Row],[Expenses Ore]]</f>
        <v>0</v>
      </c>
      <c r="M101" s="94">
        <f ca="1">OFFSET(TblProd[[#This Row],[Gems]],-1,0)+OFFSET(TblProd[[#This Row],[Gems/hr]],-1,0) - TblProd[[#This Row],[Expenses Gems]]</f>
        <v>72750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4171</v>
      </c>
      <c r="Q101" s="94">
        <f ca="1">MAX(3750,_xlfn.CEILING.MATH(TblProd[[#This Row],[Land]]*2.5+OFFSET(TblTech[[#This Row],[Sum of tech]],-1,0)*150))</f>
        <v>3750</v>
      </c>
      <c r="R101" s="142"/>
      <c r="S101" s="94">
        <f ca="1">ROUNDDOWN(TblProd[[#This Row],[Raw Plat/hr]]*(1+TblProd[[#This Row],[Bonus Plat/hr]]),0)</f>
        <v>8314</v>
      </c>
      <c r="T101" s="94">
        <f ca="1">ROUND(TblProd[[#This Row],[Raw Food/hr]]*(1+TblProd[[#This Row],[Bonus Food/hr]])-TblProd[[#This Row],[Food decay]]-TblProd[[#This Row],[Food eaten]],0)</f>
        <v>327</v>
      </c>
      <c r="U101" s="94">
        <f ca="1">ROUND(TblProd[[#This Row],[Raw Lumber/hr]]*(1+TblProd[[#This Row],[Bonus Lumber/hr]])-TblProd[[#This Row],[Lumber rot]],0)</f>
        <v>321</v>
      </c>
      <c r="V101" s="94">
        <f ca="1">ROUND(TblProd[[#This Row],[Raw Mana/hr]]*(1+TblProd[[#This Row],[Bonus Mana/hr]])-TblProd[[#This Row],[Mana drain]],0)</f>
        <v>176</v>
      </c>
      <c r="W101" s="94">
        <f ca="1">ROUNDDOWN(TblProd[[#This Row],[Raw Ore/hr]]*(1+TblProd[[#This Row],[Bonux Ore/hr]]),0)</f>
        <v>0</v>
      </c>
      <c r="X101" s="94">
        <f ca="1">ROUNDDOWN(TblProd[[#This Row],[Raw Gems/hr]]*(1+TblProd[[#This Row],[Bonus Gems/hr]]),0)</f>
        <v>750</v>
      </c>
      <c r="Y101" s="155">
        <f ca="1">OFFSET(TblConstr[[#This Row],[Tot Doc]],1,0)*dock_boats_hr * (1 + tech_4_1*TblTech[[#This Row],[4-1]])</f>
        <v>0</v>
      </c>
      <c r="Z101" s="154"/>
      <c r="AA101" s="94">
        <f ca="1">TblPop[[#This Row],[Peasants]]*tax*TblPop[[#This Row],[Employment]] + (Construction!AZ102+Construction!BX102)*(alch_plat+(Magic!AN101&gt;0)*alchemist_flame_bonus)</f>
        <v>8314.2000000000007</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1250</v>
      </c>
      <c r="AE101" s="94">
        <f ca="1">OFFSET(TblConstr[[#This Row],[Tot OM]],1,0)*om_ore+IF(race="Dwarf",TblMili[[#This Row],[Unit 2]]*0.5,0)</f>
        <v>0</v>
      </c>
      <c r="AF101" s="94">
        <f ca="1">OFFSET(TblConstr[[#This Row],[Tot DM]],1,0)*dm_gems</f>
        <v>750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689.91</v>
      </c>
      <c r="AP101" s="94">
        <f ca="1">(1+race_food_consumption)*TblPop[[#This Row],[Total]]*food_per_person*(1+tech_1_10*TblTech[[#This Row],[1-10]]+tech_7_5*TblTech[[#This Row],[7-5]] + IF(TblMagic[[#This Row],[Active Demonic Pact]]&gt;0,demonic_pact_food_cons,0))</f>
        <v>1563.25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1073.8600000000001</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45819.041666666431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1339138</v>
      </c>
      <c r="BJ101" s="94">
        <f ca="1">TblProd[[#This Row],[Food]]</f>
        <v>68991</v>
      </c>
      <c r="BK101" s="94">
        <f ca="1">TblProd[[#This Row],[Lumber]]</f>
        <v>67933</v>
      </c>
      <c r="BL101" s="94">
        <f ca="1">TblProd[[#This Row],[Mana]]</f>
        <v>53693</v>
      </c>
      <c r="BM101" s="94">
        <f ca="1">TblProd[[#This Row],[Ore]]</f>
        <v>0</v>
      </c>
    </row>
    <row r="102" spans="1:65" x14ac:dyDescent="0.2">
      <c r="A102" s="137">
        <f t="shared" si="0"/>
        <v>51</v>
      </c>
      <c r="B102" s="152">
        <f ca="1">TblImps[[#This Row],[Time]]</f>
        <v>45819.083333333096</v>
      </c>
      <c r="C102" s="153"/>
      <c r="D102" s="154"/>
      <c r="E102" s="94">
        <f ca="1">TblConstr[[#This Row],[Land]]</f>
        <v>370</v>
      </c>
      <c r="F102" s="94">
        <f ca="1">TblPop[[#This Row],[Peasants]]</f>
        <v>2224</v>
      </c>
      <c r="G102" s="94">
        <f ca="1">TblMili[[#This Row],[Networth (2)]]</f>
        <v>9150</v>
      </c>
      <c r="H102" s="94">
        <f ca="1">OFFSET(TblProd[[#This Row],[Platinum]],-1,0)+OFFSET(TblProd[[#This Row],[Plat/hr]],-1,0) - TblProd[[#This Row],[Expenses Platinum]] + IF(TblProd[[#This Row],[Plat Bonus]],TblPop[[#This Row],[Peasants]]*4) + SUM(TblConstr[[#This Row],[Dest Hom]:[Dest Doc]])*TblConstr[[#This Row],[CPA Platinum -DB]]*tech_3_3_2*TblTech[[#This Row],[3-3]]</f>
        <v>1347452</v>
      </c>
      <c r="I102" s="94">
        <f ca="1">OFFSET(TblProd[[#This Row],[Food]],-1,0)+OFFSET(TblProd[[#This Row],[Food/hr]],-1,0)+ROUNDUP((TblConstr[[#This Row],[Farms]]*80+TblConstr[[#This Row],[Docks]]*35)*(1+OFFSET(TblProd[[#This Row],[Bonus Food/hr]],-1,0)),0)</f>
        <v>69318</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53869</v>
      </c>
      <c r="L102" s="94">
        <f ca="1">OFFSET(TblProd[[#This Row],[Ore]],-1,0)+OFFSET(TblProd[[#This Row],[Ore/hr]],-1,0) -TblProd[[#This Row],[Expenses Ore]]</f>
        <v>0</v>
      </c>
      <c r="M102" s="94">
        <f ca="1">OFFSET(TblProd[[#This Row],[Gems]],-1,0)+OFFSET(TblProd[[#This Row],[Gems/hr]],-1,0) - TblProd[[#This Row],[Expenses Gems]]</f>
        <v>73500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4214</v>
      </c>
      <c r="Q102" s="94">
        <f ca="1">MAX(3750,_xlfn.CEILING.MATH(TblProd[[#This Row],[Land]]*2.5+OFFSET(TblTech[[#This Row],[Sum of tech]],-1,0)*150))</f>
        <v>3750</v>
      </c>
      <c r="R102" s="142"/>
      <c r="S102" s="94">
        <f ca="1">ROUNDDOWN(TblProd[[#This Row],[Raw Plat/hr]]*(1+TblProd[[#This Row],[Bonus Plat/hr]]),0)</f>
        <v>8254</v>
      </c>
      <c r="T102" s="94">
        <f ca="1">ROUND(TblProd[[#This Row],[Raw Food/hr]]*(1+TblProd[[#This Row],[Bonus Food/hr]])-TblProd[[#This Row],[Food decay]]-TblProd[[#This Row],[Food eaten]],0)</f>
        <v>324</v>
      </c>
      <c r="U102" s="94">
        <f ca="1">ROUND(TblProd[[#This Row],[Raw Lumber/hr]]*(1+TblProd[[#This Row],[Bonus Lumber/hr]])-TblProd[[#This Row],[Lumber rot]],0)</f>
        <v>317</v>
      </c>
      <c r="V102" s="94">
        <f ca="1">ROUND(TblProd[[#This Row],[Raw Mana/hr]]*(1+TblProd[[#This Row],[Bonus Mana/hr]])-TblProd[[#This Row],[Mana drain]],0)</f>
        <v>173</v>
      </c>
      <c r="W102" s="94">
        <f ca="1">ROUNDDOWN(TblProd[[#This Row],[Raw Ore/hr]]*(1+TblProd[[#This Row],[Bonux Ore/hr]]),0)</f>
        <v>0</v>
      </c>
      <c r="X102" s="94">
        <f ca="1">ROUNDDOWN(TblProd[[#This Row],[Raw Gems/hr]]*(1+TblProd[[#This Row],[Bonus Gems/hr]]),0)</f>
        <v>750</v>
      </c>
      <c r="Y102" s="155">
        <f ca="1">OFFSET(TblConstr[[#This Row],[Tot Doc]],1,0)*dock_boats_hr * (1 + tech_4_1*TblTech[[#This Row],[4-1]])</f>
        <v>0</v>
      </c>
      <c r="Z102" s="154"/>
      <c r="AA102" s="94">
        <f ca="1">TblPop[[#This Row],[Peasants]]*tax*TblPop[[#This Row],[Employment]] + (Construction!AZ103+Construction!BX103)*(alch_plat+(Magic!AN102&gt;0)*alchemist_flame_bonus)</f>
        <v>8254.7999999999993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1250</v>
      </c>
      <c r="AE102" s="94">
        <f ca="1">OFFSET(TblConstr[[#This Row],[Tot OM]],1,0)*om_ore+IF(race="Dwarf",TblMili[[#This Row],[Unit 2]]*0.5,0)</f>
        <v>0</v>
      </c>
      <c r="AF102" s="94">
        <f ca="1">OFFSET(TblConstr[[#This Row],[Tot DM]],1,0)*dm_gems</f>
        <v>750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693.18000000000006</v>
      </c>
      <c r="AP102" s="94">
        <f ca="1">(1+race_food_consumption)*TblPop[[#This Row],[Total]]*food_per_person*(1+tech_1_10*TblTech[[#This Row],[1-10]]+tech_7_5*TblTech[[#This Row],[7-5]] + IF(TblMagic[[#This Row],[Active Demonic Pact]]&gt;0,demonic_pact_food_cons,0))</f>
        <v>1563.25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1077.3800000000001</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45819.083333333096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1347452</v>
      </c>
      <c r="BJ102" s="94">
        <f ca="1">TblProd[[#This Row],[Food]]</f>
        <v>69318</v>
      </c>
      <c r="BK102" s="94">
        <f ca="1">TblProd[[#This Row],[Lumber]]</f>
        <v>68254</v>
      </c>
      <c r="BL102" s="94">
        <f ca="1">TblProd[[#This Row],[Mana]]</f>
        <v>53869</v>
      </c>
      <c r="BM102" s="94">
        <f ca="1">TblProd[[#This Row],[Ore]]</f>
        <v>0</v>
      </c>
    </row>
    <row r="103" spans="1:65" x14ac:dyDescent="0.2">
      <c r="A103" s="137">
        <f t="shared" si="0"/>
        <v>52</v>
      </c>
      <c r="B103" s="152">
        <f ca="1">TblImps[[#This Row],[Time]]</f>
        <v>45819.12499999976</v>
      </c>
      <c r="C103" s="153"/>
      <c r="D103" s="154"/>
      <c r="E103" s="94">
        <f ca="1">TblConstr[[#This Row],[Land]]</f>
        <v>370</v>
      </c>
      <c r="F103" s="94">
        <f ca="1">TblPop[[#This Row],[Peasants]]</f>
        <v>2202</v>
      </c>
      <c r="G103" s="94">
        <f ca="1">TblMili[[#This Row],[Networth (2)]]</f>
        <v>9150</v>
      </c>
      <c r="H103" s="94">
        <f ca="1">OFFSET(TblProd[[#This Row],[Platinum]],-1,0)+OFFSET(TblProd[[#This Row],[Plat/hr]],-1,0) - TblProd[[#This Row],[Expenses Platinum]] + IF(TblProd[[#This Row],[Plat Bonus]],TblPop[[#This Row],[Peasants]]*4) + SUM(TblConstr[[#This Row],[Dest Hom]:[Dest Doc]])*TblConstr[[#This Row],[CPA Platinum -DB]]*tech_3_3_2*TblTech[[#This Row],[3-3]]</f>
        <v>1355706</v>
      </c>
      <c r="I103" s="94">
        <f ca="1">OFFSET(TblProd[[#This Row],[Food]],-1,0)+OFFSET(TblProd[[#This Row],[Food/hr]],-1,0)+ROUNDUP((TblConstr[[#This Row],[Farms]]*80+TblConstr[[#This Row],[Docks]]*35)*(1+OFFSET(TblProd[[#This Row],[Bonus Food/hr]],-1,0)),0)</f>
        <v>69642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54042</v>
      </c>
      <c r="L103" s="94">
        <f ca="1">OFFSET(TblProd[[#This Row],[Ore]],-1,0)+OFFSET(TblProd[[#This Row],[Ore/hr]],-1,0) -TblProd[[#This Row],[Expenses Ore]]</f>
        <v>0</v>
      </c>
      <c r="M103" s="94">
        <f ca="1">OFFSET(TblProd[[#This Row],[Gems]],-1,0)+OFFSET(TblProd[[#This Row],[Gems/hr]],-1,0) - TblProd[[#This Row],[Expenses Gems]]</f>
        <v>74250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4257</v>
      </c>
      <c r="Q103" s="94">
        <f ca="1">MAX(3750,_xlfn.CEILING.MATH(TblProd[[#This Row],[Land]]*2.5+OFFSET(TblTech[[#This Row],[Sum of tech]],-1,0)*150))</f>
        <v>3750</v>
      </c>
      <c r="R103" s="142"/>
      <c r="S103" s="94">
        <f ca="1">ROUNDDOWN(TblProd[[#This Row],[Raw Plat/hr]]*(1+TblProd[[#This Row],[Bonus Plat/hr]]),0)</f>
        <v>8195</v>
      </c>
      <c r="T103" s="94">
        <f ca="1">ROUND(TblProd[[#This Row],[Raw Food/hr]]*(1+TblProd[[#This Row],[Bonus Food/hr]])-TblProd[[#This Row],[Food decay]]-TblProd[[#This Row],[Food eaten]],0)</f>
        <v>320</v>
      </c>
      <c r="U103" s="94">
        <f ca="1">ROUND(TblProd[[#This Row],[Raw Lumber/hr]]*(1+TblProd[[#This Row],[Bonus Lumber/hr]])-TblProd[[#This Row],[Lumber rot]],0)</f>
        <v>314</v>
      </c>
      <c r="V103" s="94">
        <f ca="1">ROUND(TblProd[[#This Row],[Raw Mana/hr]]*(1+TblProd[[#This Row],[Bonus Mana/hr]])-TblProd[[#This Row],[Mana drain]],0)</f>
        <v>169</v>
      </c>
      <c r="W103" s="94">
        <f ca="1">ROUNDDOWN(TblProd[[#This Row],[Raw Ore/hr]]*(1+TblProd[[#This Row],[Bonux Ore/hr]]),0)</f>
        <v>0</v>
      </c>
      <c r="X103" s="94">
        <f ca="1">ROUNDDOWN(TblProd[[#This Row],[Raw Gems/hr]]*(1+TblProd[[#This Row],[Bonus Gems/hr]]),0)</f>
        <v>750</v>
      </c>
      <c r="Y103" s="155">
        <f ca="1">OFFSET(TblConstr[[#This Row],[Tot Doc]],1,0)*dock_boats_hr * (1 + tech_4_1*TblTech[[#This Row],[4-1]])</f>
        <v>0</v>
      </c>
      <c r="Z103" s="154"/>
      <c r="AA103" s="94">
        <f ca="1">TblPop[[#This Row],[Peasants]]*tax*TblPop[[#This Row],[Employment]] + (Construction!AZ104+Construction!BX104)*(alch_plat+(Magic!AN103&gt;0)*alchemist_flame_bonus)</f>
        <v>8195.4000000000015</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1250</v>
      </c>
      <c r="AE103" s="94">
        <f ca="1">OFFSET(TblConstr[[#This Row],[Tot OM]],1,0)*om_ore+IF(race="Dwarf",TblMili[[#This Row],[Unit 2]]*0.5,0)</f>
        <v>0</v>
      </c>
      <c r="AF103" s="94">
        <f ca="1">OFFSET(TblConstr[[#This Row],[Tot DM]],1,0)*dm_gems</f>
        <v>750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696.42</v>
      </c>
      <c r="AP103" s="94">
        <f ca="1">(1+race_food_consumption)*TblPop[[#This Row],[Total]]*food_per_person*(1+tech_1_10*TblTech[[#This Row],[1-10]]+tech_7_5*TblTech[[#This Row],[7-5]] + IF(TblMagic[[#This Row],[Active Demonic Pact]]&gt;0,demonic_pact_food_cons,0))</f>
        <v>1563.25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1080.8399999999999</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45819.12499999976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1355706</v>
      </c>
      <c r="BJ103" s="94">
        <f ca="1">TblProd[[#This Row],[Food]]</f>
        <v>69642</v>
      </c>
      <c r="BK103" s="94">
        <f ca="1">TblProd[[#This Row],[Lumber]]</f>
        <v>68571</v>
      </c>
      <c r="BL103" s="94">
        <f ca="1">TblProd[[#This Row],[Mana]]</f>
        <v>54042</v>
      </c>
      <c r="BM103" s="94">
        <f ca="1">TblProd[[#This Row],[Ore]]</f>
        <v>0</v>
      </c>
    </row>
    <row r="104" spans="1:65" x14ac:dyDescent="0.2">
      <c r="A104" s="137">
        <f t="shared" si="0"/>
        <v>53</v>
      </c>
      <c r="B104" s="152">
        <f ca="1">TblImps[[#This Row],[Time]]</f>
        <v>45819.166666666424</v>
      </c>
      <c r="C104" s="153"/>
      <c r="D104" s="154"/>
      <c r="E104" s="94">
        <f ca="1">TblConstr[[#This Row],[Land]]</f>
        <v>370</v>
      </c>
      <c r="F104" s="94">
        <f ca="1">TblPop[[#This Row],[Peasants]]</f>
        <v>2180</v>
      </c>
      <c r="G104" s="94">
        <f ca="1">TblMili[[#This Row],[Networth (2)]]</f>
        <v>9150</v>
      </c>
      <c r="H104" s="94">
        <f ca="1">OFFSET(TblProd[[#This Row],[Platinum]],-1,0)+OFFSET(TblProd[[#This Row],[Plat/hr]],-1,0) - TblProd[[#This Row],[Expenses Platinum]] + IF(TblProd[[#This Row],[Plat Bonus]],TblPop[[#This Row],[Peasants]]*4) + SUM(TblConstr[[#This Row],[Dest Hom]:[Dest Doc]])*TblConstr[[#This Row],[CPA Platinum -DB]]*tech_3_3_2*TblTech[[#This Row],[3-3]]</f>
        <v>1363901</v>
      </c>
      <c r="I104" s="94">
        <f ca="1">OFFSET(TblProd[[#This Row],[Food]],-1,0)+OFFSET(TblProd[[#This Row],[Food/hr]],-1,0)+ROUNDUP((TblConstr[[#This Row],[Farms]]*80+TblConstr[[#This Row],[Docks]]*35)*(1+OFFSET(TblProd[[#This Row],[Bonus Food/hr]],-1,0)),0)</f>
        <v>69962</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54211</v>
      </c>
      <c r="L104" s="94">
        <f ca="1">OFFSET(TblProd[[#This Row],[Ore]],-1,0)+OFFSET(TblProd[[#This Row],[Ore/hr]],-1,0) -TblProd[[#This Row],[Expenses Ore]]</f>
        <v>0</v>
      </c>
      <c r="M104" s="94">
        <f ca="1">OFFSET(TblProd[[#This Row],[Gems]],-1,0)+OFFSET(TblProd[[#This Row],[Gems/hr]],-1,0) - TblProd[[#This Row],[Expenses Gems]]</f>
        <v>75000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4300</v>
      </c>
      <c r="Q104" s="94">
        <f ca="1">MAX(3750,_xlfn.CEILING.MATH(TblProd[[#This Row],[Land]]*2.5+OFFSET(TblTech[[#This Row],[Sum of tech]],-1,0)*150))</f>
        <v>3750</v>
      </c>
      <c r="R104" s="142"/>
      <c r="S104" s="94">
        <f ca="1">ROUNDDOWN(TblProd[[#This Row],[Raw Plat/hr]]*(1+TblProd[[#This Row],[Bonus Plat/hr]]),0)</f>
        <v>8136</v>
      </c>
      <c r="T104" s="94">
        <f ca="1">ROUND(TblProd[[#This Row],[Raw Food/hr]]*(1+TblProd[[#This Row],[Bonus Food/hr]])-TblProd[[#This Row],[Food decay]]-TblProd[[#This Row],[Food eaten]],0)</f>
        <v>317</v>
      </c>
      <c r="U104" s="94">
        <f ca="1">ROUND(TblProd[[#This Row],[Raw Lumber/hr]]*(1+TblProd[[#This Row],[Bonus Lumber/hr]])-TblProd[[#This Row],[Lumber rot]],0)</f>
        <v>311</v>
      </c>
      <c r="V104" s="94">
        <f ca="1">ROUND(TblProd[[#This Row],[Raw Mana/hr]]*(1+TblProd[[#This Row],[Bonus Mana/hr]])-TblProd[[#This Row],[Mana drain]],0)</f>
        <v>166</v>
      </c>
      <c r="W104" s="94">
        <f ca="1">ROUNDDOWN(TblProd[[#This Row],[Raw Ore/hr]]*(1+TblProd[[#This Row],[Bonux Ore/hr]]),0)</f>
        <v>0</v>
      </c>
      <c r="X104" s="94">
        <f ca="1">ROUNDDOWN(TblProd[[#This Row],[Raw Gems/hr]]*(1+TblProd[[#This Row],[Bonus Gems/hr]]),0)</f>
        <v>750</v>
      </c>
      <c r="Y104" s="155">
        <f ca="1">OFFSET(TblConstr[[#This Row],[Tot Doc]],1,0)*dock_boats_hr * (1 + tech_4_1*TblTech[[#This Row],[4-1]])</f>
        <v>0</v>
      </c>
      <c r="Z104" s="154"/>
      <c r="AA104" s="94">
        <f ca="1">TblPop[[#This Row],[Peasants]]*tax*TblPop[[#This Row],[Employment]] + (Construction!AZ105+Construction!BX105)*(alch_plat+(Magic!AN104&gt;0)*alchemist_flame_bonus)</f>
        <v>8136</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1250</v>
      </c>
      <c r="AE104" s="94">
        <f ca="1">OFFSET(TblConstr[[#This Row],[Tot OM]],1,0)*om_ore+IF(race="Dwarf",TblMili[[#This Row],[Unit 2]]*0.5,0)</f>
        <v>0</v>
      </c>
      <c r="AF104" s="94">
        <f ca="1">OFFSET(TblConstr[[#This Row],[Tot DM]],1,0)*dm_gems</f>
        <v>750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699.62</v>
      </c>
      <c r="AP104" s="94">
        <f ca="1">(1+race_food_consumption)*TblPop[[#This Row],[Total]]*food_per_person*(1+tech_1_10*TblTech[[#This Row],[1-10]]+tech_7_5*TblTech[[#This Row],[7-5]] + IF(TblMagic[[#This Row],[Active Demonic Pact]]&gt;0,demonic_pact_food_cons,0))</f>
        <v>1563.25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1084.22</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45819.166666666424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1363901</v>
      </c>
      <c r="BJ104" s="94">
        <f ca="1">TblProd[[#This Row],[Food]]</f>
        <v>69962</v>
      </c>
      <c r="BK104" s="94">
        <f ca="1">TblProd[[#This Row],[Lumber]]</f>
        <v>68885</v>
      </c>
      <c r="BL104" s="94">
        <f ca="1">TblProd[[#This Row],[Mana]]</f>
        <v>54211</v>
      </c>
      <c r="BM104" s="94">
        <f ca="1">TblProd[[#This Row],[Ore]]</f>
        <v>0</v>
      </c>
    </row>
    <row r="105" spans="1:65" x14ac:dyDescent="0.2">
      <c r="A105" s="137">
        <f t="shared" si="0"/>
        <v>54</v>
      </c>
      <c r="B105" s="152">
        <f ca="1">TblImps[[#This Row],[Time]]</f>
        <v>45819.208333333088</v>
      </c>
      <c r="C105" s="153"/>
      <c r="D105" s="154"/>
      <c r="E105" s="94">
        <f ca="1">TblConstr[[#This Row],[Land]]</f>
        <v>370</v>
      </c>
      <c r="F105" s="94">
        <f ca="1">TblPop[[#This Row],[Peasants]]</f>
        <v>2158</v>
      </c>
      <c r="G105" s="94">
        <f ca="1">TblMili[[#This Row],[Networth (2)]]</f>
        <v>9150</v>
      </c>
      <c r="H105" s="94">
        <f ca="1">OFFSET(TblProd[[#This Row],[Platinum]],-1,0)+OFFSET(TblProd[[#This Row],[Plat/hr]],-1,0) - TblProd[[#This Row],[Expenses Platinum]] + IF(TblProd[[#This Row],[Plat Bonus]],TblPop[[#This Row],[Peasants]]*4) + SUM(TblConstr[[#This Row],[Dest Hom]:[Dest Doc]])*TblConstr[[#This Row],[CPA Platinum -DB]]*tech_3_3_2*TblTech[[#This Row],[3-3]]</f>
        <v>1372037</v>
      </c>
      <c r="I105" s="94">
        <f ca="1">OFFSET(TblProd[[#This Row],[Food]],-1,0)+OFFSET(TblProd[[#This Row],[Food/hr]],-1,0)+ROUNDUP((TblConstr[[#This Row],[Farms]]*80+TblConstr[[#This Row],[Docks]]*35)*(1+OFFSET(TblProd[[#This Row],[Bonus Food/hr]],-1,0)),0)</f>
        <v>70279</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54377</v>
      </c>
      <c r="L105" s="94">
        <f ca="1">OFFSET(TblProd[[#This Row],[Ore]],-1,0)+OFFSET(TblProd[[#This Row],[Ore/hr]],-1,0) -TblProd[[#This Row],[Expenses Ore]]</f>
        <v>0</v>
      </c>
      <c r="M105" s="94">
        <f ca="1">OFFSET(TblProd[[#This Row],[Gems]],-1,0)+OFFSET(TblProd[[#This Row],[Gems/hr]],-1,0) - TblProd[[#This Row],[Expenses Gems]]</f>
        <v>75750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4343</v>
      </c>
      <c r="Q105" s="94">
        <f ca="1">MAX(3750,_xlfn.CEILING.MATH(TblProd[[#This Row],[Land]]*2.5+OFFSET(TblTech[[#This Row],[Sum of tech]],-1,0)*150))</f>
        <v>3750</v>
      </c>
      <c r="R105" s="142"/>
      <c r="S105" s="94">
        <f ca="1">ROUNDDOWN(TblProd[[#This Row],[Raw Plat/hr]]*(1+TblProd[[#This Row],[Bonus Plat/hr]]),0)</f>
        <v>8076</v>
      </c>
      <c r="T105" s="94">
        <f ca="1">ROUND(TblProd[[#This Row],[Raw Food/hr]]*(1+TblProd[[#This Row],[Bonus Food/hr]])-TblProd[[#This Row],[Food decay]]-TblProd[[#This Row],[Food eaten]],0)</f>
        <v>314</v>
      </c>
      <c r="U105" s="94">
        <f ca="1">ROUND(TblProd[[#This Row],[Raw Lumber/hr]]*(1+TblProd[[#This Row],[Bonus Lumber/hr]])-TblProd[[#This Row],[Lumber rot]],0)</f>
        <v>308</v>
      </c>
      <c r="V105" s="94">
        <f ca="1">ROUND(TblProd[[#This Row],[Raw Mana/hr]]*(1+TblProd[[#This Row],[Bonus Mana/hr]])-TblProd[[#This Row],[Mana drain]],0)</f>
        <v>162</v>
      </c>
      <c r="W105" s="94">
        <f ca="1">ROUNDDOWN(TblProd[[#This Row],[Raw Ore/hr]]*(1+TblProd[[#This Row],[Bonux Ore/hr]]),0)</f>
        <v>0</v>
      </c>
      <c r="X105" s="94">
        <f ca="1">ROUNDDOWN(TblProd[[#This Row],[Raw Gems/hr]]*(1+TblProd[[#This Row],[Bonus Gems/hr]]),0)</f>
        <v>750</v>
      </c>
      <c r="Y105" s="155">
        <f ca="1">OFFSET(TblConstr[[#This Row],[Tot Doc]],1,0)*dock_boats_hr * (1 + tech_4_1*TblTech[[#This Row],[4-1]])</f>
        <v>0</v>
      </c>
      <c r="Z105" s="154"/>
      <c r="AA105" s="94">
        <f ca="1">TblPop[[#This Row],[Peasants]]*tax*TblPop[[#This Row],[Employment]] + (Construction!AZ106+Construction!BX106)*(alch_plat+(Magic!AN105&gt;0)*alchemist_flame_bonus)</f>
        <v>8076.6</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1250</v>
      </c>
      <c r="AE105" s="94">
        <f ca="1">OFFSET(TblConstr[[#This Row],[Tot OM]],1,0)*om_ore+IF(race="Dwarf",TblMili[[#This Row],[Unit 2]]*0.5,0)</f>
        <v>0</v>
      </c>
      <c r="AF105" s="94">
        <f ca="1">OFFSET(TblConstr[[#This Row],[Tot DM]],1,0)*dm_gems</f>
        <v>750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702.79</v>
      </c>
      <c r="AP105" s="94">
        <f ca="1">(1+race_food_consumption)*TblPop[[#This Row],[Total]]*food_per_person*(1+tech_1_10*TblTech[[#This Row],[1-10]]+tech_7_5*TblTech[[#This Row],[7-5]] + IF(TblMagic[[#This Row],[Active Demonic Pact]]&gt;0,demonic_pact_food_cons,0))</f>
        <v>1563.25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1087.54</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45819.208333333088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1372037</v>
      </c>
      <c r="BJ105" s="94">
        <f ca="1">TblProd[[#This Row],[Food]]</f>
        <v>70279</v>
      </c>
      <c r="BK105" s="94">
        <f ca="1">TblProd[[#This Row],[Lumber]]</f>
        <v>69196</v>
      </c>
      <c r="BL105" s="94">
        <f ca="1">TblProd[[#This Row],[Mana]]</f>
        <v>54377</v>
      </c>
      <c r="BM105" s="94">
        <f ca="1">TblProd[[#This Row],[Ore]]</f>
        <v>0</v>
      </c>
    </row>
    <row r="106" spans="1:65" x14ac:dyDescent="0.2">
      <c r="A106" s="137">
        <f t="shared" si="0"/>
        <v>55</v>
      </c>
      <c r="B106" s="152">
        <f ca="1">TblImps[[#This Row],[Time]]</f>
        <v>45819.249999999753</v>
      </c>
      <c r="C106" s="153"/>
      <c r="D106" s="154"/>
      <c r="E106" s="94">
        <f ca="1">TblConstr[[#This Row],[Land]]</f>
        <v>370</v>
      </c>
      <c r="F106" s="94">
        <f ca="1">TblPop[[#This Row],[Peasants]]</f>
        <v>2136</v>
      </c>
      <c r="G106" s="94">
        <f ca="1">TblMili[[#This Row],[Networth (2)]]</f>
        <v>9150</v>
      </c>
      <c r="H106" s="94">
        <f ca="1">OFFSET(TblProd[[#This Row],[Platinum]],-1,0)+OFFSET(TblProd[[#This Row],[Plat/hr]],-1,0) - TblProd[[#This Row],[Expenses Platinum]] + IF(TblProd[[#This Row],[Plat Bonus]],TblPop[[#This Row],[Peasants]]*4) + SUM(TblConstr[[#This Row],[Dest Hom]:[Dest Doc]])*TblConstr[[#This Row],[CPA Platinum -DB]]*tech_3_3_2*TblTech[[#This Row],[3-3]]</f>
        <v>1380113</v>
      </c>
      <c r="I106" s="94">
        <f ca="1">OFFSET(TblProd[[#This Row],[Food]],-1,0)+OFFSET(TblProd[[#This Row],[Food/hr]],-1,0)+ROUNDUP((TblConstr[[#This Row],[Farms]]*80+TblConstr[[#This Row],[Docks]]*35)*(1+OFFSET(TblProd[[#This Row],[Bonus Food/hr]],-1,0)),0)</f>
        <v>70593</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54539</v>
      </c>
      <c r="L106" s="94">
        <f ca="1">OFFSET(TblProd[[#This Row],[Ore]],-1,0)+OFFSET(TblProd[[#This Row],[Ore/hr]],-1,0) -TblProd[[#This Row],[Expenses Ore]]</f>
        <v>0</v>
      </c>
      <c r="M106" s="94">
        <f ca="1">OFFSET(TblProd[[#This Row],[Gems]],-1,0)+OFFSET(TblProd[[#This Row],[Gems/hr]],-1,0) - TblProd[[#This Row],[Expenses Gems]]</f>
        <v>76500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4386</v>
      </c>
      <c r="Q106" s="94">
        <f ca="1">MAX(3750,_xlfn.CEILING.MATH(TblProd[[#This Row],[Land]]*2.5+OFFSET(TblTech[[#This Row],[Sum of tech]],-1,0)*150))</f>
        <v>3750</v>
      </c>
      <c r="R106" s="142"/>
      <c r="S106" s="94">
        <f ca="1">ROUNDDOWN(TblProd[[#This Row],[Raw Plat/hr]]*(1+TblProd[[#This Row],[Bonus Plat/hr]]),0)</f>
        <v>8017</v>
      </c>
      <c r="T106" s="94">
        <f ca="1">ROUND(TblProd[[#This Row],[Raw Food/hr]]*(1+TblProd[[#This Row],[Bonus Food/hr]])-TblProd[[#This Row],[Food decay]]-TblProd[[#This Row],[Food eaten]],0)</f>
        <v>311</v>
      </c>
      <c r="U106" s="94">
        <f ca="1">ROUND(TblProd[[#This Row],[Raw Lumber/hr]]*(1+TblProd[[#This Row],[Bonus Lumber/hr]])-TblProd[[#This Row],[Lumber rot]],0)</f>
        <v>305</v>
      </c>
      <c r="V106" s="94">
        <f ca="1">ROUND(TblProd[[#This Row],[Raw Mana/hr]]*(1+TblProd[[#This Row],[Bonus Mana/hr]])-TblProd[[#This Row],[Mana drain]],0)</f>
        <v>159</v>
      </c>
      <c r="W106" s="94">
        <f ca="1">ROUNDDOWN(TblProd[[#This Row],[Raw Ore/hr]]*(1+TblProd[[#This Row],[Bonux Ore/hr]]),0)</f>
        <v>0</v>
      </c>
      <c r="X106" s="94">
        <f ca="1">ROUNDDOWN(TblProd[[#This Row],[Raw Gems/hr]]*(1+TblProd[[#This Row],[Bonus Gems/hr]]),0)</f>
        <v>750</v>
      </c>
      <c r="Y106" s="155">
        <f ca="1">OFFSET(TblConstr[[#This Row],[Tot Doc]],1,0)*dock_boats_hr * (1 + tech_4_1*TblTech[[#This Row],[4-1]])</f>
        <v>0</v>
      </c>
      <c r="Z106" s="154"/>
      <c r="AA106" s="94">
        <f ca="1">TblPop[[#This Row],[Peasants]]*tax*TblPop[[#This Row],[Employment]] + (Construction!AZ107+Construction!BX107)*(alch_plat+(Magic!AN106&gt;0)*alchemist_flame_bonus)</f>
        <v>8017.2000000000007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1250</v>
      </c>
      <c r="AE106" s="94">
        <f ca="1">OFFSET(TblConstr[[#This Row],[Tot OM]],1,0)*om_ore+IF(race="Dwarf",TblMili[[#This Row],[Unit 2]]*0.5,0)</f>
        <v>0</v>
      </c>
      <c r="AF106" s="94">
        <f ca="1">OFFSET(TblConstr[[#This Row],[Tot DM]],1,0)*dm_gems</f>
        <v>750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705.93000000000006</v>
      </c>
      <c r="AP106" s="94">
        <f ca="1">(1+race_food_consumption)*TblPop[[#This Row],[Total]]*food_per_person*(1+tech_1_10*TblTech[[#This Row],[1-10]]+tech_7_5*TblTech[[#This Row],[7-5]] + IF(TblMagic[[#This Row],[Active Demonic Pact]]&gt;0,demonic_pact_food_cons,0))</f>
        <v>1563.25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1090.78</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45819.249999999753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1380113</v>
      </c>
      <c r="BJ106" s="94">
        <f ca="1">TblProd[[#This Row],[Food]]</f>
        <v>70593</v>
      </c>
      <c r="BK106" s="94">
        <f ca="1">TblProd[[#This Row],[Lumber]]</f>
        <v>69504</v>
      </c>
      <c r="BL106" s="94">
        <f ca="1">TblProd[[#This Row],[Mana]]</f>
        <v>54539</v>
      </c>
      <c r="BM106" s="94">
        <f ca="1">TblProd[[#This Row],[Ore]]</f>
        <v>0</v>
      </c>
    </row>
    <row r="107" spans="1:65" x14ac:dyDescent="0.2">
      <c r="A107" s="137">
        <f t="shared" si="0"/>
        <v>56</v>
      </c>
      <c r="B107" s="152">
        <f ca="1">TblImps[[#This Row],[Time]]</f>
        <v>45819.291666666417</v>
      </c>
      <c r="C107" s="153"/>
      <c r="D107" s="154"/>
      <c r="E107" s="94">
        <f ca="1">TblConstr[[#This Row],[Land]]</f>
        <v>370</v>
      </c>
      <c r="F107" s="94">
        <f ca="1">TblPop[[#This Row],[Peasants]]</f>
        <v>2115</v>
      </c>
      <c r="G107" s="94">
        <f ca="1">TblMili[[#This Row],[Networth (2)]]</f>
        <v>9150</v>
      </c>
      <c r="H107" s="94">
        <f ca="1">OFFSET(TblProd[[#This Row],[Platinum]],-1,0)+OFFSET(TblProd[[#This Row],[Plat/hr]],-1,0) - TblProd[[#This Row],[Expenses Platinum]] + IF(TblProd[[#This Row],[Plat Bonus]],TblPop[[#This Row],[Peasants]]*4) + SUM(TblConstr[[#This Row],[Dest Hom]:[Dest Doc]])*TblConstr[[#This Row],[CPA Platinum -DB]]*tech_3_3_2*TblTech[[#This Row],[3-3]]</f>
        <v>1388130</v>
      </c>
      <c r="I107" s="94">
        <f ca="1">OFFSET(TblProd[[#This Row],[Food]],-1,0)+OFFSET(TblProd[[#This Row],[Food/hr]],-1,0)+ROUNDUP((TblConstr[[#This Row],[Farms]]*80+TblConstr[[#This Row],[Docks]]*35)*(1+OFFSET(TblProd[[#This Row],[Bonus Food/hr]],-1,0)),0)</f>
        <v>70904</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54698</v>
      </c>
      <c r="L107" s="94">
        <f ca="1">OFFSET(TblProd[[#This Row],[Ore]],-1,0)+OFFSET(TblProd[[#This Row],[Ore/hr]],-1,0) -TblProd[[#This Row],[Expenses Ore]]</f>
        <v>0</v>
      </c>
      <c r="M107" s="94">
        <f ca="1">OFFSET(TblProd[[#This Row],[Gems]],-1,0)+OFFSET(TblProd[[#This Row],[Gems/hr]],-1,0) - TblProd[[#This Row],[Expenses Gems]]</f>
        <v>77250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4429</v>
      </c>
      <c r="Q107" s="94">
        <f ca="1">MAX(3750,_xlfn.CEILING.MATH(TblProd[[#This Row],[Land]]*2.5+OFFSET(TblTech[[#This Row],[Sum of tech]],-1,0)*150))</f>
        <v>3750</v>
      </c>
      <c r="R107" s="142"/>
      <c r="S107" s="94">
        <f ca="1">ROUNDDOWN(TblProd[[#This Row],[Raw Plat/hr]]*(1+TblProd[[#This Row],[Bonus Plat/hr]]),0)</f>
        <v>7960</v>
      </c>
      <c r="T107" s="94">
        <f ca="1">ROUND(TblProd[[#This Row],[Raw Food/hr]]*(1+TblProd[[#This Row],[Bonus Food/hr]])-TblProd[[#This Row],[Food decay]]-TblProd[[#This Row],[Food eaten]],0)</f>
        <v>308</v>
      </c>
      <c r="U107" s="94">
        <f ca="1">ROUND(TblProd[[#This Row],[Raw Lumber/hr]]*(1+TblProd[[#This Row],[Bonus Lumber/hr]])-TblProd[[#This Row],[Lumber rot]],0)</f>
        <v>302</v>
      </c>
      <c r="V107" s="94">
        <f ca="1">ROUND(TblProd[[#This Row],[Raw Mana/hr]]*(1+TblProd[[#This Row],[Bonus Mana/hr]])-TblProd[[#This Row],[Mana drain]],0)</f>
        <v>156</v>
      </c>
      <c r="W107" s="94">
        <f ca="1">ROUNDDOWN(TblProd[[#This Row],[Raw Ore/hr]]*(1+TblProd[[#This Row],[Bonux Ore/hr]]),0)</f>
        <v>0</v>
      </c>
      <c r="X107" s="94">
        <f ca="1">ROUNDDOWN(TblProd[[#This Row],[Raw Gems/hr]]*(1+TblProd[[#This Row],[Bonus Gems/hr]]),0)</f>
        <v>750</v>
      </c>
      <c r="Y107" s="155">
        <f ca="1">OFFSET(TblConstr[[#This Row],[Tot Doc]],1,0)*dock_boats_hr * (1 + tech_4_1*TblTech[[#This Row],[4-1]])</f>
        <v>0</v>
      </c>
      <c r="Z107" s="154"/>
      <c r="AA107" s="94">
        <f ca="1">TblPop[[#This Row],[Peasants]]*tax*TblPop[[#This Row],[Employment]] + (Construction!AZ108+Construction!BX108)*(alch_plat+(Magic!AN107&gt;0)*alchemist_flame_bonus)</f>
        <v>7960.5</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1250</v>
      </c>
      <c r="AE107" s="94">
        <f ca="1">OFFSET(TblConstr[[#This Row],[Tot OM]],1,0)*om_ore+IF(race="Dwarf",TblMili[[#This Row],[Unit 2]]*0.5,0)</f>
        <v>0</v>
      </c>
      <c r="AF107" s="94">
        <f ca="1">OFFSET(TblConstr[[#This Row],[Tot DM]],1,0)*dm_gems</f>
        <v>750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709.04</v>
      </c>
      <c r="AP107" s="94">
        <f ca="1">(1+race_food_consumption)*TblPop[[#This Row],[Total]]*food_per_person*(1+tech_1_10*TblTech[[#This Row],[1-10]]+tech_7_5*TblTech[[#This Row],[7-5]] + IF(TblMagic[[#This Row],[Active Demonic Pact]]&gt;0,demonic_pact_food_cons,0))</f>
        <v>1563.25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1093.96</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45819.291666666417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1388130</v>
      </c>
      <c r="BJ107" s="94">
        <f ca="1">TblProd[[#This Row],[Food]]</f>
        <v>70904</v>
      </c>
      <c r="BK107" s="94">
        <f ca="1">TblProd[[#This Row],[Lumber]]</f>
        <v>69809</v>
      </c>
      <c r="BL107" s="94">
        <f ca="1">TblProd[[#This Row],[Mana]]</f>
        <v>54698</v>
      </c>
      <c r="BM107" s="94">
        <f ca="1">TblProd[[#This Row],[Ore]]</f>
        <v>0</v>
      </c>
    </row>
    <row r="108" spans="1:65" x14ac:dyDescent="0.2">
      <c r="A108" s="137">
        <f t="shared" si="0"/>
        <v>57</v>
      </c>
      <c r="B108" s="152">
        <f ca="1">TblImps[[#This Row],[Time]]</f>
        <v>45819.333333333081</v>
      </c>
      <c r="C108" s="153"/>
      <c r="D108" s="154"/>
      <c r="E108" s="94">
        <f ca="1">TblConstr[[#This Row],[Land]]</f>
        <v>370</v>
      </c>
      <c r="F108" s="94">
        <f ca="1">TblPop[[#This Row],[Peasants]]</f>
        <v>2094</v>
      </c>
      <c r="G108" s="94">
        <f ca="1">TblMili[[#This Row],[Networth (2)]]</f>
        <v>9150</v>
      </c>
      <c r="H108" s="94">
        <f ca="1">OFFSET(TblProd[[#This Row],[Platinum]],-1,0)+OFFSET(TblProd[[#This Row],[Plat/hr]],-1,0) - TblProd[[#This Row],[Expenses Platinum]] + IF(TblProd[[#This Row],[Plat Bonus]],TblPop[[#This Row],[Peasants]]*4) + SUM(TblConstr[[#This Row],[Dest Hom]:[Dest Doc]])*TblConstr[[#This Row],[CPA Platinum -DB]]*tech_3_3_2*TblTech[[#This Row],[3-3]]</f>
        <v>1396090</v>
      </c>
      <c r="I108" s="94">
        <f ca="1">OFFSET(TblProd[[#This Row],[Food]],-1,0)+OFFSET(TblProd[[#This Row],[Food/hr]],-1,0)+ROUNDUP((TblConstr[[#This Row],[Farms]]*80+TblConstr[[#This Row],[Docks]]*35)*(1+OFFSET(TblProd[[#This Row],[Bonus Food/hr]],-1,0)),0)</f>
        <v>71212</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54854</v>
      </c>
      <c r="L108" s="94">
        <f ca="1">OFFSET(TblProd[[#This Row],[Ore]],-1,0)+OFFSET(TblProd[[#This Row],[Ore/hr]],-1,0) -TblProd[[#This Row],[Expenses Ore]]</f>
        <v>0</v>
      </c>
      <c r="M108" s="94">
        <f ca="1">OFFSET(TblProd[[#This Row],[Gems]],-1,0)+OFFSET(TblProd[[#This Row],[Gems/hr]],-1,0) - TblProd[[#This Row],[Expenses Gems]]</f>
        <v>78000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4472</v>
      </c>
      <c r="Q108" s="94">
        <f ca="1">MAX(3750,_xlfn.CEILING.MATH(TblProd[[#This Row],[Land]]*2.5+OFFSET(TblTech[[#This Row],[Sum of tech]],-1,0)*150))</f>
        <v>3750</v>
      </c>
      <c r="R108" s="142"/>
      <c r="S108" s="94">
        <f ca="1">ROUNDDOWN(TblProd[[#This Row],[Raw Plat/hr]]*(1+TblProd[[#This Row],[Bonus Plat/hr]]),0)</f>
        <v>7903</v>
      </c>
      <c r="T108" s="94">
        <f ca="1">ROUND(TblProd[[#This Row],[Raw Food/hr]]*(1+TblProd[[#This Row],[Bonus Food/hr]])-TblProd[[#This Row],[Food decay]]-TblProd[[#This Row],[Food eaten]],0)</f>
        <v>305</v>
      </c>
      <c r="U108" s="94">
        <f ca="1">ROUND(TblProd[[#This Row],[Raw Lumber/hr]]*(1+TblProd[[#This Row],[Bonus Lumber/hr]])-TblProd[[#This Row],[Lumber rot]],0)</f>
        <v>299</v>
      </c>
      <c r="V108" s="94">
        <f ca="1">ROUND(TblProd[[#This Row],[Raw Mana/hr]]*(1+TblProd[[#This Row],[Bonus Mana/hr]])-TblProd[[#This Row],[Mana drain]],0)</f>
        <v>153</v>
      </c>
      <c r="W108" s="94">
        <f ca="1">ROUNDDOWN(TblProd[[#This Row],[Raw Ore/hr]]*(1+TblProd[[#This Row],[Bonux Ore/hr]]),0)</f>
        <v>0</v>
      </c>
      <c r="X108" s="94">
        <f ca="1">ROUNDDOWN(TblProd[[#This Row],[Raw Gems/hr]]*(1+TblProd[[#This Row],[Bonus Gems/hr]]),0)</f>
        <v>750</v>
      </c>
      <c r="Y108" s="155">
        <f ca="1">OFFSET(TblConstr[[#This Row],[Tot Doc]],1,0)*dock_boats_hr * (1 + tech_4_1*TblTech[[#This Row],[4-1]])</f>
        <v>0</v>
      </c>
      <c r="Z108" s="154"/>
      <c r="AA108" s="94">
        <f ca="1">TblPop[[#This Row],[Peasants]]*tax*TblPop[[#This Row],[Employment]] + (Construction!AZ109+Construction!BX109)*(alch_plat+(Magic!AN108&gt;0)*alchemist_flame_bonus)</f>
        <v>7903.8</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1250</v>
      </c>
      <c r="AE108" s="94">
        <f ca="1">OFFSET(TblConstr[[#This Row],[Tot OM]],1,0)*om_ore+IF(race="Dwarf",TblMili[[#This Row],[Unit 2]]*0.5,0)</f>
        <v>0</v>
      </c>
      <c r="AF108" s="94">
        <f ca="1">OFFSET(TblConstr[[#This Row],[Tot DM]],1,0)*dm_gems</f>
        <v>750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712.12</v>
      </c>
      <c r="AP108" s="94">
        <f ca="1">(1+race_food_consumption)*TblPop[[#This Row],[Total]]*food_per_person*(1+tech_1_10*TblTech[[#This Row],[1-10]]+tech_7_5*TblTech[[#This Row],[7-5]] + IF(TblMagic[[#This Row],[Active Demonic Pact]]&gt;0,demonic_pact_food_cons,0))</f>
        <v>1563.25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1097.08</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45819.333333333081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1396090</v>
      </c>
      <c r="BJ108" s="94">
        <f ca="1">TblProd[[#This Row],[Food]]</f>
        <v>71212</v>
      </c>
      <c r="BK108" s="94">
        <f ca="1">TblProd[[#This Row],[Lumber]]</f>
        <v>70111</v>
      </c>
      <c r="BL108" s="94">
        <f ca="1">TblProd[[#This Row],[Mana]]</f>
        <v>54854</v>
      </c>
      <c r="BM108" s="94">
        <f ca="1">TblProd[[#This Row],[Ore]]</f>
        <v>0</v>
      </c>
    </row>
    <row r="109" spans="1:65" x14ac:dyDescent="0.2">
      <c r="A109" s="137">
        <f t="shared" si="0"/>
        <v>58</v>
      </c>
      <c r="B109" s="152">
        <f ca="1">TblImps[[#This Row],[Time]]</f>
        <v>45819.374999999745</v>
      </c>
      <c r="C109" s="153"/>
      <c r="D109" s="154"/>
      <c r="E109" s="94">
        <f ca="1">TblConstr[[#This Row],[Land]]</f>
        <v>370</v>
      </c>
      <c r="F109" s="94">
        <f ca="1">TblPop[[#This Row],[Peasants]]</f>
        <v>2073</v>
      </c>
      <c r="G109" s="94">
        <f ca="1">TblMili[[#This Row],[Networth (2)]]</f>
        <v>9150</v>
      </c>
      <c r="H109" s="94">
        <f ca="1">OFFSET(TblProd[[#This Row],[Platinum]],-1,0)+OFFSET(TblProd[[#This Row],[Plat/hr]],-1,0) - TblProd[[#This Row],[Expenses Platinum]] + IF(TblProd[[#This Row],[Plat Bonus]],TblPop[[#This Row],[Peasants]]*4) + SUM(TblConstr[[#This Row],[Dest Hom]:[Dest Doc]])*TblConstr[[#This Row],[CPA Platinum -DB]]*tech_3_3_2*TblTech[[#This Row],[3-3]]</f>
        <v>1403993</v>
      </c>
      <c r="I109" s="94">
        <f ca="1">OFFSET(TblProd[[#This Row],[Food]],-1,0)+OFFSET(TblProd[[#This Row],[Food/hr]],-1,0)+ROUNDUP((TblConstr[[#This Row],[Farms]]*80+TblConstr[[#This Row],[Docks]]*35)*(1+OFFSET(TblProd[[#This Row],[Bonus Food/hr]],-1,0)),0)</f>
        <v>71517</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55007</v>
      </c>
      <c r="L109" s="94">
        <f ca="1">OFFSET(TblProd[[#This Row],[Ore]],-1,0)+OFFSET(TblProd[[#This Row],[Ore/hr]],-1,0) -TblProd[[#This Row],[Expenses Ore]]</f>
        <v>0</v>
      </c>
      <c r="M109" s="94">
        <f ca="1">OFFSET(TblProd[[#This Row],[Gems]],-1,0)+OFFSET(TblProd[[#This Row],[Gems/hr]],-1,0) - TblProd[[#This Row],[Expenses Gems]]</f>
        <v>78750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4515</v>
      </c>
      <c r="Q109" s="94">
        <f ca="1">MAX(3750,_xlfn.CEILING.MATH(TblProd[[#This Row],[Land]]*2.5+OFFSET(TblTech[[#This Row],[Sum of tech]],-1,0)*150))</f>
        <v>3750</v>
      </c>
      <c r="R109" s="142"/>
      <c r="S109" s="94">
        <f ca="1">ROUNDDOWN(TblProd[[#This Row],[Raw Plat/hr]]*(1+TblProd[[#This Row],[Bonus Plat/hr]]),0)</f>
        <v>7847</v>
      </c>
      <c r="T109" s="94">
        <f ca="1">ROUND(TblProd[[#This Row],[Raw Food/hr]]*(1+TblProd[[#This Row],[Bonus Food/hr]])-TblProd[[#This Row],[Food decay]]-TblProd[[#This Row],[Food eaten]],0)</f>
        <v>302</v>
      </c>
      <c r="U109" s="94">
        <f ca="1">ROUND(TblProd[[#This Row],[Raw Lumber/hr]]*(1+TblProd[[#This Row],[Bonus Lumber/hr]])-TblProd[[#This Row],[Lumber rot]],0)</f>
        <v>296</v>
      </c>
      <c r="V109" s="94">
        <f ca="1">ROUND(TblProd[[#This Row],[Raw Mana/hr]]*(1+TblProd[[#This Row],[Bonus Mana/hr]])-TblProd[[#This Row],[Mana drain]],0)</f>
        <v>150</v>
      </c>
      <c r="W109" s="94">
        <f ca="1">ROUNDDOWN(TblProd[[#This Row],[Raw Ore/hr]]*(1+TblProd[[#This Row],[Bonux Ore/hr]]),0)</f>
        <v>0</v>
      </c>
      <c r="X109" s="94">
        <f ca="1">ROUNDDOWN(TblProd[[#This Row],[Raw Gems/hr]]*(1+TblProd[[#This Row],[Bonus Gems/hr]]),0)</f>
        <v>750</v>
      </c>
      <c r="Y109" s="155">
        <f ca="1">OFFSET(TblConstr[[#This Row],[Tot Doc]],1,0)*dock_boats_hr * (1 + tech_4_1*TblTech[[#This Row],[4-1]])</f>
        <v>0</v>
      </c>
      <c r="Z109" s="154"/>
      <c r="AA109" s="94">
        <f ca="1">TblPop[[#This Row],[Peasants]]*tax*TblPop[[#This Row],[Employment]] + (Construction!AZ110+Construction!BX110)*(alch_plat+(Magic!AN109&gt;0)*alchemist_flame_bonus)</f>
        <v>7847.1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1250</v>
      </c>
      <c r="AE109" s="94">
        <f ca="1">OFFSET(TblConstr[[#This Row],[Tot OM]],1,0)*om_ore+IF(race="Dwarf",TblMili[[#This Row],[Unit 2]]*0.5,0)</f>
        <v>0</v>
      </c>
      <c r="AF109" s="94">
        <f ca="1">OFFSET(TblConstr[[#This Row],[Tot DM]],1,0)*dm_gems</f>
        <v>750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715.17</v>
      </c>
      <c r="AP109" s="94">
        <f ca="1">(1+race_food_consumption)*TblPop[[#This Row],[Total]]*food_per_person*(1+tech_1_10*TblTech[[#This Row],[1-10]]+tech_7_5*TblTech[[#This Row],[7-5]] + IF(TblMagic[[#This Row],[Active Demonic Pact]]&gt;0,demonic_pact_food_cons,0))</f>
        <v>1563.25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1100.1400000000001</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45819.374999999745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1403993</v>
      </c>
      <c r="BJ109" s="94">
        <f ca="1">TblProd[[#This Row],[Food]]</f>
        <v>71517</v>
      </c>
      <c r="BK109" s="94">
        <f ca="1">TblProd[[#This Row],[Lumber]]</f>
        <v>70410</v>
      </c>
      <c r="BL109" s="94">
        <f ca="1">TblProd[[#This Row],[Mana]]</f>
        <v>55007</v>
      </c>
      <c r="BM109" s="94">
        <f ca="1">TblProd[[#This Row],[Ore]]</f>
        <v>0</v>
      </c>
    </row>
    <row r="110" spans="1:65" x14ac:dyDescent="0.2">
      <c r="A110" s="137">
        <f t="shared" si="0"/>
        <v>59</v>
      </c>
      <c r="B110" s="152">
        <f ca="1">TblImps[[#This Row],[Time]]</f>
        <v>45819.41666666641</v>
      </c>
      <c r="C110" s="153"/>
      <c r="D110" s="154"/>
      <c r="E110" s="94">
        <f ca="1">TblConstr[[#This Row],[Land]]</f>
        <v>370</v>
      </c>
      <c r="F110" s="94">
        <f ca="1">TblPop[[#This Row],[Peasants]]</f>
        <v>2052</v>
      </c>
      <c r="G110" s="94">
        <f ca="1">TblMili[[#This Row],[Networth (2)]]</f>
        <v>9150</v>
      </c>
      <c r="H110" s="94">
        <f ca="1">OFFSET(TblProd[[#This Row],[Platinum]],-1,0)+OFFSET(TblProd[[#This Row],[Plat/hr]],-1,0) - TblProd[[#This Row],[Expenses Platinum]] + IF(TblProd[[#This Row],[Plat Bonus]],TblPop[[#This Row],[Peasants]]*4) + SUM(TblConstr[[#This Row],[Dest Hom]:[Dest Doc]])*TblConstr[[#This Row],[CPA Platinum -DB]]*tech_3_3_2*TblTech[[#This Row],[3-3]]</f>
        <v>1411840</v>
      </c>
      <c r="I110" s="94">
        <f ca="1">OFFSET(TblProd[[#This Row],[Food]],-1,0)+OFFSET(TblProd[[#This Row],[Food/hr]],-1,0)+ROUNDUP((TblConstr[[#This Row],[Farms]]*80+TblConstr[[#This Row],[Docks]]*35)*(1+OFFSET(TblProd[[#This Row],[Bonus Food/hr]],-1,0)),0)</f>
        <v>71819</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55157</v>
      </c>
      <c r="L110" s="94">
        <f ca="1">OFFSET(TblProd[[#This Row],[Ore]],-1,0)+OFFSET(TblProd[[#This Row],[Ore/hr]],-1,0) -TblProd[[#This Row],[Expenses Ore]]</f>
        <v>0</v>
      </c>
      <c r="M110" s="94">
        <f ca="1">OFFSET(TblProd[[#This Row],[Gems]],-1,0)+OFFSET(TblProd[[#This Row],[Gems/hr]],-1,0) - TblProd[[#This Row],[Expenses Gems]]</f>
        <v>79500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4558</v>
      </c>
      <c r="Q110" s="94">
        <f ca="1">MAX(3750,_xlfn.CEILING.MATH(TblProd[[#This Row],[Land]]*2.5+OFFSET(TblTech[[#This Row],[Sum of tech]],-1,0)*150))</f>
        <v>3750</v>
      </c>
      <c r="R110" s="142"/>
      <c r="S110" s="94">
        <f ca="1">ROUNDDOWN(TblProd[[#This Row],[Raw Plat/hr]]*(1+TblProd[[#This Row],[Bonus Plat/hr]]),0)</f>
        <v>7790</v>
      </c>
      <c r="T110" s="94">
        <f ca="1">ROUND(TblProd[[#This Row],[Raw Food/hr]]*(1+TblProd[[#This Row],[Bonus Food/hr]])-TblProd[[#This Row],[Food decay]]-TblProd[[#This Row],[Food eaten]],0)</f>
        <v>299</v>
      </c>
      <c r="U110" s="94">
        <f ca="1">ROUND(TblProd[[#This Row],[Raw Lumber/hr]]*(1+TblProd[[#This Row],[Bonus Lumber/hr]])-TblProd[[#This Row],[Lumber rot]],0)</f>
        <v>293</v>
      </c>
      <c r="V110" s="94">
        <f ca="1">ROUND(TblProd[[#This Row],[Raw Mana/hr]]*(1+TblProd[[#This Row],[Bonus Mana/hr]])-TblProd[[#This Row],[Mana drain]],0)</f>
        <v>147</v>
      </c>
      <c r="W110" s="94">
        <f ca="1">ROUNDDOWN(TblProd[[#This Row],[Raw Ore/hr]]*(1+TblProd[[#This Row],[Bonux Ore/hr]]),0)</f>
        <v>0</v>
      </c>
      <c r="X110" s="94">
        <f ca="1">ROUNDDOWN(TblProd[[#This Row],[Raw Gems/hr]]*(1+TblProd[[#This Row],[Bonus Gems/hr]]),0)</f>
        <v>750</v>
      </c>
      <c r="Y110" s="155">
        <f ca="1">OFFSET(TblConstr[[#This Row],[Tot Doc]],1,0)*dock_boats_hr * (1 + tech_4_1*TblTech[[#This Row],[4-1]])</f>
        <v>0</v>
      </c>
      <c r="Z110" s="154"/>
      <c r="AA110" s="94">
        <f ca="1">TblPop[[#This Row],[Peasants]]*tax*TblPop[[#This Row],[Employment]] + (Construction!AZ111+Construction!BX111)*(alch_plat+(Magic!AN110&gt;0)*alchemist_flame_bonus)</f>
        <v>7790.4000000000005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1250</v>
      </c>
      <c r="AE110" s="94">
        <f ca="1">OFFSET(TblConstr[[#This Row],[Tot OM]],1,0)*om_ore+IF(race="Dwarf",TblMili[[#This Row],[Unit 2]]*0.5,0)</f>
        <v>0</v>
      </c>
      <c r="AF110" s="94">
        <f ca="1">OFFSET(TblConstr[[#This Row],[Tot DM]],1,0)*dm_gems</f>
        <v>750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718.19</v>
      </c>
      <c r="AP110" s="94">
        <f ca="1">(1+race_food_consumption)*TblPop[[#This Row],[Total]]*food_per_person*(1+tech_1_10*TblTech[[#This Row],[1-10]]+tech_7_5*TblTech[[#This Row],[7-5]] + IF(TblMagic[[#This Row],[Active Demonic Pact]]&gt;0,demonic_pact_food_cons,0))</f>
        <v>1563.25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1103.1400000000001</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45819.41666666641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1411840</v>
      </c>
      <c r="BJ110" s="94">
        <f ca="1">TblProd[[#This Row],[Food]]</f>
        <v>71819</v>
      </c>
      <c r="BK110" s="94">
        <f ca="1">TblProd[[#This Row],[Lumber]]</f>
        <v>70706</v>
      </c>
      <c r="BL110" s="94">
        <f ca="1">TblProd[[#This Row],[Mana]]</f>
        <v>55157</v>
      </c>
      <c r="BM110" s="94">
        <f ca="1">TblProd[[#This Row],[Ore]]</f>
        <v>0</v>
      </c>
    </row>
    <row r="111" spans="1:65" x14ac:dyDescent="0.2">
      <c r="A111" s="137">
        <f t="shared" si="0"/>
        <v>60</v>
      </c>
      <c r="B111" s="152">
        <f ca="1">TblImps[[#This Row],[Time]]</f>
        <v>45819.458333333074</v>
      </c>
      <c r="C111" s="153"/>
      <c r="D111" s="154"/>
      <c r="E111" s="94">
        <f ca="1">TblConstr[[#This Row],[Land]]</f>
        <v>370</v>
      </c>
      <c r="F111" s="94">
        <f ca="1">TblPop[[#This Row],[Peasants]]</f>
        <v>2031</v>
      </c>
      <c r="G111" s="94">
        <f ca="1">TblMili[[#This Row],[Networth (2)]]</f>
        <v>9150</v>
      </c>
      <c r="H111" s="94">
        <f ca="1">OFFSET(TblProd[[#This Row],[Platinum]],-1,0)+OFFSET(TblProd[[#This Row],[Plat/hr]],-1,0) - TblProd[[#This Row],[Expenses Platinum]] + IF(TblProd[[#This Row],[Plat Bonus]],TblPop[[#This Row],[Peasants]]*4) + SUM(TblConstr[[#This Row],[Dest Hom]:[Dest Doc]])*TblConstr[[#This Row],[CPA Platinum -DB]]*tech_3_3_2*TblTech[[#This Row],[3-3]]</f>
        <v>1419630</v>
      </c>
      <c r="I111" s="94">
        <f ca="1">OFFSET(TblProd[[#This Row],[Food]],-1,0)+OFFSET(TblProd[[#This Row],[Food/hr]],-1,0)+ROUNDUP((TblConstr[[#This Row],[Farms]]*80+TblConstr[[#This Row],[Docks]]*35)*(1+OFFSET(TblProd[[#This Row],[Bonus Food/hr]],-1,0)),0)</f>
        <v>72118</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55304</v>
      </c>
      <c r="L111" s="94">
        <f ca="1">OFFSET(TblProd[[#This Row],[Ore]],-1,0)+OFFSET(TblProd[[#This Row],[Ore/hr]],-1,0) -TblProd[[#This Row],[Expenses Ore]]</f>
        <v>0</v>
      </c>
      <c r="M111" s="94">
        <f ca="1">OFFSET(TblProd[[#This Row],[Gems]],-1,0)+OFFSET(TblProd[[#This Row],[Gems/hr]],-1,0) - TblProd[[#This Row],[Expenses Gems]]</f>
        <v>80250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4601</v>
      </c>
      <c r="Q111" s="94">
        <f ca="1">MAX(3750,_xlfn.CEILING.MATH(TblProd[[#This Row],[Land]]*2.5+OFFSET(TblTech[[#This Row],[Sum of tech]],-1,0)*150))</f>
        <v>3750</v>
      </c>
      <c r="R111" s="142"/>
      <c r="S111" s="94">
        <f ca="1">ROUNDDOWN(TblProd[[#This Row],[Raw Plat/hr]]*(1+TblProd[[#This Row],[Bonus Plat/hr]]),0)</f>
        <v>7733</v>
      </c>
      <c r="T111" s="94">
        <f ca="1">ROUND(TblProd[[#This Row],[Raw Food/hr]]*(1+TblProd[[#This Row],[Bonus Food/hr]])-TblProd[[#This Row],[Food decay]]-TblProd[[#This Row],[Food eaten]],0)</f>
        <v>296</v>
      </c>
      <c r="U111" s="94">
        <f ca="1">ROUND(TblProd[[#This Row],[Raw Lumber/hr]]*(1+TblProd[[#This Row],[Bonus Lumber/hr]])-TblProd[[#This Row],[Lumber rot]],0)</f>
        <v>290</v>
      </c>
      <c r="V111" s="94">
        <f ca="1">ROUND(TblProd[[#This Row],[Raw Mana/hr]]*(1+TblProd[[#This Row],[Bonus Mana/hr]])-TblProd[[#This Row],[Mana drain]],0)</f>
        <v>144</v>
      </c>
      <c r="W111" s="94">
        <f ca="1">ROUNDDOWN(TblProd[[#This Row],[Raw Ore/hr]]*(1+TblProd[[#This Row],[Bonux Ore/hr]]),0)</f>
        <v>0</v>
      </c>
      <c r="X111" s="94">
        <f ca="1">ROUNDDOWN(TblProd[[#This Row],[Raw Gems/hr]]*(1+TblProd[[#This Row],[Bonus Gems/hr]]),0)</f>
        <v>750</v>
      </c>
      <c r="Y111" s="155">
        <f ca="1">OFFSET(TblConstr[[#This Row],[Tot Doc]],1,0)*dock_boats_hr * (1 + tech_4_1*TblTech[[#This Row],[4-1]])</f>
        <v>0</v>
      </c>
      <c r="Z111" s="154"/>
      <c r="AA111" s="94">
        <f ca="1">TblPop[[#This Row],[Peasants]]*tax*TblPop[[#This Row],[Employment]] + (Construction!AZ112+Construction!BX112)*(alch_plat+(Magic!AN111&gt;0)*alchemist_flame_bonus)</f>
        <v>7733.7000000000007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1250</v>
      </c>
      <c r="AE111" s="94">
        <f ca="1">OFFSET(TblConstr[[#This Row],[Tot OM]],1,0)*om_ore+IF(race="Dwarf",TblMili[[#This Row],[Unit 2]]*0.5,0)</f>
        <v>0</v>
      </c>
      <c r="AF111" s="94">
        <f ca="1">OFFSET(TblConstr[[#This Row],[Tot DM]],1,0)*dm_gems</f>
        <v>750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721.18000000000006</v>
      </c>
      <c r="AP111" s="94">
        <f ca="1">(1+race_food_consumption)*TblPop[[#This Row],[Total]]*food_per_person*(1+tech_1_10*TblTech[[#This Row],[1-10]]+tech_7_5*TblTech[[#This Row],[7-5]] + IF(TblMagic[[#This Row],[Active Demonic Pact]]&gt;0,demonic_pact_food_cons,0))</f>
        <v>1563.25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1106.08</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45819.458333333074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1419630</v>
      </c>
      <c r="BJ111" s="94">
        <f ca="1">TblProd[[#This Row],[Food]]</f>
        <v>72118</v>
      </c>
      <c r="BK111" s="94">
        <f ca="1">TblProd[[#This Row],[Lumber]]</f>
        <v>70999</v>
      </c>
      <c r="BL111" s="94">
        <f ca="1">TblProd[[#This Row],[Mana]]</f>
        <v>55304</v>
      </c>
      <c r="BM111" s="94">
        <f ca="1">TblProd[[#This Row],[Ore]]</f>
        <v>0</v>
      </c>
    </row>
    <row r="112" spans="1:65" x14ac:dyDescent="0.2">
      <c r="A112" s="137">
        <f t="shared" si="0"/>
        <v>61</v>
      </c>
      <c r="B112" s="152">
        <f ca="1">TblImps[[#This Row],[Time]]</f>
        <v>45819.499999999738</v>
      </c>
      <c r="C112" s="153"/>
      <c r="D112" s="154"/>
      <c r="E112" s="94">
        <f ca="1">TblConstr[[#This Row],[Land]]</f>
        <v>370</v>
      </c>
      <c r="F112" s="94">
        <f ca="1">TblPop[[#This Row],[Peasants]]</f>
        <v>2011</v>
      </c>
      <c r="G112" s="94">
        <f ca="1">TblMili[[#This Row],[Networth (2)]]</f>
        <v>9150</v>
      </c>
      <c r="H112" s="94">
        <f ca="1">OFFSET(TblProd[[#This Row],[Platinum]],-1,0)+OFFSET(TblProd[[#This Row],[Plat/hr]],-1,0) - TblProd[[#This Row],[Expenses Platinum]] + IF(TblProd[[#This Row],[Plat Bonus]],TblPop[[#This Row],[Peasants]]*4) + SUM(TblConstr[[#This Row],[Dest Hom]:[Dest Doc]])*TblConstr[[#This Row],[CPA Platinum -DB]]*tech_3_3_2*TblTech[[#This Row],[3-3]]</f>
        <v>1427363</v>
      </c>
      <c r="I112" s="94">
        <f ca="1">OFFSET(TblProd[[#This Row],[Food]],-1,0)+OFFSET(TblProd[[#This Row],[Food/hr]],-1,0)+ROUNDUP((TblConstr[[#This Row],[Farms]]*80+TblConstr[[#This Row],[Docks]]*35)*(1+OFFSET(TblProd[[#This Row],[Bonus Food/hr]],-1,0)),0)</f>
        <v>72414</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55448</v>
      </c>
      <c r="L112" s="94">
        <f ca="1">OFFSET(TblProd[[#This Row],[Ore]],-1,0)+OFFSET(TblProd[[#This Row],[Ore/hr]],-1,0) -TblProd[[#This Row],[Expenses Ore]]</f>
        <v>0</v>
      </c>
      <c r="M112" s="94">
        <f ca="1">OFFSET(TblProd[[#This Row],[Gems]],-1,0)+OFFSET(TblProd[[#This Row],[Gems/hr]],-1,0) - TblProd[[#This Row],[Expenses Gems]]</f>
        <v>81000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4644</v>
      </c>
      <c r="Q112" s="94">
        <f ca="1">MAX(3750,_xlfn.CEILING.MATH(TblProd[[#This Row],[Land]]*2.5+OFFSET(TblTech[[#This Row],[Sum of tech]],-1,0)*150))</f>
        <v>3750</v>
      </c>
      <c r="R112" s="142"/>
      <c r="S112" s="94">
        <f ca="1">ROUNDDOWN(TblProd[[#This Row],[Raw Plat/hr]]*(1+TblProd[[#This Row],[Bonus Plat/hr]]),0)</f>
        <v>7679</v>
      </c>
      <c r="T112" s="94">
        <f ca="1">ROUND(TblProd[[#This Row],[Raw Food/hr]]*(1+TblProd[[#This Row],[Bonus Food/hr]])-TblProd[[#This Row],[Food decay]]-TblProd[[#This Row],[Food eaten]],0)</f>
        <v>293</v>
      </c>
      <c r="U112" s="94">
        <f ca="1">ROUND(TblProd[[#This Row],[Raw Lumber/hr]]*(1+TblProd[[#This Row],[Bonus Lumber/hr]])-TblProd[[#This Row],[Lumber rot]],0)</f>
        <v>287</v>
      </c>
      <c r="V112" s="94">
        <f ca="1">ROUND(TblProd[[#This Row],[Raw Mana/hr]]*(1+TblProd[[#This Row],[Bonus Mana/hr]])-TblProd[[#This Row],[Mana drain]],0)</f>
        <v>141</v>
      </c>
      <c r="W112" s="94">
        <f ca="1">ROUNDDOWN(TblProd[[#This Row],[Raw Ore/hr]]*(1+TblProd[[#This Row],[Bonux Ore/hr]]),0)</f>
        <v>0</v>
      </c>
      <c r="X112" s="94">
        <f ca="1">ROUNDDOWN(TblProd[[#This Row],[Raw Gems/hr]]*(1+TblProd[[#This Row],[Bonus Gems/hr]]),0)</f>
        <v>750</v>
      </c>
      <c r="Y112" s="155">
        <f ca="1">OFFSET(TblConstr[[#This Row],[Tot Doc]],1,0)*dock_boats_hr * (1 + tech_4_1*TblTech[[#This Row],[4-1]])</f>
        <v>0</v>
      </c>
      <c r="Z112" s="154"/>
      <c r="AA112" s="94">
        <f ca="1">TblPop[[#This Row],[Peasants]]*tax*TblPop[[#This Row],[Employment]] + (Construction!AZ113+Construction!BX113)*(alch_plat+(Magic!AN112&gt;0)*alchemist_flame_bonus)</f>
        <v>7679.7000000000007</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1250</v>
      </c>
      <c r="AE112" s="94">
        <f ca="1">OFFSET(TblConstr[[#This Row],[Tot OM]],1,0)*om_ore+IF(race="Dwarf",TblMili[[#This Row],[Unit 2]]*0.5,0)</f>
        <v>0</v>
      </c>
      <c r="AF112" s="94">
        <f ca="1">OFFSET(TblConstr[[#This Row],[Tot DM]],1,0)*dm_gems</f>
        <v>750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724.14</v>
      </c>
      <c r="AP112" s="94">
        <f ca="1">(1+race_food_consumption)*TblPop[[#This Row],[Total]]*food_per_person*(1+tech_1_10*TblTech[[#This Row],[1-10]]+tech_7_5*TblTech[[#This Row],[7-5]] + IF(TblMagic[[#This Row],[Active Demonic Pact]]&gt;0,demonic_pact_food_cons,0))</f>
        <v>1563.25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1108.96</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45819.499999999738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1427363</v>
      </c>
      <c r="BJ112" s="94">
        <f ca="1">TblProd[[#This Row],[Food]]</f>
        <v>72414</v>
      </c>
      <c r="BK112" s="94">
        <f ca="1">TblProd[[#This Row],[Lumber]]</f>
        <v>71289</v>
      </c>
      <c r="BL112" s="94">
        <f ca="1">TblProd[[#This Row],[Mana]]</f>
        <v>55448</v>
      </c>
      <c r="BM112" s="94">
        <f ca="1">TblProd[[#This Row],[Ore]]</f>
        <v>0</v>
      </c>
    </row>
    <row r="113" spans="1:65" x14ac:dyDescent="0.2">
      <c r="A113" s="137">
        <f t="shared" si="0"/>
        <v>62</v>
      </c>
      <c r="B113" s="152">
        <f ca="1">TblImps[[#This Row],[Time]]</f>
        <v>45819.541666666402</v>
      </c>
      <c r="C113" s="153"/>
      <c r="D113" s="154"/>
      <c r="E113" s="94">
        <f ca="1">TblConstr[[#This Row],[Land]]</f>
        <v>370</v>
      </c>
      <c r="F113" s="94">
        <f ca="1">TblPop[[#This Row],[Peasants]]</f>
        <v>1991</v>
      </c>
      <c r="G113" s="94">
        <f ca="1">TblMili[[#This Row],[Networth (2)]]</f>
        <v>9150</v>
      </c>
      <c r="H113" s="94">
        <f ca="1">OFFSET(TblProd[[#This Row],[Platinum]],-1,0)+OFFSET(TblProd[[#This Row],[Plat/hr]],-1,0) - TblProd[[#This Row],[Expenses Platinum]] + IF(TblProd[[#This Row],[Plat Bonus]],TblPop[[#This Row],[Peasants]]*4) + SUM(TblConstr[[#This Row],[Dest Hom]:[Dest Doc]])*TblConstr[[#This Row],[CPA Platinum -DB]]*tech_3_3_2*TblTech[[#This Row],[3-3]]</f>
        <v>1435042</v>
      </c>
      <c r="I113" s="94">
        <f ca="1">OFFSET(TblProd[[#This Row],[Food]],-1,0)+OFFSET(TblProd[[#This Row],[Food/hr]],-1,0)+ROUNDUP((TblConstr[[#This Row],[Farms]]*80+TblConstr[[#This Row],[Docks]]*35)*(1+OFFSET(TblProd[[#This Row],[Bonus Food/hr]],-1,0)),0)</f>
        <v>72707</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55589</v>
      </c>
      <c r="L113" s="94">
        <f ca="1">OFFSET(TblProd[[#This Row],[Ore]],-1,0)+OFFSET(TblProd[[#This Row],[Ore/hr]],-1,0) -TblProd[[#This Row],[Expenses Ore]]</f>
        <v>0</v>
      </c>
      <c r="M113" s="94">
        <f ca="1">OFFSET(TblProd[[#This Row],[Gems]],-1,0)+OFFSET(TblProd[[#This Row],[Gems/hr]],-1,0) - TblProd[[#This Row],[Expenses Gems]]</f>
        <v>81750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4687</v>
      </c>
      <c r="Q113" s="94">
        <f ca="1">MAX(3750,_xlfn.CEILING.MATH(TblProd[[#This Row],[Land]]*2.5+OFFSET(TblTech[[#This Row],[Sum of tech]],-1,0)*150))</f>
        <v>3750</v>
      </c>
      <c r="R113" s="142"/>
      <c r="S113" s="94">
        <f ca="1">ROUNDDOWN(TblProd[[#This Row],[Raw Plat/hr]]*(1+TblProd[[#This Row],[Bonus Plat/hr]]),0)</f>
        <v>7625</v>
      </c>
      <c r="T113" s="94">
        <f ca="1">ROUND(TblProd[[#This Row],[Raw Food/hr]]*(1+TblProd[[#This Row],[Bonus Food/hr]])-TblProd[[#This Row],[Food decay]]-TblProd[[#This Row],[Food eaten]],0)</f>
        <v>290</v>
      </c>
      <c r="U113" s="94">
        <f ca="1">ROUND(TblProd[[#This Row],[Raw Lumber/hr]]*(1+TblProd[[#This Row],[Bonus Lumber/hr]])-TblProd[[#This Row],[Lumber rot]],0)</f>
        <v>284</v>
      </c>
      <c r="V113" s="94">
        <f ca="1">ROUND(TblProd[[#This Row],[Raw Mana/hr]]*(1+TblProd[[#This Row],[Bonus Mana/hr]])-TblProd[[#This Row],[Mana drain]],0)</f>
        <v>138</v>
      </c>
      <c r="W113" s="94">
        <f ca="1">ROUNDDOWN(TblProd[[#This Row],[Raw Ore/hr]]*(1+TblProd[[#This Row],[Bonux Ore/hr]]),0)</f>
        <v>0</v>
      </c>
      <c r="X113" s="94">
        <f ca="1">ROUNDDOWN(TblProd[[#This Row],[Raw Gems/hr]]*(1+TblProd[[#This Row],[Bonus Gems/hr]]),0)</f>
        <v>750</v>
      </c>
      <c r="Y113" s="155">
        <f ca="1">OFFSET(TblConstr[[#This Row],[Tot Doc]],1,0)*dock_boats_hr * (1 + tech_4_1*TblTech[[#This Row],[4-1]])</f>
        <v>0</v>
      </c>
      <c r="Z113" s="154"/>
      <c r="AA113" s="94">
        <f ca="1">TblPop[[#This Row],[Peasants]]*tax*TblPop[[#This Row],[Employment]] + (Construction!AZ114+Construction!BX114)*(alch_plat+(Magic!AN113&gt;0)*alchemist_flame_bonus)</f>
        <v>7625.7000000000007</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1250</v>
      </c>
      <c r="AE113" s="94">
        <f ca="1">OFFSET(TblConstr[[#This Row],[Tot OM]],1,0)*om_ore+IF(race="Dwarf",TblMili[[#This Row],[Unit 2]]*0.5,0)</f>
        <v>0</v>
      </c>
      <c r="AF113" s="94">
        <f ca="1">OFFSET(TblConstr[[#This Row],[Tot DM]],1,0)*dm_gems</f>
        <v>750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727.07</v>
      </c>
      <c r="AP113" s="94">
        <f ca="1">(1+race_food_consumption)*TblPop[[#This Row],[Total]]*food_per_person*(1+tech_1_10*TblTech[[#This Row],[1-10]]+tech_7_5*TblTech[[#This Row],[7-5]] + IF(TblMagic[[#This Row],[Active Demonic Pact]]&gt;0,demonic_pact_food_cons,0))</f>
        <v>1563.25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1111.78</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45819.541666666402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1435042</v>
      </c>
      <c r="BJ113" s="94">
        <f ca="1">TblProd[[#This Row],[Food]]</f>
        <v>72707</v>
      </c>
      <c r="BK113" s="94">
        <f ca="1">TblProd[[#This Row],[Lumber]]</f>
        <v>71576</v>
      </c>
      <c r="BL113" s="94">
        <f ca="1">TblProd[[#This Row],[Mana]]</f>
        <v>55589</v>
      </c>
      <c r="BM113" s="94">
        <f ca="1">TblProd[[#This Row],[Ore]]</f>
        <v>0</v>
      </c>
    </row>
    <row r="114" spans="1:65" x14ac:dyDescent="0.2">
      <c r="A114" s="137">
        <f t="shared" si="0"/>
        <v>63</v>
      </c>
      <c r="B114" s="152">
        <f ca="1">TblImps[[#This Row],[Time]]</f>
        <v>45819.583333333067</v>
      </c>
      <c r="C114" s="153"/>
      <c r="D114" s="154"/>
      <c r="E114" s="94">
        <f ca="1">TblConstr[[#This Row],[Land]]</f>
        <v>370</v>
      </c>
      <c r="F114" s="94">
        <f ca="1">TblPop[[#This Row],[Peasants]]</f>
        <v>1971</v>
      </c>
      <c r="G114" s="94">
        <f ca="1">TblMili[[#This Row],[Networth (2)]]</f>
        <v>9150</v>
      </c>
      <c r="H114" s="94">
        <f ca="1">OFFSET(TblProd[[#This Row],[Platinum]],-1,0)+OFFSET(TblProd[[#This Row],[Plat/hr]],-1,0) - TblProd[[#This Row],[Expenses Platinum]] + IF(TblProd[[#This Row],[Plat Bonus]],TblPop[[#This Row],[Peasants]]*4) + SUM(TblConstr[[#This Row],[Dest Hom]:[Dest Doc]])*TblConstr[[#This Row],[CPA Platinum -DB]]*tech_3_3_2*TblTech[[#This Row],[3-3]]</f>
        <v>1442667</v>
      </c>
      <c r="I114" s="94">
        <f ca="1">OFFSET(TblProd[[#This Row],[Food]],-1,0)+OFFSET(TblProd[[#This Row],[Food/hr]],-1,0)+ROUNDUP((TblConstr[[#This Row],[Farms]]*80+TblConstr[[#This Row],[Docks]]*35)*(1+OFFSET(TblProd[[#This Row],[Bonus Food/hr]],-1,0)),0)</f>
        <v>72997</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55727</v>
      </c>
      <c r="L114" s="94">
        <f ca="1">OFFSET(TblProd[[#This Row],[Ore]],-1,0)+OFFSET(TblProd[[#This Row],[Ore/hr]],-1,0) -TblProd[[#This Row],[Expenses Ore]]</f>
        <v>0</v>
      </c>
      <c r="M114" s="94">
        <f ca="1">OFFSET(TblProd[[#This Row],[Gems]],-1,0)+OFFSET(TblProd[[#This Row],[Gems/hr]],-1,0) - TblProd[[#This Row],[Expenses Gems]]</f>
        <v>82500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4730</v>
      </c>
      <c r="Q114" s="94">
        <f ca="1">MAX(3750,_xlfn.CEILING.MATH(TblProd[[#This Row],[Land]]*2.5+OFFSET(TblTech[[#This Row],[Sum of tech]],-1,0)*150))</f>
        <v>3750</v>
      </c>
      <c r="R114" s="142"/>
      <c r="S114" s="94">
        <f ca="1">ROUNDDOWN(TblProd[[#This Row],[Raw Plat/hr]]*(1+TblProd[[#This Row],[Bonus Plat/hr]]),0)</f>
        <v>7571</v>
      </c>
      <c r="T114" s="94">
        <f ca="1">ROUND(TblProd[[#This Row],[Raw Food/hr]]*(1+TblProd[[#This Row],[Bonus Food/hr]])-TblProd[[#This Row],[Food decay]]-TblProd[[#This Row],[Food eaten]],0)</f>
        <v>287</v>
      </c>
      <c r="U114" s="94">
        <f ca="1">ROUND(TblProd[[#This Row],[Raw Lumber/hr]]*(1+TblProd[[#This Row],[Bonus Lumber/hr]])-TblProd[[#This Row],[Lumber rot]],0)</f>
        <v>281</v>
      </c>
      <c r="V114" s="94">
        <f ca="1">ROUND(TblProd[[#This Row],[Raw Mana/hr]]*(1+TblProd[[#This Row],[Bonus Mana/hr]])-TblProd[[#This Row],[Mana drain]],0)</f>
        <v>135</v>
      </c>
      <c r="W114" s="94">
        <f ca="1">ROUNDDOWN(TblProd[[#This Row],[Raw Ore/hr]]*(1+TblProd[[#This Row],[Bonux Ore/hr]]),0)</f>
        <v>0</v>
      </c>
      <c r="X114" s="94">
        <f ca="1">ROUNDDOWN(TblProd[[#This Row],[Raw Gems/hr]]*(1+TblProd[[#This Row],[Bonus Gems/hr]]),0)</f>
        <v>750</v>
      </c>
      <c r="Y114" s="155">
        <f ca="1">OFFSET(TblConstr[[#This Row],[Tot Doc]],1,0)*dock_boats_hr * (1 + tech_4_1*TblTech[[#This Row],[4-1]])</f>
        <v>0</v>
      </c>
      <c r="Z114" s="154"/>
      <c r="AA114" s="94">
        <f ca="1">TblPop[[#This Row],[Peasants]]*tax*TblPop[[#This Row],[Employment]] + (Construction!AZ115+Construction!BX115)*(alch_plat+(Magic!AN114&gt;0)*alchemist_flame_bonus)</f>
        <v>7571.7000000000007</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1250</v>
      </c>
      <c r="AE114" s="94">
        <f ca="1">OFFSET(TblConstr[[#This Row],[Tot OM]],1,0)*om_ore+IF(race="Dwarf",TblMili[[#This Row],[Unit 2]]*0.5,0)</f>
        <v>0</v>
      </c>
      <c r="AF114" s="94">
        <f ca="1">OFFSET(TblConstr[[#This Row],[Tot DM]],1,0)*dm_gems</f>
        <v>750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729.97</v>
      </c>
      <c r="AP114" s="94">
        <f ca="1">(1+race_food_consumption)*TblPop[[#This Row],[Total]]*food_per_person*(1+tech_1_10*TblTech[[#This Row],[1-10]]+tech_7_5*TblTech[[#This Row],[7-5]] + IF(TblMagic[[#This Row],[Active Demonic Pact]]&gt;0,demonic_pact_food_cons,0))</f>
        <v>1563.25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1114.54</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45819.583333333067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1442667</v>
      </c>
      <c r="BJ114" s="94">
        <f ca="1">TblProd[[#This Row],[Food]]</f>
        <v>72997</v>
      </c>
      <c r="BK114" s="94">
        <f ca="1">TblProd[[#This Row],[Lumber]]</f>
        <v>71860</v>
      </c>
      <c r="BL114" s="94">
        <f ca="1">TblProd[[#This Row],[Mana]]</f>
        <v>55727</v>
      </c>
      <c r="BM114" s="94">
        <f ca="1">TblProd[[#This Row],[Ore]]</f>
        <v>0</v>
      </c>
    </row>
    <row r="115" spans="1:65" x14ac:dyDescent="0.2">
      <c r="A115" s="137">
        <f t="shared" si="0"/>
        <v>64</v>
      </c>
      <c r="B115" s="152">
        <f ca="1">TblImps[[#This Row],[Time]]</f>
        <v>45819.624999999731</v>
      </c>
      <c r="C115" s="153"/>
      <c r="D115" s="154"/>
      <c r="E115" s="94">
        <f ca="1">TblConstr[[#This Row],[Land]]</f>
        <v>370</v>
      </c>
      <c r="F115" s="94">
        <f ca="1">TblPop[[#This Row],[Peasants]]</f>
        <v>1951</v>
      </c>
      <c r="G115" s="94">
        <f ca="1">TblMili[[#This Row],[Networth (2)]]</f>
        <v>9150</v>
      </c>
      <c r="H115" s="94">
        <f ca="1">OFFSET(TblProd[[#This Row],[Platinum]],-1,0)+OFFSET(TblProd[[#This Row],[Plat/hr]],-1,0) - TblProd[[#This Row],[Expenses Platinum]] + IF(TblProd[[#This Row],[Plat Bonus]],TblPop[[#This Row],[Peasants]]*4) + SUM(TblConstr[[#This Row],[Dest Hom]:[Dest Doc]])*TblConstr[[#This Row],[CPA Platinum -DB]]*tech_3_3_2*TblTech[[#This Row],[3-3]]</f>
        <v>1450238</v>
      </c>
      <c r="I115" s="94">
        <f ca="1">OFFSET(TblProd[[#This Row],[Food]],-1,0)+OFFSET(TblProd[[#This Row],[Food/hr]],-1,0)+ROUNDUP((TblConstr[[#This Row],[Farms]]*80+TblConstr[[#This Row],[Docks]]*35)*(1+OFFSET(TblProd[[#This Row],[Bonus Food/hr]],-1,0)),0)</f>
        <v>73284</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55862</v>
      </c>
      <c r="L115" s="94">
        <f ca="1">OFFSET(TblProd[[#This Row],[Ore]],-1,0)+OFFSET(TblProd[[#This Row],[Ore/hr]],-1,0) -TblProd[[#This Row],[Expenses Ore]]</f>
        <v>0</v>
      </c>
      <c r="M115" s="94">
        <f ca="1">OFFSET(TblProd[[#This Row],[Gems]],-1,0)+OFFSET(TblProd[[#This Row],[Gems/hr]],-1,0) - TblProd[[#This Row],[Expenses Gems]]</f>
        <v>83250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4773</v>
      </c>
      <c r="Q115" s="94">
        <f ca="1">MAX(3750,_xlfn.CEILING.MATH(TblProd[[#This Row],[Land]]*2.5+OFFSET(TblTech[[#This Row],[Sum of tech]],-1,0)*150))</f>
        <v>3750</v>
      </c>
      <c r="R115" s="142"/>
      <c r="S115" s="94">
        <f ca="1">ROUNDDOWN(TblProd[[#This Row],[Raw Plat/hr]]*(1+TblProd[[#This Row],[Bonus Plat/hr]]),0)</f>
        <v>7517</v>
      </c>
      <c r="T115" s="94">
        <f ca="1">ROUND(TblProd[[#This Row],[Raw Food/hr]]*(1+TblProd[[#This Row],[Bonus Food/hr]])-TblProd[[#This Row],[Food decay]]-TblProd[[#This Row],[Food eaten]],0)</f>
        <v>284</v>
      </c>
      <c r="U115" s="94">
        <f ca="1">ROUND(TblProd[[#This Row],[Raw Lumber/hr]]*(1+TblProd[[#This Row],[Bonus Lumber/hr]])-TblProd[[#This Row],[Lumber rot]],0)</f>
        <v>279</v>
      </c>
      <c r="V115" s="94">
        <f ca="1">ROUND(TblProd[[#This Row],[Raw Mana/hr]]*(1+TblProd[[#This Row],[Bonus Mana/hr]])-TblProd[[#This Row],[Mana drain]],0)</f>
        <v>133</v>
      </c>
      <c r="W115" s="94">
        <f ca="1">ROUNDDOWN(TblProd[[#This Row],[Raw Ore/hr]]*(1+TblProd[[#This Row],[Bonux Ore/hr]]),0)</f>
        <v>0</v>
      </c>
      <c r="X115" s="94">
        <f ca="1">ROUNDDOWN(TblProd[[#This Row],[Raw Gems/hr]]*(1+TblProd[[#This Row],[Bonus Gems/hr]]),0)</f>
        <v>750</v>
      </c>
      <c r="Y115" s="155">
        <f ca="1">OFFSET(TblConstr[[#This Row],[Tot Doc]],1,0)*dock_boats_hr * (1 + tech_4_1*TblTech[[#This Row],[4-1]])</f>
        <v>0</v>
      </c>
      <c r="Z115" s="154"/>
      <c r="AA115" s="94">
        <f ca="1">TblPop[[#This Row],[Peasants]]*tax*TblPop[[#This Row],[Employment]] + (Construction!AZ116+Construction!BX116)*(alch_plat+(Magic!AN115&gt;0)*alchemist_flame_bonus)</f>
        <v>7517.7000000000007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1250</v>
      </c>
      <c r="AE115" s="94">
        <f ca="1">OFFSET(TblConstr[[#This Row],[Tot OM]],1,0)*om_ore+IF(race="Dwarf",TblMili[[#This Row],[Unit 2]]*0.5,0)</f>
        <v>0</v>
      </c>
      <c r="AF115" s="94">
        <f ca="1">OFFSET(TblConstr[[#This Row],[Tot DM]],1,0)*dm_gems</f>
        <v>750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732.84</v>
      </c>
      <c r="AP115" s="94">
        <f ca="1">(1+race_food_consumption)*TblPop[[#This Row],[Total]]*food_per_person*(1+tech_1_10*TblTech[[#This Row],[1-10]]+tech_7_5*TblTech[[#This Row],[7-5]] + IF(TblMagic[[#This Row],[Active Demonic Pact]]&gt;0,demonic_pact_food_cons,0))</f>
        <v>1563.25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1117.24</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45819.624999999731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1450238</v>
      </c>
      <c r="BJ115" s="94">
        <f ca="1">TblProd[[#This Row],[Food]]</f>
        <v>73284</v>
      </c>
      <c r="BK115" s="94">
        <f ca="1">TblProd[[#This Row],[Lumber]]</f>
        <v>72141</v>
      </c>
      <c r="BL115" s="94">
        <f ca="1">TblProd[[#This Row],[Mana]]</f>
        <v>55862</v>
      </c>
      <c r="BM115" s="94">
        <f ca="1">TblProd[[#This Row],[Ore]]</f>
        <v>0</v>
      </c>
    </row>
    <row r="116" spans="1:65" x14ac:dyDescent="0.2">
      <c r="A116" s="137">
        <f t="shared" si="0"/>
        <v>65</v>
      </c>
      <c r="B116" s="152">
        <f ca="1">TblImps[[#This Row],[Time]]</f>
        <v>45819.666666666395</v>
      </c>
      <c r="C116" s="153"/>
      <c r="D116" s="154"/>
      <c r="E116" s="94">
        <f ca="1">TblConstr[[#This Row],[Land]]</f>
        <v>370</v>
      </c>
      <c r="F116" s="94">
        <f ca="1">TblPop[[#This Row],[Peasants]]</f>
        <v>1931</v>
      </c>
      <c r="G116" s="94">
        <f ca="1">TblMili[[#This Row],[Networth (2)]]</f>
        <v>9150</v>
      </c>
      <c r="H116" s="94">
        <f ca="1">OFFSET(TblProd[[#This Row],[Platinum]],-1,0)+OFFSET(TblProd[[#This Row],[Plat/hr]],-1,0) - TblProd[[#This Row],[Expenses Platinum]] + IF(TblProd[[#This Row],[Plat Bonus]],TblPop[[#This Row],[Peasants]]*4) + SUM(TblConstr[[#This Row],[Dest Hom]:[Dest Doc]])*TblConstr[[#This Row],[CPA Platinum -DB]]*tech_3_3_2*TblTech[[#This Row],[3-3]]</f>
        <v>1457755</v>
      </c>
      <c r="I116" s="94">
        <f ca="1">OFFSET(TblProd[[#This Row],[Food]],-1,0)+OFFSET(TblProd[[#This Row],[Food/hr]],-1,0)+ROUNDUP((TblConstr[[#This Row],[Farms]]*80+TblConstr[[#This Row],[Docks]]*35)*(1+OFFSET(TblProd[[#This Row],[Bonus Food/hr]],-1,0)),0)</f>
        <v>73568</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55995</v>
      </c>
      <c r="L116" s="94">
        <f ca="1">OFFSET(TblProd[[#This Row],[Ore]],-1,0)+OFFSET(TblProd[[#This Row],[Ore/hr]],-1,0) -TblProd[[#This Row],[Expenses Ore]]</f>
        <v>0</v>
      </c>
      <c r="M116" s="94">
        <f ca="1">OFFSET(TblProd[[#This Row],[Gems]],-1,0)+OFFSET(TblProd[[#This Row],[Gems/hr]],-1,0) - TblProd[[#This Row],[Expenses Gems]]</f>
        <v>84000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4816</v>
      </c>
      <c r="Q116" s="94">
        <f ca="1">MAX(3750,_xlfn.CEILING.MATH(TblProd[[#This Row],[Land]]*2.5+OFFSET(TblTech[[#This Row],[Sum of tech]],-1,0)*150))</f>
        <v>3750</v>
      </c>
      <c r="R116" s="142"/>
      <c r="S116" s="94">
        <f ca="1">ROUNDDOWN(TblProd[[#This Row],[Raw Plat/hr]]*(1+TblProd[[#This Row],[Bonus Plat/hr]]),0)</f>
        <v>7463</v>
      </c>
      <c r="T116" s="94">
        <f ca="1">ROUND(TblProd[[#This Row],[Raw Food/hr]]*(1+TblProd[[#This Row],[Bonus Food/hr]])-TblProd[[#This Row],[Food decay]]-TblProd[[#This Row],[Food eaten]],0)</f>
        <v>281</v>
      </c>
      <c r="U116" s="94">
        <f ca="1">ROUND(TblProd[[#This Row],[Raw Lumber/hr]]*(1+TblProd[[#This Row],[Bonus Lumber/hr]])-TblProd[[#This Row],[Lumber rot]],0)</f>
        <v>276</v>
      </c>
      <c r="V116" s="94">
        <f ca="1">ROUND(TblProd[[#This Row],[Raw Mana/hr]]*(1+TblProd[[#This Row],[Bonus Mana/hr]])-TblProd[[#This Row],[Mana drain]],0)</f>
        <v>130</v>
      </c>
      <c r="W116" s="94">
        <f ca="1">ROUNDDOWN(TblProd[[#This Row],[Raw Ore/hr]]*(1+TblProd[[#This Row],[Bonux Ore/hr]]),0)</f>
        <v>0</v>
      </c>
      <c r="X116" s="94">
        <f ca="1">ROUNDDOWN(TblProd[[#This Row],[Raw Gems/hr]]*(1+TblProd[[#This Row],[Bonus Gems/hr]]),0)</f>
        <v>750</v>
      </c>
      <c r="Y116" s="155">
        <f ca="1">OFFSET(TblConstr[[#This Row],[Tot Doc]],1,0)*dock_boats_hr * (1 + tech_4_1*TblTech[[#This Row],[4-1]])</f>
        <v>0</v>
      </c>
      <c r="Z116" s="154"/>
      <c r="AA116" s="94">
        <f ca="1">TblPop[[#This Row],[Peasants]]*tax*TblPop[[#This Row],[Employment]] + (Construction!AZ117+Construction!BX117)*(alch_plat+(Magic!AN116&gt;0)*alchemist_flame_bonus)</f>
        <v>7463.7000000000007</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1250</v>
      </c>
      <c r="AE116" s="94">
        <f ca="1">OFFSET(TblConstr[[#This Row],[Tot OM]],1,0)*om_ore+IF(race="Dwarf",TblMili[[#This Row],[Unit 2]]*0.5,0)</f>
        <v>0</v>
      </c>
      <c r="AF116" s="94">
        <f ca="1">OFFSET(TblConstr[[#This Row],[Tot DM]],1,0)*dm_gems</f>
        <v>750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735.68000000000006</v>
      </c>
      <c r="AP116" s="94">
        <f ca="1">(1+race_food_consumption)*TblPop[[#This Row],[Total]]*food_per_person*(1+tech_1_10*TblTech[[#This Row],[1-10]]+tech_7_5*TblTech[[#This Row],[7-5]] + IF(TblMagic[[#This Row],[Active Demonic Pact]]&gt;0,demonic_pact_food_cons,0))</f>
        <v>1563.25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1119.9000000000001</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45819.666666666395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1457755</v>
      </c>
      <c r="BJ116" s="94">
        <f ca="1">TblProd[[#This Row],[Food]]</f>
        <v>73568</v>
      </c>
      <c r="BK116" s="94">
        <f ca="1">TblProd[[#This Row],[Lumber]]</f>
        <v>72420</v>
      </c>
      <c r="BL116" s="94">
        <f ca="1">TblProd[[#This Row],[Mana]]</f>
        <v>55995</v>
      </c>
      <c r="BM116" s="94">
        <f ca="1">TblProd[[#This Row],[Ore]]</f>
        <v>0</v>
      </c>
    </row>
    <row r="117" spans="1:65" x14ac:dyDescent="0.2">
      <c r="A117" s="137">
        <f t="shared" si="0"/>
        <v>66</v>
      </c>
      <c r="B117" s="152">
        <f ca="1">TblImps[[#This Row],[Time]]</f>
        <v>45819.708333333059</v>
      </c>
      <c r="C117" s="153"/>
      <c r="D117" s="154"/>
      <c r="E117" s="94">
        <f ca="1">TblConstr[[#This Row],[Land]]</f>
        <v>370</v>
      </c>
      <c r="F117" s="94">
        <f ca="1">TblPop[[#This Row],[Peasants]]</f>
        <v>1912</v>
      </c>
      <c r="G117" s="94">
        <f ca="1">TblMili[[#This Row],[Networth (2)]]</f>
        <v>9150</v>
      </c>
      <c r="H117" s="94">
        <f ca="1">OFFSET(TblProd[[#This Row],[Platinum]],-1,0)+OFFSET(TblProd[[#This Row],[Plat/hr]],-1,0) - TblProd[[#This Row],[Expenses Platinum]] + IF(TblProd[[#This Row],[Plat Bonus]],TblPop[[#This Row],[Peasants]]*4) + SUM(TblConstr[[#This Row],[Dest Hom]:[Dest Doc]])*TblConstr[[#This Row],[CPA Platinum -DB]]*tech_3_3_2*TblTech[[#This Row],[3-3]]</f>
        <v>1465218</v>
      </c>
      <c r="I117" s="94">
        <f ca="1">OFFSET(TblProd[[#This Row],[Food]],-1,0)+OFFSET(TblProd[[#This Row],[Food/hr]],-1,0)+ROUNDUP((TblConstr[[#This Row],[Farms]]*80+TblConstr[[#This Row],[Docks]]*35)*(1+OFFSET(TblProd[[#This Row],[Bonus Food/hr]],-1,0)),0)</f>
        <v>73849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56125</v>
      </c>
      <c r="L117" s="94">
        <f ca="1">OFFSET(TblProd[[#This Row],[Ore]],-1,0)+OFFSET(TblProd[[#This Row],[Ore/hr]],-1,0) -TblProd[[#This Row],[Expenses Ore]]</f>
        <v>0</v>
      </c>
      <c r="M117" s="94">
        <f ca="1">OFFSET(TblProd[[#This Row],[Gems]],-1,0)+OFFSET(TblProd[[#This Row],[Gems/hr]],-1,0) - TblProd[[#This Row],[Expenses Gems]]</f>
        <v>84750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4859</v>
      </c>
      <c r="Q117" s="94">
        <f ca="1">MAX(3750,_xlfn.CEILING.MATH(TblProd[[#This Row],[Land]]*2.5+OFFSET(TblTech[[#This Row],[Sum of tech]],-1,0)*150))</f>
        <v>3750</v>
      </c>
      <c r="R117" s="142"/>
      <c r="S117" s="94">
        <f ca="1">ROUNDDOWN(TblProd[[#This Row],[Raw Plat/hr]]*(1+TblProd[[#This Row],[Bonus Plat/hr]]),0)</f>
        <v>7412</v>
      </c>
      <c r="T117" s="94">
        <f ca="1">ROUND(TblProd[[#This Row],[Raw Food/hr]]*(1+TblProd[[#This Row],[Bonus Food/hr]])-TblProd[[#This Row],[Food decay]]-TblProd[[#This Row],[Food eaten]],0)</f>
        <v>278</v>
      </c>
      <c r="U117" s="94">
        <f ca="1">ROUND(TblProd[[#This Row],[Raw Lumber/hr]]*(1+TblProd[[#This Row],[Bonus Lumber/hr]])-TblProd[[#This Row],[Lumber rot]],0)</f>
        <v>273</v>
      </c>
      <c r="V117" s="94">
        <f ca="1">ROUND(TblProd[[#This Row],[Raw Mana/hr]]*(1+TblProd[[#This Row],[Bonus Mana/hr]])-TblProd[[#This Row],[Mana drain]],0)</f>
        <v>128</v>
      </c>
      <c r="W117" s="94">
        <f ca="1">ROUNDDOWN(TblProd[[#This Row],[Raw Ore/hr]]*(1+TblProd[[#This Row],[Bonux Ore/hr]]),0)</f>
        <v>0</v>
      </c>
      <c r="X117" s="94">
        <f ca="1">ROUNDDOWN(TblProd[[#This Row],[Raw Gems/hr]]*(1+TblProd[[#This Row],[Bonus Gems/hr]]),0)</f>
        <v>750</v>
      </c>
      <c r="Y117" s="155">
        <f ca="1">OFFSET(TblConstr[[#This Row],[Tot Doc]],1,0)*dock_boats_hr * (1 + tech_4_1*TblTech[[#This Row],[4-1]])</f>
        <v>0</v>
      </c>
      <c r="Z117" s="154"/>
      <c r="AA117" s="94">
        <f ca="1">TblPop[[#This Row],[Peasants]]*tax*TblPop[[#This Row],[Employment]] + (Construction!AZ118+Construction!BX118)*(alch_plat+(Magic!AN117&gt;0)*alchemist_flame_bonus)</f>
        <v>7412.4000000000005</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1250</v>
      </c>
      <c r="AE117" s="94">
        <f ca="1">OFFSET(TblConstr[[#This Row],[Tot OM]],1,0)*om_ore+IF(race="Dwarf",TblMili[[#This Row],[Unit 2]]*0.5,0)</f>
        <v>0</v>
      </c>
      <c r="AF117" s="94">
        <f ca="1">OFFSET(TblConstr[[#This Row],[Tot DM]],1,0)*dm_gems</f>
        <v>750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738.49</v>
      </c>
      <c r="AP117" s="94">
        <f ca="1">(1+race_food_consumption)*TblPop[[#This Row],[Total]]*food_per_person*(1+tech_1_10*TblTech[[#This Row],[1-10]]+tech_7_5*TblTech[[#This Row],[7-5]] + IF(TblMagic[[#This Row],[Active Demonic Pact]]&gt;0,demonic_pact_food_cons,0))</f>
        <v>1563.25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1122.5</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45819.708333333059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1465218</v>
      </c>
      <c r="BJ117" s="94">
        <f ca="1">TblProd[[#This Row],[Food]]</f>
        <v>73849</v>
      </c>
      <c r="BK117" s="94">
        <f ca="1">TblProd[[#This Row],[Lumber]]</f>
        <v>72696</v>
      </c>
      <c r="BL117" s="94">
        <f ca="1">TblProd[[#This Row],[Mana]]</f>
        <v>56125</v>
      </c>
      <c r="BM117" s="94">
        <f ca="1">TblProd[[#This Row],[Ore]]</f>
        <v>0</v>
      </c>
    </row>
    <row r="118" spans="1:65" x14ac:dyDescent="0.2">
      <c r="A118" s="137">
        <f t="shared" si="0"/>
        <v>67</v>
      </c>
      <c r="B118" s="152">
        <f ca="1">TblImps[[#This Row],[Time]]</f>
        <v>45819.749999999724</v>
      </c>
      <c r="C118" s="153"/>
      <c r="D118" s="154"/>
      <c r="E118" s="94">
        <f ca="1">TblConstr[[#This Row],[Land]]</f>
        <v>370</v>
      </c>
      <c r="F118" s="94">
        <f ca="1">TblPop[[#This Row],[Peasants]]</f>
        <v>1893</v>
      </c>
      <c r="G118" s="94">
        <f ca="1">TblMili[[#This Row],[Networth (2)]]</f>
        <v>9150</v>
      </c>
      <c r="H118" s="94">
        <f ca="1">OFFSET(TblProd[[#This Row],[Platinum]],-1,0)+OFFSET(TblProd[[#This Row],[Plat/hr]],-1,0) - TblProd[[#This Row],[Expenses Platinum]] + IF(TblProd[[#This Row],[Plat Bonus]],TblPop[[#This Row],[Peasants]]*4) + SUM(TblConstr[[#This Row],[Dest Hom]:[Dest Doc]])*TblConstr[[#This Row],[CPA Platinum -DB]]*tech_3_3_2*TblTech[[#This Row],[3-3]]</f>
        <v>1472630</v>
      </c>
      <c r="I118" s="94">
        <f ca="1">OFFSET(TblProd[[#This Row],[Food]],-1,0)+OFFSET(TblProd[[#This Row],[Food/hr]],-1,0)+ROUNDUP((TblConstr[[#This Row],[Farms]]*80+TblConstr[[#This Row],[Docks]]*35)*(1+OFFSET(TblProd[[#This Row],[Bonus Food/hr]],-1,0)),0)</f>
        <v>74127</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56253</v>
      </c>
      <c r="L118" s="94">
        <f ca="1">OFFSET(TblProd[[#This Row],[Ore]],-1,0)+OFFSET(TblProd[[#This Row],[Ore/hr]],-1,0) -TblProd[[#This Row],[Expenses Ore]]</f>
        <v>0</v>
      </c>
      <c r="M118" s="94">
        <f ca="1">OFFSET(TblProd[[#This Row],[Gems]],-1,0)+OFFSET(TblProd[[#This Row],[Gems/hr]],-1,0) - TblProd[[#This Row],[Expenses Gems]]</f>
        <v>85500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4902</v>
      </c>
      <c r="Q118" s="94">
        <f ca="1">MAX(3750,_xlfn.CEILING.MATH(TblProd[[#This Row],[Land]]*2.5+OFFSET(TblTech[[#This Row],[Sum of tech]],-1,0)*150))</f>
        <v>3750</v>
      </c>
      <c r="R118" s="142"/>
      <c r="S118" s="94">
        <f ca="1">ROUNDDOWN(TblProd[[#This Row],[Raw Plat/hr]]*(1+TblProd[[#This Row],[Bonus Plat/hr]]),0)</f>
        <v>7361</v>
      </c>
      <c r="T118" s="94">
        <f ca="1">ROUND(TblProd[[#This Row],[Raw Food/hr]]*(1+TblProd[[#This Row],[Bonus Food/hr]])-TblProd[[#This Row],[Food decay]]-TblProd[[#This Row],[Food eaten]],0)</f>
        <v>275</v>
      </c>
      <c r="U118" s="94">
        <f ca="1">ROUND(TblProd[[#This Row],[Raw Lumber/hr]]*(1+TblProd[[#This Row],[Bonus Lumber/hr]])-TblProd[[#This Row],[Lumber rot]],0)</f>
        <v>270</v>
      </c>
      <c r="V118" s="94">
        <f ca="1">ROUND(TblProd[[#This Row],[Raw Mana/hr]]*(1+TblProd[[#This Row],[Bonus Mana/hr]])-TblProd[[#This Row],[Mana drain]],0)</f>
        <v>125</v>
      </c>
      <c r="W118" s="94">
        <f ca="1">ROUNDDOWN(TblProd[[#This Row],[Raw Ore/hr]]*(1+TblProd[[#This Row],[Bonux Ore/hr]]),0)</f>
        <v>0</v>
      </c>
      <c r="X118" s="94">
        <f ca="1">ROUNDDOWN(TblProd[[#This Row],[Raw Gems/hr]]*(1+TblProd[[#This Row],[Bonus Gems/hr]]),0)</f>
        <v>750</v>
      </c>
      <c r="Y118" s="155">
        <f ca="1">OFFSET(TblConstr[[#This Row],[Tot Doc]],1,0)*dock_boats_hr * (1 + tech_4_1*TblTech[[#This Row],[4-1]])</f>
        <v>0</v>
      </c>
      <c r="Z118" s="154"/>
      <c r="AA118" s="94">
        <f ca="1">TblPop[[#This Row],[Peasants]]*tax*TblPop[[#This Row],[Employment]] + (Construction!AZ119+Construction!BX119)*(alch_plat+(Magic!AN118&gt;0)*alchemist_flame_bonus)</f>
        <v>7361.1</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1250</v>
      </c>
      <c r="AE118" s="94">
        <f ca="1">OFFSET(TblConstr[[#This Row],[Tot OM]],1,0)*om_ore+IF(race="Dwarf",TblMili[[#This Row],[Unit 2]]*0.5,0)</f>
        <v>0</v>
      </c>
      <c r="AF118" s="94">
        <f ca="1">OFFSET(TblConstr[[#This Row],[Tot DM]],1,0)*dm_gems</f>
        <v>750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741.27</v>
      </c>
      <c r="AP118" s="94">
        <f ca="1">(1+race_food_consumption)*TblPop[[#This Row],[Total]]*food_per_person*(1+tech_1_10*TblTech[[#This Row],[1-10]]+tech_7_5*TblTech[[#This Row],[7-5]] + IF(TblMagic[[#This Row],[Active Demonic Pact]]&gt;0,demonic_pact_food_cons,0))</f>
        <v>1563.25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1125.06</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45819.749999999724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1472630</v>
      </c>
      <c r="BJ118" s="94">
        <f ca="1">TblProd[[#This Row],[Food]]</f>
        <v>74127</v>
      </c>
      <c r="BK118" s="94">
        <f ca="1">TblProd[[#This Row],[Lumber]]</f>
        <v>72969</v>
      </c>
      <c r="BL118" s="94">
        <f ca="1">TblProd[[#This Row],[Mana]]</f>
        <v>56253</v>
      </c>
      <c r="BM118" s="94">
        <f ca="1">TblProd[[#This Row],[Ore]]</f>
        <v>0</v>
      </c>
    </row>
    <row r="119" spans="1:65" x14ac:dyDescent="0.2">
      <c r="A119" s="137">
        <f t="shared" ref="A119:A136" si="1">A118+1</f>
        <v>68</v>
      </c>
      <c r="B119" s="152">
        <f ca="1">TblImps[[#This Row],[Time]]</f>
        <v>45819.791666666388</v>
      </c>
      <c r="C119" s="153"/>
      <c r="D119" s="154"/>
      <c r="E119" s="94">
        <f ca="1">TblConstr[[#This Row],[Land]]</f>
        <v>370</v>
      </c>
      <c r="F119" s="94">
        <f ca="1">TblPop[[#This Row],[Peasants]]</f>
        <v>1874</v>
      </c>
      <c r="G119" s="94">
        <f ca="1">TblMili[[#This Row],[Networth (2)]]</f>
        <v>9150</v>
      </c>
      <c r="H119" s="94">
        <f ca="1">OFFSET(TblProd[[#This Row],[Platinum]],-1,0)+OFFSET(TblProd[[#This Row],[Plat/hr]],-1,0) - TblProd[[#This Row],[Expenses Platinum]] + IF(TblProd[[#This Row],[Plat Bonus]],TblPop[[#This Row],[Peasants]]*4) + SUM(TblConstr[[#This Row],[Dest Hom]:[Dest Doc]])*TblConstr[[#This Row],[CPA Platinum -DB]]*tech_3_3_2*TblTech[[#This Row],[3-3]]</f>
        <v>1479991</v>
      </c>
      <c r="I119" s="94">
        <f ca="1">OFFSET(TblProd[[#This Row],[Food]],-1,0)+OFFSET(TblProd[[#This Row],[Food/hr]],-1,0)+ROUNDUP((TblConstr[[#This Row],[Farms]]*80+TblConstr[[#This Row],[Docks]]*35)*(1+OFFSET(TblProd[[#This Row],[Bonus Food/hr]],-1,0)),0)</f>
        <v>74402</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56378</v>
      </c>
      <c r="L119" s="94">
        <f ca="1">OFFSET(TblProd[[#This Row],[Ore]],-1,0)+OFFSET(TblProd[[#This Row],[Ore/hr]],-1,0) -TblProd[[#This Row],[Expenses Ore]]</f>
        <v>0</v>
      </c>
      <c r="M119" s="94">
        <f ca="1">OFFSET(TblProd[[#This Row],[Gems]],-1,0)+OFFSET(TblProd[[#This Row],[Gems/hr]],-1,0) - TblProd[[#This Row],[Expenses Gems]]</f>
        <v>86250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4945</v>
      </c>
      <c r="Q119" s="94">
        <f ca="1">MAX(3750,_xlfn.CEILING.MATH(TblProd[[#This Row],[Land]]*2.5+OFFSET(TblTech[[#This Row],[Sum of tech]],-1,0)*150))</f>
        <v>3750</v>
      </c>
      <c r="R119" s="142"/>
      <c r="S119" s="94">
        <f ca="1">ROUNDDOWN(TblProd[[#This Row],[Raw Plat/hr]]*(1+TblProd[[#This Row],[Bonus Plat/hr]]),0)</f>
        <v>7309</v>
      </c>
      <c r="T119" s="94">
        <f ca="1">ROUND(TblProd[[#This Row],[Raw Food/hr]]*(1+TblProd[[#This Row],[Bonus Food/hr]])-TblProd[[#This Row],[Food decay]]-TblProd[[#This Row],[Food eaten]],0)</f>
        <v>273</v>
      </c>
      <c r="U119" s="94">
        <f ca="1">ROUND(TblProd[[#This Row],[Raw Lumber/hr]]*(1+TblProd[[#This Row],[Bonus Lumber/hr]])-TblProd[[#This Row],[Lumber rot]],0)</f>
        <v>268</v>
      </c>
      <c r="V119" s="94">
        <f ca="1">ROUND(TblProd[[#This Row],[Raw Mana/hr]]*(1+TblProd[[#This Row],[Bonus Mana/hr]])-TblProd[[#This Row],[Mana drain]],0)</f>
        <v>122</v>
      </c>
      <c r="W119" s="94">
        <f ca="1">ROUNDDOWN(TblProd[[#This Row],[Raw Ore/hr]]*(1+TblProd[[#This Row],[Bonux Ore/hr]]),0)</f>
        <v>0</v>
      </c>
      <c r="X119" s="94">
        <f ca="1">ROUNDDOWN(TblProd[[#This Row],[Raw Gems/hr]]*(1+TblProd[[#This Row],[Bonus Gems/hr]]),0)</f>
        <v>750</v>
      </c>
      <c r="Y119" s="155">
        <f ca="1">OFFSET(TblConstr[[#This Row],[Tot Doc]],1,0)*dock_boats_hr * (1 + tech_4_1*TblTech[[#This Row],[4-1]])</f>
        <v>0</v>
      </c>
      <c r="Z119" s="154"/>
      <c r="AA119" s="94">
        <f ca="1">TblPop[[#This Row],[Peasants]]*tax*TblPop[[#This Row],[Employment]] + (Construction!AZ120+Construction!BX120)*(alch_plat+(Magic!AN119&gt;0)*alchemist_flame_bonus)</f>
        <v>7309.8</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1250</v>
      </c>
      <c r="AE119" s="94">
        <f ca="1">OFFSET(TblConstr[[#This Row],[Tot OM]],1,0)*om_ore+IF(race="Dwarf",TblMili[[#This Row],[Unit 2]]*0.5,0)</f>
        <v>0</v>
      </c>
      <c r="AF119" s="94">
        <f ca="1">OFFSET(TblConstr[[#This Row],[Tot DM]],1,0)*dm_gems</f>
        <v>750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744.02</v>
      </c>
      <c r="AP119" s="94">
        <f ca="1">(1+race_food_consumption)*TblPop[[#This Row],[Total]]*food_per_person*(1+tech_1_10*TblTech[[#This Row],[1-10]]+tech_7_5*TblTech[[#This Row],[7-5]] + IF(TblMagic[[#This Row],[Active Demonic Pact]]&gt;0,demonic_pact_food_cons,0))</f>
        <v>1563.25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1127.56</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45819.791666666388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1479991</v>
      </c>
      <c r="BJ119" s="94">
        <f ca="1">TblProd[[#This Row],[Food]]</f>
        <v>74402</v>
      </c>
      <c r="BK119" s="94">
        <f ca="1">TblProd[[#This Row],[Lumber]]</f>
        <v>73239</v>
      </c>
      <c r="BL119" s="94">
        <f ca="1">TblProd[[#This Row],[Mana]]</f>
        <v>56378</v>
      </c>
      <c r="BM119" s="94">
        <f ca="1">TblProd[[#This Row],[Ore]]</f>
        <v>0</v>
      </c>
    </row>
    <row r="120" spans="1:65" x14ac:dyDescent="0.2">
      <c r="A120" s="137">
        <f t="shared" si="1"/>
        <v>69</v>
      </c>
      <c r="B120" s="152">
        <f ca="1">TblImps[[#This Row],[Time]]</f>
        <v>45819.833333333052</v>
      </c>
      <c r="C120" s="153"/>
      <c r="D120" s="154"/>
      <c r="E120" s="94">
        <f ca="1">TblConstr[[#This Row],[Land]]</f>
        <v>370</v>
      </c>
      <c r="F120" s="94">
        <f ca="1">TblPop[[#This Row],[Peasants]]</f>
        <v>1855</v>
      </c>
      <c r="G120" s="94">
        <f ca="1">TblMili[[#This Row],[Networth (2)]]</f>
        <v>9150</v>
      </c>
      <c r="H120" s="94">
        <f ca="1">OFFSET(TblProd[[#This Row],[Platinum]],-1,0)+OFFSET(TblProd[[#This Row],[Plat/hr]],-1,0) - TblProd[[#This Row],[Expenses Platinum]] + IF(TblProd[[#This Row],[Plat Bonus]],TblPop[[#This Row],[Peasants]]*4) + SUM(TblConstr[[#This Row],[Dest Hom]:[Dest Doc]])*TblConstr[[#This Row],[CPA Platinum -DB]]*tech_3_3_2*TblTech[[#This Row],[3-3]]</f>
        <v>1487300</v>
      </c>
      <c r="I120" s="94">
        <f ca="1">OFFSET(TblProd[[#This Row],[Food]],-1,0)+OFFSET(TblProd[[#This Row],[Food/hr]],-1,0)+ROUNDUP((TblConstr[[#This Row],[Farms]]*80+TblConstr[[#This Row],[Docks]]*35)*(1+OFFSET(TblProd[[#This Row],[Bonus Food/hr]],-1,0)),0)</f>
        <v>74675</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56500</v>
      </c>
      <c r="L120" s="94">
        <f ca="1">OFFSET(TblProd[[#This Row],[Ore]],-1,0)+OFFSET(TblProd[[#This Row],[Ore/hr]],-1,0) -TblProd[[#This Row],[Expenses Ore]]</f>
        <v>0</v>
      </c>
      <c r="M120" s="94">
        <f ca="1">OFFSET(TblProd[[#This Row],[Gems]],-1,0)+OFFSET(TblProd[[#This Row],[Gems/hr]],-1,0) - TblProd[[#This Row],[Expenses Gems]]</f>
        <v>87000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4988</v>
      </c>
      <c r="Q120" s="94">
        <f ca="1">MAX(3750,_xlfn.CEILING.MATH(TblProd[[#This Row],[Land]]*2.5+OFFSET(TblTech[[#This Row],[Sum of tech]],-1,0)*150))</f>
        <v>3750</v>
      </c>
      <c r="R120" s="142"/>
      <c r="S120" s="94">
        <f ca="1">ROUNDDOWN(TblProd[[#This Row],[Raw Plat/hr]]*(1+TblProd[[#This Row],[Bonus Plat/hr]]),0)</f>
        <v>7258</v>
      </c>
      <c r="T120" s="94">
        <f ca="1">ROUND(TblProd[[#This Row],[Raw Food/hr]]*(1+TblProd[[#This Row],[Bonus Food/hr]])-TblProd[[#This Row],[Food decay]]-TblProd[[#This Row],[Food eaten]],0)</f>
        <v>270</v>
      </c>
      <c r="U120" s="94">
        <f ca="1">ROUND(TblProd[[#This Row],[Raw Lumber/hr]]*(1+TblProd[[#This Row],[Bonus Lumber/hr]])-TblProd[[#This Row],[Lumber rot]],0)</f>
        <v>265</v>
      </c>
      <c r="V120" s="94">
        <f ca="1">ROUND(TblProd[[#This Row],[Raw Mana/hr]]*(1+TblProd[[#This Row],[Bonus Mana/hr]])-TblProd[[#This Row],[Mana drain]],0)</f>
        <v>120</v>
      </c>
      <c r="W120" s="94">
        <f ca="1">ROUNDDOWN(TblProd[[#This Row],[Raw Ore/hr]]*(1+TblProd[[#This Row],[Bonux Ore/hr]]),0)</f>
        <v>0</v>
      </c>
      <c r="X120" s="94">
        <f ca="1">ROUNDDOWN(TblProd[[#This Row],[Raw Gems/hr]]*(1+TblProd[[#This Row],[Bonus Gems/hr]]),0)</f>
        <v>750</v>
      </c>
      <c r="Y120" s="155">
        <f ca="1">OFFSET(TblConstr[[#This Row],[Tot Doc]],1,0)*dock_boats_hr * (1 + tech_4_1*TblTech[[#This Row],[4-1]])</f>
        <v>0</v>
      </c>
      <c r="Z120" s="154"/>
      <c r="AA120" s="94">
        <f ca="1">TblPop[[#This Row],[Peasants]]*tax*TblPop[[#This Row],[Employment]] + (Construction!AZ121+Construction!BX121)*(alch_plat+(Magic!AN120&gt;0)*alchemist_flame_bonus)</f>
        <v>7258.5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1250</v>
      </c>
      <c r="AE120" s="94">
        <f ca="1">OFFSET(TblConstr[[#This Row],[Tot OM]],1,0)*om_ore+IF(race="Dwarf",TblMili[[#This Row],[Unit 2]]*0.5,0)</f>
        <v>0</v>
      </c>
      <c r="AF120" s="94">
        <f ca="1">OFFSET(TblConstr[[#This Row],[Tot DM]],1,0)*dm_gems</f>
        <v>750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746.75</v>
      </c>
      <c r="AP120" s="94">
        <f ca="1">(1+race_food_consumption)*TblPop[[#This Row],[Total]]*food_per_person*(1+tech_1_10*TblTech[[#This Row],[1-10]]+tech_7_5*TblTech[[#This Row],[7-5]] + IF(TblMagic[[#This Row],[Active Demonic Pact]]&gt;0,demonic_pact_food_cons,0))</f>
        <v>1563.25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1130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45819.833333333052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1487300</v>
      </c>
      <c r="BJ120" s="94">
        <f ca="1">TblProd[[#This Row],[Food]]</f>
        <v>74675</v>
      </c>
      <c r="BK120" s="94">
        <f ca="1">TblProd[[#This Row],[Lumber]]</f>
        <v>73507</v>
      </c>
      <c r="BL120" s="94">
        <f ca="1">TblProd[[#This Row],[Mana]]</f>
        <v>56500</v>
      </c>
      <c r="BM120" s="94">
        <f ca="1">TblProd[[#This Row],[Ore]]</f>
        <v>0</v>
      </c>
    </row>
    <row r="121" spans="1:65" x14ac:dyDescent="0.2">
      <c r="A121" s="137">
        <f t="shared" si="1"/>
        <v>70</v>
      </c>
      <c r="B121" s="152">
        <f ca="1">TblImps[[#This Row],[Time]]</f>
        <v>45819.874999999716</v>
      </c>
      <c r="C121" s="153"/>
      <c r="D121" s="154"/>
      <c r="E121" s="94">
        <f ca="1">TblConstr[[#This Row],[Land]]</f>
        <v>370</v>
      </c>
      <c r="F121" s="94">
        <f ca="1">TblPop[[#This Row],[Peasants]]</f>
        <v>1836</v>
      </c>
      <c r="G121" s="94">
        <f ca="1">TblMili[[#This Row],[Networth (2)]]</f>
        <v>9150</v>
      </c>
      <c r="H121" s="94">
        <f ca="1">OFFSET(TblProd[[#This Row],[Platinum]],-1,0)+OFFSET(TblProd[[#This Row],[Plat/hr]],-1,0) - TblProd[[#This Row],[Expenses Platinum]] + IF(TblProd[[#This Row],[Plat Bonus]],TblPop[[#This Row],[Peasants]]*4) + SUM(TblConstr[[#This Row],[Dest Hom]:[Dest Doc]])*TblConstr[[#This Row],[CPA Platinum -DB]]*tech_3_3_2*TblTech[[#This Row],[3-3]]</f>
        <v>1494558</v>
      </c>
      <c r="I121" s="94">
        <f ca="1">OFFSET(TblProd[[#This Row],[Food]],-1,0)+OFFSET(TblProd[[#This Row],[Food/hr]],-1,0)+ROUNDUP((TblConstr[[#This Row],[Farms]]*80+TblConstr[[#This Row],[Docks]]*35)*(1+OFFSET(TblProd[[#This Row],[Bonus Food/hr]],-1,0)),0)</f>
        <v>74945</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56620</v>
      </c>
      <c r="L121" s="94">
        <f ca="1">OFFSET(TblProd[[#This Row],[Ore]],-1,0)+OFFSET(TblProd[[#This Row],[Ore/hr]],-1,0) -TblProd[[#This Row],[Expenses Ore]]</f>
        <v>0</v>
      </c>
      <c r="M121" s="94">
        <f ca="1">OFFSET(TblProd[[#This Row],[Gems]],-1,0)+OFFSET(TblProd[[#This Row],[Gems/hr]],-1,0) - TblProd[[#This Row],[Expenses Gems]]</f>
        <v>87750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5031</v>
      </c>
      <c r="Q121" s="94">
        <f ca="1">MAX(3750,_xlfn.CEILING.MATH(TblProd[[#This Row],[Land]]*2.5+OFFSET(TblTech[[#This Row],[Sum of tech]],-1,0)*150))</f>
        <v>3750</v>
      </c>
      <c r="R121" s="142"/>
      <c r="S121" s="94">
        <f ca="1">ROUNDDOWN(TblProd[[#This Row],[Raw Plat/hr]]*(1+TblProd[[#This Row],[Bonus Plat/hr]]),0)</f>
        <v>7207</v>
      </c>
      <c r="T121" s="94">
        <f ca="1">ROUND(TblProd[[#This Row],[Raw Food/hr]]*(1+TblProd[[#This Row],[Bonus Food/hr]])-TblProd[[#This Row],[Food decay]]-TblProd[[#This Row],[Food eaten]],0)</f>
        <v>267</v>
      </c>
      <c r="U121" s="94">
        <f ca="1">ROUND(TblProd[[#This Row],[Raw Lumber/hr]]*(1+TblProd[[#This Row],[Bonus Lumber/hr]])-TblProd[[#This Row],[Lumber rot]],0)</f>
        <v>262</v>
      </c>
      <c r="V121" s="94">
        <f ca="1">ROUND(TblProd[[#This Row],[Raw Mana/hr]]*(1+TblProd[[#This Row],[Bonus Mana/hr]])-TblProd[[#This Row],[Mana drain]],0)</f>
        <v>118</v>
      </c>
      <c r="W121" s="94">
        <f ca="1">ROUNDDOWN(TblProd[[#This Row],[Raw Ore/hr]]*(1+TblProd[[#This Row],[Bonux Ore/hr]]),0)</f>
        <v>0</v>
      </c>
      <c r="X121" s="94">
        <f ca="1">ROUNDDOWN(TblProd[[#This Row],[Raw Gems/hr]]*(1+TblProd[[#This Row],[Bonus Gems/hr]]),0)</f>
        <v>750</v>
      </c>
      <c r="Y121" s="155">
        <f ca="1">OFFSET(TblConstr[[#This Row],[Tot Doc]],1,0)*dock_boats_hr * (1 + tech_4_1*TblTech[[#This Row],[4-1]])</f>
        <v>0</v>
      </c>
      <c r="Z121" s="154"/>
      <c r="AA121" s="94">
        <f ca="1">TblPop[[#This Row],[Peasants]]*tax*TblPop[[#This Row],[Employment]] + (Construction!AZ122+Construction!BX122)*(alch_plat+(Magic!AN121&gt;0)*alchemist_flame_bonus)</f>
        <v>7207.2000000000007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1250</v>
      </c>
      <c r="AE121" s="94">
        <f ca="1">OFFSET(TblConstr[[#This Row],[Tot OM]],1,0)*om_ore+IF(race="Dwarf",TblMili[[#This Row],[Unit 2]]*0.5,0)</f>
        <v>0</v>
      </c>
      <c r="AF121" s="94">
        <f ca="1">OFFSET(TblConstr[[#This Row],[Tot DM]],1,0)*dm_gems</f>
        <v>750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749.45</v>
      </c>
      <c r="AP121" s="94">
        <f ca="1">(1+race_food_consumption)*TblPop[[#This Row],[Total]]*food_per_person*(1+tech_1_10*TblTech[[#This Row],[1-10]]+tech_7_5*TblTech[[#This Row],[7-5]] + IF(TblMagic[[#This Row],[Active Demonic Pact]]&gt;0,demonic_pact_food_cons,0))</f>
        <v>1563.25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1132.4000000000001</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45819.874999999716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1494558</v>
      </c>
      <c r="BJ121" s="94">
        <f ca="1">TblProd[[#This Row],[Food]]</f>
        <v>74945</v>
      </c>
      <c r="BK121" s="94">
        <f ca="1">TblProd[[#This Row],[Lumber]]</f>
        <v>73772</v>
      </c>
      <c r="BL121" s="94">
        <f ca="1">TblProd[[#This Row],[Mana]]</f>
        <v>56620</v>
      </c>
      <c r="BM121" s="94">
        <f ca="1">TblProd[[#This Row],[Ore]]</f>
        <v>0</v>
      </c>
    </row>
    <row r="122" spans="1:65" x14ac:dyDescent="0.2">
      <c r="A122" s="137">
        <f t="shared" si="1"/>
        <v>71</v>
      </c>
      <c r="B122" s="152">
        <f ca="1">TblImps[[#This Row],[Time]]</f>
        <v>45819.91666666638</v>
      </c>
      <c r="C122" s="153"/>
      <c r="D122" s="154"/>
      <c r="E122" s="94">
        <f ca="1">TblConstr[[#This Row],[Land]]</f>
        <v>370</v>
      </c>
      <c r="F122" s="94">
        <f ca="1">TblPop[[#This Row],[Peasants]]</f>
        <v>1818</v>
      </c>
      <c r="G122" s="94">
        <f ca="1">TblMili[[#This Row],[Networth (2)]]</f>
        <v>9150</v>
      </c>
      <c r="H122" s="94">
        <f ca="1">OFFSET(TblProd[[#This Row],[Platinum]],-1,0)+OFFSET(TblProd[[#This Row],[Plat/hr]],-1,0) - TblProd[[#This Row],[Expenses Platinum]] + IF(TblProd[[#This Row],[Plat Bonus]],TblPop[[#This Row],[Peasants]]*4) + SUM(TblConstr[[#This Row],[Dest Hom]:[Dest Doc]])*TblConstr[[#This Row],[CPA Platinum -DB]]*tech_3_3_2*TblTech[[#This Row],[3-3]]</f>
        <v>1501765</v>
      </c>
      <c r="I122" s="94">
        <f ca="1">OFFSET(TblProd[[#This Row],[Food]],-1,0)+OFFSET(TblProd[[#This Row],[Food/hr]],-1,0)+ROUNDUP((TblConstr[[#This Row],[Farms]]*80+TblConstr[[#This Row],[Docks]]*35)*(1+OFFSET(TblProd[[#This Row],[Bonus Food/hr]],-1,0)),0)</f>
        <v>75212</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56738</v>
      </c>
      <c r="L122" s="94">
        <f ca="1">OFFSET(TblProd[[#This Row],[Ore]],-1,0)+OFFSET(TblProd[[#This Row],[Ore/hr]],-1,0) -TblProd[[#This Row],[Expenses Ore]]</f>
        <v>0</v>
      </c>
      <c r="M122" s="94">
        <f ca="1">OFFSET(TblProd[[#This Row],[Gems]],-1,0)+OFFSET(TblProd[[#This Row],[Gems/hr]],-1,0) - TblProd[[#This Row],[Expenses Gems]]</f>
        <v>88500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5074</v>
      </c>
      <c r="Q122" s="94">
        <f ca="1">MAX(3750,_xlfn.CEILING.MATH(TblProd[[#This Row],[Land]]*2.5+OFFSET(TblTech[[#This Row],[Sum of tech]],-1,0)*150))</f>
        <v>3750</v>
      </c>
      <c r="R122" s="142"/>
      <c r="S122" s="94">
        <f ca="1">ROUNDDOWN(TblProd[[#This Row],[Raw Plat/hr]]*(1+TblProd[[#This Row],[Bonus Plat/hr]]),0)</f>
        <v>7158</v>
      </c>
      <c r="T122" s="94">
        <f ca="1">ROUND(TblProd[[#This Row],[Raw Food/hr]]*(1+TblProd[[#This Row],[Bonus Food/hr]])-TblProd[[#This Row],[Food decay]]-TblProd[[#This Row],[Food eaten]],0)</f>
        <v>265</v>
      </c>
      <c r="U122" s="94">
        <f ca="1">ROUND(TblProd[[#This Row],[Raw Lumber/hr]]*(1+TblProd[[#This Row],[Bonus Lumber/hr]])-TblProd[[#This Row],[Lumber rot]],0)</f>
        <v>260</v>
      </c>
      <c r="V122" s="94">
        <f ca="1">ROUND(TblProd[[#This Row],[Raw Mana/hr]]*(1+TblProd[[#This Row],[Bonus Mana/hr]])-TblProd[[#This Row],[Mana drain]],0)</f>
        <v>115</v>
      </c>
      <c r="W122" s="94">
        <f ca="1">ROUNDDOWN(TblProd[[#This Row],[Raw Ore/hr]]*(1+TblProd[[#This Row],[Bonux Ore/hr]]),0)</f>
        <v>0</v>
      </c>
      <c r="X122" s="94">
        <f ca="1">ROUNDDOWN(TblProd[[#This Row],[Raw Gems/hr]]*(1+TblProd[[#This Row],[Bonus Gems/hr]]),0)</f>
        <v>750</v>
      </c>
      <c r="Y122" s="155">
        <f ca="1">OFFSET(TblConstr[[#This Row],[Tot Doc]],1,0)*dock_boats_hr * (1 + tech_4_1*TblTech[[#This Row],[4-1]])</f>
        <v>0</v>
      </c>
      <c r="Z122" s="154"/>
      <c r="AA122" s="94">
        <f ca="1">TblPop[[#This Row],[Peasants]]*tax*TblPop[[#This Row],[Employment]] + (Construction!AZ123+Construction!BX123)*(alch_plat+(Magic!AN122&gt;0)*alchemist_flame_bonus)</f>
        <v>7158.6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1250</v>
      </c>
      <c r="AE122" s="94">
        <f ca="1">OFFSET(TblConstr[[#This Row],[Tot OM]],1,0)*om_ore+IF(race="Dwarf",TblMili[[#This Row],[Unit 2]]*0.5,0)</f>
        <v>0</v>
      </c>
      <c r="AF122" s="94">
        <f ca="1">OFFSET(TblConstr[[#This Row],[Tot DM]],1,0)*dm_gems</f>
        <v>750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752.12</v>
      </c>
      <c r="AP122" s="94">
        <f ca="1">(1+race_food_consumption)*TblPop[[#This Row],[Total]]*food_per_person*(1+tech_1_10*TblTech[[#This Row],[1-10]]+tech_7_5*TblTech[[#This Row],[7-5]] + IF(TblMagic[[#This Row],[Active Demonic Pact]]&gt;0,demonic_pact_food_cons,0))</f>
        <v>1563.25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1134.76</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45819.91666666638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1501765</v>
      </c>
      <c r="BJ122" s="94">
        <f ca="1">TblProd[[#This Row],[Food]]</f>
        <v>75212</v>
      </c>
      <c r="BK122" s="94">
        <f ca="1">TblProd[[#This Row],[Lumber]]</f>
        <v>74034</v>
      </c>
      <c r="BL122" s="94">
        <f ca="1">TblProd[[#This Row],[Mana]]</f>
        <v>56738</v>
      </c>
      <c r="BM122" s="94">
        <f ca="1">TblProd[[#This Row],[Ore]]</f>
        <v>0</v>
      </c>
    </row>
    <row r="123" spans="1:65" x14ac:dyDescent="0.2">
      <c r="A123" s="137">
        <f t="shared" si="1"/>
        <v>72</v>
      </c>
      <c r="B123" s="152">
        <f ca="1">TblImps[[#This Row],[Time]]</f>
        <v>45819.958333333045</v>
      </c>
      <c r="C123" s="153"/>
      <c r="D123" s="154"/>
      <c r="E123" s="94">
        <f ca="1">TblConstr[[#This Row],[Land]]</f>
        <v>370</v>
      </c>
      <c r="F123" s="94">
        <f ca="1">TblPop[[#This Row],[Peasants]]</f>
        <v>1800</v>
      </c>
      <c r="G123" s="94">
        <f ca="1">TblMili[[#This Row],[Networth (2)]]</f>
        <v>9150</v>
      </c>
      <c r="H123" s="94">
        <f ca="1">OFFSET(TblProd[[#This Row],[Platinum]],-1,0)+OFFSET(TblProd[[#This Row],[Plat/hr]],-1,0) - TblProd[[#This Row],[Expenses Platinum]] + IF(TblProd[[#This Row],[Plat Bonus]],TblPop[[#This Row],[Peasants]]*4) + SUM(TblConstr[[#This Row],[Dest Hom]:[Dest Doc]])*TblConstr[[#This Row],[CPA Platinum -DB]]*tech_3_3_2*TblTech[[#This Row],[3-3]]</f>
        <v>1508923</v>
      </c>
      <c r="I123" s="94">
        <f ca="1">OFFSET(TblProd[[#This Row],[Food]],-1,0)+OFFSET(TblProd[[#This Row],[Food/hr]],-1,0)+ROUNDUP((TblConstr[[#This Row],[Farms]]*80+TblConstr[[#This Row],[Docks]]*35)*(1+OFFSET(TblProd[[#This Row],[Bonus Food/hr]],-1,0)),0)</f>
        <v>75477</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56853</v>
      </c>
      <c r="L123" s="94">
        <f ca="1">OFFSET(TblProd[[#This Row],[Ore]],-1,0)+OFFSET(TblProd[[#This Row],[Ore/hr]],-1,0) -TblProd[[#This Row],[Expenses Ore]]</f>
        <v>0</v>
      </c>
      <c r="M123" s="94">
        <f ca="1">OFFSET(TblProd[[#This Row],[Gems]],-1,0)+OFFSET(TblProd[[#This Row],[Gems/hr]],-1,0) - TblProd[[#This Row],[Expenses Gems]]</f>
        <v>89250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5117</v>
      </c>
      <c r="Q123" s="94">
        <f ca="1">MAX(3750,_xlfn.CEILING.MATH(TblProd[[#This Row],[Land]]*2.5+OFFSET(TblTech[[#This Row],[Sum of tech]],-1,0)*150))</f>
        <v>3750</v>
      </c>
      <c r="R123" s="142"/>
      <c r="S123" s="94">
        <f ca="1">ROUNDDOWN(TblProd[[#This Row],[Raw Plat/hr]]*(1+TblProd[[#This Row],[Bonus Plat/hr]]),0)</f>
        <v>7110</v>
      </c>
      <c r="T123" s="94">
        <f ca="1">ROUND(TblProd[[#This Row],[Raw Food/hr]]*(1+TblProd[[#This Row],[Bonus Food/hr]])-TblProd[[#This Row],[Food decay]]-TblProd[[#This Row],[Food eaten]],0)</f>
        <v>262</v>
      </c>
      <c r="U123" s="94">
        <f ca="1">ROUND(TblProd[[#This Row],[Raw Lumber/hr]]*(1+TblProd[[#This Row],[Bonus Lumber/hr]])-TblProd[[#This Row],[Lumber rot]],0)</f>
        <v>257</v>
      </c>
      <c r="V123" s="94">
        <f ca="1">ROUND(TblProd[[#This Row],[Raw Mana/hr]]*(1+TblProd[[#This Row],[Bonus Mana/hr]])-TblProd[[#This Row],[Mana drain]],0)</f>
        <v>113</v>
      </c>
      <c r="W123" s="94">
        <f ca="1">ROUNDDOWN(TblProd[[#This Row],[Raw Ore/hr]]*(1+TblProd[[#This Row],[Bonux Ore/hr]]),0)</f>
        <v>0</v>
      </c>
      <c r="X123" s="94">
        <f ca="1">ROUNDDOWN(TblProd[[#This Row],[Raw Gems/hr]]*(1+TblProd[[#This Row],[Bonus Gems/hr]]),0)</f>
        <v>750</v>
      </c>
      <c r="Y123" s="155">
        <f ca="1">OFFSET(TblConstr[[#This Row],[Tot Doc]],1,0)*dock_boats_hr * (1 + tech_4_1*TblTech[[#This Row],[4-1]])</f>
        <v>0</v>
      </c>
      <c r="Z123" s="154"/>
      <c r="AA123" s="94">
        <f ca="1">TblPop[[#This Row],[Peasants]]*tax*TblPop[[#This Row],[Employment]] + (Construction!AZ124+Construction!BX124)*(alch_plat+(Magic!AN123&gt;0)*alchemist_flame_bonus)</f>
        <v>7110</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1250</v>
      </c>
      <c r="AE123" s="94">
        <f ca="1">OFFSET(TblConstr[[#This Row],[Tot OM]],1,0)*om_ore+IF(race="Dwarf",TblMili[[#This Row],[Unit 2]]*0.5,0)</f>
        <v>0</v>
      </c>
      <c r="AF123" s="94">
        <f ca="1">OFFSET(TblConstr[[#This Row],[Tot DM]],1,0)*dm_gems</f>
        <v>750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754.77</v>
      </c>
      <c r="AP123" s="94">
        <f ca="1">(1+race_food_consumption)*TblPop[[#This Row],[Total]]*food_per_person*(1+tech_1_10*TblTech[[#This Row],[1-10]]+tech_7_5*TblTech[[#This Row],[7-5]] + IF(TblMagic[[#This Row],[Active Demonic Pact]]&gt;0,demonic_pact_food_cons,0))</f>
        <v>1563.25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1137.06</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45819.958333333045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1508923</v>
      </c>
      <c r="BJ123" s="94">
        <f ca="1">TblProd[[#This Row],[Food]]</f>
        <v>75477</v>
      </c>
      <c r="BK123" s="94">
        <f ca="1">TblProd[[#This Row],[Lumber]]</f>
        <v>74294</v>
      </c>
      <c r="BL123" s="94">
        <f ca="1">TblProd[[#This Row],[Mana]]</f>
        <v>56853</v>
      </c>
      <c r="BM123" s="94">
        <f ca="1">TblProd[[#This Row],[Ore]]</f>
        <v>0</v>
      </c>
    </row>
    <row r="124" spans="1:65" x14ac:dyDescent="0.2">
      <c r="A124" s="137">
        <f t="shared" si="1"/>
        <v>73</v>
      </c>
      <c r="B124" s="152">
        <f ca="1">TblImps[[#This Row],[Time]]</f>
        <v>45819.999999999709</v>
      </c>
      <c r="C124" s="153"/>
      <c r="D124" s="154"/>
      <c r="E124" s="94">
        <f ca="1">TblConstr[[#This Row],[Land]]</f>
        <v>370</v>
      </c>
      <c r="F124" s="94">
        <f ca="1">TblPop[[#This Row],[Peasants]]</f>
        <v>1782</v>
      </c>
      <c r="G124" s="94">
        <f ca="1">TblMili[[#This Row],[Networth (2)]]</f>
        <v>9150</v>
      </c>
      <c r="H124" s="94">
        <f ca="1">OFFSET(TblProd[[#This Row],[Platinum]],-1,0)+OFFSET(TblProd[[#This Row],[Plat/hr]],-1,0) - TblProd[[#This Row],[Expenses Platinum]] + IF(TblProd[[#This Row],[Plat Bonus]],TblPop[[#This Row],[Peasants]]*4) + SUM(TblConstr[[#This Row],[Dest Hom]:[Dest Doc]])*TblConstr[[#This Row],[CPA Platinum -DB]]*tech_3_3_2*TblTech[[#This Row],[3-3]]</f>
        <v>1516033</v>
      </c>
      <c r="I124" s="94">
        <f ca="1">OFFSET(TblProd[[#This Row],[Food]],-1,0)+OFFSET(TblProd[[#This Row],[Food/hr]],-1,0)+ROUNDUP((TblConstr[[#This Row],[Farms]]*80+TblConstr[[#This Row],[Docks]]*35)*(1+OFFSET(TblProd[[#This Row],[Bonus Food/hr]],-1,0)),0)</f>
        <v>75739</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56966</v>
      </c>
      <c r="L124" s="94">
        <f ca="1">OFFSET(TblProd[[#This Row],[Ore]],-1,0)+OFFSET(TblProd[[#This Row],[Ore/hr]],-1,0) -TblProd[[#This Row],[Expenses Ore]]</f>
        <v>0</v>
      </c>
      <c r="M124" s="94">
        <f ca="1">OFFSET(TblProd[[#This Row],[Gems]],-1,0)+OFFSET(TblProd[[#This Row],[Gems/hr]],-1,0) - TblProd[[#This Row],[Expenses Gems]]</f>
        <v>90000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5160</v>
      </c>
      <c r="Q124" s="94">
        <f ca="1">MAX(3750,_xlfn.CEILING.MATH(TblProd[[#This Row],[Land]]*2.5+OFFSET(TblTech[[#This Row],[Sum of tech]],-1,0)*150))</f>
        <v>3750</v>
      </c>
      <c r="R124" s="142"/>
      <c r="S124" s="94">
        <f ca="1">ROUNDDOWN(TblProd[[#This Row],[Raw Plat/hr]]*(1+TblProd[[#This Row],[Bonus Plat/hr]]),0)</f>
        <v>7061</v>
      </c>
      <c r="T124" s="94">
        <f ca="1">ROUND(TblProd[[#This Row],[Raw Food/hr]]*(1+TblProd[[#This Row],[Bonus Food/hr]])-TblProd[[#This Row],[Food decay]]-TblProd[[#This Row],[Food eaten]],0)</f>
        <v>259</v>
      </c>
      <c r="U124" s="94">
        <f ca="1">ROUND(TblProd[[#This Row],[Raw Lumber/hr]]*(1+TblProd[[#This Row],[Bonus Lumber/hr]])-TblProd[[#This Row],[Lumber rot]],0)</f>
        <v>254</v>
      </c>
      <c r="V124" s="94">
        <f ca="1">ROUND(TblProd[[#This Row],[Raw Mana/hr]]*(1+TblProd[[#This Row],[Bonus Mana/hr]])-TblProd[[#This Row],[Mana drain]],0)</f>
        <v>111</v>
      </c>
      <c r="W124" s="94">
        <f ca="1">ROUNDDOWN(TblProd[[#This Row],[Raw Ore/hr]]*(1+TblProd[[#This Row],[Bonux Ore/hr]]),0)</f>
        <v>0</v>
      </c>
      <c r="X124" s="94">
        <f ca="1">ROUNDDOWN(TblProd[[#This Row],[Raw Gems/hr]]*(1+TblProd[[#This Row],[Bonus Gems/hr]]),0)</f>
        <v>750</v>
      </c>
      <c r="Y124" s="155">
        <f ca="1">OFFSET(TblConstr[[#This Row],[Tot Doc]],1,0)*dock_boats_hr * (1 + tech_4_1*TblTech[[#This Row],[4-1]])</f>
        <v>0</v>
      </c>
      <c r="Z124" s="154"/>
      <c r="AA124" s="94">
        <f ca="1">TblPop[[#This Row],[Peasants]]*tax*TblPop[[#This Row],[Employment]] + (Construction!AZ125+Construction!BX125)*(alch_plat+(Magic!AN124&gt;0)*alchemist_flame_bonus)</f>
        <v>7061.4000000000005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1250</v>
      </c>
      <c r="AE124" s="94">
        <f ca="1">OFFSET(TblConstr[[#This Row],[Tot OM]],1,0)*om_ore+IF(race="Dwarf",TblMili[[#This Row],[Unit 2]]*0.5,0)</f>
        <v>0</v>
      </c>
      <c r="AF124" s="94">
        <f ca="1">OFFSET(TblConstr[[#This Row],[Tot DM]],1,0)*dm_gems</f>
        <v>750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757.39</v>
      </c>
      <c r="AP124" s="94">
        <f ca="1">(1+race_food_consumption)*TblPop[[#This Row],[Total]]*food_per_person*(1+tech_1_10*TblTech[[#This Row],[1-10]]+tech_7_5*TblTech[[#This Row],[7-5]] + IF(TblMagic[[#This Row],[Active Demonic Pact]]&gt;0,demonic_pact_food_cons,0))</f>
        <v>1563.25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1139.32</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45819.999999999709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1516033</v>
      </c>
      <c r="BJ124" s="94">
        <f ca="1">TblProd[[#This Row],[Food]]</f>
        <v>75739</v>
      </c>
      <c r="BK124" s="94">
        <f ca="1">TblProd[[#This Row],[Lumber]]</f>
        <v>74551</v>
      </c>
      <c r="BL124" s="94">
        <f ca="1">TblProd[[#This Row],[Mana]]</f>
        <v>56966</v>
      </c>
      <c r="BM124" s="94">
        <f ca="1">TblProd[[#This Row],[Ore]]</f>
        <v>0</v>
      </c>
    </row>
    <row r="125" spans="1:65" x14ac:dyDescent="0.2">
      <c r="A125" s="137">
        <f t="shared" si="1"/>
        <v>74</v>
      </c>
      <c r="B125" s="152">
        <f ca="1">TblImps[[#This Row],[Time]]</f>
        <v>45820.041666666373</v>
      </c>
      <c r="C125" s="153"/>
      <c r="D125" s="154"/>
      <c r="E125" s="94">
        <f ca="1">TblConstr[[#This Row],[Land]]</f>
        <v>370</v>
      </c>
      <c r="F125" s="94">
        <f ca="1">TblPop[[#This Row],[Peasants]]</f>
        <v>1764</v>
      </c>
      <c r="G125" s="94">
        <f ca="1">TblMili[[#This Row],[Networth (2)]]</f>
        <v>9150</v>
      </c>
      <c r="H125" s="94">
        <f ca="1">OFFSET(TblProd[[#This Row],[Platinum]],-1,0)+OFFSET(TblProd[[#This Row],[Plat/hr]],-1,0) - TblProd[[#This Row],[Expenses Platinum]] + IF(TblProd[[#This Row],[Plat Bonus]],TblPop[[#This Row],[Peasants]]*4) + SUM(TblConstr[[#This Row],[Dest Hom]:[Dest Doc]])*TblConstr[[#This Row],[CPA Platinum -DB]]*tech_3_3_2*TblTech[[#This Row],[3-3]]</f>
        <v>1523094</v>
      </c>
      <c r="I125" s="94">
        <f ca="1">OFFSET(TblProd[[#This Row],[Food]],-1,0)+OFFSET(TblProd[[#This Row],[Food/hr]],-1,0)+ROUNDUP((TblConstr[[#This Row],[Farms]]*80+TblConstr[[#This Row],[Docks]]*35)*(1+OFFSET(TblProd[[#This Row],[Bonus Food/hr]],-1,0)),0)</f>
        <v>75998</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57077</v>
      </c>
      <c r="L125" s="94">
        <f ca="1">OFFSET(TblProd[[#This Row],[Ore]],-1,0)+OFFSET(TblProd[[#This Row],[Ore/hr]],-1,0) -TblProd[[#This Row],[Expenses Ore]]</f>
        <v>0</v>
      </c>
      <c r="M125" s="94">
        <f ca="1">OFFSET(TblProd[[#This Row],[Gems]],-1,0)+OFFSET(TblProd[[#This Row],[Gems/hr]],-1,0) - TblProd[[#This Row],[Expenses Gems]]</f>
        <v>90750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5203</v>
      </c>
      <c r="Q125" s="94">
        <f ca="1">MAX(3750,_xlfn.CEILING.MATH(TblProd[[#This Row],[Land]]*2.5+OFFSET(TblTech[[#This Row],[Sum of tech]],-1,0)*150))</f>
        <v>3750</v>
      </c>
      <c r="R125" s="142"/>
      <c r="S125" s="94">
        <f ca="1">ROUNDDOWN(TblProd[[#This Row],[Raw Plat/hr]]*(1+TblProd[[#This Row],[Bonus Plat/hr]]),0)</f>
        <v>7012</v>
      </c>
      <c r="T125" s="94">
        <f ca="1">ROUND(TblProd[[#This Row],[Raw Food/hr]]*(1+TblProd[[#This Row],[Bonus Food/hr]])-TblProd[[#This Row],[Food decay]]-TblProd[[#This Row],[Food eaten]],0)</f>
        <v>257</v>
      </c>
      <c r="U125" s="94">
        <f ca="1">ROUND(TblProd[[#This Row],[Raw Lumber/hr]]*(1+TblProd[[#This Row],[Bonus Lumber/hr]])-TblProd[[#This Row],[Lumber rot]],0)</f>
        <v>252</v>
      </c>
      <c r="V125" s="94">
        <f ca="1">ROUND(TblProd[[#This Row],[Raw Mana/hr]]*(1+TblProd[[#This Row],[Bonus Mana/hr]])-TblProd[[#This Row],[Mana drain]],0)</f>
        <v>108</v>
      </c>
      <c r="W125" s="94">
        <f ca="1">ROUNDDOWN(TblProd[[#This Row],[Raw Ore/hr]]*(1+TblProd[[#This Row],[Bonux Ore/hr]]),0)</f>
        <v>0</v>
      </c>
      <c r="X125" s="94">
        <f ca="1">ROUNDDOWN(TblProd[[#This Row],[Raw Gems/hr]]*(1+TblProd[[#This Row],[Bonus Gems/hr]]),0)</f>
        <v>750</v>
      </c>
      <c r="Y125" s="155">
        <f ca="1">OFFSET(TblConstr[[#This Row],[Tot Doc]],1,0)*dock_boats_hr * (1 + tech_4_1*TblTech[[#This Row],[4-1]])</f>
        <v>0</v>
      </c>
      <c r="Z125" s="154"/>
      <c r="AA125" s="94">
        <f ca="1">TblPop[[#This Row],[Peasants]]*tax*TblPop[[#This Row],[Employment]] + (Construction!AZ126+Construction!BX126)*(alch_plat+(Magic!AN125&gt;0)*alchemist_flame_bonus)</f>
        <v>7012.8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1250</v>
      </c>
      <c r="AE125" s="94">
        <f ca="1">OFFSET(TblConstr[[#This Row],[Tot OM]],1,0)*om_ore+IF(race="Dwarf",TblMili[[#This Row],[Unit 2]]*0.5,0)</f>
        <v>0</v>
      </c>
      <c r="AF125" s="94">
        <f ca="1">OFFSET(TblConstr[[#This Row],[Tot DM]],1,0)*dm_gems</f>
        <v>750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759.98</v>
      </c>
      <c r="AP125" s="94">
        <f ca="1">(1+race_food_consumption)*TblPop[[#This Row],[Total]]*food_per_person*(1+tech_1_10*TblTech[[#This Row],[1-10]]+tech_7_5*TblTech[[#This Row],[7-5]] + IF(TblMagic[[#This Row],[Active Demonic Pact]]&gt;0,demonic_pact_food_cons,0))</f>
        <v>1563.25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1141.54</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45820.041666666373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1523094</v>
      </c>
      <c r="BJ125" s="94">
        <f ca="1">TblProd[[#This Row],[Food]]</f>
        <v>75998</v>
      </c>
      <c r="BK125" s="94">
        <f ca="1">TblProd[[#This Row],[Lumber]]</f>
        <v>74805</v>
      </c>
      <c r="BL125" s="94">
        <f ca="1">TblProd[[#This Row],[Mana]]</f>
        <v>57077</v>
      </c>
      <c r="BM125" s="94">
        <f ca="1">TblProd[[#This Row],[Ore]]</f>
        <v>0</v>
      </c>
    </row>
    <row r="126" spans="1:65" x14ac:dyDescent="0.2">
      <c r="A126" s="137">
        <f t="shared" si="1"/>
        <v>75</v>
      </c>
      <c r="B126" s="152">
        <f ca="1">TblImps[[#This Row],[Time]]</f>
        <v>45820.083333333037</v>
      </c>
      <c r="C126" s="153"/>
      <c r="D126" s="154"/>
      <c r="E126" s="94">
        <f ca="1">TblConstr[[#This Row],[Land]]</f>
        <v>370</v>
      </c>
      <c r="F126" s="94">
        <f ca="1">TblPop[[#This Row],[Peasants]]</f>
        <v>1746</v>
      </c>
      <c r="G126" s="94">
        <f ca="1">TblMili[[#This Row],[Networth (2)]]</f>
        <v>9150</v>
      </c>
      <c r="H126" s="94">
        <f ca="1">OFFSET(TblProd[[#This Row],[Platinum]],-1,0)+OFFSET(TblProd[[#This Row],[Plat/hr]],-1,0) - TblProd[[#This Row],[Expenses Platinum]] + IF(TblProd[[#This Row],[Plat Bonus]],TblPop[[#This Row],[Peasants]]*4) + SUM(TblConstr[[#This Row],[Dest Hom]:[Dest Doc]])*TblConstr[[#This Row],[CPA Platinum -DB]]*tech_3_3_2*TblTech[[#This Row],[3-3]]</f>
        <v>1530106</v>
      </c>
      <c r="I126" s="94">
        <f ca="1">OFFSET(TblProd[[#This Row],[Food]],-1,0)+OFFSET(TblProd[[#This Row],[Food/hr]],-1,0)+ROUNDUP((TblConstr[[#This Row],[Farms]]*80+TblConstr[[#This Row],[Docks]]*35)*(1+OFFSET(TblProd[[#This Row],[Bonus Food/hr]],-1,0)),0)</f>
        <v>76255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57185</v>
      </c>
      <c r="L126" s="94">
        <f ca="1">OFFSET(TblProd[[#This Row],[Ore]],-1,0)+OFFSET(TblProd[[#This Row],[Ore/hr]],-1,0) -TblProd[[#This Row],[Expenses Ore]]</f>
        <v>0</v>
      </c>
      <c r="M126" s="94">
        <f ca="1">OFFSET(TblProd[[#This Row],[Gems]],-1,0)+OFFSET(TblProd[[#This Row],[Gems/hr]],-1,0) - TblProd[[#This Row],[Expenses Gems]]</f>
        <v>91500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5246</v>
      </c>
      <c r="Q126" s="94">
        <f ca="1">MAX(3750,_xlfn.CEILING.MATH(TblProd[[#This Row],[Land]]*2.5+OFFSET(TblTech[[#This Row],[Sum of tech]],-1,0)*150))</f>
        <v>3750</v>
      </c>
      <c r="R126" s="142"/>
      <c r="S126" s="94">
        <f ca="1">ROUNDDOWN(TblProd[[#This Row],[Raw Plat/hr]]*(1+TblProd[[#This Row],[Bonus Plat/hr]]),0)</f>
        <v>6964</v>
      </c>
      <c r="T126" s="94">
        <f ca="1">ROUND(TblProd[[#This Row],[Raw Food/hr]]*(1+TblProd[[#This Row],[Bonus Food/hr]])-TblProd[[#This Row],[Food decay]]-TblProd[[#This Row],[Food eaten]],0)</f>
        <v>254</v>
      </c>
      <c r="U126" s="94">
        <f ca="1">ROUND(TblProd[[#This Row],[Raw Lumber/hr]]*(1+TblProd[[#This Row],[Bonus Lumber/hr]])-TblProd[[#This Row],[Lumber rot]],0)</f>
        <v>249</v>
      </c>
      <c r="V126" s="94">
        <f ca="1">ROUND(TblProd[[#This Row],[Raw Mana/hr]]*(1+TblProd[[#This Row],[Bonus Mana/hr]])-TblProd[[#This Row],[Mana drain]],0)</f>
        <v>106</v>
      </c>
      <c r="W126" s="94">
        <f ca="1">ROUNDDOWN(TblProd[[#This Row],[Raw Ore/hr]]*(1+TblProd[[#This Row],[Bonux Ore/hr]]),0)</f>
        <v>0</v>
      </c>
      <c r="X126" s="94">
        <f ca="1">ROUNDDOWN(TblProd[[#This Row],[Raw Gems/hr]]*(1+TblProd[[#This Row],[Bonus Gems/hr]]),0)</f>
        <v>750</v>
      </c>
      <c r="Y126" s="155">
        <f ca="1">OFFSET(TblConstr[[#This Row],[Tot Doc]],1,0)*dock_boats_hr * (1 + tech_4_1*TblTech[[#This Row],[4-1]])</f>
        <v>0</v>
      </c>
      <c r="Z126" s="154"/>
      <c r="AA126" s="94">
        <f ca="1">TblPop[[#This Row],[Peasants]]*tax*TblPop[[#This Row],[Employment]] + (Construction!AZ127+Construction!BX127)*(alch_plat+(Magic!AN126&gt;0)*alchemist_flame_bonus)</f>
        <v>6964.2000000000007</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1250</v>
      </c>
      <c r="AE126" s="94">
        <f ca="1">OFFSET(TblConstr[[#This Row],[Tot OM]],1,0)*om_ore+IF(race="Dwarf",TblMili[[#This Row],[Unit 2]]*0.5,0)</f>
        <v>0</v>
      </c>
      <c r="AF126" s="94">
        <f ca="1">OFFSET(TblConstr[[#This Row],[Tot DM]],1,0)*dm_gems</f>
        <v>750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762.55000000000007</v>
      </c>
      <c r="AP126" s="94">
        <f ca="1">(1+race_food_consumption)*TblPop[[#This Row],[Total]]*food_per_person*(1+tech_1_10*TblTech[[#This Row],[1-10]]+tech_7_5*TblTech[[#This Row],[7-5]] + IF(TblMagic[[#This Row],[Active Demonic Pact]]&gt;0,demonic_pact_food_cons,0))</f>
        <v>1563.25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1143.7</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45820.083333333037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1530106</v>
      </c>
      <c r="BJ126" s="94">
        <f ca="1">TblProd[[#This Row],[Food]]</f>
        <v>76255</v>
      </c>
      <c r="BK126" s="94">
        <f ca="1">TblProd[[#This Row],[Lumber]]</f>
        <v>75057</v>
      </c>
      <c r="BL126" s="94">
        <f ca="1">TblProd[[#This Row],[Mana]]</f>
        <v>57185</v>
      </c>
      <c r="BM126" s="94">
        <f ca="1">TblProd[[#This Row],[Ore]]</f>
        <v>0</v>
      </c>
    </row>
    <row r="127" spans="1:65" x14ac:dyDescent="0.2">
      <c r="A127" s="137">
        <f t="shared" si="1"/>
        <v>76</v>
      </c>
      <c r="B127" s="152">
        <f ca="1">TblImps[[#This Row],[Time]]</f>
        <v>45820.124999999702</v>
      </c>
      <c r="C127" s="153"/>
      <c r="D127" s="154"/>
      <c r="E127" s="94">
        <f ca="1">TblConstr[[#This Row],[Land]]</f>
        <v>370</v>
      </c>
      <c r="F127" s="94">
        <f ca="1">TblPop[[#This Row],[Peasants]]</f>
        <v>1729</v>
      </c>
      <c r="G127" s="94">
        <f ca="1">TblMili[[#This Row],[Networth (2)]]</f>
        <v>9150</v>
      </c>
      <c r="H127" s="94">
        <f ca="1">OFFSET(TblProd[[#This Row],[Platinum]],-1,0)+OFFSET(TblProd[[#This Row],[Plat/hr]],-1,0) - TblProd[[#This Row],[Expenses Platinum]] + IF(TblProd[[#This Row],[Plat Bonus]],TblPop[[#This Row],[Peasants]]*4) + SUM(TblConstr[[#This Row],[Dest Hom]:[Dest Doc]])*TblConstr[[#This Row],[CPA Platinum -DB]]*tech_3_3_2*TblTech[[#This Row],[3-3]]</f>
        <v>1537070</v>
      </c>
      <c r="I127" s="94">
        <f ca="1">OFFSET(TblProd[[#This Row],[Food]],-1,0)+OFFSET(TblProd[[#This Row],[Food/hr]],-1,0)+ROUNDUP((TblConstr[[#This Row],[Farms]]*80+TblConstr[[#This Row],[Docks]]*35)*(1+OFFSET(TblProd[[#This Row],[Bonus Food/hr]],-1,0)),0)</f>
        <v>76509</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57291</v>
      </c>
      <c r="L127" s="94">
        <f ca="1">OFFSET(TblProd[[#This Row],[Ore]],-1,0)+OFFSET(TblProd[[#This Row],[Ore/hr]],-1,0) -TblProd[[#This Row],[Expenses Ore]]</f>
        <v>0</v>
      </c>
      <c r="M127" s="94">
        <f ca="1">OFFSET(TblProd[[#This Row],[Gems]],-1,0)+OFFSET(TblProd[[#This Row],[Gems/hr]],-1,0) - TblProd[[#This Row],[Expenses Gems]]</f>
        <v>92250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5289</v>
      </c>
      <c r="Q127" s="94">
        <f ca="1">MAX(3750,_xlfn.CEILING.MATH(TblProd[[#This Row],[Land]]*2.5+OFFSET(TblTech[[#This Row],[Sum of tech]],-1,0)*150))</f>
        <v>3750</v>
      </c>
      <c r="R127" s="142"/>
      <c r="S127" s="94">
        <f ca="1">ROUNDDOWN(TblProd[[#This Row],[Raw Plat/hr]]*(1+TblProd[[#This Row],[Bonus Plat/hr]]),0)</f>
        <v>6918</v>
      </c>
      <c r="T127" s="94">
        <f ca="1">ROUND(TblProd[[#This Row],[Raw Food/hr]]*(1+TblProd[[#This Row],[Bonus Food/hr]])-TblProd[[#This Row],[Food decay]]-TblProd[[#This Row],[Food eaten]],0)</f>
        <v>252</v>
      </c>
      <c r="U127" s="94">
        <f ca="1">ROUND(TblProd[[#This Row],[Raw Lumber/hr]]*(1+TblProd[[#This Row],[Bonus Lumber/hr]])-TblProd[[#This Row],[Lumber rot]],0)</f>
        <v>247</v>
      </c>
      <c r="V127" s="94">
        <f ca="1">ROUND(TblProd[[#This Row],[Raw Mana/hr]]*(1+TblProd[[#This Row],[Bonus Mana/hr]])-TblProd[[#This Row],[Mana drain]],0)</f>
        <v>104</v>
      </c>
      <c r="W127" s="94">
        <f ca="1">ROUNDDOWN(TblProd[[#This Row],[Raw Ore/hr]]*(1+TblProd[[#This Row],[Bonux Ore/hr]]),0)</f>
        <v>0</v>
      </c>
      <c r="X127" s="94">
        <f ca="1">ROUNDDOWN(TblProd[[#This Row],[Raw Gems/hr]]*(1+TblProd[[#This Row],[Bonus Gems/hr]]),0)</f>
        <v>750</v>
      </c>
      <c r="Y127" s="155">
        <f ca="1">OFFSET(TblConstr[[#This Row],[Tot Doc]],1,0)*dock_boats_hr * (1 + tech_4_1*TblTech[[#This Row],[4-1]])</f>
        <v>0</v>
      </c>
      <c r="Z127" s="154"/>
      <c r="AA127" s="94">
        <f ca="1">TblPop[[#This Row],[Peasants]]*tax*TblPop[[#This Row],[Employment]] + (Construction!AZ128+Construction!BX128)*(alch_plat+(Magic!AN127&gt;0)*alchemist_flame_bonus)</f>
        <v>6918.3</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1250</v>
      </c>
      <c r="AE127" s="94">
        <f ca="1">OFFSET(TblConstr[[#This Row],[Tot OM]],1,0)*om_ore+IF(race="Dwarf",TblMili[[#This Row],[Unit 2]]*0.5,0)</f>
        <v>0</v>
      </c>
      <c r="AF127" s="94">
        <f ca="1">OFFSET(TblConstr[[#This Row],[Tot DM]],1,0)*dm_gems</f>
        <v>750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765.09</v>
      </c>
      <c r="AP127" s="94">
        <f ca="1">(1+race_food_consumption)*TblPop[[#This Row],[Total]]*food_per_person*(1+tech_1_10*TblTech[[#This Row],[1-10]]+tech_7_5*TblTech[[#This Row],[7-5]] + IF(TblMagic[[#This Row],[Active Demonic Pact]]&gt;0,demonic_pact_food_cons,0))</f>
        <v>1563.25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1145.82</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45820.124999999702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1537070</v>
      </c>
      <c r="BJ127" s="94">
        <f ca="1">TblProd[[#This Row],[Food]]</f>
        <v>76509</v>
      </c>
      <c r="BK127" s="94">
        <f ca="1">TblProd[[#This Row],[Lumber]]</f>
        <v>75306</v>
      </c>
      <c r="BL127" s="94">
        <f ca="1">TblProd[[#This Row],[Mana]]</f>
        <v>57291</v>
      </c>
      <c r="BM127" s="94">
        <f ca="1">TblProd[[#This Row],[Ore]]</f>
        <v>0</v>
      </c>
    </row>
    <row r="128" spans="1:65" x14ac:dyDescent="0.2">
      <c r="A128" s="137">
        <f t="shared" si="1"/>
        <v>77</v>
      </c>
      <c r="B128" s="152">
        <f ca="1">TblImps[[#This Row],[Time]]</f>
        <v>45820.166666666366</v>
      </c>
      <c r="C128" s="153"/>
      <c r="D128" s="154"/>
      <c r="E128" s="94">
        <f ca="1">TblConstr[[#This Row],[Land]]</f>
        <v>370</v>
      </c>
      <c r="F128" s="94">
        <f ca="1">TblPop[[#This Row],[Peasants]]</f>
        <v>1712</v>
      </c>
      <c r="G128" s="94">
        <f ca="1">TblMili[[#This Row],[Networth (2)]]</f>
        <v>9150</v>
      </c>
      <c r="H128" s="94">
        <f ca="1">OFFSET(TblProd[[#This Row],[Platinum]],-1,0)+OFFSET(TblProd[[#This Row],[Plat/hr]],-1,0) - TblProd[[#This Row],[Expenses Platinum]] + IF(TblProd[[#This Row],[Plat Bonus]],TblPop[[#This Row],[Peasants]]*4) + SUM(TblConstr[[#This Row],[Dest Hom]:[Dest Doc]])*TblConstr[[#This Row],[CPA Platinum -DB]]*tech_3_3_2*TblTech[[#This Row],[3-3]]</f>
        <v>1543988</v>
      </c>
      <c r="I128" s="94">
        <f ca="1">OFFSET(TblProd[[#This Row],[Food]],-1,0)+OFFSET(TblProd[[#This Row],[Food/hr]],-1,0)+ROUNDUP((TblConstr[[#This Row],[Farms]]*80+TblConstr[[#This Row],[Docks]]*35)*(1+OFFSET(TblProd[[#This Row],[Bonus Food/hr]],-1,0)),0)</f>
        <v>76761</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57395</v>
      </c>
      <c r="L128" s="94">
        <f ca="1">OFFSET(TblProd[[#This Row],[Ore]],-1,0)+OFFSET(TblProd[[#This Row],[Ore/hr]],-1,0) -TblProd[[#This Row],[Expenses Ore]]</f>
        <v>0</v>
      </c>
      <c r="M128" s="94">
        <f ca="1">OFFSET(TblProd[[#This Row],[Gems]],-1,0)+OFFSET(TblProd[[#This Row],[Gems/hr]],-1,0) - TblProd[[#This Row],[Expenses Gems]]</f>
        <v>93000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5332</v>
      </c>
      <c r="Q128" s="94">
        <f ca="1">MAX(3750,_xlfn.CEILING.MATH(TblProd[[#This Row],[Land]]*2.5+OFFSET(TblTech[[#This Row],[Sum of tech]],-1,0)*150))</f>
        <v>3750</v>
      </c>
      <c r="R128" s="142"/>
      <c r="S128" s="94">
        <f ca="1">ROUNDDOWN(TblProd[[#This Row],[Raw Plat/hr]]*(1+TblProd[[#This Row],[Bonus Plat/hr]]),0)</f>
        <v>6872</v>
      </c>
      <c r="T128" s="94">
        <f ca="1">ROUND(TblProd[[#This Row],[Raw Food/hr]]*(1+TblProd[[#This Row],[Bonus Food/hr]])-TblProd[[#This Row],[Food decay]]-TblProd[[#This Row],[Food eaten]],0)</f>
        <v>249</v>
      </c>
      <c r="U128" s="94">
        <f ca="1">ROUND(TblProd[[#This Row],[Raw Lumber/hr]]*(1+TblProd[[#This Row],[Bonus Lumber/hr]])-TblProd[[#This Row],[Lumber rot]],0)</f>
        <v>244</v>
      </c>
      <c r="V128" s="94">
        <f ca="1">ROUND(TblProd[[#This Row],[Raw Mana/hr]]*(1+TblProd[[#This Row],[Bonus Mana/hr]])-TblProd[[#This Row],[Mana drain]],0)</f>
        <v>102</v>
      </c>
      <c r="W128" s="94">
        <f ca="1">ROUNDDOWN(TblProd[[#This Row],[Raw Ore/hr]]*(1+TblProd[[#This Row],[Bonux Ore/hr]]),0)</f>
        <v>0</v>
      </c>
      <c r="X128" s="94">
        <f ca="1">ROUNDDOWN(TblProd[[#This Row],[Raw Gems/hr]]*(1+TblProd[[#This Row],[Bonus Gems/hr]]),0)</f>
        <v>750</v>
      </c>
      <c r="Y128" s="155">
        <f ca="1">OFFSET(TblConstr[[#This Row],[Tot Doc]],1,0)*dock_boats_hr * (1 + tech_4_1*TblTech[[#This Row],[4-1]])</f>
        <v>0</v>
      </c>
      <c r="Z128" s="154"/>
      <c r="AA128" s="94">
        <f ca="1">TblPop[[#This Row],[Peasants]]*tax*TblPop[[#This Row],[Employment]] + (Construction!AZ129+Construction!BX129)*(alch_plat+(Magic!AN128&gt;0)*alchemist_flame_bonus)</f>
        <v>6872.4000000000005</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1250</v>
      </c>
      <c r="AE128" s="94">
        <f ca="1">OFFSET(TblConstr[[#This Row],[Tot OM]],1,0)*om_ore+IF(race="Dwarf",TblMili[[#This Row],[Unit 2]]*0.5,0)</f>
        <v>0</v>
      </c>
      <c r="AF128" s="94">
        <f ca="1">OFFSET(TblConstr[[#This Row],[Tot DM]],1,0)*dm_gems</f>
        <v>750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767.61</v>
      </c>
      <c r="AP128" s="94">
        <f ca="1">(1+race_food_consumption)*TblPop[[#This Row],[Total]]*food_per_person*(1+tech_1_10*TblTech[[#This Row],[1-10]]+tech_7_5*TblTech[[#This Row],[7-5]] + IF(TblMagic[[#This Row],[Active Demonic Pact]]&gt;0,demonic_pact_food_cons,0))</f>
        <v>1563.25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1147.9000000000001</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45820.166666666366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1543988</v>
      </c>
      <c r="BJ128" s="94">
        <f ca="1">TblProd[[#This Row],[Food]]</f>
        <v>76761</v>
      </c>
      <c r="BK128" s="94">
        <f ca="1">TblProd[[#This Row],[Lumber]]</f>
        <v>75553</v>
      </c>
      <c r="BL128" s="94">
        <f ca="1">TblProd[[#This Row],[Mana]]</f>
        <v>57395</v>
      </c>
      <c r="BM128" s="94">
        <f ca="1">TblProd[[#This Row],[Ore]]</f>
        <v>0</v>
      </c>
    </row>
    <row r="129" spans="1:65" x14ac:dyDescent="0.2">
      <c r="A129" s="137">
        <f t="shared" si="1"/>
        <v>78</v>
      </c>
      <c r="B129" s="152">
        <f ca="1">TblImps[[#This Row],[Time]]</f>
        <v>45820.20833333303</v>
      </c>
      <c r="C129" s="153"/>
      <c r="D129" s="154"/>
      <c r="E129" s="94">
        <f ca="1">TblConstr[[#This Row],[Land]]</f>
        <v>370</v>
      </c>
      <c r="F129" s="94">
        <f ca="1">TblPop[[#This Row],[Peasants]]</f>
        <v>1695</v>
      </c>
      <c r="G129" s="94">
        <f ca="1">TblMili[[#This Row],[Networth (2)]]</f>
        <v>9150</v>
      </c>
      <c r="H129" s="94">
        <f ca="1">OFFSET(TblProd[[#This Row],[Platinum]],-1,0)+OFFSET(TblProd[[#This Row],[Plat/hr]],-1,0) - TblProd[[#This Row],[Expenses Platinum]] + IF(TblProd[[#This Row],[Plat Bonus]],TblPop[[#This Row],[Peasants]]*4) + SUM(TblConstr[[#This Row],[Dest Hom]:[Dest Doc]])*TblConstr[[#This Row],[CPA Platinum -DB]]*tech_3_3_2*TblTech[[#This Row],[3-3]]</f>
        <v>1550860</v>
      </c>
      <c r="I129" s="94">
        <f ca="1">OFFSET(TblProd[[#This Row],[Food]],-1,0)+OFFSET(TblProd[[#This Row],[Food/hr]],-1,0)+ROUNDUP((TblConstr[[#This Row],[Farms]]*80+TblConstr[[#This Row],[Docks]]*35)*(1+OFFSET(TblProd[[#This Row],[Bonus Food/hr]],-1,0)),0)</f>
        <v>77010</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57497</v>
      </c>
      <c r="L129" s="94">
        <f ca="1">OFFSET(TblProd[[#This Row],[Ore]],-1,0)+OFFSET(TblProd[[#This Row],[Ore/hr]],-1,0) -TblProd[[#This Row],[Expenses Ore]]</f>
        <v>0</v>
      </c>
      <c r="M129" s="94">
        <f ca="1">OFFSET(TblProd[[#This Row],[Gems]],-1,0)+OFFSET(TblProd[[#This Row],[Gems/hr]],-1,0) - TblProd[[#This Row],[Expenses Gems]]</f>
        <v>93750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5375</v>
      </c>
      <c r="Q129" s="94">
        <f ca="1">MAX(3750,_xlfn.CEILING.MATH(TblProd[[#This Row],[Land]]*2.5+OFFSET(TblTech[[#This Row],[Sum of tech]],-1,0)*150))</f>
        <v>3750</v>
      </c>
      <c r="R129" s="142"/>
      <c r="S129" s="94">
        <f ca="1">ROUNDDOWN(TblProd[[#This Row],[Raw Plat/hr]]*(1+TblProd[[#This Row],[Bonus Plat/hr]]),0)</f>
        <v>6826</v>
      </c>
      <c r="T129" s="94">
        <f ca="1">ROUND(TblProd[[#This Row],[Raw Food/hr]]*(1+TblProd[[#This Row],[Bonus Food/hr]])-TblProd[[#This Row],[Food decay]]-TblProd[[#This Row],[Food eaten]],0)</f>
        <v>247</v>
      </c>
      <c r="U129" s="94">
        <f ca="1">ROUND(TblProd[[#This Row],[Raw Lumber/hr]]*(1+TblProd[[#This Row],[Bonus Lumber/hr]])-TblProd[[#This Row],[Lumber rot]],0)</f>
        <v>242</v>
      </c>
      <c r="V129" s="94">
        <f ca="1">ROUND(TblProd[[#This Row],[Raw Mana/hr]]*(1+TblProd[[#This Row],[Bonus Mana/hr]])-TblProd[[#This Row],[Mana drain]],0)</f>
        <v>100</v>
      </c>
      <c r="W129" s="94">
        <f ca="1">ROUNDDOWN(TblProd[[#This Row],[Raw Ore/hr]]*(1+TblProd[[#This Row],[Bonux Ore/hr]]),0)</f>
        <v>0</v>
      </c>
      <c r="X129" s="94">
        <f ca="1">ROUNDDOWN(TblProd[[#This Row],[Raw Gems/hr]]*(1+TblProd[[#This Row],[Bonus Gems/hr]]),0)</f>
        <v>750</v>
      </c>
      <c r="Y129" s="155">
        <f ca="1">OFFSET(TblConstr[[#This Row],[Tot Doc]],1,0)*dock_boats_hr * (1 + tech_4_1*TblTech[[#This Row],[4-1]])</f>
        <v>0</v>
      </c>
      <c r="Z129" s="154"/>
      <c r="AA129" s="94">
        <f ca="1">TblPop[[#This Row],[Peasants]]*tax*TblPop[[#This Row],[Employment]] + (Construction!AZ130+Construction!BX130)*(alch_plat+(Magic!AN129&gt;0)*alchemist_flame_bonus)</f>
        <v>6826.5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1250</v>
      </c>
      <c r="AE129" s="94">
        <f ca="1">OFFSET(TblConstr[[#This Row],[Tot OM]],1,0)*om_ore+IF(race="Dwarf",TblMili[[#This Row],[Unit 2]]*0.5,0)</f>
        <v>0</v>
      </c>
      <c r="AF129" s="94">
        <f ca="1">OFFSET(TblConstr[[#This Row],[Tot DM]],1,0)*dm_gems</f>
        <v>750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770.1</v>
      </c>
      <c r="AP129" s="94">
        <f ca="1">(1+race_food_consumption)*TblPop[[#This Row],[Total]]*food_per_person*(1+tech_1_10*TblTech[[#This Row],[1-10]]+tech_7_5*TblTech[[#This Row],[7-5]] + IF(TblMagic[[#This Row],[Active Demonic Pact]]&gt;0,demonic_pact_food_cons,0))</f>
        <v>1563.25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1149.94</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45820.20833333303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1550860</v>
      </c>
      <c r="BJ129" s="94">
        <f ca="1">TblProd[[#This Row],[Food]]</f>
        <v>77010</v>
      </c>
      <c r="BK129" s="94">
        <f ca="1">TblProd[[#This Row],[Lumber]]</f>
        <v>75797</v>
      </c>
      <c r="BL129" s="94">
        <f ca="1">TblProd[[#This Row],[Mana]]</f>
        <v>57497</v>
      </c>
      <c r="BM129" s="94">
        <f ca="1">TblProd[[#This Row],[Ore]]</f>
        <v>0</v>
      </c>
    </row>
    <row r="130" spans="1:65" x14ac:dyDescent="0.2">
      <c r="A130" s="137">
        <f t="shared" si="1"/>
        <v>79</v>
      </c>
      <c r="B130" s="152">
        <f ca="1">TblImps[[#This Row],[Time]]</f>
        <v>45820.249999999694</v>
      </c>
      <c r="C130" s="153"/>
      <c r="D130" s="154"/>
      <c r="E130" s="94">
        <f ca="1">TblConstr[[#This Row],[Land]]</f>
        <v>370</v>
      </c>
      <c r="F130" s="94">
        <f ca="1">TblPop[[#This Row],[Peasants]]</f>
        <v>1678</v>
      </c>
      <c r="G130" s="94">
        <f ca="1">TblMili[[#This Row],[Networth (2)]]</f>
        <v>9150</v>
      </c>
      <c r="H130" s="94">
        <f ca="1">OFFSET(TblProd[[#This Row],[Platinum]],-1,0)+OFFSET(TblProd[[#This Row],[Plat/hr]],-1,0) - TblProd[[#This Row],[Expenses Platinum]] + IF(TblProd[[#This Row],[Plat Bonus]],TblPop[[#This Row],[Peasants]]*4) + SUM(TblConstr[[#This Row],[Dest Hom]:[Dest Doc]])*TblConstr[[#This Row],[CPA Platinum -DB]]*tech_3_3_2*TblTech[[#This Row],[3-3]]</f>
        <v>1557686</v>
      </c>
      <c r="I130" s="94">
        <f ca="1">OFFSET(TblProd[[#This Row],[Food]],-1,0)+OFFSET(TblProd[[#This Row],[Food/hr]],-1,0)+ROUNDUP((TblConstr[[#This Row],[Farms]]*80+TblConstr[[#This Row],[Docks]]*35)*(1+OFFSET(TblProd[[#This Row],[Bonus Food/hr]],-1,0)),0)</f>
        <v>77257</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57597</v>
      </c>
      <c r="L130" s="94">
        <f ca="1">OFFSET(TblProd[[#This Row],[Ore]],-1,0)+OFFSET(TblProd[[#This Row],[Ore/hr]],-1,0) -TblProd[[#This Row],[Expenses Ore]]</f>
        <v>0</v>
      </c>
      <c r="M130" s="94">
        <f ca="1">OFFSET(TblProd[[#This Row],[Gems]],-1,0)+OFFSET(TblProd[[#This Row],[Gems/hr]],-1,0) - TblProd[[#This Row],[Expenses Gems]]</f>
        <v>94500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5418</v>
      </c>
      <c r="Q130" s="94">
        <f ca="1">MAX(3750,_xlfn.CEILING.MATH(TblProd[[#This Row],[Land]]*2.5+OFFSET(TblTech[[#This Row],[Sum of tech]],-1,0)*150))</f>
        <v>3750</v>
      </c>
      <c r="R130" s="142"/>
      <c r="S130" s="94">
        <f ca="1">ROUNDDOWN(TblProd[[#This Row],[Raw Plat/hr]]*(1+TblProd[[#This Row],[Bonus Plat/hr]]),0)</f>
        <v>6780</v>
      </c>
      <c r="T130" s="94">
        <f ca="1">ROUND(TblProd[[#This Row],[Raw Food/hr]]*(1+TblProd[[#This Row],[Bonus Food/hr]])-TblProd[[#This Row],[Food decay]]-TblProd[[#This Row],[Food eaten]],0)</f>
        <v>244</v>
      </c>
      <c r="U130" s="94">
        <f ca="1">ROUND(TblProd[[#This Row],[Raw Lumber/hr]]*(1+TblProd[[#This Row],[Bonus Lumber/hr]])-TblProd[[#This Row],[Lumber rot]],0)</f>
        <v>240</v>
      </c>
      <c r="V130" s="94">
        <f ca="1">ROUND(TblProd[[#This Row],[Raw Mana/hr]]*(1+TblProd[[#This Row],[Bonus Mana/hr]])-TblProd[[#This Row],[Mana drain]],0)</f>
        <v>98</v>
      </c>
      <c r="W130" s="94">
        <f ca="1">ROUNDDOWN(TblProd[[#This Row],[Raw Ore/hr]]*(1+TblProd[[#This Row],[Bonux Ore/hr]]),0)</f>
        <v>0</v>
      </c>
      <c r="X130" s="94">
        <f ca="1">ROUNDDOWN(TblProd[[#This Row],[Raw Gems/hr]]*(1+TblProd[[#This Row],[Bonus Gems/hr]]),0)</f>
        <v>750</v>
      </c>
      <c r="Y130" s="155">
        <f ca="1">OFFSET(TblConstr[[#This Row],[Tot Doc]],1,0)*dock_boats_hr * (1 + tech_4_1*TblTech[[#This Row],[4-1]])</f>
        <v>0</v>
      </c>
      <c r="Z130" s="154"/>
      <c r="AA130" s="94">
        <f ca="1">TblPop[[#This Row],[Peasants]]*tax*TblPop[[#This Row],[Employment]] + (Construction!AZ131+Construction!BX131)*(alch_plat+(Magic!AN130&gt;0)*alchemist_flame_bonus)</f>
        <v>6780.6</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1250</v>
      </c>
      <c r="AE130" s="94">
        <f ca="1">OFFSET(TblConstr[[#This Row],[Tot OM]],1,0)*om_ore+IF(race="Dwarf",TblMili[[#This Row],[Unit 2]]*0.5,0)</f>
        <v>0</v>
      </c>
      <c r="AF130" s="94">
        <f ca="1">OFFSET(TblConstr[[#This Row],[Tot DM]],1,0)*dm_gems</f>
        <v>750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772.57</v>
      </c>
      <c r="AP130" s="94">
        <f ca="1">(1+race_food_consumption)*TblPop[[#This Row],[Total]]*food_per_person*(1+tech_1_10*TblTech[[#This Row],[1-10]]+tech_7_5*TblTech[[#This Row],[7-5]] + IF(TblMagic[[#This Row],[Active Demonic Pact]]&gt;0,demonic_pact_food_cons,0))</f>
        <v>1563.25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1151.94</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45820.249999999694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1557686</v>
      </c>
      <c r="BJ130" s="94">
        <f ca="1">TblProd[[#This Row],[Food]]</f>
        <v>77257</v>
      </c>
      <c r="BK130" s="94">
        <f ca="1">TblProd[[#This Row],[Lumber]]</f>
        <v>76039</v>
      </c>
      <c r="BL130" s="94">
        <f ca="1">TblProd[[#This Row],[Mana]]</f>
        <v>57597</v>
      </c>
      <c r="BM130" s="94">
        <f ca="1">TblProd[[#This Row],[Ore]]</f>
        <v>0</v>
      </c>
    </row>
    <row r="131" spans="1:65" x14ac:dyDescent="0.2">
      <c r="A131" s="137">
        <f t="shared" si="1"/>
        <v>80</v>
      </c>
      <c r="B131" s="152">
        <f ca="1">TblImps[[#This Row],[Time]]</f>
        <v>45820.291666666359</v>
      </c>
      <c r="C131" s="153"/>
      <c r="D131" s="154"/>
      <c r="E131" s="94">
        <f ca="1">TblConstr[[#This Row],[Land]]</f>
        <v>370</v>
      </c>
      <c r="F131" s="94">
        <f ca="1">TblPop[[#This Row],[Peasants]]</f>
        <v>1661</v>
      </c>
      <c r="G131" s="94">
        <f ca="1">TblMili[[#This Row],[Networth (2)]]</f>
        <v>9150</v>
      </c>
      <c r="H131" s="94">
        <f ca="1">OFFSET(TblProd[[#This Row],[Platinum]],-1,0)+OFFSET(TblProd[[#This Row],[Plat/hr]],-1,0) - TblProd[[#This Row],[Expenses Platinum]] + IF(TblProd[[#This Row],[Plat Bonus]],TblPop[[#This Row],[Peasants]]*4) + SUM(TblConstr[[#This Row],[Dest Hom]:[Dest Doc]])*TblConstr[[#This Row],[CPA Platinum -DB]]*tech_3_3_2*TblTech[[#This Row],[3-3]]</f>
        <v>1564466</v>
      </c>
      <c r="I131" s="94">
        <f ca="1">OFFSET(TblProd[[#This Row],[Food]],-1,0)+OFFSET(TblProd[[#This Row],[Food/hr]],-1,0)+ROUNDUP((TblConstr[[#This Row],[Farms]]*80+TblConstr[[#This Row],[Docks]]*35)*(1+OFFSET(TblProd[[#This Row],[Bonus Food/hr]],-1,0)),0)</f>
        <v>77501</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57695</v>
      </c>
      <c r="L131" s="94">
        <f ca="1">OFFSET(TblProd[[#This Row],[Ore]],-1,0)+OFFSET(TblProd[[#This Row],[Ore/hr]],-1,0) -TblProd[[#This Row],[Expenses Ore]]</f>
        <v>0</v>
      </c>
      <c r="M131" s="94">
        <f ca="1">OFFSET(TblProd[[#This Row],[Gems]],-1,0)+OFFSET(TblProd[[#This Row],[Gems/hr]],-1,0) - TblProd[[#This Row],[Expenses Gems]]</f>
        <v>95250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5461</v>
      </c>
      <c r="Q131" s="94">
        <f ca="1">MAX(3750,_xlfn.CEILING.MATH(TblProd[[#This Row],[Land]]*2.5+OFFSET(TblTech[[#This Row],[Sum of tech]],-1,0)*150))</f>
        <v>3750</v>
      </c>
      <c r="R131" s="142"/>
      <c r="S131" s="94">
        <f ca="1">ROUNDDOWN(TblProd[[#This Row],[Raw Plat/hr]]*(1+TblProd[[#This Row],[Bonus Plat/hr]]),0)</f>
        <v>6734</v>
      </c>
      <c r="T131" s="94">
        <f ca="1">ROUND(TblProd[[#This Row],[Raw Food/hr]]*(1+TblProd[[#This Row],[Bonus Food/hr]])-TblProd[[#This Row],[Food decay]]-TblProd[[#This Row],[Food eaten]],0)</f>
        <v>242</v>
      </c>
      <c r="U131" s="94">
        <f ca="1">ROUND(TblProd[[#This Row],[Raw Lumber/hr]]*(1+TblProd[[#This Row],[Bonus Lumber/hr]])-TblProd[[#This Row],[Lumber rot]],0)</f>
        <v>237</v>
      </c>
      <c r="V131" s="94">
        <f ca="1">ROUND(TblProd[[#This Row],[Raw Mana/hr]]*(1+TblProd[[#This Row],[Bonus Mana/hr]])-TblProd[[#This Row],[Mana drain]],0)</f>
        <v>96</v>
      </c>
      <c r="W131" s="94">
        <f ca="1">ROUNDDOWN(TblProd[[#This Row],[Raw Ore/hr]]*(1+TblProd[[#This Row],[Bonux Ore/hr]]),0)</f>
        <v>0</v>
      </c>
      <c r="X131" s="94">
        <f ca="1">ROUNDDOWN(TblProd[[#This Row],[Raw Gems/hr]]*(1+TblProd[[#This Row],[Bonus Gems/hr]]),0)</f>
        <v>750</v>
      </c>
      <c r="Y131" s="155">
        <f ca="1">OFFSET(TblConstr[[#This Row],[Tot Doc]],1,0)*dock_boats_hr * (1 + tech_4_1*TblTech[[#This Row],[4-1]])</f>
        <v>0</v>
      </c>
      <c r="Z131" s="154"/>
      <c r="AA131" s="94">
        <f ca="1">TblPop[[#This Row],[Peasants]]*tax*TblPop[[#This Row],[Employment]] + (Construction!AZ132+Construction!BX132)*(alch_plat+(Magic!AN131&gt;0)*alchemist_flame_bonus)</f>
        <v>6734.7000000000007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1250</v>
      </c>
      <c r="AE131" s="94">
        <f ca="1">OFFSET(TblConstr[[#This Row],[Tot OM]],1,0)*om_ore+IF(race="Dwarf",TblMili[[#This Row],[Unit 2]]*0.5,0)</f>
        <v>0</v>
      </c>
      <c r="AF131" s="94">
        <f ca="1">OFFSET(TblConstr[[#This Row],[Tot DM]],1,0)*dm_gems</f>
        <v>750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775.01</v>
      </c>
      <c r="AP131" s="94">
        <f ca="1">(1+race_food_consumption)*TblPop[[#This Row],[Total]]*food_per_person*(1+tech_1_10*TblTech[[#This Row],[1-10]]+tech_7_5*TblTech[[#This Row],[7-5]] + IF(TblMagic[[#This Row],[Active Demonic Pact]]&gt;0,demonic_pact_food_cons,0))</f>
        <v>1563.25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1153.9000000000001</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45820.291666666359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1564466</v>
      </c>
      <c r="BJ131" s="94">
        <f ca="1">TblProd[[#This Row],[Food]]</f>
        <v>77501</v>
      </c>
      <c r="BK131" s="94">
        <f ca="1">TblProd[[#This Row],[Lumber]]</f>
        <v>76279</v>
      </c>
      <c r="BL131" s="94">
        <f ca="1">TblProd[[#This Row],[Mana]]</f>
        <v>57695</v>
      </c>
      <c r="BM131" s="94">
        <f ca="1">TblProd[[#This Row],[Ore]]</f>
        <v>0</v>
      </c>
    </row>
    <row r="132" spans="1:65" x14ac:dyDescent="0.2">
      <c r="A132" s="137">
        <f t="shared" si="1"/>
        <v>81</v>
      </c>
      <c r="B132" s="152">
        <f ca="1">TblImps[[#This Row],[Time]]</f>
        <v>45820.333333333023</v>
      </c>
      <c r="C132" s="153"/>
      <c r="D132" s="154"/>
      <c r="E132" s="94">
        <f ca="1">TblConstr[[#This Row],[Land]]</f>
        <v>370</v>
      </c>
      <c r="F132" s="94">
        <f ca="1">TblPop[[#This Row],[Peasants]]</f>
        <v>1644</v>
      </c>
      <c r="G132" s="94">
        <f ca="1">TblMili[[#This Row],[Networth (2)]]</f>
        <v>9150</v>
      </c>
      <c r="H132" s="94">
        <f ca="1">OFFSET(TblProd[[#This Row],[Platinum]],-1,0)+OFFSET(TblProd[[#This Row],[Plat/hr]],-1,0) - TblProd[[#This Row],[Expenses Platinum]] + IF(TblProd[[#This Row],[Plat Bonus]],TblPop[[#This Row],[Peasants]]*4) + SUM(TblConstr[[#This Row],[Dest Hom]:[Dest Doc]])*TblConstr[[#This Row],[CPA Platinum -DB]]*tech_3_3_2*TblTech[[#This Row],[3-3]]</f>
        <v>1571200</v>
      </c>
      <c r="I132" s="94">
        <f ca="1">OFFSET(TblProd[[#This Row],[Food]],-1,0)+OFFSET(TblProd[[#This Row],[Food/hr]],-1,0)+ROUNDUP((TblConstr[[#This Row],[Farms]]*80+TblConstr[[#This Row],[Docks]]*35)*(1+OFFSET(TblProd[[#This Row],[Bonus Food/hr]],-1,0)),0)</f>
        <v>77743</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57791</v>
      </c>
      <c r="L132" s="94">
        <f ca="1">OFFSET(TblProd[[#This Row],[Ore]],-1,0)+OFFSET(TblProd[[#This Row],[Ore/hr]],-1,0) -TblProd[[#This Row],[Expenses Ore]]</f>
        <v>0</v>
      </c>
      <c r="M132" s="94">
        <f ca="1">OFFSET(TblProd[[#This Row],[Gems]],-1,0)+OFFSET(TblProd[[#This Row],[Gems/hr]],-1,0) - TblProd[[#This Row],[Expenses Gems]]</f>
        <v>96000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5504</v>
      </c>
      <c r="Q132" s="94">
        <f ca="1">MAX(3750,_xlfn.CEILING.MATH(TblProd[[#This Row],[Land]]*2.5+OFFSET(TblTech[[#This Row],[Sum of tech]],-1,0)*150))</f>
        <v>3750</v>
      </c>
      <c r="R132" s="142"/>
      <c r="S132" s="94">
        <f ca="1">ROUNDDOWN(TblProd[[#This Row],[Raw Plat/hr]]*(1+TblProd[[#This Row],[Bonus Plat/hr]]),0)</f>
        <v>6688</v>
      </c>
      <c r="T132" s="94">
        <f ca="1">ROUND(TblProd[[#This Row],[Raw Food/hr]]*(1+TblProd[[#This Row],[Bonus Food/hr]])-TblProd[[#This Row],[Food decay]]-TblProd[[#This Row],[Food eaten]],0)</f>
        <v>239</v>
      </c>
      <c r="U132" s="94">
        <f ca="1">ROUND(TblProd[[#This Row],[Raw Lumber/hr]]*(1+TblProd[[#This Row],[Bonus Lumber/hr]])-TblProd[[#This Row],[Lumber rot]],0)</f>
        <v>235</v>
      </c>
      <c r="V132" s="94">
        <f ca="1">ROUND(TblProd[[#This Row],[Raw Mana/hr]]*(1+TblProd[[#This Row],[Bonus Mana/hr]])-TblProd[[#This Row],[Mana drain]],0)</f>
        <v>94</v>
      </c>
      <c r="W132" s="94">
        <f ca="1">ROUNDDOWN(TblProd[[#This Row],[Raw Ore/hr]]*(1+TblProd[[#This Row],[Bonux Ore/hr]]),0)</f>
        <v>0</v>
      </c>
      <c r="X132" s="94">
        <f ca="1">ROUNDDOWN(TblProd[[#This Row],[Raw Gems/hr]]*(1+TblProd[[#This Row],[Bonus Gems/hr]]),0)</f>
        <v>750</v>
      </c>
      <c r="Y132" s="155">
        <f ca="1">OFFSET(TblConstr[[#This Row],[Tot Doc]],1,0)*dock_boats_hr * (1 + tech_4_1*TblTech[[#This Row],[4-1]])</f>
        <v>0</v>
      </c>
      <c r="Z132" s="154"/>
      <c r="AA132" s="94">
        <f ca="1">TblPop[[#This Row],[Peasants]]*tax*TblPop[[#This Row],[Employment]] + (Construction!AZ133+Construction!BX133)*(alch_plat+(Magic!AN132&gt;0)*alchemist_flame_bonus)</f>
        <v>6688.8</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1250</v>
      </c>
      <c r="AE132" s="94">
        <f ca="1">OFFSET(TblConstr[[#This Row],[Tot OM]],1,0)*om_ore+IF(race="Dwarf",TblMili[[#This Row],[Unit 2]]*0.5,0)</f>
        <v>0</v>
      </c>
      <c r="AF132" s="94">
        <f ca="1">OFFSET(TblConstr[[#This Row],[Tot DM]],1,0)*dm_gems</f>
        <v>750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777.43000000000006</v>
      </c>
      <c r="AP132" s="94">
        <f ca="1">(1+race_food_consumption)*TblPop[[#This Row],[Total]]*food_per_person*(1+tech_1_10*TblTech[[#This Row],[1-10]]+tech_7_5*TblTech[[#This Row],[7-5]] + IF(TblMagic[[#This Row],[Active Demonic Pact]]&gt;0,demonic_pact_food_cons,0))</f>
        <v>1563.25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1155.82</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45820.333333333023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1571200</v>
      </c>
      <c r="BJ132" s="94">
        <f ca="1">TblProd[[#This Row],[Food]]</f>
        <v>77743</v>
      </c>
      <c r="BK132" s="94">
        <f ca="1">TblProd[[#This Row],[Lumber]]</f>
        <v>76516</v>
      </c>
      <c r="BL132" s="94">
        <f ca="1">TblProd[[#This Row],[Mana]]</f>
        <v>57791</v>
      </c>
      <c r="BM132" s="94">
        <f ca="1">TblProd[[#This Row],[Ore]]</f>
        <v>0</v>
      </c>
    </row>
    <row r="133" spans="1:65" x14ac:dyDescent="0.2">
      <c r="A133" s="137">
        <f t="shared" si="1"/>
        <v>82</v>
      </c>
      <c r="B133" s="152">
        <f ca="1">TblImps[[#This Row],[Time]]</f>
        <v>45820.374999999687</v>
      </c>
      <c r="C133" s="153"/>
      <c r="D133" s="154"/>
      <c r="E133" s="94">
        <f ca="1">TblConstr[[#This Row],[Land]]</f>
        <v>370</v>
      </c>
      <c r="F133" s="94">
        <f ca="1">TblPop[[#This Row],[Peasants]]</f>
        <v>1628</v>
      </c>
      <c r="G133" s="94">
        <f ca="1">TblMili[[#This Row],[Networth (2)]]</f>
        <v>9150</v>
      </c>
      <c r="H133" s="94">
        <f ca="1">OFFSET(TblProd[[#This Row],[Platinum]],-1,0)+OFFSET(TblProd[[#This Row],[Plat/hr]],-1,0) - TblProd[[#This Row],[Expenses Platinum]] + IF(TblProd[[#This Row],[Plat Bonus]],TblPop[[#This Row],[Peasants]]*4) + SUM(TblConstr[[#This Row],[Dest Hom]:[Dest Doc]])*TblConstr[[#This Row],[CPA Platinum -DB]]*tech_3_3_2*TblTech[[#This Row],[3-3]]</f>
        <v>1577888</v>
      </c>
      <c r="I133" s="94">
        <f ca="1">OFFSET(TblProd[[#This Row],[Food]],-1,0)+OFFSET(TblProd[[#This Row],[Food/hr]],-1,0)+ROUNDUP((TblConstr[[#This Row],[Farms]]*80+TblConstr[[#This Row],[Docks]]*35)*(1+OFFSET(TblProd[[#This Row],[Bonus Food/hr]],-1,0)),0)</f>
        <v>77982</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57885</v>
      </c>
      <c r="L133" s="94">
        <f ca="1">OFFSET(TblProd[[#This Row],[Ore]],-1,0)+OFFSET(TblProd[[#This Row],[Ore/hr]],-1,0) -TblProd[[#This Row],[Expenses Ore]]</f>
        <v>0</v>
      </c>
      <c r="M133" s="94">
        <f ca="1">OFFSET(TblProd[[#This Row],[Gems]],-1,0)+OFFSET(TblProd[[#This Row],[Gems/hr]],-1,0) - TblProd[[#This Row],[Expenses Gems]]</f>
        <v>96750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5547</v>
      </c>
      <c r="Q133" s="94">
        <f ca="1">MAX(3750,_xlfn.CEILING.MATH(TblProd[[#This Row],[Land]]*2.5+OFFSET(TblTech[[#This Row],[Sum of tech]],-1,0)*150))</f>
        <v>3750</v>
      </c>
      <c r="R133" s="142"/>
      <c r="S133" s="94">
        <f ca="1">ROUNDDOWN(TblProd[[#This Row],[Raw Plat/hr]]*(1+TblProd[[#This Row],[Bonus Plat/hr]]),0)</f>
        <v>6645</v>
      </c>
      <c r="T133" s="94">
        <f ca="1">ROUND(TblProd[[#This Row],[Raw Food/hr]]*(1+TblProd[[#This Row],[Bonus Food/hr]])-TblProd[[#This Row],[Food decay]]-TblProd[[#This Row],[Food eaten]],0)</f>
        <v>237</v>
      </c>
      <c r="U133" s="94">
        <f ca="1">ROUND(TblProd[[#This Row],[Raw Lumber/hr]]*(1+TblProd[[#This Row],[Bonus Lumber/hr]])-TblProd[[#This Row],[Lumber rot]],0)</f>
        <v>232</v>
      </c>
      <c r="V133" s="94">
        <f ca="1">ROUND(TblProd[[#This Row],[Raw Mana/hr]]*(1+TblProd[[#This Row],[Bonus Mana/hr]])-TblProd[[#This Row],[Mana drain]],0)</f>
        <v>92</v>
      </c>
      <c r="W133" s="94">
        <f ca="1">ROUNDDOWN(TblProd[[#This Row],[Raw Ore/hr]]*(1+TblProd[[#This Row],[Bonux Ore/hr]]),0)</f>
        <v>0</v>
      </c>
      <c r="X133" s="94">
        <f ca="1">ROUNDDOWN(TblProd[[#This Row],[Raw Gems/hr]]*(1+TblProd[[#This Row],[Bonus Gems/hr]]),0)</f>
        <v>750</v>
      </c>
      <c r="Y133" s="155">
        <f ca="1">OFFSET(TblConstr[[#This Row],[Tot Doc]],1,0)*dock_boats_hr * (1 + tech_4_1*TblTech[[#This Row],[4-1]])</f>
        <v>0</v>
      </c>
      <c r="Z133" s="154"/>
      <c r="AA133" s="94">
        <f ca="1">TblPop[[#This Row],[Peasants]]*tax*TblPop[[#This Row],[Employment]] + (Construction!AZ134+Construction!BX134)*(alch_plat+(Magic!AN133&gt;0)*alchemist_flame_bonus)</f>
        <v>6645.6</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1250</v>
      </c>
      <c r="AE133" s="94">
        <f ca="1">OFFSET(TblConstr[[#This Row],[Tot OM]],1,0)*om_ore+IF(race="Dwarf",TblMili[[#This Row],[Unit 2]]*0.5,0)</f>
        <v>0</v>
      </c>
      <c r="AF133" s="94">
        <f ca="1">OFFSET(TblConstr[[#This Row],[Tot DM]],1,0)*dm_gems</f>
        <v>750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779.82</v>
      </c>
      <c r="AP133" s="94">
        <f ca="1">(1+race_food_consumption)*TblPop[[#This Row],[Total]]*food_per_person*(1+tech_1_10*TblTech[[#This Row],[1-10]]+tech_7_5*TblTech[[#This Row],[7-5]] + IF(TblMagic[[#This Row],[Active Demonic Pact]]&gt;0,demonic_pact_food_cons,0))</f>
        <v>1563.25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1157.7</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45820.374999999687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1577888</v>
      </c>
      <c r="BJ133" s="94">
        <f ca="1">TblProd[[#This Row],[Food]]</f>
        <v>77982</v>
      </c>
      <c r="BK133" s="94">
        <f ca="1">TblProd[[#This Row],[Lumber]]</f>
        <v>76751</v>
      </c>
      <c r="BL133" s="94">
        <f ca="1">TblProd[[#This Row],[Mana]]</f>
        <v>57885</v>
      </c>
      <c r="BM133" s="94">
        <f ca="1">TblProd[[#This Row],[Ore]]</f>
        <v>0</v>
      </c>
    </row>
    <row r="134" spans="1:65" x14ac:dyDescent="0.2">
      <c r="A134" s="137">
        <f t="shared" si="1"/>
        <v>83</v>
      </c>
      <c r="B134" s="152">
        <f ca="1">TblImps[[#This Row],[Time]]</f>
        <v>45820.416666666351</v>
      </c>
      <c r="C134" s="153"/>
      <c r="D134" s="154"/>
      <c r="E134" s="94">
        <f ca="1">TblConstr[[#This Row],[Land]]</f>
        <v>370</v>
      </c>
      <c r="F134" s="94">
        <f ca="1">TblPop[[#This Row],[Peasants]]</f>
        <v>1612</v>
      </c>
      <c r="G134" s="94">
        <f ca="1">TblMili[[#This Row],[Networth (2)]]</f>
        <v>9150</v>
      </c>
      <c r="H134" s="94">
        <f ca="1">OFFSET(TblProd[[#This Row],[Platinum]],-1,0)+OFFSET(TblProd[[#This Row],[Plat/hr]],-1,0) - TblProd[[#This Row],[Expenses Platinum]] + IF(TblProd[[#This Row],[Plat Bonus]],TblPop[[#This Row],[Peasants]]*4) + SUM(TblConstr[[#This Row],[Dest Hom]:[Dest Doc]])*TblConstr[[#This Row],[CPA Platinum -DB]]*tech_3_3_2*TblTech[[#This Row],[3-3]]</f>
        <v>1584533</v>
      </c>
      <c r="I134" s="94">
        <f ca="1">OFFSET(TblProd[[#This Row],[Food]],-1,0)+OFFSET(TblProd[[#This Row],[Food/hr]],-1,0)+ROUNDUP((TblConstr[[#This Row],[Farms]]*80+TblConstr[[#This Row],[Docks]]*35)*(1+OFFSET(TblProd[[#This Row],[Bonus Food/hr]],-1,0)),0)</f>
        <v>78219</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57977</v>
      </c>
      <c r="L134" s="94">
        <f ca="1">OFFSET(TblProd[[#This Row],[Ore]],-1,0)+OFFSET(TblProd[[#This Row],[Ore/hr]],-1,0) -TblProd[[#This Row],[Expenses Ore]]</f>
        <v>0</v>
      </c>
      <c r="M134" s="94">
        <f ca="1">OFFSET(TblProd[[#This Row],[Gems]],-1,0)+OFFSET(TblProd[[#This Row],[Gems/hr]],-1,0) - TblProd[[#This Row],[Expenses Gems]]</f>
        <v>97500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5590</v>
      </c>
      <c r="Q134" s="94">
        <f ca="1">MAX(3750,_xlfn.CEILING.MATH(TblProd[[#This Row],[Land]]*2.5+OFFSET(TblTech[[#This Row],[Sum of tech]],-1,0)*150))</f>
        <v>3750</v>
      </c>
      <c r="R134" s="142"/>
      <c r="S134" s="94">
        <f ca="1">ROUNDDOWN(TblProd[[#This Row],[Raw Plat/hr]]*(1+TblProd[[#This Row],[Bonus Plat/hr]]),0)</f>
        <v>6602</v>
      </c>
      <c r="T134" s="94">
        <f ca="1">ROUND(TblProd[[#This Row],[Raw Food/hr]]*(1+TblProd[[#This Row],[Bonus Food/hr]])-TblProd[[#This Row],[Food decay]]-TblProd[[#This Row],[Food eaten]],0)</f>
        <v>235</v>
      </c>
      <c r="U134" s="94">
        <f ca="1">ROUND(TblProd[[#This Row],[Raw Lumber/hr]]*(1+TblProd[[#This Row],[Bonus Lumber/hr]])-TblProd[[#This Row],[Lumber rot]],0)</f>
        <v>230</v>
      </c>
      <c r="V134" s="94">
        <f ca="1">ROUND(TblProd[[#This Row],[Raw Mana/hr]]*(1+TblProd[[#This Row],[Bonus Mana/hr]])-TblProd[[#This Row],[Mana drain]],0)</f>
        <v>90</v>
      </c>
      <c r="W134" s="94">
        <f ca="1">ROUNDDOWN(TblProd[[#This Row],[Raw Ore/hr]]*(1+TblProd[[#This Row],[Bonux Ore/hr]]),0)</f>
        <v>0</v>
      </c>
      <c r="X134" s="94">
        <f ca="1">ROUNDDOWN(TblProd[[#This Row],[Raw Gems/hr]]*(1+TblProd[[#This Row],[Bonus Gems/hr]]),0)</f>
        <v>750</v>
      </c>
      <c r="Y134" s="155">
        <f ca="1">OFFSET(TblConstr[[#This Row],[Tot Doc]],1,0)*dock_boats_hr * (1 + tech_4_1*TblTech[[#This Row],[4-1]])</f>
        <v>0</v>
      </c>
      <c r="Z134" s="154"/>
      <c r="AA134" s="94">
        <f ca="1">TblPop[[#This Row],[Peasants]]*tax*TblPop[[#This Row],[Employment]] + (Construction!AZ135+Construction!BX135)*(alch_plat+(Magic!AN134&gt;0)*alchemist_flame_bonus)</f>
        <v>6602.4000000000005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1250</v>
      </c>
      <c r="AE134" s="94">
        <f ca="1">OFFSET(TblConstr[[#This Row],[Tot OM]],1,0)*om_ore+IF(race="Dwarf",TblMili[[#This Row],[Unit 2]]*0.5,0)</f>
        <v>0</v>
      </c>
      <c r="AF134" s="94">
        <f ca="1">OFFSET(TblConstr[[#This Row],[Tot DM]],1,0)*dm_gems</f>
        <v>750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782.19</v>
      </c>
      <c r="AP134" s="94">
        <f ca="1">(1+race_food_consumption)*TblPop[[#This Row],[Total]]*food_per_person*(1+tech_1_10*TblTech[[#This Row],[1-10]]+tech_7_5*TblTech[[#This Row],[7-5]] + IF(TblMagic[[#This Row],[Active Demonic Pact]]&gt;0,demonic_pact_food_cons,0))</f>
        <v>1563.25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1159.54</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45820.416666666351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1584533</v>
      </c>
      <c r="BJ134" s="94">
        <f ca="1">TblProd[[#This Row],[Food]]</f>
        <v>78219</v>
      </c>
      <c r="BK134" s="94">
        <f ca="1">TblProd[[#This Row],[Lumber]]</f>
        <v>76983</v>
      </c>
      <c r="BL134" s="94">
        <f ca="1">TblProd[[#This Row],[Mana]]</f>
        <v>57977</v>
      </c>
      <c r="BM134" s="94">
        <f ca="1">TblProd[[#This Row],[Ore]]</f>
        <v>0</v>
      </c>
    </row>
    <row r="135" spans="1:65" x14ac:dyDescent="0.2">
      <c r="A135" s="137">
        <f t="shared" si="1"/>
        <v>84</v>
      </c>
      <c r="B135" s="152">
        <f ca="1">TblImps[[#This Row],[Time]]</f>
        <v>45820.458333333016</v>
      </c>
      <c r="C135" s="153"/>
      <c r="D135" s="154"/>
      <c r="E135" s="94">
        <f ca="1">TblConstr[[#This Row],[Land]]</f>
        <v>370</v>
      </c>
      <c r="F135" s="94">
        <f ca="1">TblPop[[#This Row],[Peasants]]</f>
        <v>1596</v>
      </c>
      <c r="G135" s="94">
        <f ca="1">TblMili[[#This Row],[Networth (2)]]</f>
        <v>9150</v>
      </c>
      <c r="H135" s="94">
        <f ca="1">OFFSET(TblProd[[#This Row],[Platinum]],-1,0)+OFFSET(TblProd[[#This Row],[Plat/hr]],-1,0) - TblProd[[#This Row],[Expenses Platinum]] + IF(TblProd[[#This Row],[Plat Bonus]],TblPop[[#This Row],[Peasants]]*4) + SUM(TblConstr[[#This Row],[Dest Hom]:[Dest Doc]])*TblConstr[[#This Row],[CPA Platinum -DB]]*tech_3_3_2*TblTech[[#This Row],[3-3]]</f>
        <v>1591135</v>
      </c>
      <c r="I135" s="94">
        <f ca="1">OFFSET(TblProd[[#This Row],[Food]],-1,0)+OFFSET(TblProd[[#This Row],[Food/hr]],-1,0)+ROUNDUP((TblConstr[[#This Row],[Farms]]*80+TblConstr[[#This Row],[Docks]]*35)*(1+OFFSET(TblProd[[#This Row],[Bonus Food/hr]],-1,0)),0)</f>
        <v>78454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58067</v>
      </c>
      <c r="L135" s="94">
        <f ca="1">OFFSET(TblProd[[#This Row],[Ore]],-1,0)+OFFSET(TblProd[[#This Row],[Ore/hr]],-1,0) -TblProd[[#This Row],[Expenses Ore]]</f>
        <v>0</v>
      </c>
      <c r="M135" s="94">
        <f ca="1">OFFSET(TblProd[[#This Row],[Gems]],-1,0)+OFFSET(TblProd[[#This Row],[Gems/hr]],-1,0) - TblProd[[#This Row],[Expenses Gems]]</f>
        <v>98250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5633</v>
      </c>
      <c r="Q135" s="94">
        <f ca="1">MAX(3750,_xlfn.CEILING.MATH(TblProd[[#This Row],[Land]]*2.5+OFFSET(TblTech[[#This Row],[Sum of tech]],-1,0)*150))</f>
        <v>3750</v>
      </c>
      <c r="R135" s="142"/>
      <c r="S135" s="94">
        <f ca="1">ROUNDDOWN(TblProd[[#This Row],[Raw Plat/hr]]*(1+TblProd[[#This Row],[Bonus Plat/hr]]),0)</f>
        <v>6559</v>
      </c>
      <c r="T135" s="94">
        <f ca="1">ROUND(TblProd[[#This Row],[Raw Food/hr]]*(1+TblProd[[#This Row],[Bonus Food/hr]])-TblProd[[#This Row],[Food decay]]-TblProd[[#This Row],[Food eaten]],0)</f>
        <v>232</v>
      </c>
      <c r="U135" s="94">
        <f ca="1">ROUND(TblProd[[#This Row],[Raw Lumber/hr]]*(1+TblProd[[#This Row],[Bonus Lumber/hr]])-TblProd[[#This Row],[Lumber rot]],0)</f>
        <v>228</v>
      </c>
      <c r="V135" s="94">
        <f ca="1">ROUND(TblProd[[#This Row],[Raw Mana/hr]]*(1+TblProd[[#This Row],[Bonus Mana/hr]])-TblProd[[#This Row],[Mana drain]],0)</f>
        <v>89</v>
      </c>
      <c r="W135" s="94">
        <f ca="1">ROUNDDOWN(TblProd[[#This Row],[Raw Ore/hr]]*(1+TblProd[[#This Row],[Bonux Ore/hr]]),0)</f>
        <v>0</v>
      </c>
      <c r="X135" s="94">
        <f ca="1">ROUNDDOWN(TblProd[[#This Row],[Raw Gems/hr]]*(1+TblProd[[#This Row],[Bonus Gems/hr]]),0)</f>
        <v>750</v>
      </c>
      <c r="Y135" s="155">
        <f ca="1">OFFSET(TblConstr[[#This Row],[Tot Doc]],1,0)*dock_boats_hr * (1 + tech_4_1*TblTech[[#This Row],[4-1]])</f>
        <v>0</v>
      </c>
      <c r="Z135" s="154"/>
      <c r="AA135" s="94">
        <f ca="1">TblPop[[#This Row],[Peasants]]*tax*TblPop[[#This Row],[Employment]] + (Construction!AZ136+Construction!BX136)*(alch_plat+(Magic!AN135&gt;0)*alchemist_flame_bonus)</f>
        <v>6559.2000000000007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1250</v>
      </c>
      <c r="AE135" s="94">
        <f ca="1">OFFSET(TblConstr[[#This Row],[Tot OM]],1,0)*om_ore+IF(race="Dwarf",TblMili[[#This Row],[Unit 2]]*0.5,0)</f>
        <v>0</v>
      </c>
      <c r="AF135" s="94">
        <f ca="1">OFFSET(TblConstr[[#This Row],[Tot DM]],1,0)*dm_gems</f>
        <v>750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784.54</v>
      </c>
      <c r="AP135" s="94">
        <f ca="1">(1+race_food_consumption)*TblPop[[#This Row],[Total]]*food_per_person*(1+tech_1_10*TblTech[[#This Row],[1-10]]+tech_7_5*TblTech[[#This Row],[7-5]] + IF(TblMagic[[#This Row],[Active Demonic Pact]]&gt;0,demonic_pact_food_cons,0))</f>
        <v>1563.25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1161.3399999999999</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45820.458333333016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1591135</v>
      </c>
      <c r="BJ135" s="94">
        <f ca="1">TblProd[[#This Row],[Food]]</f>
        <v>78454</v>
      </c>
      <c r="BK135" s="94">
        <f ca="1">TblProd[[#This Row],[Lumber]]</f>
        <v>77213</v>
      </c>
      <c r="BL135" s="94">
        <f ca="1">TblProd[[#This Row],[Mana]]</f>
        <v>58067</v>
      </c>
      <c r="BM135" s="94">
        <f ca="1">TblProd[[#This Row],[Ore]]</f>
        <v>0</v>
      </c>
    </row>
    <row r="136" spans="1:65" x14ac:dyDescent="0.2">
      <c r="A136" s="137">
        <f t="shared" si="1"/>
        <v>85</v>
      </c>
      <c r="B136" s="152">
        <f ca="1">TblImps[[#This Row],[Time]]</f>
        <v>45820.49999999968</v>
      </c>
      <c r="C136" s="153"/>
      <c r="D136" s="154"/>
      <c r="E136" s="94">
        <f ca="1">TblConstr[[#This Row],[Land]]</f>
        <v>370</v>
      </c>
      <c r="F136" s="94">
        <f ca="1">TblPop[[#This Row],[Peasants]]</f>
        <v>1580</v>
      </c>
      <c r="G136" s="94">
        <f ca="1">TblMili[[#This Row],[Networth (2)]]</f>
        <v>9150</v>
      </c>
      <c r="H136" s="94">
        <f ca="1">OFFSET(TblProd[[#This Row],[Platinum]],-1,0)+OFFSET(TblProd[[#This Row],[Plat/hr]],-1,0) - TblProd[[#This Row],[Expenses Platinum]] + IF(TblProd[[#This Row],[Plat Bonus]],TblPop[[#This Row],[Peasants]]*4) + SUM(TblConstr[[#This Row],[Dest Hom]:[Dest Doc]])*TblConstr[[#This Row],[CPA Platinum -DB]]*tech_3_3_2*TblTech[[#This Row],[3-3]]</f>
        <v>1597694</v>
      </c>
      <c r="I136" s="94">
        <f ca="1">OFFSET(TblProd[[#This Row],[Food]],-1,0)+OFFSET(TblProd[[#This Row],[Food/hr]],-1,0)+ROUNDUP((TblConstr[[#This Row],[Farms]]*80+TblConstr[[#This Row],[Docks]]*35)*(1+OFFSET(TblProd[[#This Row],[Bonus Food/hr]],-1,0)),0)</f>
        <v>78686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58156</v>
      </c>
      <c r="L136" s="94">
        <f ca="1">OFFSET(TblProd[[#This Row],[Ore]],-1,0)+OFFSET(TblProd[[#This Row],[Ore/hr]],-1,0) -TblProd[[#This Row],[Expenses Ore]]</f>
        <v>0</v>
      </c>
      <c r="M136" s="94">
        <f ca="1">OFFSET(TblProd[[#This Row],[Gems]],-1,0)+OFFSET(TblProd[[#This Row],[Gems/hr]],-1,0) - TblProd[[#This Row],[Expenses Gems]]</f>
        <v>99000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5676</v>
      </c>
      <c r="Q136" s="94">
        <f ca="1">MAX(3750,_xlfn.CEILING.MATH(TblProd[[#This Row],[Land]]*2.5+OFFSET(TblTech[[#This Row],[Sum of tech]],-1,0)*150))</f>
        <v>3750</v>
      </c>
      <c r="R136" s="142"/>
      <c r="S136" s="94">
        <f ca="1">ROUNDDOWN(TblProd[[#This Row],[Raw Plat/hr]]*(1+TblProd[[#This Row],[Bonus Plat/hr]]),0)</f>
        <v>0</v>
      </c>
      <c r="T136" s="94">
        <f ca="1">ROUND(TblProd[[#This Row],[Raw Food/hr]]*(1+TblProd[[#This Row],[Bonus Food/hr]])-TblProd[[#This Row],[Food decay]]-TblProd[[#This Row],[Food eaten]],0)</f>
        <v>230</v>
      </c>
      <c r="U136" s="94">
        <f ca="1">ROUND(TblProd[[#This Row],[Raw Lumber/hr]]*(1+TblProd[[#This Row],[Bonus Lumber/hr]])-TblProd[[#This Row],[Lumber rot]],0)</f>
        <v>226</v>
      </c>
      <c r="V136" s="94">
        <f ca="1">ROUND(TblProd[[#This Row],[Raw Mana/hr]]*(1+TblProd[[#This Row],[Bonus Mana/hr]])-TblProd[[#This Row],[Mana drain]],0)</f>
        <v>-1163</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786.86</v>
      </c>
      <c r="AP136" s="94">
        <f ca="1">(1+race_food_consumption)*TblPop[[#This Row],[Total]]*food_per_person*(1+tech_1_10*TblTech[[#This Row],[1-10]]+tech_7_5*TblTech[[#This Row],[7-5]] + IF(TblMagic[[#This Row],[Active Demonic Pact]]&gt;0,demonic_pact_food_cons,0))</f>
        <v>1563.25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1163.1200000000001</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45820.49999999968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1597694</v>
      </c>
      <c r="BJ136" s="94">
        <f ca="1">TblProd[[#This Row],[Food]]</f>
        <v>78686</v>
      </c>
      <c r="BK136" s="94">
        <f ca="1">TblProd[[#This Row],[Lumber]]</f>
        <v>77441</v>
      </c>
      <c r="BL136" s="94">
        <f ca="1">TblProd[[#This Row],[Mana]]</f>
        <v>58156</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20</v>
      </c>
      <c r="C4" s="177">
        <f>SUM(TblConstr[[#This Row],[Tot Hom]:[Tot Doc]])</f>
        <v>350</v>
      </c>
      <c r="D4" s="177">
        <f>SUM(O$4:AG4)</f>
        <v>0</v>
      </c>
      <c r="E4" s="178"/>
      <c r="F4" s="61">
        <f ca="1">TblConstr[[#This Row],[Barren]]+TblConstr[[#This Row],[Buildings]]+TblConstr[[#This Row],[Incoming]]</f>
        <v>370</v>
      </c>
      <c r="G4" s="380">
        <f ca="1">start_plains+TblConstr[[#This Row],[Ch_Plain]]</f>
        <v>20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45815</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 s="94">
        <f ca="1">ROUNDDOWN( MAX(1 - MIN(facs_constr_factor*TblConstr[[#This Row],[Facs -DB]],facs_constr_max) + tech_1_11*TblTech[[#This Row],[11-1]] + tech_6_3_2*TblTech[[#This Row],[6-3]] + tech_5_2_3*TblTech[[#This Row],[5-2]], 1-global_constr_cap) * TblConstr[[#This Row],[RCPA Lumber]],0)</f>
        <v>116</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4" s="94">
        <f ca="1">ROUNDDOWN( MAX(1 - MIN(facs_constr_factor*TblConstr[[#This Row],[Facs DB]],facs_constr_max) + tech_1_11*TblTech[[#This Row],[1-11]] + tech_6_3_2*TblTech[[#This Row],[6-3]] + tech_5_2_3*TblTech[[#This Row],[5-2]], 1-global_constr_cap) * ROUND((TblConstr[[#This Row],[Land]]-250)*0.285 + 87.5 + 0/4.25,0),0)</f>
        <v>122</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975</v>
      </c>
      <c r="AW4" s="94">
        <f ca="1">ROUND((TblConstr[[#This Row],[Land]]-250 - IF(TblExplore[[#This Row],[Land Bonus]]&lt;&gt;0,20,0))*0.285 + 87.5 + 0/4.25,0)</f>
        <v>116</v>
      </c>
      <c r="AX4" s="154"/>
      <c r="AY4" s="388">
        <f>start_homes-TblConstr[[#This Row],[Dest Hom]]</f>
        <v>50</v>
      </c>
      <c r="AZ4" s="380">
        <f>start_alchs-TblConstr[[#This Row],[Dest Alc]]</f>
        <v>50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50</v>
      </c>
      <c r="BM4" s="384">
        <f>start_temples-TblConstr[[#This Row],[Dest Tem]]</f>
        <v>50</v>
      </c>
      <c r="BN4" s="393">
        <f>start_wg-TblConstr[[#This Row],[Dest WG]]</f>
        <v>0</v>
      </c>
      <c r="BO4" s="394">
        <f>start_dm-TblConstr[[#This Row],[Dest DM]]</f>
        <v>50</v>
      </c>
      <c r="BP4" s="394">
        <f>start_schools-TblConstr[[#This Row],[Dest Sch]]</f>
        <v>50</v>
      </c>
      <c r="BQ4" s="386">
        <f>start_docks-TblConstr[[#This Row],[Dest Doc]]</f>
        <v>0</v>
      </c>
      <c r="BR4" s="142"/>
      <c r="BS4" s="154"/>
      <c r="BT4" s="94">
        <f ca="1">TblConstr[[#This Row],[Land]]</f>
        <v>370</v>
      </c>
      <c r="BU4" s="159">
        <f>TblImps[[#This Row],[Time]]</f>
        <v>45815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20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20</v>
      </c>
      <c r="CY4" s="142"/>
      <c r="CZ4" s="94">
        <f ca="1">G4+SUM(P$4:S4)+SUM(AZ4:BC4)</f>
        <v>100</v>
      </c>
      <c r="DA4" s="94">
        <f ca="1">H4+SUM(T$4:U4)+SUM(BD4:BE4)</f>
        <v>20</v>
      </c>
      <c r="DB4" s="45">
        <f ca="1">I4+SUM(V$4:W4)+SUM(BF4:BG4)</f>
        <v>0</v>
      </c>
      <c r="DC4" s="94">
        <f ca="1">J4+SUM(X$4:Y4)+SUM(BH4:BI4)</f>
        <v>0</v>
      </c>
      <c r="DD4" s="94">
        <f ca="1">K4+SUM(AB$4:AD4)+SUM(BL4:BN4)</f>
        <v>100</v>
      </c>
      <c r="DE4" s="45">
        <f ca="1">L4+SUM(AE$4:AE4)+BO4</f>
        <v>50</v>
      </c>
      <c r="DF4" s="94">
        <f ca="1">M4+SUM(AG$4:AG4)+BQ4</f>
        <v>0</v>
      </c>
      <c r="DG4" s="45" cm="1">
        <f t="array" aca="1" ref="DG4" ca="1">INDEX(TblConstr[[Total Plain]:[Total Water]],ROW()-ROW(TblConstr[#Headers]),MATCH("Total "&amp;home_land,TblConstr[[#Headers],[Total Plain]:[Total Water]],0))+TblConstr[[#This Row],[Homes]]</f>
        <v>150</v>
      </c>
      <c r="DH4" s="45">
        <f>SUM(O$4:O4)+AY4</f>
        <v>50</v>
      </c>
      <c r="DI4" s="94">
        <v>0</v>
      </c>
      <c r="DJ4" s="45">
        <v>0</v>
      </c>
    </row>
    <row r="5" spans="1:114" x14ac:dyDescent="0.2">
      <c r="A5" s="175">
        <f>TblRezone[[#This Row],[Hour]]</f>
        <v>2</v>
      </c>
      <c r="B5" s="176">
        <f ca="1">SUM(TblConstr[[#This Row],[Plain]:[Water]])</f>
        <v>20</v>
      </c>
      <c r="C5" s="177">
        <f ca="1">SUM(TblConstr[[#This Row],[Tot Hom]:[Tot Doc]])</f>
        <v>350</v>
      </c>
      <c r="D5" s="177">
        <f>SUM(O$4:AG5)</f>
        <v>0</v>
      </c>
      <c r="E5" s="178"/>
      <c r="F5" s="61">
        <f ca="1">TblConstr[[#This Row],[Barren]]+TblConstr[[#This Row],[Buildings]]+TblConstr[[#This Row],[Incoming]]</f>
        <v>370</v>
      </c>
      <c r="G5" s="187">
        <f ca="1">OFFSET(TblConstr[[#This Row],[Plain]],-1,0)+TblConstr[[#This Row],[Ch_Plain]]</f>
        <v>20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45815.041666666664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138045</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5" s="94">
        <f ca="1">ROUNDDOWN( MAX(1 - MIN(facs_constr_factor*TblConstr[[#This Row],[Facs -DB]],facs_constr_max) + tech_1_11*TblTech[[#This Row],[11-1]] + tech_6_3_2*TblTech[[#This Row],[6-3]] + tech_5_2_3*TblTech[[#This Row],[5-2]], 1-global_constr_cap) * TblConstr[[#This Row],[RCPA Lumber]],0)</f>
        <v>122</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5" s="94">
        <f ca="1">ROUNDDOWN( MAX(1 - MIN(facs_constr_factor*TblConstr[[#This Row],[Facs DB]],facs_constr_max) + tech_1_11*TblTech[[#This Row],[1-11]] + tech_6_3_2*TblTech[[#This Row],[6-3]] + tech_5_2_3*TblTech[[#This Row],[5-2]], 1-global_constr_cap) * ROUND((TblConstr[[#This Row],[Land]]-250)*0.285 + 87.5 + 0/4.25,0),0)</f>
        <v>122</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1000</v>
      </c>
      <c r="AW5" s="94">
        <f ca="1">ROUND((TblConstr[[#This Row],[Land]]-250 - IF(TblExplore[[#This Row],[Land Bonus]]&lt;&gt;0,20,0))*0.285 + 87.5 + 0/4.25,0)</f>
        <v>122</v>
      </c>
      <c r="AX5" s="154"/>
      <c r="AY5" s="188" cm="1">
        <f t="array" aca="1" ref="AY5" ca="1">IF(TblConstr[[#This Row],[Hour]:[Hour]]&gt;12,OFFSET(TblConstr[[#This Row],[Hom]],-12,0),0)+OFFSET(TblConstr[[#This Row],[Tot Hom]],-1,0)-TblConstr[[#This Row],[Dest Hom]]</f>
        <v>50</v>
      </c>
      <c r="AZ5" s="189" cm="1">
        <f t="array" aca="1" ref="AZ5" ca="1">IF(TblConstr[[#This Row],[Hour]:[Hour]]&gt;12,OFFSET(TblConstr[[#This Row],[Alc]],-12,0),0)+OFFSET(TblConstr[[#This Row],[Tot Alc]],-1,0)-TblConstr[[#This Row],[Dest Alc]]</f>
        <v>50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50</v>
      </c>
      <c r="BM5" s="369" cm="1">
        <f t="array" aca="1" ref="BM5" ca="1">IF(TblConstr[[#This Row],[Hour]:[Hour]]&gt;12,OFFSET(TblConstr[[#This Row],[Tem]],-12,0),0)+OFFSET(TblConstr[[#This Row],[Tot Tem]],-1,0)-TblConstr[[#This Row],[Dest Tem]]</f>
        <v>50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50</v>
      </c>
      <c r="BP5" s="191" cm="1">
        <f t="array" aca="1" ref="BP5" ca="1">IF(TblConstr[[#This Row],[Hour]:[Hour]]&gt;12,OFFSET(TblConstr[[#This Row],[Sch]],-12,0),0)+OFFSET(TblConstr[[#This Row],[Tot Sch]],-1,0)-TblConstr[[#This Row],[Dest Sch]]</f>
        <v>50</v>
      </c>
      <c r="BQ5" s="192" cm="1">
        <f t="array" aca="1" ref="BQ5" ca="1">IF(TblConstr[[#This Row],[Hour]:[Hour]]&gt;12,OFFSET(TblConstr[[#This Row],[Doc]],-12,0),0)+OFFSET(TblConstr[[#This Row],[Tot Doc]],-1,0)-TblConstr[[#This Row],[Dest Doc]]</f>
        <v>0</v>
      </c>
      <c r="BR5" s="142"/>
      <c r="BS5" s="154"/>
      <c r="BT5" s="94">
        <f ca="1">TblConstr[[#This Row],[Land]]</f>
        <v>370</v>
      </c>
      <c r="BU5" s="159">
        <f ca="1">TblImps[[#This Row],[Time]]</f>
        <v>45815.041666666664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100</v>
      </c>
      <c r="DA5" s="94">
        <f ca="1">H5+SUM(T$4:U5)+SUM(BD5:BE5)</f>
        <v>20</v>
      </c>
      <c r="DB5" s="45">
        <f ca="1">I5+SUM(V$4:W5)+SUM(BF5:BG5)</f>
        <v>0</v>
      </c>
      <c r="DC5" s="94">
        <f ca="1">J5+SUM(X$4:Y5)+SUM(BH5:BI5)</f>
        <v>0</v>
      </c>
      <c r="DD5" s="94">
        <f ca="1">K5+SUM(AB$4:AD5)+SUM(BL5:BN5)</f>
        <v>100</v>
      </c>
      <c r="DE5" s="45">
        <f ca="1">L5+SUM(AE$4:AE5)+BO5</f>
        <v>50</v>
      </c>
      <c r="DF5" s="94">
        <f ca="1">M5+SUM(AG$4:AG5)+BQ5</f>
        <v>0</v>
      </c>
      <c r="DG5" s="94" cm="1">
        <f t="array" aca="1" ref="DG5" ca="1">INDEX(TblConstr[[Total Plain]:[Total Water]],ROW()-ROW(TblConstr[#Headers]),MATCH("Total "&amp;home_land,TblConstr[[#Headers],[Total Plain]:[Total Water]],0))+TblConstr[[#This Row],[Homes]]</f>
        <v>150</v>
      </c>
      <c r="DH5" s="45">
        <f ca="1">SUM(O$4:O5)+AY5</f>
        <v>50</v>
      </c>
      <c r="DI5" s="94">
        <f ca="1">MAX(BA5-BA4,0)</f>
        <v>0</v>
      </c>
      <c r="DJ5" s="45">
        <f ca="1">MAX(BQ5-BQ4,0)</f>
        <v>0</v>
      </c>
    </row>
    <row r="6" spans="1:114" x14ac:dyDescent="0.2">
      <c r="A6" s="175">
        <f>TblRezone[[#This Row],[Hour]]</f>
        <v>3</v>
      </c>
      <c r="B6" s="176">
        <f ca="1">SUM(TblConstr[[#This Row],[Plain]:[Water]])</f>
        <v>20</v>
      </c>
      <c r="C6" s="177">
        <f ca="1">SUM(TblConstr[[#This Row],[Tot Hom]:[Tot Doc]])</f>
        <v>350</v>
      </c>
      <c r="D6" s="177">
        <f>SUM(O$4:AG6)</f>
        <v>0</v>
      </c>
      <c r="E6" s="178"/>
      <c r="F6" s="61">
        <f ca="1">TblConstr[[#This Row],[Barren]]+TblConstr[[#This Row],[Buildings]]+TblConstr[[#This Row],[Incoming]]</f>
        <v>370</v>
      </c>
      <c r="G6" s="187">
        <f ca="1">OFFSET(TblConstr[[#This Row],[Plain]],-1,0)+TblConstr[[#This Row],[Ch_Plain]]</f>
        <v>20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45815.083333333328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156208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6" s="94">
        <f ca="1">ROUNDDOWN( MAX(1 - MIN(facs_constr_factor*TblConstr[[#This Row],[Facs -DB]],facs_constr_max) + tech_1_11*TblTech[[#This Row],[11-1]] + tech_6_3_2*TblTech[[#This Row],[6-3]] + tech_5_2_3*TblTech[[#This Row],[5-2]], 1-global_constr_cap) * TblConstr[[#This Row],[RCPA Lumber]],0)</f>
        <v>122</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6" s="94">
        <f ca="1">ROUNDDOWN( MAX(1 - MIN(facs_constr_factor*TblConstr[[#This Row],[Facs DB]],facs_constr_max) + tech_1_11*TblTech[[#This Row],[1-11]] + tech_6_3_2*TblTech[[#This Row],[6-3]] + tech_5_2_3*TblTech[[#This Row],[5-2]], 1-global_constr_cap) * ROUND((TblConstr[[#This Row],[Land]]-250)*0.285 + 87.5 + 0/4.25,0),0)</f>
        <v>122</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1000</v>
      </c>
      <c r="AW6" s="94">
        <f ca="1">ROUND((TblConstr[[#This Row],[Land]]-250 - IF(TblExplore[[#This Row],[Land Bonus]]&lt;&gt;0,20,0))*0.285 + 87.5 + 0/4.25,0)</f>
        <v>122</v>
      </c>
      <c r="AX6" s="154"/>
      <c r="AY6" s="188" cm="1">
        <f t="array" aca="1" ref="AY6" ca="1">IF(TblConstr[[#This Row],[Hour]:[Hour]]&gt;12,OFFSET(TblConstr[[#This Row],[Hom]],-12,0),0)+OFFSET(TblConstr[[#This Row],[Tot Hom]],-1,0)-TblConstr[[#This Row],[Dest Hom]]</f>
        <v>50</v>
      </c>
      <c r="AZ6" s="189" cm="1">
        <f t="array" aca="1" ref="AZ6" ca="1">IF(TblConstr[[#This Row],[Hour]:[Hour]]&gt;12,OFFSET(TblConstr[[#This Row],[Alc]],-12,0),0)+OFFSET(TblConstr[[#This Row],[Tot Alc]],-1,0)-TblConstr[[#This Row],[Dest Alc]]</f>
        <v>50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50</v>
      </c>
      <c r="BM6" s="369" cm="1">
        <f t="array" aca="1" ref="BM6" ca="1">IF(TblConstr[[#This Row],[Hour]:[Hour]]&gt;12,OFFSET(TblConstr[[#This Row],[Tem]],-12,0),0)+OFFSET(TblConstr[[#This Row],[Tot Tem]],-1,0)-TblConstr[[#This Row],[Dest Tem]]</f>
        <v>50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50</v>
      </c>
      <c r="BP6" s="191" cm="1">
        <f t="array" aca="1" ref="BP6" ca="1">IF(TblConstr[[#This Row],[Hour]:[Hour]]&gt;12,OFFSET(TblConstr[[#This Row],[Sch]],-12,0),0)+OFFSET(TblConstr[[#This Row],[Tot Sch]],-1,0)-TblConstr[[#This Row],[Dest Sch]]</f>
        <v>50</v>
      </c>
      <c r="BQ6" s="192" cm="1">
        <f t="array" aca="1" ref="BQ6" ca="1">IF(TblConstr[[#This Row],[Hour]:[Hour]]&gt;12,OFFSET(TblConstr[[#This Row],[Doc]],-12,0),0)+OFFSET(TblConstr[[#This Row],[Tot Doc]],-1,0)-TblConstr[[#This Row],[Dest Doc]]</f>
        <v>0</v>
      </c>
      <c r="BR6" s="142"/>
      <c r="BS6" s="154"/>
      <c r="BT6" s="94">
        <f ca="1">TblConstr[[#This Row],[Land]]</f>
        <v>370</v>
      </c>
      <c r="BU6" s="159">
        <f ca="1">TblImps[[#This Row],[Time]]</f>
        <v>45815.083333333328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100</v>
      </c>
      <c r="DA6" s="94">
        <f ca="1">H6+SUM(T$4:U6)+SUM(BD6:BE6)</f>
        <v>20</v>
      </c>
      <c r="DB6" s="45">
        <f ca="1">I6+SUM(V$4:W6)+SUM(BF6:BG6)</f>
        <v>0</v>
      </c>
      <c r="DC6" s="94">
        <f ca="1">J6+SUM(X$4:Y6)+SUM(BH6:BI6)</f>
        <v>0</v>
      </c>
      <c r="DD6" s="94">
        <f ca="1">K6+SUM(AB$4:AD6)+SUM(BL6:BN6)</f>
        <v>100</v>
      </c>
      <c r="DE6" s="45">
        <f ca="1">L6+SUM(AE$4:AE6)+BO6</f>
        <v>50</v>
      </c>
      <c r="DF6" s="94">
        <f ca="1">M6+SUM(AG$4:AG6)+BQ6</f>
        <v>0</v>
      </c>
      <c r="DG6" s="94" cm="1">
        <f t="array" aca="1" ref="DG6" ca="1">INDEX(TblConstr[[Total Plain]:[Total Water]],ROW()-ROW(TblConstr[#Headers]),MATCH("Total "&amp;home_land,TblConstr[[#Headers],[Total Plain]:[Total Water]],0))+TblConstr[[#This Row],[Homes]]</f>
        <v>150</v>
      </c>
      <c r="DH6" s="45">
        <f ca="1">SUM(O$4:O6)+AY6</f>
        <v>50</v>
      </c>
      <c r="DI6" s="45">
        <f t="shared" ref="DI6:DI69" ca="1" si="0">MAX(BA6-BA5,0)</f>
        <v>0</v>
      </c>
      <c r="DJ6" s="45">
        <f t="shared" ref="DJ6:DJ69" ca="1" si="1">MAX(BQ6-BQ5,0)</f>
        <v>0</v>
      </c>
    </row>
    <row r="7" spans="1:114" x14ac:dyDescent="0.2">
      <c r="A7" s="175">
        <f>TblRezone[[#This Row],[Hour]]</f>
        <v>4</v>
      </c>
      <c r="B7" s="176">
        <f ca="1">SUM(TblConstr[[#This Row],[Plain]:[Water]])</f>
        <v>20</v>
      </c>
      <c r="C7" s="177">
        <f ca="1">SUM(TblConstr[[#This Row],[Tot Hom]:[Tot Doc]])</f>
        <v>350</v>
      </c>
      <c r="D7" s="177">
        <f>SUM(O$4:AG7)</f>
        <v>0</v>
      </c>
      <c r="E7" s="178"/>
      <c r="F7" s="61">
        <f ca="1">TblConstr[[#This Row],[Barren]]+TblConstr[[#This Row],[Buildings]]+TblConstr[[#This Row],[Incoming]]</f>
        <v>370</v>
      </c>
      <c r="G7" s="187">
        <f ca="1">OFFSET(TblConstr[[#This Row],[Plain]],-1,0)+TblConstr[[#This Row],[Ch_Plain]]</f>
        <v>20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45815.124999999993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174212</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7" s="94">
        <f ca="1">ROUNDDOWN( MAX(1 - MIN(facs_constr_factor*TblConstr[[#This Row],[Facs -DB]],facs_constr_max) + tech_1_11*TblTech[[#This Row],[11-1]] + tech_6_3_2*TblTech[[#This Row],[6-3]] + tech_5_2_3*TblTech[[#This Row],[5-2]], 1-global_constr_cap) * TblConstr[[#This Row],[RCPA Lumber]],0)</f>
        <v>122</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7" s="94">
        <f ca="1">ROUNDDOWN( MAX(1 - MIN(facs_constr_factor*TblConstr[[#This Row],[Facs DB]],facs_constr_max) + tech_1_11*TblTech[[#This Row],[1-11]] + tech_6_3_2*TblTech[[#This Row],[6-3]] + tech_5_2_3*TblTech[[#This Row],[5-2]], 1-global_constr_cap) * ROUND((TblConstr[[#This Row],[Land]]-250)*0.285 + 87.5 + 0/4.25,0),0)</f>
        <v>122</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1000</v>
      </c>
      <c r="AW7" s="94">
        <f ca="1">ROUND((TblConstr[[#This Row],[Land]]-250 - IF(TblExplore[[#This Row],[Land Bonus]]&lt;&gt;0,20,0))*0.285 + 87.5 + 0/4.25,0)</f>
        <v>122</v>
      </c>
      <c r="AX7" s="154"/>
      <c r="AY7" s="188" cm="1">
        <f t="array" aca="1" ref="AY7" ca="1">IF(TblConstr[[#This Row],[Hour]:[Hour]]&gt;12,OFFSET(TblConstr[[#This Row],[Hom]],-12,0),0)+OFFSET(TblConstr[[#This Row],[Tot Hom]],-1,0)-TblConstr[[#This Row],[Dest Hom]]</f>
        <v>50</v>
      </c>
      <c r="AZ7" s="189" cm="1">
        <f t="array" aca="1" ref="AZ7" ca="1">IF(TblConstr[[#This Row],[Hour]:[Hour]]&gt;12,OFFSET(TblConstr[[#This Row],[Alc]],-12,0),0)+OFFSET(TblConstr[[#This Row],[Tot Alc]],-1,0)-TblConstr[[#This Row],[Dest Alc]]</f>
        <v>50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50</v>
      </c>
      <c r="BM7" s="369" cm="1">
        <f t="array" aca="1" ref="BM7" ca="1">IF(TblConstr[[#This Row],[Hour]:[Hour]]&gt;12,OFFSET(TblConstr[[#This Row],[Tem]],-12,0),0)+OFFSET(TblConstr[[#This Row],[Tot Tem]],-1,0)-TblConstr[[#This Row],[Dest Tem]]</f>
        <v>50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50</v>
      </c>
      <c r="BP7" s="191" cm="1">
        <f t="array" aca="1" ref="BP7" ca="1">IF(TblConstr[[#This Row],[Hour]:[Hour]]&gt;12,OFFSET(TblConstr[[#This Row],[Sch]],-12,0),0)+OFFSET(TblConstr[[#This Row],[Tot Sch]],-1,0)-TblConstr[[#This Row],[Dest Sch]]</f>
        <v>50</v>
      </c>
      <c r="BQ7" s="192" cm="1">
        <f t="array" aca="1" ref="BQ7" ca="1">IF(TblConstr[[#This Row],[Hour]:[Hour]]&gt;12,OFFSET(TblConstr[[#This Row],[Doc]],-12,0),0)+OFFSET(TblConstr[[#This Row],[Tot Doc]],-1,0)-TblConstr[[#This Row],[Dest Doc]]</f>
        <v>0</v>
      </c>
      <c r="BR7" s="142"/>
      <c r="BS7" s="154"/>
      <c r="BT7" s="94">
        <f ca="1">TblConstr[[#This Row],[Land]]</f>
        <v>370</v>
      </c>
      <c r="BU7" s="159">
        <f ca="1">TblImps[[#This Row],[Time]]</f>
        <v>45815.124999999993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100</v>
      </c>
      <c r="DA7" s="94">
        <f ca="1">H7+SUM(T$4:U7)+SUM(BD7:BE7)</f>
        <v>20</v>
      </c>
      <c r="DB7" s="45">
        <f ca="1">I7+SUM(V$4:W7)+SUM(BF7:BG7)</f>
        <v>0</v>
      </c>
      <c r="DC7" s="94">
        <f ca="1">J7+SUM(X$4:Y7)+SUM(BH7:BI7)</f>
        <v>0</v>
      </c>
      <c r="DD7" s="94">
        <f ca="1">K7+SUM(AB$4:AD7)+SUM(BL7:BN7)</f>
        <v>100</v>
      </c>
      <c r="DE7" s="45">
        <f ca="1">L7+SUM(AE$4:AE7)+BO7</f>
        <v>50</v>
      </c>
      <c r="DF7" s="94">
        <f ca="1">M7+SUM(AG$4:AG7)+BQ7</f>
        <v>0</v>
      </c>
      <c r="DG7" s="94" cm="1">
        <f t="array" aca="1" ref="DG7" ca="1">INDEX(TblConstr[[Total Plain]:[Total Water]],ROW()-ROW(TblConstr[#Headers]),MATCH("Total "&amp;home_land,TblConstr[[#Headers],[Total Plain]:[Total Water]],0))+TblConstr[[#This Row],[Homes]]</f>
        <v>150</v>
      </c>
      <c r="DH7" s="45">
        <f ca="1">SUM(O$4:O7)+AY7</f>
        <v>50</v>
      </c>
      <c r="DI7" s="45">
        <f t="shared" ca="1" si="0"/>
        <v>0</v>
      </c>
      <c r="DJ7" s="45">
        <f t="shared" ca="1" si="1"/>
        <v>0</v>
      </c>
    </row>
    <row r="8" spans="1:114" x14ac:dyDescent="0.2">
      <c r="A8" s="356">
        <f>TblRezone[[#This Row],[Hour]]</f>
        <v>5</v>
      </c>
      <c r="B8" s="176">
        <f ca="1">SUM(TblConstr[[#This Row],[Plain]:[Water]])</f>
        <v>20</v>
      </c>
      <c r="C8" s="177">
        <f ca="1">SUM(TblConstr[[#This Row],[Tot Hom]:[Tot Doc]])</f>
        <v>350</v>
      </c>
      <c r="D8" s="177">
        <f>SUM(O$4:AG8)</f>
        <v>0</v>
      </c>
      <c r="E8" s="178"/>
      <c r="F8" s="61">
        <f ca="1">TblConstr[[#This Row],[Barren]]+TblConstr[[#This Row],[Buildings]]+TblConstr[[#This Row],[Incoming]]</f>
        <v>370</v>
      </c>
      <c r="G8" s="187">
        <f ca="1">OFFSET(TblConstr[[#This Row],[Plain]],-1,0)+TblConstr[[#This Row],[Ch_Plain]]</f>
        <v>20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45815.166666666657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192059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8" s="94">
        <f ca="1">ROUNDDOWN( MAX(1 - MIN(facs_constr_factor*TblConstr[[#This Row],[Facs -DB]],facs_constr_max) + tech_1_11*TblTech[[#This Row],[11-1]] + tech_6_3_2*TblTech[[#This Row],[6-3]] + tech_5_2_3*TblTech[[#This Row],[5-2]], 1-global_constr_cap) * TblConstr[[#This Row],[RCPA Lumber]],0)</f>
        <v>122</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8" s="94">
        <f ca="1">ROUNDDOWN( MAX(1 - MIN(facs_constr_factor*TblConstr[[#This Row],[Facs DB]],facs_constr_max) + tech_1_11*TblTech[[#This Row],[1-11]] + tech_6_3_2*TblTech[[#This Row],[6-3]] + tech_5_2_3*TblTech[[#This Row],[5-2]], 1-global_constr_cap) * ROUND((TblConstr[[#This Row],[Land]]-250)*0.285 + 87.5 + 0/4.25,0),0)</f>
        <v>122</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1000</v>
      </c>
      <c r="AW8" s="94">
        <f ca="1">ROUND((TblConstr[[#This Row],[Land]]-250 - IF(TblExplore[[#This Row],[Land Bonus]]&lt;&gt;0,20,0))*0.285 + 87.5 + 0/4.25,0)</f>
        <v>122</v>
      </c>
      <c r="AX8" s="154"/>
      <c r="AY8" s="188" cm="1">
        <f t="array" aca="1" ref="AY8" ca="1">IF(TblConstr[[#This Row],[Hour]:[Hour]]&gt;12,OFFSET(TblConstr[[#This Row],[Hom]],-12,0),0)+OFFSET(TblConstr[[#This Row],[Tot Hom]],-1,0)-TblConstr[[#This Row],[Dest Hom]]</f>
        <v>50</v>
      </c>
      <c r="AZ8" s="189" cm="1">
        <f t="array" aca="1" ref="AZ8" ca="1">IF(TblConstr[[#This Row],[Hour]:[Hour]]&gt;12,OFFSET(TblConstr[[#This Row],[Alc]],-12,0),0)+OFFSET(TblConstr[[#This Row],[Tot Alc]],-1,0)-TblConstr[[#This Row],[Dest Alc]]</f>
        <v>50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50</v>
      </c>
      <c r="BM8" s="369" cm="1">
        <f t="array" aca="1" ref="BM8" ca="1">IF(TblConstr[[#This Row],[Hour]:[Hour]]&gt;12,OFFSET(TblConstr[[#This Row],[Tem]],-12,0),0)+OFFSET(TblConstr[[#This Row],[Tot Tem]],-1,0)-TblConstr[[#This Row],[Dest Tem]]</f>
        <v>50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50</v>
      </c>
      <c r="BP8" s="191" cm="1">
        <f t="array" aca="1" ref="BP8" ca="1">IF(TblConstr[[#This Row],[Hour]:[Hour]]&gt;12,OFFSET(TblConstr[[#This Row],[Sch]],-12,0),0)+OFFSET(TblConstr[[#This Row],[Tot Sch]],-1,0)-TblConstr[[#This Row],[Dest Sch]]</f>
        <v>50</v>
      </c>
      <c r="BQ8" s="192" cm="1">
        <f t="array" aca="1" ref="BQ8" ca="1">IF(TblConstr[[#This Row],[Hour]:[Hour]]&gt;12,OFFSET(TblConstr[[#This Row],[Doc]],-12,0),0)+OFFSET(TblConstr[[#This Row],[Tot Doc]],-1,0)-TblConstr[[#This Row],[Dest Doc]]</f>
        <v>0</v>
      </c>
      <c r="BR8" s="142"/>
      <c r="BS8" s="154"/>
      <c r="BT8" s="94">
        <f ca="1">TblConstr[[#This Row],[Land]]</f>
        <v>370</v>
      </c>
      <c r="BU8" s="159">
        <f ca="1">TblImps[[#This Row],[Time]]</f>
        <v>45815.166666666657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100</v>
      </c>
      <c r="DA8" s="94">
        <f ca="1">H8+SUM(T$4:U8)+SUM(BD8:BE8)</f>
        <v>20</v>
      </c>
      <c r="DB8" s="45">
        <f ca="1">I8+SUM(V$4:W8)+SUM(BF8:BG8)</f>
        <v>0</v>
      </c>
      <c r="DC8" s="94">
        <f ca="1">J8+SUM(X$4:Y8)+SUM(BH8:BI8)</f>
        <v>0</v>
      </c>
      <c r="DD8" s="94">
        <f ca="1">K8+SUM(AB$4:AD8)+SUM(BL8:BN8)</f>
        <v>100</v>
      </c>
      <c r="DE8" s="45">
        <f ca="1">L8+SUM(AE$4:AE8)+BO8</f>
        <v>50</v>
      </c>
      <c r="DF8" s="94">
        <f ca="1">M8+SUM(AG$4:AG8)+BQ8</f>
        <v>0</v>
      </c>
      <c r="DG8" s="94" cm="1">
        <f t="array" aca="1" ref="DG8" ca="1">INDEX(TblConstr[[Total Plain]:[Total Water]],ROW()-ROW(TblConstr[#Headers]),MATCH("Total "&amp;home_land,TblConstr[[#Headers],[Total Plain]:[Total Water]],0))+TblConstr[[#This Row],[Homes]]</f>
        <v>150</v>
      </c>
      <c r="DH8" s="45">
        <f ca="1">SUM(O$4:O8)+AY8</f>
        <v>50</v>
      </c>
      <c r="DI8" s="45">
        <f t="shared" ca="1" si="0"/>
        <v>0</v>
      </c>
      <c r="DJ8" s="45">
        <f t="shared" ca="1" si="1"/>
        <v>0</v>
      </c>
    </row>
    <row r="9" spans="1:114" x14ac:dyDescent="0.2">
      <c r="A9" s="175">
        <f>TblRezone[[#This Row],[Hour]]</f>
        <v>6</v>
      </c>
      <c r="B9" s="176">
        <f ca="1">SUM(TblConstr[[#This Row],[Plain]:[Water]])</f>
        <v>20</v>
      </c>
      <c r="C9" s="177">
        <f ca="1">SUM(TblConstr[[#This Row],[Tot Hom]:[Tot Doc]])</f>
        <v>350</v>
      </c>
      <c r="D9" s="177">
        <f>SUM(O$4:AG9)</f>
        <v>0</v>
      </c>
      <c r="E9" s="178"/>
      <c r="F9" s="61">
        <f ca="1">TblConstr[[#This Row],[Barren]]+TblConstr[[#This Row],[Buildings]]+TblConstr[[#This Row],[Incoming]]</f>
        <v>370</v>
      </c>
      <c r="G9" s="187">
        <f ca="1">OFFSET(TblConstr[[#This Row],[Plain]],-1,0)+TblConstr[[#This Row],[Ch_Plain]]</f>
        <v>20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45815.208333333321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209750</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9" s="94">
        <f ca="1">ROUNDDOWN( MAX(1 - MIN(facs_constr_factor*TblConstr[[#This Row],[Facs -DB]],facs_constr_max) + tech_1_11*TblTech[[#This Row],[11-1]] + tech_6_3_2*TblTech[[#This Row],[6-3]] + tech_5_2_3*TblTech[[#This Row],[5-2]], 1-global_constr_cap) * TblConstr[[#This Row],[RCPA Lumber]],0)</f>
        <v>122</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9" s="94">
        <f ca="1">ROUNDDOWN( MAX(1 - MIN(facs_constr_factor*TblConstr[[#This Row],[Facs DB]],facs_constr_max) + tech_1_11*TblTech[[#This Row],[1-11]] + tech_6_3_2*TblTech[[#This Row],[6-3]] + tech_5_2_3*TblTech[[#This Row],[5-2]], 1-global_constr_cap) * ROUND((TblConstr[[#This Row],[Land]]-250)*0.285 + 87.5 + 0/4.25,0),0)</f>
        <v>122</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1000</v>
      </c>
      <c r="AW9" s="94">
        <f ca="1">ROUND((TblConstr[[#This Row],[Land]]-250 - IF(TblExplore[[#This Row],[Land Bonus]]&lt;&gt;0,20,0))*0.285 + 87.5 + 0/4.25,0)</f>
        <v>122</v>
      </c>
      <c r="AX9" s="154"/>
      <c r="AY9" s="188" cm="1">
        <f t="array" aca="1" ref="AY9" ca="1">IF(TblConstr[[#This Row],[Hour]:[Hour]]&gt;12,OFFSET(TblConstr[[#This Row],[Hom]],-12,0),0)+OFFSET(TblConstr[[#This Row],[Tot Hom]],-1,0)-TblConstr[[#This Row],[Dest Hom]]</f>
        <v>50</v>
      </c>
      <c r="AZ9" s="189" cm="1">
        <f t="array" aca="1" ref="AZ9" ca="1">IF(TblConstr[[#This Row],[Hour]:[Hour]]&gt;12,OFFSET(TblConstr[[#This Row],[Alc]],-12,0),0)+OFFSET(TblConstr[[#This Row],[Tot Alc]],-1,0)-TblConstr[[#This Row],[Dest Alc]]</f>
        <v>50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50</v>
      </c>
      <c r="BM9" s="369" cm="1">
        <f t="array" aca="1" ref="BM9" ca="1">IF(TblConstr[[#This Row],[Hour]:[Hour]]&gt;12,OFFSET(TblConstr[[#This Row],[Tem]],-12,0),0)+OFFSET(TblConstr[[#This Row],[Tot Tem]],-1,0)-TblConstr[[#This Row],[Dest Tem]]</f>
        <v>50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50</v>
      </c>
      <c r="BP9" s="191" cm="1">
        <f t="array" aca="1" ref="BP9" ca="1">IF(TblConstr[[#This Row],[Hour]:[Hour]]&gt;12,OFFSET(TblConstr[[#This Row],[Sch]],-12,0),0)+OFFSET(TblConstr[[#This Row],[Tot Sch]],-1,0)-TblConstr[[#This Row],[Dest Sch]]</f>
        <v>50</v>
      </c>
      <c r="BQ9" s="192" cm="1">
        <f t="array" aca="1" ref="BQ9" ca="1">IF(TblConstr[[#This Row],[Hour]:[Hour]]&gt;12,OFFSET(TblConstr[[#This Row],[Doc]],-12,0),0)+OFFSET(TblConstr[[#This Row],[Tot Doc]],-1,0)-TblConstr[[#This Row],[Dest Doc]]</f>
        <v>0</v>
      </c>
      <c r="BR9" s="142"/>
      <c r="BS9" s="154"/>
      <c r="BT9" s="94">
        <f ca="1">TblConstr[[#This Row],[Land]]</f>
        <v>370</v>
      </c>
      <c r="BU9" s="159">
        <f ca="1">TblImps[[#This Row],[Time]]</f>
        <v>45815.208333333321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100</v>
      </c>
      <c r="DA9" s="94">
        <f ca="1">H9+SUM(T$4:U9)+SUM(BD9:BE9)</f>
        <v>20</v>
      </c>
      <c r="DB9" s="45">
        <f ca="1">I9+SUM(V$4:W9)+SUM(BF9:BG9)</f>
        <v>0</v>
      </c>
      <c r="DC9" s="94">
        <f ca="1">J9+SUM(X$4:Y9)+SUM(BH9:BI9)</f>
        <v>0</v>
      </c>
      <c r="DD9" s="94">
        <f ca="1">K9+SUM(AB$4:AD9)+SUM(BL9:BN9)</f>
        <v>100</v>
      </c>
      <c r="DE9" s="45">
        <f ca="1">L9+SUM(AE$4:AE9)+BO9</f>
        <v>50</v>
      </c>
      <c r="DF9" s="94">
        <f ca="1">M9+SUM(AG$4:AG9)+BQ9</f>
        <v>0</v>
      </c>
      <c r="DG9" s="94" cm="1">
        <f t="array" aca="1" ref="DG9" ca="1">INDEX(TblConstr[[Total Plain]:[Total Water]],ROW()-ROW(TblConstr[#Headers]),MATCH("Total "&amp;home_land,TblConstr[[#Headers],[Total Plain]:[Total Water]],0))+TblConstr[[#This Row],[Homes]]</f>
        <v>150</v>
      </c>
      <c r="DH9" s="45">
        <f ca="1">SUM(O$4:O9)+AY9</f>
        <v>50</v>
      </c>
      <c r="DI9" s="45">
        <f t="shared" ca="1" si="0"/>
        <v>0</v>
      </c>
      <c r="DJ9" s="45">
        <f t="shared" ca="1" si="1"/>
        <v>0</v>
      </c>
    </row>
    <row r="10" spans="1:114" x14ac:dyDescent="0.2">
      <c r="A10" s="175">
        <f>TblRezone[[#This Row],[Hour]]</f>
        <v>7</v>
      </c>
      <c r="B10" s="176">
        <f ca="1">SUM(TblConstr[[#This Row],[Plain]:[Water]])</f>
        <v>20</v>
      </c>
      <c r="C10" s="177">
        <f ca="1">SUM(TblConstr[[#This Row],[Tot Hom]:[Tot Doc]])</f>
        <v>350</v>
      </c>
      <c r="D10" s="177">
        <f>SUM(O$4:AG10)</f>
        <v>0</v>
      </c>
      <c r="E10" s="178"/>
      <c r="F10" s="61">
        <f ca="1">TblConstr[[#This Row],[Barren]]+TblConstr[[#This Row],[Buildings]]+TblConstr[[#This Row],[Incoming]]</f>
        <v>370</v>
      </c>
      <c r="G10" s="187">
        <f ca="1">OFFSET(TblConstr[[#This Row],[Plain]],-1,0)+TblConstr[[#This Row],[Ch_Plain]]</f>
        <v>20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45815.249999999985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227287</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0" s="94">
        <f ca="1">ROUNDDOWN( MAX(1 - MIN(facs_constr_factor*TblConstr[[#This Row],[Facs -DB]],facs_constr_max) + tech_1_11*TblTech[[#This Row],[11-1]] + tech_6_3_2*TblTech[[#This Row],[6-3]] + tech_5_2_3*TblTech[[#This Row],[5-2]], 1-global_constr_cap) * TblConstr[[#This Row],[RCPA Lumber]],0)</f>
        <v>122</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0" s="94">
        <f ca="1">ROUNDDOWN( MAX(1 - MIN(facs_constr_factor*TblConstr[[#This Row],[Facs DB]],facs_constr_max) + tech_1_11*TblTech[[#This Row],[1-11]] + tech_6_3_2*TblTech[[#This Row],[6-3]] + tech_5_2_3*TblTech[[#This Row],[5-2]], 1-global_constr_cap) * ROUND((TblConstr[[#This Row],[Land]]-250)*0.285 + 87.5 + 0/4.25,0),0)</f>
        <v>122</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1000</v>
      </c>
      <c r="AW10" s="94">
        <f ca="1">ROUND((TblConstr[[#This Row],[Land]]-250 - IF(TblExplore[[#This Row],[Land Bonus]]&lt;&gt;0,20,0))*0.285 + 87.5 + 0/4.25,0)</f>
        <v>122</v>
      </c>
      <c r="AX10" s="154"/>
      <c r="AY10" s="188" cm="1">
        <f t="array" aca="1" ref="AY10" ca="1">IF(TblConstr[[#This Row],[Hour]:[Hour]]&gt;12,OFFSET(TblConstr[[#This Row],[Hom]],-12,0),0)+OFFSET(TblConstr[[#This Row],[Tot Hom]],-1,0)-TblConstr[[#This Row],[Dest Hom]]</f>
        <v>50</v>
      </c>
      <c r="AZ10" s="189" cm="1">
        <f t="array" aca="1" ref="AZ10" ca="1">IF(TblConstr[[#This Row],[Hour]:[Hour]]&gt;12,OFFSET(TblConstr[[#This Row],[Alc]],-12,0),0)+OFFSET(TblConstr[[#This Row],[Tot Alc]],-1,0)-TblConstr[[#This Row],[Dest Alc]]</f>
        <v>50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50</v>
      </c>
      <c r="BM10" s="369" cm="1">
        <f t="array" aca="1" ref="BM10" ca="1">IF(TblConstr[[#This Row],[Hour]:[Hour]]&gt;12,OFFSET(TblConstr[[#This Row],[Tem]],-12,0),0)+OFFSET(TblConstr[[#This Row],[Tot Tem]],-1,0)-TblConstr[[#This Row],[Dest Tem]]</f>
        <v>50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50</v>
      </c>
      <c r="BP10" s="191" cm="1">
        <f t="array" aca="1" ref="BP10" ca="1">IF(TblConstr[[#This Row],[Hour]:[Hour]]&gt;12,OFFSET(TblConstr[[#This Row],[Sch]],-12,0),0)+OFFSET(TblConstr[[#This Row],[Tot Sch]],-1,0)-TblConstr[[#This Row],[Dest Sch]]</f>
        <v>50</v>
      </c>
      <c r="BQ10" s="192" cm="1">
        <f t="array" aca="1" ref="BQ10" ca="1">IF(TblConstr[[#This Row],[Hour]:[Hour]]&gt;12,OFFSET(TblConstr[[#This Row],[Doc]],-12,0),0)+OFFSET(TblConstr[[#This Row],[Tot Doc]],-1,0)-TblConstr[[#This Row],[Dest Doc]]</f>
        <v>0</v>
      </c>
      <c r="BR10" s="142"/>
      <c r="BS10" s="154"/>
      <c r="BT10" s="94">
        <f ca="1">TblConstr[[#This Row],[Land]]</f>
        <v>370</v>
      </c>
      <c r="BU10" s="159">
        <f ca="1">TblImps[[#This Row],[Time]]</f>
        <v>45815.249999999985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100</v>
      </c>
      <c r="DA10" s="94">
        <f ca="1">H10+SUM(T$4:U10)+SUM(BD10:BE10)</f>
        <v>20</v>
      </c>
      <c r="DB10" s="45">
        <f ca="1">I10+SUM(V$4:W10)+SUM(BF10:BG10)</f>
        <v>0</v>
      </c>
      <c r="DC10" s="94">
        <f ca="1">J10+SUM(X$4:Y10)+SUM(BH10:BI10)</f>
        <v>0</v>
      </c>
      <c r="DD10" s="94">
        <f ca="1">K10+SUM(AB$4:AD10)+SUM(BL10:BN10)</f>
        <v>100</v>
      </c>
      <c r="DE10" s="45">
        <f ca="1">L10+SUM(AE$4:AE10)+BO10</f>
        <v>50</v>
      </c>
      <c r="DF10" s="94">
        <f ca="1">M10+SUM(AG$4:AG10)+BQ10</f>
        <v>0</v>
      </c>
      <c r="DG10" s="94" cm="1">
        <f t="array" aca="1" ref="DG10" ca="1">INDEX(TblConstr[[Total Plain]:[Total Water]],ROW()-ROW(TblConstr[#Headers]),MATCH("Total "&amp;home_land,TblConstr[[#Headers],[Total Plain]:[Total Water]],0))+TblConstr[[#This Row],[Homes]]</f>
        <v>150</v>
      </c>
      <c r="DH10" s="45">
        <f ca="1">SUM(O$4:O10)+AY10</f>
        <v>50</v>
      </c>
      <c r="DI10" s="45">
        <f t="shared" ca="1" si="0"/>
        <v>0</v>
      </c>
      <c r="DJ10" s="45">
        <f t="shared" ca="1" si="1"/>
        <v>0</v>
      </c>
    </row>
    <row r="11" spans="1:114" x14ac:dyDescent="0.2">
      <c r="A11" s="175">
        <f>TblRezone[[#This Row],[Hour]]</f>
        <v>8</v>
      </c>
      <c r="B11" s="176">
        <f ca="1">SUM(TblConstr[[#This Row],[Plain]:[Water]])</f>
        <v>20</v>
      </c>
      <c r="C11" s="177">
        <f ca="1">SUM(TblConstr[[#This Row],[Tot Hom]:[Tot Doc]])</f>
        <v>350</v>
      </c>
      <c r="D11" s="177">
        <f>SUM(O$4:AG11)</f>
        <v>0</v>
      </c>
      <c r="E11" s="178"/>
      <c r="F11" s="61">
        <f ca="1">TblConstr[[#This Row],[Barren]]+TblConstr[[#This Row],[Buildings]]+TblConstr[[#This Row],[Incoming]]</f>
        <v>370</v>
      </c>
      <c r="G11" s="187">
        <f ca="1">OFFSET(TblConstr[[#This Row],[Plain]],-1,0)+TblConstr[[#This Row],[Ch_Plain]]</f>
        <v>20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45815.29166666665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244670</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1" s="94">
        <f ca="1">ROUNDDOWN( MAX(1 - MIN(facs_constr_factor*TblConstr[[#This Row],[Facs -DB]],facs_constr_max) + tech_1_11*TblTech[[#This Row],[11-1]] + tech_6_3_2*TblTech[[#This Row],[6-3]] + tech_5_2_3*TblTech[[#This Row],[5-2]], 1-global_constr_cap) * TblConstr[[#This Row],[RCPA Lumber]],0)</f>
        <v>122</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1" s="94">
        <f ca="1">ROUNDDOWN( MAX(1 - MIN(facs_constr_factor*TblConstr[[#This Row],[Facs DB]],facs_constr_max) + tech_1_11*TblTech[[#This Row],[1-11]] + tech_6_3_2*TblTech[[#This Row],[6-3]] + tech_5_2_3*TblTech[[#This Row],[5-2]], 1-global_constr_cap) * ROUND((TblConstr[[#This Row],[Land]]-250)*0.285 + 87.5 + 0/4.25,0),0)</f>
        <v>122</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1000</v>
      </c>
      <c r="AW11" s="94">
        <f ca="1">ROUND((TblConstr[[#This Row],[Land]]-250 - IF(TblExplore[[#This Row],[Land Bonus]]&lt;&gt;0,20,0))*0.285 + 87.5 + 0/4.25,0)</f>
        <v>122</v>
      </c>
      <c r="AX11" s="154"/>
      <c r="AY11" s="188" cm="1">
        <f t="array" aca="1" ref="AY11" ca="1">IF(TblConstr[[#This Row],[Hour]:[Hour]]&gt;12,OFFSET(TblConstr[[#This Row],[Hom]],-12,0),0)+OFFSET(TblConstr[[#This Row],[Tot Hom]],-1,0)-TblConstr[[#This Row],[Dest Hom]]</f>
        <v>50</v>
      </c>
      <c r="AZ11" s="189" cm="1">
        <f t="array" aca="1" ref="AZ11" ca="1">IF(TblConstr[[#This Row],[Hour]:[Hour]]&gt;12,OFFSET(TblConstr[[#This Row],[Alc]],-12,0),0)+OFFSET(TblConstr[[#This Row],[Tot Alc]],-1,0)-TblConstr[[#This Row],[Dest Alc]]</f>
        <v>50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50</v>
      </c>
      <c r="BM11" s="369" cm="1">
        <f t="array" aca="1" ref="BM11" ca="1">IF(TblConstr[[#This Row],[Hour]:[Hour]]&gt;12,OFFSET(TblConstr[[#This Row],[Tem]],-12,0),0)+OFFSET(TblConstr[[#This Row],[Tot Tem]],-1,0)-TblConstr[[#This Row],[Dest Tem]]</f>
        <v>50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50</v>
      </c>
      <c r="BP11" s="191" cm="1">
        <f t="array" aca="1" ref="BP11" ca="1">IF(TblConstr[[#This Row],[Hour]:[Hour]]&gt;12,OFFSET(TblConstr[[#This Row],[Sch]],-12,0),0)+OFFSET(TblConstr[[#This Row],[Tot Sch]],-1,0)-TblConstr[[#This Row],[Dest Sch]]</f>
        <v>50</v>
      </c>
      <c r="BQ11" s="192" cm="1">
        <f t="array" aca="1" ref="BQ11" ca="1">IF(TblConstr[[#This Row],[Hour]:[Hour]]&gt;12,OFFSET(TblConstr[[#This Row],[Doc]],-12,0),0)+OFFSET(TblConstr[[#This Row],[Tot Doc]],-1,0)-TblConstr[[#This Row],[Dest Doc]]</f>
        <v>0</v>
      </c>
      <c r="BR11" s="142"/>
      <c r="BS11" s="154"/>
      <c r="BT11" s="94">
        <f ca="1">TblConstr[[#This Row],[Land]]</f>
        <v>370</v>
      </c>
      <c r="BU11" s="159">
        <f ca="1">TblImps[[#This Row],[Time]]</f>
        <v>45815.29166666665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100</v>
      </c>
      <c r="DA11" s="94">
        <f ca="1">H11+SUM(T$4:U11)+SUM(BD11:BE11)</f>
        <v>20</v>
      </c>
      <c r="DB11" s="45">
        <f ca="1">I11+SUM(V$4:W11)+SUM(BF11:BG11)</f>
        <v>0</v>
      </c>
      <c r="DC11" s="94">
        <f ca="1">J11+SUM(X$4:Y11)+SUM(BH11:BI11)</f>
        <v>0</v>
      </c>
      <c r="DD11" s="94">
        <f ca="1">K11+SUM(AB$4:AD11)+SUM(BL11:BN11)</f>
        <v>100</v>
      </c>
      <c r="DE11" s="45">
        <f ca="1">L11+SUM(AE$4:AE11)+BO11</f>
        <v>50</v>
      </c>
      <c r="DF11" s="94">
        <f ca="1">M11+SUM(AG$4:AG11)+BQ11</f>
        <v>0</v>
      </c>
      <c r="DG11" s="94" cm="1">
        <f t="array" aca="1" ref="DG11" ca="1">INDEX(TblConstr[[Total Plain]:[Total Water]],ROW()-ROW(TblConstr[#Headers]),MATCH("Total "&amp;home_land,TblConstr[[#Headers],[Total Plain]:[Total Water]],0))+TblConstr[[#This Row],[Homes]]</f>
        <v>150</v>
      </c>
      <c r="DH11" s="45">
        <f ca="1">SUM(O$4:O11)+AY11</f>
        <v>50</v>
      </c>
      <c r="DI11" s="45">
        <f t="shared" ca="1" si="0"/>
        <v>0</v>
      </c>
      <c r="DJ11" s="45">
        <f t="shared" ca="1" si="1"/>
        <v>0</v>
      </c>
    </row>
    <row r="12" spans="1:114" x14ac:dyDescent="0.2">
      <c r="A12" s="175">
        <f>TblRezone[[#This Row],[Hour]]</f>
        <v>9</v>
      </c>
      <c r="B12" s="176">
        <f ca="1">SUM(TblConstr[[#This Row],[Plain]:[Water]])</f>
        <v>20</v>
      </c>
      <c r="C12" s="177">
        <f ca="1">SUM(TblConstr[[#This Row],[Tot Hom]:[Tot Doc]])</f>
        <v>350</v>
      </c>
      <c r="D12" s="177">
        <f>SUM(O$4:AG12)</f>
        <v>0</v>
      </c>
      <c r="E12" s="178"/>
      <c r="F12" s="61">
        <f ca="1">TblConstr[[#This Row],[Barren]]+TblConstr[[#This Row],[Buildings]]+TblConstr[[#This Row],[Incoming]]</f>
        <v>370</v>
      </c>
      <c r="G12" s="187">
        <f ca="1">OFFSET(TblConstr[[#This Row],[Plain]],-1,0)+TblConstr[[#This Row],[Ch_Plain]]</f>
        <v>20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45815.333333333314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261902</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2" s="94">
        <f ca="1">ROUNDDOWN( MAX(1 - MIN(facs_constr_factor*TblConstr[[#This Row],[Facs -DB]],facs_constr_max) + tech_1_11*TblTech[[#This Row],[11-1]] + tech_6_3_2*TblTech[[#This Row],[6-3]] + tech_5_2_3*TblTech[[#This Row],[5-2]], 1-global_constr_cap) * TblConstr[[#This Row],[RCPA Lumber]],0)</f>
        <v>122</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2" s="94">
        <f ca="1">ROUNDDOWN( MAX(1 - MIN(facs_constr_factor*TblConstr[[#This Row],[Facs DB]],facs_constr_max) + tech_1_11*TblTech[[#This Row],[1-11]] + tech_6_3_2*TblTech[[#This Row],[6-3]] + tech_5_2_3*TblTech[[#This Row],[5-2]], 1-global_constr_cap) * ROUND((TblConstr[[#This Row],[Land]]-250)*0.285 + 87.5 + 0/4.25,0),0)</f>
        <v>122</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1000</v>
      </c>
      <c r="AW12" s="94">
        <f ca="1">ROUND((TblConstr[[#This Row],[Land]]-250 - IF(TblExplore[[#This Row],[Land Bonus]]&lt;&gt;0,20,0))*0.285 + 87.5 + 0/4.25,0)</f>
        <v>122</v>
      </c>
      <c r="AX12" s="154"/>
      <c r="AY12" s="188" cm="1">
        <f t="array" aca="1" ref="AY12" ca="1">IF(TblConstr[[#This Row],[Hour]:[Hour]]&gt;12,OFFSET(TblConstr[[#This Row],[Hom]],-12,0),0)+OFFSET(TblConstr[[#This Row],[Tot Hom]],-1,0)-TblConstr[[#This Row],[Dest Hom]]</f>
        <v>50</v>
      </c>
      <c r="AZ12" s="189" cm="1">
        <f t="array" aca="1" ref="AZ12" ca="1">IF(TblConstr[[#This Row],[Hour]:[Hour]]&gt;12,OFFSET(TblConstr[[#This Row],[Alc]],-12,0),0)+OFFSET(TblConstr[[#This Row],[Tot Alc]],-1,0)-TblConstr[[#This Row],[Dest Alc]]</f>
        <v>50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50</v>
      </c>
      <c r="BM12" s="369" cm="1">
        <f t="array" aca="1" ref="BM12" ca="1">IF(TblConstr[[#This Row],[Hour]:[Hour]]&gt;12,OFFSET(TblConstr[[#This Row],[Tem]],-12,0),0)+OFFSET(TblConstr[[#This Row],[Tot Tem]],-1,0)-TblConstr[[#This Row],[Dest Tem]]</f>
        <v>50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50</v>
      </c>
      <c r="BP12" s="191" cm="1">
        <f t="array" aca="1" ref="BP12" ca="1">IF(TblConstr[[#This Row],[Hour]:[Hour]]&gt;12,OFFSET(TblConstr[[#This Row],[Sch]],-12,0),0)+OFFSET(TblConstr[[#This Row],[Tot Sch]],-1,0)-TblConstr[[#This Row],[Dest Sch]]</f>
        <v>50</v>
      </c>
      <c r="BQ12" s="192" cm="1">
        <f t="array" aca="1" ref="BQ12" ca="1">IF(TblConstr[[#This Row],[Hour]:[Hour]]&gt;12,OFFSET(TblConstr[[#This Row],[Doc]],-12,0),0)+OFFSET(TblConstr[[#This Row],[Tot Doc]],-1,0)-TblConstr[[#This Row],[Dest Doc]]</f>
        <v>0</v>
      </c>
      <c r="BR12" s="142"/>
      <c r="BS12" s="154"/>
      <c r="BT12" s="94">
        <f ca="1">TblConstr[[#This Row],[Land]]</f>
        <v>370</v>
      </c>
      <c r="BU12" s="159">
        <f ca="1">TblImps[[#This Row],[Time]]</f>
        <v>45815.333333333314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100</v>
      </c>
      <c r="DA12" s="94">
        <f ca="1">H12+SUM(T$4:U12)+SUM(BD12:BE12)</f>
        <v>20</v>
      </c>
      <c r="DB12" s="45">
        <f ca="1">I12+SUM(V$4:W12)+SUM(BF12:BG12)</f>
        <v>0</v>
      </c>
      <c r="DC12" s="94">
        <f ca="1">J12+SUM(X$4:Y12)+SUM(BH12:BI12)</f>
        <v>0</v>
      </c>
      <c r="DD12" s="94">
        <f ca="1">K12+SUM(AB$4:AD12)+SUM(BL12:BN12)</f>
        <v>100</v>
      </c>
      <c r="DE12" s="45">
        <f ca="1">L12+SUM(AE$4:AE12)+BO12</f>
        <v>50</v>
      </c>
      <c r="DF12" s="94">
        <f ca="1">M12+SUM(AG$4:AG12)+BQ12</f>
        <v>0</v>
      </c>
      <c r="DG12" s="94" cm="1">
        <f t="array" aca="1" ref="DG12" ca="1">INDEX(TblConstr[[Total Plain]:[Total Water]],ROW()-ROW(TblConstr[#Headers]),MATCH("Total "&amp;home_land,TblConstr[[#Headers],[Total Plain]:[Total Water]],0))+TblConstr[[#This Row],[Homes]]</f>
        <v>150</v>
      </c>
      <c r="DH12" s="45">
        <f ca="1">SUM(O$4:O12)+AY12</f>
        <v>50</v>
      </c>
      <c r="DI12" s="45">
        <f t="shared" ca="1" si="0"/>
        <v>0</v>
      </c>
      <c r="DJ12" s="45">
        <f t="shared" ca="1" si="1"/>
        <v>0</v>
      </c>
    </row>
    <row r="13" spans="1:114" x14ac:dyDescent="0.2">
      <c r="A13" s="175">
        <f>TblRezone[[#This Row],[Hour]]</f>
        <v>10</v>
      </c>
      <c r="B13" s="176">
        <f ca="1">SUM(TblConstr[[#This Row],[Plain]:[Water]])</f>
        <v>20</v>
      </c>
      <c r="C13" s="177">
        <f ca="1">SUM(TblConstr[[#This Row],[Tot Hom]:[Tot Doc]])</f>
        <v>350</v>
      </c>
      <c r="D13" s="177">
        <f>SUM(O$4:AG13)</f>
        <v>0</v>
      </c>
      <c r="E13" s="178"/>
      <c r="F13" s="61">
        <f ca="1">TblConstr[[#This Row],[Barren]]+TblConstr[[#This Row],[Buildings]]+TblConstr[[#This Row],[Incoming]]</f>
        <v>370</v>
      </c>
      <c r="G13" s="187">
        <f ca="1">OFFSET(TblConstr[[#This Row],[Plain]],-1,0)+TblConstr[[#This Row],[Ch_Plain]]</f>
        <v>20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45815.374999999978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278985</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3" s="94">
        <f ca="1">ROUNDDOWN( MAX(1 - MIN(facs_constr_factor*TblConstr[[#This Row],[Facs -DB]],facs_constr_max) + tech_1_11*TblTech[[#This Row],[11-1]] + tech_6_3_2*TblTech[[#This Row],[6-3]] + tech_5_2_3*TblTech[[#This Row],[5-2]], 1-global_constr_cap) * TblConstr[[#This Row],[RCPA Lumber]],0)</f>
        <v>122</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3" s="94">
        <f ca="1">ROUNDDOWN( MAX(1 - MIN(facs_constr_factor*TblConstr[[#This Row],[Facs DB]],facs_constr_max) + tech_1_11*TblTech[[#This Row],[1-11]] + tech_6_3_2*TblTech[[#This Row],[6-3]] + tech_5_2_3*TblTech[[#This Row],[5-2]], 1-global_constr_cap) * ROUND((TblConstr[[#This Row],[Land]]-250)*0.285 + 87.5 + 0/4.25,0),0)</f>
        <v>122</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1000</v>
      </c>
      <c r="AW13" s="94">
        <f ca="1">ROUND((TblConstr[[#This Row],[Land]]-250 - IF(TblExplore[[#This Row],[Land Bonus]]&lt;&gt;0,20,0))*0.285 + 87.5 + 0/4.25,0)</f>
        <v>122</v>
      </c>
      <c r="AX13" s="154"/>
      <c r="AY13" s="188" cm="1">
        <f t="array" aca="1" ref="AY13" ca="1">IF(TblConstr[[#This Row],[Hour]:[Hour]]&gt;12,OFFSET(TblConstr[[#This Row],[Hom]],-12,0),0)+OFFSET(TblConstr[[#This Row],[Tot Hom]],-1,0)-TblConstr[[#This Row],[Dest Hom]]</f>
        <v>50</v>
      </c>
      <c r="AZ13" s="189" cm="1">
        <f t="array" aca="1" ref="AZ13" ca="1">IF(TblConstr[[#This Row],[Hour]:[Hour]]&gt;12,OFFSET(TblConstr[[#This Row],[Alc]],-12,0),0)+OFFSET(TblConstr[[#This Row],[Tot Alc]],-1,0)-TblConstr[[#This Row],[Dest Alc]]</f>
        <v>50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50</v>
      </c>
      <c r="BM13" s="369" cm="1">
        <f t="array" aca="1" ref="BM13" ca="1">IF(TblConstr[[#This Row],[Hour]:[Hour]]&gt;12,OFFSET(TblConstr[[#This Row],[Tem]],-12,0),0)+OFFSET(TblConstr[[#This Row],[Tot Tem]],-1,0)-TblConstr[[#This Row],[Dest Tem]]</f>
        <v>50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50</v>
      </c>
      <c r="BP13" s="191" cm="1">
        <f t="array" aca="1" ref="BP13" ca="1">IF(TblConstr[[#This Row],[Hour]:[Hour]]&gt;12,OFFSET(TblConstr[[#This Row],[Sch]],-12,0),0)+OFFSET(TblConstr[[#This Row],[Tot Sch]],-1,0)-TblConstr[[#This Row],[Dest Sch]]</f>
        <v>50</v>
      </c>
      <c r="BQ13" s="192" cm="1">
        <f t="array" aca="1" ref="BQ13" ca="1">IF(TblConstr[[#This Row],[Hour]:[Hour]]&gt;12,OFFSET(TblConstr[[#This Row],[Doc]],-12,0),0)+OFFSET(TblConstr[[#This Row],[Tot Doc]],-1,0)-TblConstr[[#This Row],[Dest Doc]]</f>
        <v>0</v>
      </c>
      <c r="BR13" s="142"/>
      <c r="BS13" s="154"/>
      <c r="BT13" s="94">
        <f ca="1">TblConstr[[#This Row],[Land]]</f>
        <v>370</v>
      </c>
      <c r="BU13" s="159">
        <f ca="1">TblImps[[#This Row],[Time]]</f>
        <v>45815.374999999978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100</v>
      </c>
      <c r="DA13" s="94">
        <f ca="1">H13+SUM(T$4:U13)+SUM(BD13:BE13)</f>
        <v>20</v>
      </c>
      <c r="DB13" s="45">
        <f ca="1">I13+SUM(V$4:W13)+SUM(BF13:BG13)</f>
        <v>0</v>
      </c>
      <c r="DC13" s="94">
        <f ca="1">J13+SUM(X$4:Y13)+SUM(BH13:BI13)</f>
        <v>0</v>
      </c>
      <c r="DD13" s="94">
        <f ca="1">K13+SUM(AB$4:AD13)+SUM(BL13:BN13)</f>
        <v>100</v>
      </c>
      <c r="DE13" s="45">
        <f ca="1">L13+SUM(AE$4:AE13)+BO13</f>
        <v>50</v>
      </c>
      <c r="DF13" s="94">
        <f ca="1">M13+SUM(AG$4:AG13)+BQ13</f>
        <v>0</v>
      </c>
      <c r="DG13" s="94" cm="1">
        <f t="array" aca="1" ref="DG13" ca="1">INDEX(TblConstr[[Total Plain]:[Total Water]],ROW()-ROW(TblConstr[#Headers]),MATCH("Total "&amp;home_land,TblConstr[[#Headers],[Total Plain]:[Total Water]],0))+TblConstr[[#This Row],[Homes]]</f>
        <v>150</v>
      </c>
      <c r="DH13" s="45">
        <f ca="1">SUM(O$4:O13)+AY13</f>
        <v>50</v>
      </c>
      <c r="DI13" s="45">
        <f t="shared" ca="1" si="0"/>
        <v>0</v>
      </c>
      <c r="DJ13" s="45">
        <f t="shared" ca="1" si="1"/>
        <v>0</v>
      </c>
    </row>
    <row r="14" spans="1:114" x14ac:dyDescent="0.2">
      <c r="A14" s="175">
        <f>TblRezone[[#This Row],[Hour]]</f>
        <v>11</v>
      </c>
      <c r="B14" s="176">
        <f ca="1">SUM(TblConstr[[#This Row],[Plain]:[Water]])</f>
        <v>20</v>
      </c>
      <c r="C14" s="177">
        <f ca="1">SUM(TblConstr[[#This Row],[Tot Hom]:[Tot Doc]])</f>
        <v>350</v>
      </c>
      <c r="D14" s="177">
        <f>SUM(O$4:AG14)</f>
        <v>0</v>
      </c>
      <c r="E14" s="178"/>
      <c r="F14" s="61">
        <f ca="1">TblConstr[[#This Row],[Barren]]+TblConstr[[#This Row],[Buildings]]+TblConstr[[#This Row],[Incoming]]</f>
        <v>370</v>
      </c>
      <c r="G14" s="187">
        <f ca="1">OFFSET(TblConstr[[#This Row],[Plain]],-1,0)+TblConstr[[#This Row],[Ch_Plain]]</f>
        <v>20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45815.416666666642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295920</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4" s="94">
        <f ca="1">ROUNDDOWN( MAX(1 - MIN(facs_constr_factor*TblConstr[[#This Row],[Facs -DB]],facs_constr_max) + tech_1_11*TblTech[[#This Row],[11-1]] + tech_6_3_2*TblTech[[#This Row],[6-3]] + tech_5_2_3*TblTech[[#This Row],[5-2]], 1-global_constr_cap) * TblConstr[[#This Row],[RCPA Lumber]],0)</f>
        <v>122</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4" s="94">
        <f ca="1">ROUNDDOWN( MAX(1 - MIN(facs_constr_factor*TblConstr[[#This Row],[Facs DB]],facs_constr_max) + tech_1_11*TblTech[[#This Row],[1-11]] + tech_6_3_2*TblTech[[#This Row],[6-3]] + tech_5_2_3*TblTech[[#This Row],[5-2]], 1-global_constr_cap) * ROUND((TblConstr[[#This Row],[Land]]-250)*0.285 + 87.5 + 0/4.25,0),0)</f>
        <v>122</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1000</v>
      </c>
      <c r="AW14" s="94">
        <f ca="1">ROUND((TblConstr[[#This Row],[Land]]-250 - IF(TblExplore[[#This Row],[Land Bonus]]&lt;&gt;0,20,0))*0.285 + 87.5 + 0/4.25,0)</f>
        <v>122</v>
      </c>
      <c r="AX14" s="154"/>
      <c r="AY14" s="188" cm="1">
        <f t="array" aca="1" ref="AY14" ca="1">IF(TblConstr[[#This Row],[Hour]:[Hour]]&gt;12,OFFSET(TblConstr[[#This Row],[Hom]],-12,0),0)+OFFSET(TblConstr[[#This Row],[Tot Hom]],-1,0)-TblConstr[[#This Row],[Dest Hom]]</f>
        <v>50</v>
      </c>
      <c r="AZ14" s="189" cm="1">
        <f t="array" aca="1" ref="AZ14" ca="1">IF(TblConstr[[#This Row],[Hour]:[Hour]]&gt;12,OFFSET(TblConstr[[#This Row],[Alc]],-12,0),0)+OFFSET(TblConstr[[#This Row],[Tot Alc]],-1,0)-TblConstr[[#This Row],[Dest Alc]]</f>
        <v>50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50</v>
      </c>
      <c r="BM14" s="369" cm="1">
        <f t="array" aca="1" ref="BM14" ca="1">IF(TblConstr[[#This Row],[Hour]:[Hour]]&gt;12,OFFSET(TblConstr[[#This Row],[Tem]],-12,0),0)+OFFSET(TblConstr[[#This Row],[Tot Tem]],-1,0)-TblConstr[[#This Row],[Dest Tem]]</f>
        <v>50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50</v>
      </c>
      <c r="BP14" s="191" cm="1">
        <f t="array" aca="1" ref="BP14" ca="1">IF(TblConstr[[#This Row],[Hour]:[Hour]]&gt;12,OFFSET(TblConstr[[#This Row],[Sch]],-12,0),0)+OFFSET(TblConstr[[#This Row],[Tot Sch]],-1,0)-TblConstr[[#This Row],[Dest Sch]]</f>
        <v>50</v>
      </c>
      <c r="BQ14" s="192" cm="1">
        <f t="array" aca="1" ref="BQ14" ca="1">IF(TblConstr[[#This Row],[Hour]:[Hour]]&gt;12,OFFSET(TblConstr[[#This Row],[Doc]],-12,0),0)+OFFSET(TblConstr[[#This Row],[Tot Doc]],-1,0)-TblConstr[[#This Row],[Dest Doc]]</f>
        <v>0</v>
      </c>
      <c r="BR14" s="142"/>
      <c r="BS14" s="154"/>
      <c r="BT14" s="94">
        <f ca="1">TblConstr[[#This Row],[Land]]</f>
        <v>370</v>
      </c>
      <c r="BU14" s="159">
        <f ca="1">TblImps[[#This Row],[Time]]</f>
        <v>45815.416666666642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100</v>
      </c>
      <c r="DA14" s="94">
        <f ca="1">H14+SUM(T$4:U14)+SUM(BD14:BE14)</f>
        <v>20</v>
      </c>
      <c r="DB14" s="45">
        <f ca="1">I14+SUM(V$4:W14)+SUM(BF14:BG14)</f>
        <v>0</v>
      </c>
      <c r="DC14" s="94">
        <f ca="1">J14+SUM(X$4:Y14)+SUM(BH14:BI14)</f>
        <v>0</v>
      </c>
      <c r="DD14" s="94">
        <f ca="1">K14+SUM(AB$4:AD14)+SUM(BL14:BN14)</f>
        <v>100</v>
      </c>
      <c r="DE14" s="45">
        <f ca="1">L14+SUM(AE$4:AE14)+BO14</f>
        <v>50</v>
      </c>
      <c r="DF14" s="94">
        <f ca="1">M14+SUM(AG$4:AG14)+BQ14</f>
        <v>0</v>
      </c>
      <c r="DG14" s="94" cm="1">
        <f t="array" aca="1" ref="DG14" ca="1">INDEX(TblConstr[[Total Plain]:[Total Water]],ROW()-ROW(TblConstr[#Headers]),MATCH("Total "&amp;home_land,TblConstr[[#Headers],[Total Plain]:[Total Water]],0))+TblConstr[[#This Row],[Homes]]</f>
        <v>150</v>
      </c>
      <c r="DH14" s="45">
        <f ca="1">SUM(O$4:O14)+AY14</f>
        <v>50</v>
      </c>
      <c r="DI14" s="45">
        <f t="shared" ca="1" si="0"/>
        <v>0</v>
      </c>
      <c r="DJ14" s="45">
        <f t="shared" ca="1" si="1"/>
        <v>0</v>
      </c>
    </row>
    <row r="15" spans="1:114" x14ac:dyDescent="0.2">
      <c r="A15" s="175">
        <f>TblRezone[[#This Row],[Hour]]</f>
        <v>12</v>
      </c>
      <c r="B15" s="176">
        <f ca="1">SUM(TblConstr[[#This Row],[Plain]:[Water]])</f>
        <v>20</v>
      </c>
      <c r="C15" s="177">
        <f ca="1">SUM(TblConstr[[#This Row],[Tot Hom]:[Tot Doc]])</f>
        <v>350</v>
      </c>
      <c r="D15" s="177">
        <f>SUM(O$4:AG15)</f>
        <v>0</v>
      </c>
      <c r="E15" s="178"/>
      <c r="F15" s="61">
        <f ca="1">TblConstr[[#This Row],[Barren]]+TblConstr[[#This Row],[Buildings]]+TblConstr[[#This Row],[Incoming]]</f>
        <v>370</v>
      </c>
      <c r="G15" s="187">
        <f ca="1">OFFSET(TblConstr[[#This Row],[Plain]],-1,0)+TblConstr[[#This Row],[Ch_Plain]]</f>
        <v>20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45815.458333333307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312709</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5" s="94">
        <f ca="1">ROUNDDOWN( MAX(1 - MIN(facs_constr_factor*TblConstr[[#This Row],[Facs -DB]],facs_constr_max) + tech_1_11*TblTech[[#This Row],[11-1]] + tech_6_3_2*TblTech[[#This Row],[6-3]] + tech_5_2_3*TblTech[[#This Row],[5-2]], 1-global_constr_cap) * TblConstr[[#This Row],[RCPA Lumber]],0)</f>
        <v>122</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5" s="94">
        <f ca="1">ROUNDDOWN( MAX(1 - MIN(facs_constr_factor*TblConstr[[#This Row],[Facs DB]],facs_constr_max) + tech_1_11*TblTech[[#This Row],[1-11]] + tech_6_3_2*TblTech[[#This Row],[6-3]] + tech_5_2_3*TblTech[[#This Row],[5-2]], 1-global_constr_cap) * ROUND((TblConstr[[#This Row],[Land]]-250)*0.285 + 87.5 + 0/4.25,0),0)</f>
        <v>122</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1000</v>
      </c>
      <c r="AW15" s="94">
        <f ca="1">ROUND((TblConstr[[#This Row],[Land]]-250 - IF(TblExplore[[#This Row],[Land Bonus]]&lt;&gt;0,20,0))*0.285 + 87.5 + 0/4.25,0)</f>
        <v>122</v>
      </c>
      <c r="AX15" s="154"/>
      <c r="AY15" s="188" cm="1">
        <f t="array" aca="1" ref="AY15" ca="1">IF(TblConstr[[#This Row],[Hour]:[Hour]]&gt;12,OFFSET(TblConstr[[#This Row],[Hom]],-12,0),0)+OFFSET(TblConstr[[#This Row],[Tot Hom]],-1,0)-TblConstr[[#This Row],[Dest Hom]]</f>
        <v>50</v>
      </c>
      <c r="AZ15" s="189" cm="1">
        <f t="array" aca="1" ref="AZ15" ca="1">IF(TblConstr[[#This Row],[Hour]:[Hour]]&gt;12,OFFSET(TblConstr[[#This Row],[Alc]],-12,0),0)+OFFSET(TblConstr[[#This Row],[Tot Alc]],-1,0)-TblConstr[[#This Row],[Dest Alc]]</f>
        <v>50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50</v>
      </c>
      <c r="BM15" s="369" cm="1">
        <f t="array" aca="1" ref="BM15" ca="1">IF(TblConstr[[#This Row],[Hour]:[Hour]]&gt;12,OFFSET(TblConstr[[#This Row],[Tem]],-12,0),0)+OFFSET(TblConstr[[#This Row],[Tot Tem]],-1,0)-TblConstr[[#This Row],[Dest Tem]]</f>
        <v>50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50</v>
      </c>
      <c r="BP15" s="191" cm="1">
        <f t="array" aca="1" ref="BP15" ca="1">IF(TblConstr[[#This Row],[Hour]:[Hour]]&gt;12,OFFSET(TblConstr[[#This Row],[Sch]],-12,0),0)+OFFSET(TblConstr[[#This Row],[Tot Sch]],-1,0)-TblConstr[[#This Row],[Dest Sch]]</f>
        <v>50</v>
      </c>
      <c r="BQ15" s="192" cm="1">
        <f t="array" aca="1" ref="BQ15" ca="1">IF(TblConstr[[#This Row],[Hour]:[Hour]]&gt;12,OFFSET(TblConstr[[#This Row],[Doc]],-12,0),0)+OFFSET(TblConstr[[#This Row],[Tot Doc]],-1,0)-TblConstr[[#This Row],[Dest Doc]]</f>
        <v>0</v>
      </c>
      <c r="BR15" s="142"/>
      <c r="BS15" s="154"/>
      <c r="BT15" s="94">
        <f ca="1">TblConstr[[#This Row],[Land]]</f>
        <v>370</v>
      </c>
      <c r="BU15" s="159">
        <f ca="1">TblImps[[#This Row],[Time]]</f>
        <v>45815.458333333307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100</v>
      </c>
      <c r="DA15" s="94">
        <f ca="1">H15+SUM(T$4:U15)+SUM(BD15:BE15)</f>
        <v>20</v>
      </c>
      <c r="DB15" s="45">
        <f ca="1">I15+SUM(V$4:W15)+SUM(BF15:BG15)</f>
        <v>0</v>
      </c>
      <c r="DC15" s="94">
        <f ca="1">J15+SUM(X$4:Y15)+SUM(BH15:BI15)</f>
        <v>0</v>
      </c>
      <c r="DD15" s="94">
        <f ca="1">K15+SUM(AB$4:AD15)+SUM(BL15:BN15)</f>
        <v>100</v>
      </c>
      <c r="DE15" s="45">
        <f ca="1">L15+SUM(AE$4:AE15)+BO15</f>
        <v>50</v>
      </c>
      <c r="DF15" s="94">
        <f ca="1">M15+SUM(AG$4:AG15)+BQ15</f>
        <v>0</v>
      </c>
      <c r="DG15" s="94" cm="1">
        <f t="array" aca="1" ref="DG15" ca="1">INDEX(TblConstr[[Total Plain]:[Total Water]],ROW()-ROW(TblConstr[#Headers]),MATCH("Total "&amp;home_land,TblConstr[[#Headers],[Total Plain]:[Total Water]],0))+TblConstr[[#This Row],[Homes]]</f>
        <v>150</v>
      </c>
      <c r="DH15" s="45">
        <f ca="1">SUM(O$4:O15)+AY15</f>
        <v>50</v>
      </c>
      <c r="DI15" s="45">
        <f t="shared" ca="1" si="0"/>
        <v>0</v>
      </c>
      <c r="DJ15" s="45">
        <f t="shared" ca="1" si="1"/>
        <v>0</v>
      </c>
    </row>
    <row r="16" spans="1:114" x14ac:dyDescent="0.2">
      <c r="A16" s="175">
        <f>TblRezone[[#This Row],[Hour]]</f>
        <v>13</v>
      </c>
      <c r="B16" s="176">
        <f ca="1">SUM(TblConstr[[#This Row],[Plain]:[Water]])</f>
        <v>20</v>
      </c>
      <c r="C16" s="177">
        <f ca="1">SUM(TblConstr[[#This Row],[Tot Hom]:[Tot Doc]])</f>
        <v>350</v>
      </c>
      <c r="D16" s="177">
        <f t="shared" ref="D16:D46" si="2">SUM(O5:AG16)</f>
        <v>0</v>
      </c>
      <c r="E16" s="178"/>
      <c r="F16" s="61">
        <f ca="1">TblConstr[[#This Row],[Barren]]+TblConstr[[#This Row],[Buildings]]+TblConstr[[#This Row],[Incoming]]</f>
        <v>370</v>
      </c>
      <c r="G16" s="187">
        <f ca="1">OFFSET(TblConstr[[#This Row],[Plain]],-1,0)+TblConstr[[#This Row],[Ch_Plain]]</f>
        <v>20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45815.499999999971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329352</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6" s="94">
        <f ca="1">ROUNDDOWN( MAX(1 - MIN(facs_constr_factor*TblConstr[[#This Row],[Facs -DB]],facs_constr_max) + tech_1_11*TblTech[[#This Row],[11-1]] + tech_6_3_2*TblTech[[#This Row],[6-3]] + tech_5_2_3*TblTech[[#This Row],[5-2]], 1-global_constr_cap) * TblConstr[[#This Row],[RCPA Lumber]],0)</f>
        <v>122</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6" s="94">
        <f ca="1">ROUNDDOWN( MAX(1 - MIN(facs_constr_factor*TblConstr[[#This Row],[Facs DB]],facs_constr_max) + tech_1_11*TblTech[[#This Row],[1-11]] + tech_6_3_2*TblTech[[#This Row],[6-3]] + tech_5_2_3*TblTech[[#This Row],[5-2]], 1-global_constr_cap) * ROUND((TblConstr[[#This Row],[Land]]-250)*0.285 + 87.5 + 0/4.25,0),0)</f>
        <v>122</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1000</v>
      </c>
      <c r="AW16" s="94">
        <f ca="1">ROUND((TblConstr[[#This Row],[Land]]-250 - IF(TblExplore[[#This Row],[Land Bonus]]&lt;&gt;0,20,0))*0.285 + 87.5 + 0/4.25,0)</f>
        <v>122</v>
      </c>
      <c r="AX16" s="154"/>
      <c r="AY16" s="188" cm="1">
        <f t="array" aca="1" ref="AY16" ca="1">IF(TblConstr[[#This Row],[Hour]:[Hour]]&gt;12,OFFSET(TblConstr[[#This Row],[Hom]],-12,0),0)+OFFSET(TblConstr[[#This Row],[Tot Hom]],-1,0)-TblConstr[[#This Row],[Dest Hom]]</f>
        <v>50</v>
      </c>
      <c r="AZ16" s="189" cm="1">
        <f t="array" aca="1" ref="AZ16" ca="1">IF(TblConstr[[#This Row],[Hour]:[Hour]]&gt;12,OFFSET(TblConstr[[#This Row],[Alc]],-12,0),0)+OFFSET(TblConstr[[#This Row],[Tot Alc]],-1,0)-TblConstr[[#This Row],[Dest Alc]]</f>
        <v>50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50</v>
      </c>
      <c r="BM16" s="369" cm="1">
        <f t="array" aca="1" ref="BM16" ca="1">IF(TblConstr[[#This Row],[Hour]:[Hour]]&gt;12,OFFSET(TblConstr[[#This Row],[Tem]],-12,0),0)+OFFSET(TblConstr[[#This Row],[Tot Tem]],-1,0)-TblConstr[[#This Row],[Dest Tem]]</f>
        <v>50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50</v>
      </c>
      <c r="BP16" s="191" cm="1">
        <f t="array" aca="1" ref="BP16" ca="1">IF(TblConstr[[#This Row],[Hour]:[Hour]]&gt;12,OFFSET(TblConstr[[#This Row],[Sch]],-12,0),0)+OFFSET(TblConstr[[#This Row],[Tot Sch]],-1,0)-TblConstr[[#This Row],[Dest Sch]]</f>
        <v>50</v>
      </c>
      <c r="BQ16" s="192" cm="1">
        <f t="array" aca="1" ref="BQ16" ca="1">IF(TblConstr[[#This Row],[Hour]:[Hour]]&gt;12,OFFSET(TblConstr[[#This Row],[Doc]],-12,0),0)+OFFSET(TblConstr[[#This Row],[Tot Doc]],-1,0)-TblConstr[[#This Row],[Dest Doc]]</f>
        <v>0</v>
      </c>
      <c r="BR16" s="142"/>
      <c r="BS16" s="154"/>
      <c r="BT16" s="94">
        <f ca="1">TblConstr[[#This Row],[Land]]</f>
        <v>370</v>
      </c>
      <c r="BU16" s="159">
        <f ca="1">TblImps[[#This Row],[Time]]</f>
        <v>45815.499999999971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100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100</v>
      </c>
      <c r="DE16" s="45">
        <f t="shared" ref="DE16:DE47" ca="1" si="8">L16+SUM(AE5:AE16)+BO16</f>
        <v>50</v>
      </c>
      <c r="DF16" s="94">
        <f t="shared" ref="DF16:DF47" ca="1" si="9">M16+SUM(AG5:AG16)+BQ16</f>
        <v>0</v>
      </c>
      <c r="DG16" s="94" cm="1">
        <f t="array" aca="1" ref="DG16" ca="1">INDEX(TblConstr[[Total Plain]:[Total Water]],ROW()-ROW(TblConstr[#Headers]),MATCH("Total "&amp;home_land,TblConstr[[#Headers],[Total Plain]:[Total Water]],0))+TblConstr[[#This Row],[Homes]]</f>
        <v>150</v>
      </c>
      <c r="DH16" s="45">
        <f ca="1">SUM(O5:O16)+AY16</f>
        <v>50</v>
      </c>
      <c r="DI16" s="45">
        <f t="shared" ca="1" si="0"/>
        <v>0</v>
      </c>
      <c r="DJ16" s="45">
        <f t="shared" ca="1" si="1"/>
        <v>0</v>
      </c>
    </row>
    <row r="17" spans="1:114" x14ac:dyDescent="0.2">
      <c r="A17" s="175">
        <f>TblRezone[[#This Row],[Hour]]</f>
        <v>14</v>
      </c>
      <c r="B17" s="176">
        <f ca="1">SUM(TblConstr[[#This Row],[Plain]:[Water]])</f>
        <v>20</v>
      </c>
      <c r="C17" s="177">
        <f ca="1">SUM(TblConstr[[#This Row],[Tot Hom]:[Tot Doc]])</f>
        <v>350</v>
      </c>
      <c r="D17" s="177">
        <f t="shared" si="2"/>
        <v>0</v>
      </c>
      <c r="E17" s="178"/>
      <c r="F17" s="61">
        <f ca="1">TblConstr[[#This Row],[Barren]]+TblConstr[[#This Row],[Buildings]]+TblConstr[[#This Row],[Incoming]]</f>
        <v>370</v>
      </c>
      <c r="G17" s="187">
        <f ca="1">OFFSET(TblConstr[[#This Row],[Plain]],-1,0)+TblConstr[[#This Row],[Ch_Plain]]</f>
        <v>20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45815.541666666635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345852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7" s="94">
        <f ca="1">ROUNDDOWN( MAX(1 - MIN(facs_constr_factor*TblConstr[[#This Row],[Facs -DB]],facs_constr_max) + tech_1_11*TblTech[[#This Row],[11-1]] + tech_6_3_2*TblTech[[#This Row],[6-3]] + tech_5_2_3*TblTech[[#This Row],[5-2]], 1-global_constr_cap) * TblConstr[[#This Row],[RCPA Lumber]],0)</f>
        <v>122</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7" s="94">
        <f ca="1">ROUNDDOWN( MAX(1 - MIN(facs_constr_factor*TblConstr[[#This Row],[Facs DB]],facs_constr_max) + tech_1_11*TblTech[[#This Row],[1-11]] + tech_6_3_2*TblTech[[#This Row],[6-3]] + tech_5_2_3*TblTech[[#This Row],[5-2]], 1-global_constr_cap) * ROUND((TblConstr[[#This Row],[Land]]-250)*0.285 + 87.5 + 0/4.25,0),0)</f>
        <v>122</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1000</v>
      </c>
      <c r="AW17" s="94">
        <f ca="1">ROUND((TblConstr[[#This Row],[Land]]-250 - IF(TblExplore[[#This Row],[Land Bonus]]&lt;&gt;0,20,0))*0.285 + 87.5 + 0/4.25,0)</f>
        <v>122</v>
      </c>
      <c r="AX17" s="154"/>
      <c r="AY17" s="188" cm="1">
        <f t="array" aca="1" ref="AY17" ca="1">IF(TblConstr[[#This Row],[Hour]:[Hour]]&gt;12,OFFSET(TblConstr[[#This Row],[Hom]],-12,0),0)+OFFSET(TblConstr[[#This Row],[Tot Hom]],-1,0)-TblConstr[[#This Row],[Dest Hom]]</f>
        <v>50</v>
      </c>
      <c r="AZ17" s="189" cm="1">
        <f t="array" aca="1" ref="AZ17" ca="1">IF(TblConstr[[#This Row],[Hour]:[Hour]]&gt;12,OFFSET(TblConstr[[#This Row],[Alc]],-12,0),0)+OFFSET(TblConstr[[#This Row],[Tot Alc]],-1,0)-TblConstr[[#This Row],[Dest Alc]]</f>
        <v>50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50</v>
      </c>
      <c r="BM17" s="369" cm="1">
        <f t="array" aca="1" ref="BM17" ca="1">IF(TblConstr[[#This Row],[Hour]:[Hour]]&gt;12,OFFSET(TblConstr[[#This Row],[Tem]],-12,0),0)+OFFSET(TblConstr[[#This Row],[Tot Tem]],-1,0)-TblConstr[[#This Row],[Dest Tem]]</f>
        <v>50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50</v>
      </c>
      <c r="BP17" s="191" cm="1">
        <f t="array" aca="1" ref="BP17" ca="1">IF(TblConstr[[#This Row],[Hour]:[Hour]]&gt;12,OFFSET(TblConstr[[#This Row],[Sch]],-12,0),0)+OFFSET(TblConstr[[#This Row],[Tot Sch]],-1,0)-TblConstr[[#This Row],[Dest Sch]]</f>
        <v>50</v>
      </c>
      <c r="BQ17" s="192" cm="1">
        <f t="array" aca="1" ref="BQ17" ca="1">IF(TblConstr[[#This Row],[Hour]:[Hour]]&gt;12,OFFSET(TblConstr[[#This Row],[Doc]],-12,0),0)+OFFSET(TblConstr[[#This Row],[Tot Doc]],-1,0)-TblConstr[[#This Row],[Dest Doc]]</f>
        <v>0</v>
      </c>
      <c r="BR17" s="142"/>
      <c r="BS17" s="154"/>
      <c r="BT17" s="94">
        <f ca="1">TblConstr[[#This Row],[Land]]</f>
        <v>370</v>
      </c>
      <c r="BU17" s="159">
        <f ca="1">TblImps[[#This Row],[Time]]</f>
        <v>45815.541666666635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100</v>
      </c>
      <c r="DA17" s="94">
        <f t="shared" ca="1" si="4"/>
        <v>20</v>
      </c>
      <c r="DB17" s="45">
        <f t="shared" ca="1" si="5"/>
        <v>0</v>
      </c>
      <c r="DC17" s="94">
        <f t="shared" ca="1" si="6"/>
        <v>0</v>
      </c>
      <c r="DD17" s="94">
        <f t="shared" ca="1" si="7"/>
        <v>100</v>
      </c>
      <c r="DE17" s="45">
        <f t="shared" ca="1" si="8"/>
        <v>50</v>
      </c>
      <c r="DF17" s="94">
        <f t="shared" ca="1" si="9"/>
        <v>0</v>
      </c>
      <c r="DG17" s="94" cm="1">
        <f t="array" aca="1" ref="DG17" ca="1">INDEX(TblConstr[[Total Plain]:[Total Water]],ROW()-ROW(TblConstr[#Headers]),MATCH("Total "&amp;home_land,TblConstr[[#Headers],[Total Plain]:[Total Water]],0))+TblConstr[[#This Row],[Homes]]</f>
        <v>150</v>
      </c>
      <c r="DH17" s="45">
        <f t="shared" ref="DH17:DH75" ca="1" si="10">SUM(O6:O17)+AY17</f>
        <v>50</v>
      </c>
      <c r="DI17" s="45">
        <f t="shared" ca="1" si="0"/>
        <v>0</v>
      </c>
      <c r="DJ17" s="45">
        <f t="shared" ca="1" si="1"/>
        <v>0</v>
      </c>
    </row>
    <row r="18" spans="1:114" x14ac:dyDescent="0.2">
      <c r="A18" s="175">
        <f>TblRezone[[#This Row],[Hour]]</f>
        <v>15</v>
      </c>
      <c r="B18" s="176">
        <f ca="1">SUM(TblConstr[[#This Row],[Plain]:[Water]])</f>
        <v>20</v>
      </c>
      <c r="C18" s="177">
        <f ca="1">SUM(TblConstr[[#This Row],[Tot Hom]:[Tot Doc]])</f>
        <v>350</v>
      </c>
      <c r="D18" s="177">
        <f t="shared" si="2"/>
        <v>0</v>
      </c>
      <c r="E18" s="178"/>
      <c r="F18" s="61">
        <f ca="1">TblConstr[[#This Row],[Barren]]+TblConstr[[#This Row],[Buildings]]+TblConstr[[#This Row],[Incoming]]</f>
        <v>370</v>
      </c>
      <c r="G18" s="187">
        <f ca="1">OFFSET(TblConstr[[#This Row],[Plain]],-1,0)+TblConstr[[#This Row],[Ch_Plain]]</f>
        <v>20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45815.583333333299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362209</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8" s="94">
        <f ca="1">ROUNDDOWN( MAX(1 - MIN(facs_constr_factor*TblConstr[[#This Row],[Facs -DB]],facs_constr_max) + tech_1_11*TblTech[[#This Row],[11-1]] + tech_6_3_2*TblTech[[#This Row],[6-3]] + tech_5_2_3*TblTech[[#This Row],[5-2]], 1-global_constr_cap) * TblConstr[[#This Row],[RCPA Lumber]],0)</f>
        <v>122</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8" s="94">
        <f ca="1">ROUNDDOWN( MAX(1 - MIN(facs_constr_factor*TblConstr[[#This Row],[Facs DB]],facs_constr_max) + tech_1_11*TblTech[[#This Row],[1-11]] + tech_6_3_2*TblTech[[#This Row],[6-3]] + tech_5_2_3*TblTech[[#This Row],[5-2]], 1-global_constr_cap) * ROUND((TblConstr[[#This Row],[Land]]-250)*0.285 + 87.5 + 0/4.25,0),0)</f>
        <v>122</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1000</v>
      </c>
      <c r="AW18" s="94">
        <f ca="1">ROUND((TblConstr[[#This Row],[Land]]-250 - IF(TblExplore[[#This Row],[Land Bonus]]&lt;&gt;0,20,0))*0.285 + 87.5 + 0/4.25,0)</f>
        <v>122</v>
      </c>
      <c r="AX18" s="154"/>
      <c r="AY18" s="188" cm="1">
        <f t="array" aca="1" ref="AY18" ca="1">IF(TblConstr[[#This Row],[Hour]:[Hour]]&gt;12,OFFSET(TblConstr[[#This Row],[Hom]],-12,0),0)+OFFSET(TblConstr[[#This Row],[Tot Hom]],-1,0)-TblConstr[[#This Row],[Dest Hom]]</f>
        <v>50</v>
      </c>
      <c r="AZ18" s="189" cm="1">
        <f t="array" aca="1" ref="AZ18" ca="1">IF(TblConstr[[#This Row],[Hour]:[Hour]]&gt;12,OFFSET(TblConstr[[#This Row],[Alc]],-12,0),0)+OFFSET(TblConstr[[#This Row],[Tot Alc]],-1,0)-TblConstr[[#This Row],[Dest Alc]]</f>
        <v>50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50</v>
      </c>
      <c r="BM18" s="369" cm="1">
        <f t="array" aca="1" ref="BM18" ca="1">IF(TblConstr[[#This Row],[Hour]:[Hour]]&gt;12,OFFSET(TblConstr[[#This Row],[Tem]],-12,0),0)+OFFSET(TblConstr[[#This Row],[Tot Tem]],-1,0)-TblConstr[[#This Row],[Dest Tem]]</f>
        <v>50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50</v>
      </c>
      <c r="BP18" s="191" cm="1">
        <f t="array" aca="1" ref="BP18" ca="1">IF(TblConstr[[#This Row],[Hour]:[Hour]]&gt;12,OFFSET(TblConstr[[#This Row],[Sch]],-12,0),0)+OFFSET(TblConstr[[#This Row],[Tot Sch]],-1,0)-TblConstr[[#This Row],[Dest Sch]]</f>
        <v>50</v>
      </c>
      <c r="BQ18" s="192" cm="1">
        <f t="array" aca="1" ref="BQ18" ca="1">IF(TblConstr[[#This Row],[Hour]:[Hour]]&gt;12,OFFSET(TblConstr[[#This Row],[Doc]],-12,0),0)+OFFSET(TblConstr[[#This Row],[Tot Doc]],-1,0)-TblConstr[[#This Row],[Dest Doc]]</f>
        <v>0</v>
      </c>
      <c r="BR18" s="142"/>
      <c r="BS18" s="154"/>
      <c r="BT18" s="94">
        <f ca="1">TblConstr[[#This Row],[Land]]</f>
        <v>370</v>
      </c>
      <c r="BU18" s="159">
        <f ca="1">TblImps[[#This Row],[Time]]</f>
        <v>45815.583333333299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100</v>
      </c>
      <c r="DA18" s="94">
        <f t="shared" ca="1" si="4"/>
        <v>20</v>
      </c>
      <c r="DB18" s="45">
        <f t="shared" ca="1" si="5"/>
        <v>0</v>
      </c>
      <c r="DC18" s="94">
        <f t="shared" ca="1" si="6"/>
        <v>0</v>
      </c>
      <c r="DD18" s="94">
        <f t="shared" ca="1" si="7"/>
        <v>100</v>
      </c>
      <c r="DE18" s="45">
        <f t="shared" ca="1" si="8"/>
        <v>50</v>
      </c>
      <c r="DF18" s="94">
        <f t="shared" ca="1" si="9"/>
        <v>0</v>
      </c>
      <c r="DG18" s="94" cm="1">
        <f t="array" aca="1" ref="DG18" ca="1">INDEX(TblConstr[[Total Plain]:[Total Water]],ROW()-ROW(TblConstr[#Headers]),MATCH("Total "&amp;home_land,TblConstr[[#Headers],[Total Plain]:[Total Water]],0))+TblConstr[[#This Row],[Homes]]</f>
        <v>150</v>
      </c>
      <c r="DH18" s="45">
        <f t="shared" ca="1" si="10"/>
        <v>50</v>
      </c>
      <c r="DI18" s="45">
        <f t="shared" ca="1" si="0"/>
        <v>0</v>
      </c>
      <c r="DJ18" s="45">
        <f t="shared" ca="1" si="1"/>
        <v>0</v>
      </c>
    </row>
    <row r="19" spans="1:114" x14ac:dyDescent="0.2">
      <c r="A19" s="175">
        <f>TblRezone[[#This Row],[Hour]]</f>
        <v>16</v>
      </c>
      <c r="B19" s="176">
        <f ca="1">SUM(TblConstr[[#This Row],[Plain]:[Water]])</f>
        <v>20</v>
      </c>
      <c r="C19" s="177">
        <f ca="1">SUM(TblConstr[[#This Row],[Tot Hom]:[Tot Doc]])</f>
        <v>350</v>
      </c>
      <c r="D19" s="177">
        <f t="shared" si="2"/>
        <v>0</v>
      </c>
      <c r="E19" s="178"/>
      <c r="F19" s="61">
        <f ca="1">TblConstr[[#This Row],[Barren]]+TblConstr[[#This Row],[Buildings]]+TblConstr[[#This Row],[Incoming]]</f>
        <v>370</v>
      </c>
      <c r="G19" s="187">
        <f ca="1">OFFSET(TblConstr[[#This Row],[Plain]],-1,0)+TblConstr[[#This Row],[Ch_Plain]]</f>
        <v>20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45815.624999999964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378426</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9" s="94">
        <f ca="1">ROUNDDOWN( MAX(1 - MIN(facs_constr_factor*TblConstr[[#This Row],[Facs -DB]],facs_constr_max) + tech_1_11*TblTech[[#This Row],[11-1]] + tech_6_3_2*TblTech[[#This Row],[6-3]] + tech_5_2_3*TblTech[[#This Row],[5-2]], 1-global_constr_cap) * TblConstr[[#This Row],[RCPA Lumber]],0)</f>
        <v>122</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9" s="94">
        <f ca="1">ROUNDDOWN( MAX(1 - MIN(facs_constr_factor*TblConstr[[#This Row],[Facs DB]],facs_constr_max) + tech_1_11*TblTech[[#This Row],[1-11]] + tech_6_3_2*TblTech[[#This Row],[6-3]] + tech_5_2_3*TblTech[[#This Row],[5-2]], 1-global_constr_cap) * ROUND((TblConstr[[#This Row],[Land]]-250)*0.285 + 87.5 + 0/4.25,0),0)</f>
        <v>122</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1000</v>
      </c>
      <c r="AW19" s="94">
        <f ca="1">ROUND((TblConstr[[#This Row],[Land]]-250 - IF(TblExplore[[#This Row],[Land Bonus]]&lt;&gt;0,20,0))*0.285 + 87.5 + 0/4.25,0)</f>
        <v>122</v>
      </c>
      <c r="AX19" s="154"/>
      <c r="AY19" s="188" cm="1">
        <f t="array" aca="1" ref="AY19" ca="1">IF(TblConstr[[#This Row],[Hour]:[Hour]]&gt;12,OFFSET(TblConstr[[#This Row],[Hom]],-12,0),0)+OFFSET(TblConstr[[#This Row],[Tot Hom]],-1,0)-TblConstr[[#This Row],[Dest Hom]]</f>
        <v>50</v>
      </c>
      <c r="AZ19" s="189" cm="1">
        <f t="array" aca="1" ref="AZ19" ca="1">IF(TblConstr[[#This Row],[Hour]:[Hour]]&gt;12,OFFSET(TblConstr[[#This Row],[Alc]],-12,0),0)+OFFSET(TblConstr[[#This Row],[Tot Alc]],-1,0)-TblConstr[[#This Row],[Dest Alc]]</f>
        <v>50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50</v>
      </c>
      <c r="BM19" s="369" cm="1">
        <f t="array" aca="1" ref="BM19" ca="1">IF(TblConstr[[#This Row],[Hour]:[Hour]]&gt;12,OFFSET(TblConstr[[#This Row],[Tem]],-12,0),0)+OFFSET(TblConstr[[#This Row],[Tot Tem]],-1,0)-TblConstr[[#This Row],[Dest Tem]]</f>
        <v>50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50</v>
      </c>
      <c r="BP19" s="191" cm="1">
        <f t="array" aca="1" ref="BP19" ca="1">IF(TblConstr[[#This Row],[Hour]:[Hour]]&gt;12,OFFSET(TblConstr[[#This Row],[Sch]],-12,0),0)+OFFSET(TblConstr[[#This Row],[Tot Sch]],-1,0)-TblConstr[[#This Row],[Dest Sch]]</f>
        <v>50</v>
      </c>
      <c r="BQ19" s="192" cm="1">
        <f t="array" aca="1" ref="BQ19" ca="1">IF(TblConstr[[#This Row],[Hour]:[Hour]]&gt;12,OFFSET(TblConstr[[#This Row],[Doc]],-12,0),0)+OFFSET(TblConstr[[#This Row],[Tot Doc]],-1,0)-TblConstr[[#This Row],[Dest Doc]]</f>
        <v>0</v>
      </c>
      <c r="BR19" s="142"/>
      <c r="BS19" s="154"/>
      <c r="BT19" s="94">
        <f ca="1">TblConstr[[#This Row],[Land]]</f>
        <v>370</v>
      </c>
      <c r="BU19" s="159">
        <f ca="1">TblImps[[#This Row],[Time]]</f>
        <v>45815.624999999964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100</v>
      </c>
      <c r="DA19" s="94">
        <f t="shared" ca="1" si="4"/>
        <v>20</v>
      </c>
      <c r="DB19" s="45">
        <f t="shared" ca="1" si="5"/>
        <v>0</v>
      </c>
      <c r="DC19" s="94">
        <f t="shared" ca="1" si="6"/>
        <v>0</v>
      </c>
      <c r="DD19" s="94">
        <f t="shared" ca="1" si="7"/>
        <v>100</v>
      </c>
      <c r="DE19" s="45">
        <f t="shared" ca="1" si="8"/>
        <v>50</v>
      </c>
      <c r="DF19" s="94">
        <f t="shared" ca="1" si="9"/>
        <v>0</v>
      </c>
      <c r="DG19" s="94" cm="1">
        <f t="array" aca="1" ref="DG19" ca="1">INDEX(TblConstr[[Total Plain]:[Total Water]],ROW()-ROW(TblConstr[#Headers]),MATCH("Total "&amp;home_land,TblConstr[[#Headers],[Total Plain]:[Total Water]],0))+TblConstr[[#This Row],[Homes]]</f>
        <v>150</v>
      </c>
      <c r="DH19" s="45">
        <f t="shared" ca="1" si="10"/>
        <v>50</v>
      </c>
      <c r="DI19" s="45">
        <f t="shared" ca="1" si="0"/>
        <v>0</v>
      </c>
      <c r="DJ19" s="45">
        <f t="shared" ca="1" si="1"/>
        <v>0</v>
      </c>
    </row>
    <row r="20" spans="1:114" x14ac:dyDescent="0.2">
      <c r="A20" s="175">
        <f>TblRezone[[#This Row],[Hour]]</f>
        <v>17</v>
      </c>
      <c r="B20" s="176">
        <f ca="1">SUM(TblConstr[[#This Row],[Plain]:[Water]])</f>
        <v>20</v>
      </c>
      <c r="C20" s="177">
        <f ca="1">SUM(TblConstr[[#This Row],[Tot Hom]:[Tot Doc]])</f>
        <v>350</v>
      </c>
      <c r="D20" s="177">
        <f t="shared" si="2"/>
        <v>0</v>
      </c>
      <c r="E20" s="178"/>
      <c r="F20" s="61">
        <f ca="1">TblConstr[[#This Row],[Barren]]+TblConstr[[#This Row],[Buildings]]+TblConstr[[#This Row],[Incoming]]</f>
        <v>370</v>
      </c>
      <c r="G20" s="187">
        <f ca="1">OFFSET(TblConstr[[#This Row],[Plain]],-1,0)+TblConstr[[#This Row],[Ch_Plain]]</f>
        <v>20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45815.666666666628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394502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20" s="94">
        <f ca="1">ROUNDDOWN( MAX(1 - MIN(facs_constr_factor*TblConstr[[#This Row],[Facs -DB]],facs_constr_max) + tech_1_11*TblTech[[#This Row],[11-1]] + tech_6_3_2*TblTech[[#This Row],[6-3]] + tech_5_2_3*TblTech[[#This Row],[5-2]], 1-global_constr_cap) * TblConstr[[#This Row],[RCPA Lumber]],0)</f>
        <v>122</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20" s="94">
        <f ca="1">ROUNDDOWN( MAX(1 - MIN(facs_constr_factor*TblConstr[[#This Row],[Facs DB]],facs_constr_max) + tech_1_11*TblTech[[#This Row],[1-11]] + tech_6_3_2*TblTech[[#This Row],[6-3]] + tech_5_2_3*TblTech[[#This Row],[5-2]], 1-global_constr_cap) * ROUND((TblConstr[[#This Row],[Land]]-250)*0.285 + 87.5 + 0/4.25,0),0)</f>
        <v>122</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1000</v>
      </c>
      <c r="AW20" s="94">
        <f ca="1">ROUND((TblConstr[[#This Row],[Land]]-250 - IF(TblExplore[[#This Row],[Land Bonus]]&lt;&gt;0,20,0))*0.285 + 87.5 + 0/4.25,0)</f>
        <v>122</v>
      </c>
      <c r="AX20" s="154"/>
      <c r="AY20" s="188" cm="1">
        <f t="array" aca="1" ref="AY20" ca="1">IF(TblConstr[[#This Row],[Hour]:[Hour]]&gt;12,OFFSET(TblConstr[[#This Row],[Hom]],-12,0),0)+OFFSET(TblConstr[[#This Row],[Tot Hom]],-1,0)-TblConstr[[#This Row],[Dest Hom]]</f>
        <v>50</v>
      </c>
      <c r="AZ20" s="189" cm="1">
        <f t="array" aca="1" ref="AZ20" ca="1">IF(TblConstr[[#This Row],[Hour]:[Hour]]&gt;12,OFFSET(TblConstr[[#This Row],[Alc]],-12,0),0)+OFFSET(TblConstr[[#This Row],[Tot Alc]],-1,0)-TblConstr[[#This Row],[Dest Alc]]</f>
        <v>50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50</v>
      </c>
      <c r="BM20" s="369" cm="1">
        <f t="array" aca="1" ref="BM20" ca="1">IF(TblConstr[[#This Row],[Hour]:[Hour]]&gt;12,OFFSET(TblConstr[[#This Row],[Tem]],-12,0),0)+OFFSET(TblConstr[[#This Row],[Tot Tem]],-1,0)-TblConstr[[#This Row],[Dest Tem]]</f>
        <v>50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50</v>
      </c>
      <c r="BP20" s="191" cm="1">
        <f t="array" aca="1" ref="BP20" ca="1">IF(TblConstr[[#This Row],[Hour]:[Hour]]&gt;12,OFFSET(TblConstr[[#This Row],[Sch]],-12,0),0)+OFFSET(TblConstr[[#This Row],[Tot Sch]],-1,0)-TblConstr[[#This Row],[Dest Sch]]</f>
        <v>50</v>
      </c>
      <c r="BQ20" s="192" cm="1">
        <f t="array" aca="1" ref="BQ20" ca="1">IF(TblConstr[[#This Row],[Hour]:[Hour]]&gt;12,OFFSET(TblConstr[[#This Row],[Doc]],-12,0),0)+OFFSET(TblConstr[[#This Row],[Tot Doc]],-1,0)-TblConstr[[#This Row],[Dest Doc]]</f>
        <v>0</v>
      </c>
      <c r="BR20" s="142"/>
      <c r="BS20" s="154"/>
      <c r="BT20" s="94">
        <f ca="1">TblConstr[[#This Row],[Land]]</f>
        <v>370</v>
      </c>
      <c r="BU20" s="159">
        <f ca="1">TblImps[[#This Row],[Time]]</f>
        <v>45815.666666666628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100</v>
      </c>
      <c r="DA20" s="94">
        <f t="shared" ca="1" si="4"/>
        <v>20</v>
      </c>
      <c r="DB20" s="45">
        <f t="shared" ca="1" si="5"/>
        <v>0</v>
      </c>
      <c r="DC20" s="94">
        <f t="shared" ca="1" si="6"/>
        <v>0</v>
      </c>
      <c r="DD20" s="94">
        <f t="shared" ca="1" si="7"/>
        <v>100</v>
      </c>
      <c r="DE20" s="45">
        <f t="shared" ca="1" si="8"/>
        <v>50</v>
      </c>
      <c r="DF20" s="94">
        <f t="shared" ca="1" si="9"/>
        <v>0</v>
      </c>
      <c r="DG20" s="94" cm="1">
        <f t="array" aca="1" ref="DG20" ca="1">INDEX(TblConstr[[Total Plain]:[Total Water]],ROW()-ROW(TblConstr[#Headers]),MATCH("Total "&amp;home_land,TblConstr[[#Headers],[Total Plain]:[Total Water]],0))+TblConstr[[#This Row],[Homes]]</f>
        <v>150</v>
      </c>
      <c r="DH20" s="45">
        <f t="shared" ca="1" si="10"/>
        <v>50</v>
      </c>
      <c r="DI20" s="45">
        <f t="shared" ca="1" si="0"/>
        <v>0</v>
      </c>
      <c r="DJ20" s="45">
        <f t="shared" ca="1" si="1"/>
        <v>0</v>
      </c>
    </row>
    <row r="21" spans="1:114" x14ac:dyDescent="0.2">
      <c r="A21" s="175">
        <f>TblRezone[[#This Row],[Hour]]</f>
        <v>18</v>
      </c>
      <c r="B21" s="176">
        <f ca="1">SUM(TblConstr[[#This Row],[Plain]:[Water]])</f>
        <v>20</v>
      </c>
      <c r="C21" s="177">
        <f ca="1">SUM(TblConstr[[#This Row],[Tot Hom]:[Tot Doc]])</f>
        <v>350</v>
      </c>
      <c r="D21" s="177">
        <f t="shared" si="2"/>
        <v>0</v>
      </c>
      <c r="E21" s="178"/>
      <c r="F21" s="61">
        <f ca="1">TblConstr[[#This Row],[Barren]]+TblConstr[[#This Row],[Buildings]]+TblConstr[[#This Row],[Incoming]]</f>
        <v>370</v>
      </c>
      <c r="G21" s="187">
        <f ca="1">OFFSET(TblConstr[[#This Row],[Plain]],-1,0)+TblConstr[[#This Row],[Ch_Plain]]</f>
        <v>20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45815.708333333292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410441</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21" s="94">
        <f ca="1">ROUNDDOWN( MAX(1 - MIN(facs_constr_factor*TblConstr[[#This Row],[Facs -DB]],facs_constr_max) + tech_1_11*TblTech[[#This Row],[11-1]] + tech_6_3_2*TblTech[[#This Row],[6-3]] + tech_5_2_3*TblTech[[#This Row],[5-2]], 1-global_constr_cap) * TblConstr[[#This Row],[RCPA Lumber]],0)</f>
        <v>122</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21" s="94">
        <f ca="1">ROUNDDOWN( MAX(1 - MIN(facs_constr_factor*TblConstr[[#This Row],[Facs DB]],facs_constr_max) + tech_1_11*TblTech[[#This Row],[1-11]] + tech_6_3_2*TblTech[[#This Row],[6-3]] + tech_5_2_3*TblTech[[#This Row],[5-2]], 1-global_constr_cap) * ROUND((TblConstr[[#This Row],[Land]]-250)*0.285 + 87.5 + 0/4.25,0),0)</f>
        <v>122</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1000</v>
      </c>
      <c r="AW21" s="94">
        <f ca="1">ROUND((TblConstr[[#This Row],[Land]]-250 - IF(TblExplore[[#This Row],[Land Bonus]]&lt;&gt;0,20,0))*0.285 + 87.5 + 0/4.25,0)</f>
        <v>122</v>
      </c>
      <c r="AX21" s="154"/>
      <c r="AY21" s="188" cm="1">
        <f t="array" aca="1" ref="AY21" ca="1">IF(TblConstr[[#This Row],[Hour]:[Hour]]&gt;12,OFFSET(TblConstr[[#This Row],[Hom]],-12,0),0)+OFFSET(TblConstr[[#This Row],[Tot Hom]],-1,0)-TblConstr[[#This Row],[Dest Hom]]</f>
        <v>50</v>
      </c>
      <c r="AZ21" s="189" cm="1">
        <f t="array" aca="1" ref="AZ21" ca="1">IF(TblConstr[[#This Row],[Hour]:[Hour]]&gt;12,OFFSET(TblConstr[[#This Row],[Alc]],-12,0),0)+OFFSET(TblConstr[[#This Row],[Tot Alc]],-1,0)-TblConstr[[#This Row],[Dest Alc]]</f>
        <v>50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50</v>
      </c>
      <c r="BM21" s="369" cm="1">
        <f t="array" aca="1" ref="BM21" ca="1">IF(TblConstr[[#This Row],[Hour]:[Hour]]&gt;12,OFFSET(TblConstr[[#This Row],[Tem]],-12,0),0)+OFFSET(TblConstr[[#This Row],[Tot Tem]],-1,0)-TblConstr[[#This Row],[Dest Tem]]</f>
        <v>50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50</v>
      </c>
      <c r="BP21" s="191" cm="1">
        <f t="array" aca="1" ref="BP21" ca="1">IF(TblConstr[[#This Row],[Hour]:[Hour]]&gt;12,OFFSET(TblConstr[[#This Row],[Sch]],-12,0),0)+OFFSET(TblConstr[[#This Row],[Tot Sch]],-1,0)-TblConstr[[#This Row],[Dest Sch]]</f>
        <v>50</v>
      </c>
      <c r="BQ21" s="192" cm="1">
        <f t="array" aca="1" ref="BQ21" ca="1">IF(TblConstr[[#This Row],[Hour]:[Hour]]&gt;12,OFFSET(TblConstr[[#This Row],[Doc]],-12,0),0)+OFFSET(TblConstr[[#This Row],[Tot Doc]],-1,0)-TblConstr[[#This Row],[Dest Doc]]</f>
        <v>0</v>
      </c>
      <c r="BR21" s="142"/>
      <c r="BS21" s="154"/>
      <c r="BT21" s="94">
        <f ca="1">TblConstr[[#This Row],[Land]]</f>
        <v>370</v>
      </c>
      <c r="BU21" s="159">
        <f ca="1">TblImps[[#This Row],[Time]]</f>
        <v>45815.708333333292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100</v>
      </c>
      <c r="DA21" s="94">
        <f t="shared" ca="1" si="4"/>
        <v>20</v>
      </c>
      <c r="DB21" s="45">
        <f t="shared" ca="1" si="5"/>
        <v>0</v>
      </c>
      <c r="DC21" s="94">
        <f t="shared" ca="1" si="6"/>
        <v>0</v>
      </c>
      <c r="DD21" s="94">
        <f t="shared" ca="1" si="7"/>
        <v>100</v>
      </c>
      <c r="DE21" s="45">
        <f t="shared" ca="1" si="8"/>
        <v>50</v>
      </c>
      <c r="DF21" s="94">
        <f t="shared" ca="1" si="9"/>
        <v>0</v>
      </c>
      <c r="DG21" s="94" cm="1">
        <f t="array" aca="1" ref="DG21" ca="1">INDEX(TblConstr[[Total Plain]:[Total Water]],ROW()-ROW(TblConstr[#Headers]),MATCH("Total "&amp;home_land,TblConstr[[#Headers],[Total Plain]:[Total Water]],0))+TblConstr[[#This Row],[Homes]]</f>
        <v>150</v>
      </c>
      <c r="DH21" s="45">
        <f t="shared" ca="1" si="10"/>
        <v>50</v>
      </c>
      <c r="DI21" s="45">
        <f t="shared" ca="1" si="0"/>
        <v>0</v>
      </c>
      <c r="DJ21" s="45">
        <f t="shared" ca="1" si="1"/>
        <v>0</v>
      </c>
    </row>
    <row r="22" spans="1:114" x14ac:dyDescent="0.2">
      <c r="A22" s="175">
        <f>TblRezone[[#This Row],[Hour]]</f>
        <v>19</v>
      </c>
      <c r="B22" s="176">
        <f ca="1">SUM(TblConstr[[#This Row],[Plain]:[Water]])</f>
        <v>20</v>
      </c>
      <c r="C22" s="177">
        <f ca="1">SUM(TblConstr[[#This Row],[Tot Hom]:[Tot Doc]])</f>
        <v>350</v>
      </c>
      <c r="D22" s="177">
        <f t="shared" si="2"/>
        <v>0</v>
      </c>
      <c r="E22" s="178"/>
      <c r="F22" s="61">
        <f ca="1">TblConstr[[#This Row],[Barren]]+TblConstr[[#This Row],[Buildings]]+TblConstr[[#This Row],[Incoming]]</f>
        <v>370</v>
      </c>
      <c r="G22" s="187">
        <f ca="1">OFFSET(TblConstr[[#This Row],[Plain]],-1,0)+TblConstr[[#This Row],[Ch_Plain]]</f>
        <v>20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45815.749999999956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426242</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22" s="94">
        <f ca="1">ROUNDDOWN( MAX(1 - MIN(facs_constr_factor*TblConstr[[#This Row],[Facs -DB]],facs_constr_max) + tech_1_11*TblTech[[#This Row],[11-1]] + tech_6_3_2*TblTech[[#This Row],[6-3]] + tech_5_2_3*TblTech[[#This Row],[5-2]], 1-global_constr_cap) * TblConstr[[#This Row],[RCPA Lumber]],0)</f>
        <v>122</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22" s="94">
        <f ca="1">ROUNDDOWN( MAX(1 - MIN(facs_constr_factor*TblConstr[[#This Row],[Facs DB]],facs_constr_max) + tech_1_11*TblTech[[#This Row],[1-11]] + tech_6_3_2*TblTech[[#This Row],[6-3]] + tech_5_2_3*TblTech[[#This Row],[5-2]], 1-global_constr_cap) * ROUND((TblConstr[[#This Row],[Land]]-250)*0.285 + 87.5 + 0/4.25,0),0)</f>
        <v>122</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1000</v>
      </c>
      <c r="AW22" s="94">
        <f ca="1">ROUND((TblConstr[[#This Row],[Land]]-250 - IF(TblExplore[[#This Row],[Land Bonus]]&lt;&gt;0,20,0))*0.285 + 87.5 + 0/4.25,0)</f>
        <v>122</v>
      </c>
      <c r="AX22" s="154"/>
      <c r="AY22" s="188" cm="1">
        <f t="array" aca="1" ref="AY22" ca="1">IF(TblConstr[[#This Row],[Hour]:[Hour]]&gt;12,OFFSET(TblConstr[[#This Row],[Hom]],-12,0),0)+OFFSET(TblConstr[[#This Row],[Tot Hom]],-1,0)-TblConstr[[#This Row],[Dest Hom]]</f>
        <v>50</v>
      </c>
      <c r="AZ22" s="189" cm="1">
        <f t="array" aca="1" ref="AZ22" ca="1">IF(TblConstr[[#This Row],[Hour]:[Hour]]&gt;12,OFFSET(TblConstr[[#This Row],[Alc]],-12,0),0)+OFFSET(TblConstr[[#This Row],[Tot Alc]],-1,0)-TblConstr[[#This Row],[Dest Alc]]</f>
        <v>50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50</v>
      </c>
      <c r="BM22" s="369" cm="1">
        <f t="array" aca="1" ref="BM22" ca="1">IF(TblConstr[[#This Row],[Hour]:[Hour]]&gt;12,OFFSET(TblConstr[[#This Row],[Tem]],-12,0),0)+OFFSET(TblConstr[[#This Row],[Tot Tem]],-1,0)-TblConstr[[#This Row],[Dest Tem]]</f>
        <v>50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50</v>
      </c>
      <c r="BP22" s="191" cm="1">
        <f t="array" aca="1" ref="BP22" ca="1">IF(TblConstr[[#This Row],[Hour]:[Hour]]&gt;12,OFFSET(TblConstr[[#This Row],[Sch]],-12,0),0)+OFFSET(TblConstr[[#This Row],[Tot Sch]],-1,0)-TblConstr[[#This Row],[Dest Sch]]</f>
        <v>50</v>
      </c>
      <c r="BQ22" s="192" cm="1">
        <f t="array" aca="1" ref="BQ22" ca="1">IF(TblConstr[[#This Row],[Hour]:[Hour]]&gt;12,OFFSET(TblConstr[[#This Row],[Doc]],-12,0),0)+OFFSET(TblConstr[[#This Row],[Tot Doc]],-1,0)-TblConstr[[#This Row],[Dest Doc]]</f>
        <v>0</v>
      </c>
      <c r="BR22" s="142"/>
      <c r="BS22" s="154"/>
      <c r="BT22" s="94">
        <f ca="1">TblConstr[[#This Row],[Land]]</f>
        <v>370</v>
      </c>
      <c r="BU22" s="159">
        <f ca="1">TblImps[[#This Row],[Time]]</f>
        <v>45815.749999999956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100</v>
      </c>
      <c r="DA22" s="94">
        <f t="shared" ca="1" si="4"/>
        <v>20</v>
      </c>
      <c r="DB22" s="45">
        <f t="shared" ca="1" si="5"/>
        <v>0</v>
      </c>
      <c r="DC22" s="94">
        <f t="shared" ca="1" si="6"/>
        <v>0</v>
      </c>
      <c r="DD22" s="94">
        <f t="shared" ca="1" si="7"/>
        <v>100</v>
      </c>
      <c r="DE22" s="45">
        <f t="shared" ca="1" si="8"/>
        <v>50</v>
      </c>
      <c r="DF22" s="94">
        <f t="shared" ca="1" si="9"/>
        <v>0</v>
      </c>
      <c r="DG22" s="94" cm="1">
        <f t="array" aca="1" ref="DG22" ca="1">INDEX(TblConstr[[Total Plain]:[Total Water]],ROW()-ROW(TblConstr[#Headers]),MATCH("Total "&amp;home_land,TblConstr[[#Headers],[Total Plain]:[Total Water]],0))+TblConstr[[#This Row],[Homes]]</f>
        <v>150</v>
      </c>
      <c r="DH22" s="45">
        <f t="shared" ca="1" si="10"/>
        <v>50</v>
      </c>
      <c r="DI22" s="45">
        <f t="shared" ca="1" si="0"/>
        <v>0</v>
      </c>
      <c r="DJ22" s="45">
        <f t="shared" ca="1" si="1"/>
        <v>0</v>
      </c>
    </row>
    <row r="23" spans="1:114" x14ac:dyDescent="0.2">
      <c r="A23" s="175">
        <f>TblRezone[[#This Row],[Hour]]</f>
        <v>20</v>
      </c>
      <c r="B23" s="176">
        <f ca="1">SUM(TblConstr[[#This Row],[Plain]:[Water]])</f>
        <v>20</v>
      </c>
      <c r="C23" s="177">
        <f ca="1">SUM(TblConstr[[#This Row],[Tot Hom]:[Tot Doc]])</f>
        <v>350</v>
      </c>
      <c r="D23" s="177">
        <f t="shared" si="2"/>
        <v>0</v>
      </c>
      <c r="E23" s="178"/>
      <c r="F23" s="61">
        <f ca="1">TblConstr[[#This Row],[Barren]]+TblConstr[[#This Row],[Buildings]]+TblConstr[[#This Row],[Incoming]]</f>
        <v>370</v>
      </c>
      <c r="G23" s="187">
        <f ca="1">OFFSET(TblConstr[[#This Row],[Plain]],-1,0)+TblConstr[[#This Row],[Ch_Plain]]</f>
        <v>20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45815.791666666621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441908</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23" s="94">
        <f ca="1">ROUNDDOWN( MAX(1 - MIN(facs_constr_factor*TblConstr[[#This Row],[Facs -DB]],facs_constr_max) + tech_1_11*TblTech[[#This Row],[11-1]] + tech_6_3_2*TblTech[[#This Row],[6-3]] + tech_5_2_3*TblTech[[#This Row],[5-2]], 1-global_constr_cap) * TblConstr[[#This Row],[RCPA Lumber]],0)</f>
        <v>122</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23" s="94">
        <f ca="1">ROUNDDOWN( MAX(1 - MIN(facs_constr_factor*TblConstr[[#This Row],[Facs DB]],facs_constr_max) + tech_1_11*TblTech[[#This Row],[1-11]] + tech_6_3_2*TblTech[[#This Row],[6-3]] + tech_5_2_3*TblTech[[#This Row],[5-2]], 1-global_constr_cap) * ROUND((TblConstr[[#This Row],[Land]]-250)*0.285 + 87.5 + 0/4.25,0),0)</f>
        <v>122</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1000</v>
      </c>
      <c r="AW23" s="94">
        <f ca="1">ROUND((TblConstr[[#This Row],[Land]]-250 - IF(TblExplore[[#This Row],[Land Bonus]]&lt;&gt;0,20,0))*0.285 + 87.5 + 0/4.25,0)</f>
        <v>122</v>
      </c>
      <c r="AX23" s="154"/>
      <c r="AY23" s="188" cm="1">
        <f t="array" aca="1" ref="AY23" ca="1">IF(TblConstr[[#This Row],[Hour]:[Hour]]&gt;12,OFFSET(TblConstr[[#This Row],[Hom]],-12,0),0)+OFFSET(TblConstr[[#This Row],[Tot Hom]],-1,0)-TblConstr[[#This Row],[Dest Hom]]</f>
        <v>50</v>
      </c>
      <c r="AZ23" s="189" cm="1">
        <f t="array" aca="1" ref="AZ23" ca="1">IF(TblConstr[[#This Row],[Hour]:[Hour]]&gt;12,OFFSET(TblConstr[[#This Row],[Alc]],-12,0),0)+OFFSET(TblConstr[[#This Row],[Tot Alc]],-1,0)-TblConstr[[#This Row],[Dest Alc]]</f>
        <v>50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50</v>
      </c>
      <c r="BM23" s="369" cm="1">
        <f t="array" aca="1" ref="BM23" ca="1">IF(TblConstr[[#This Row],[Hour]:[Hour]]&gt;12,OFFSET(TblConstr[[#This Row],[Tem]],-12,0),0)+OFFSET(TblConstr[[#This Row],[Tot Tem]],-1,0)-TblConstr[[#This Row],[Dest Tem]]</f>
        <v>50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50</v>
      </c>
      <c r="BP23" s="191" cm="1">
        <f t="array" aca="1" ref="BP23" ca="1">IF(TblConstr[[#This Row],[Hour]:[Hour]]&gt;12,OFFSET(TblConstr[[#This Row],[Sch]],-12,0),0)+OFFSET(TblConstr[[#This Row],[Tot Sch]],-1,0)-TblConstr[[#This Row],[Dest Sch]]</f>
        <v>50</v>
      </c>
      <c r="BQ23" s="192" cm="1">
        <f t="array" aca="1" ref="BQ23" ca="1">IF(TblConstr[[#This Row],[Hour]:[Hour]]&gt;12,OFFSET(TblConstr[[#This Row],[Doc]],-12,0),0)+OFFSET(TblConstr[[#This Row],[Tot Doc]],-1,0)-TblConstr[[#This Row],[Dest Doc]]</f>
        <v>0</v>
      </c>
      <c r="BR23" s="142"/>
      <c r="BS23" s="154"/>
      <c r="BT23" s="94">
        <f ca="1">TblConstr[[#This Row],[Land]]</f>
        <v>370</v>
      </c>
      <c r="BU23" s="159">
        <f ca="1">TblImps[[#This Row],[Time]]</f>
        <v>45815.791666666621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100</v>
      </c>
      <c r="DA23" s="94">
        <f t="shared" ca="1" si="4"/>
        <v>20</v>
      </c>
      <c r="DB23" s="45">
        <f t="shared" ca="1" si="5"/>
        <v>0</v>
      </c>
      <c r="DC23" s="94">
        <f t="shared" ca="1" si="6"/>
        <v>0</v>
      </c>
      <c r="DD23" s="94">
        <f t="shared" ca="1" si="7"/>
        <v>100</v>
      </c>
      <c r="DE23" s="45">
        <f t="shared" ca="1" si="8"/>
        <v>50</v>
      </c>
      <c r="DF23" s="94">
        <f t="shared" ca="1" si="9"/>
        <v>0</v>
      </c>
      <c r="DG23" s="94" cm="1">
        <f t="array" aca="1" ref="DG23" ca="1">INDEX(TblConstr[[Total Plain]:[Total Water]],ROW()-ROW(TblConstr[#Headers]),MATCH("Total "&amp;home_land,TblConstr[[#Headers],[Total Plain]:[Total Water]],0))+TblConstr[[#This Row],[Homes]]</f>
        <v>150</v>
      </c>
      <c r="DH23" s="45">
        <f t="shared" ca="1" si="10"/>
        <v>50</v>
      </c>
      <c r="DI23" s="45">
        <f t="shared" ca="1" si="0"/>
        <v>0</v>
      </c>
      <c r="DJ23" s="45">
        <f t="shared" ca="1" si="1"/>
        <v>0</v>
      </c>
    </row>
    <row r="24" spans="1:114" x14ac:dyDescent="0.2">
      <c r="A24" s="175">
        <f>TblRezone[[#This Row],[Hour]]</f>
        <v>21</v>
      </c>
      <c r="B24" s="176">
        <f ca="1">SUM(TblConstr[[#This Row],[Plain]:[Water]])</f>
        <v>20</v>
      </c>
      <c r="C24" s="177">
        <f ca="1">SUM(TblConstr[[#This Row],[Tot Hom]:[Tot Doc]])</f>
        <v>350</v>
      </c>
      <c r="D24" s="177">
        <f t="shared" si="2"/>
        <v>0</v>
      </c>
      <c r="E24" s="178"/>
      <c r="F24" s="61">
        <f ca="1">TblConstr[[#This Row],[Barren]]+TblConstr[[#This Row],[Buildings]]+TblConstr[[#This Row],[Incoming]]</f>
        <v>370</v>
      </c>
      <c r="G24" s="187">
        <f ca="1">OFFSET(TblConstr[[#This Row],[Plain]],-1,0)+TblConstr[[#This Row],[Ch_Plain]]</f>
        <v>20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45815.833333333285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457439</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24" s="94">
        <f ca="1">ROUNDDOWN( MAX(1 - MIN(facs_constr_factor*TblConstr[[#This Row],[Facs -DB]],facs_constr_max) + tech_1_11*TblTech[[#This Row],[11-1]] + tech_6_3_2*TblTech[[#This Row],[6-3]] + tech_5_2_3*TblTech[[#This Row],[5-2]], 1-global_constr_cap) * TblConstr[[#This Row],[RCPA Lumber]],0)</f>
        <v>122</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24" s="94">
        <f ca="1">ROUNDDOWN( MAX(1 - MIN(facs_constr_factor*TblConstr[[#This Row],[Facs DB]],facs_constr_max) + tech_1_11*TblTech[[#This Row],[1-11]] + tech_6_3_2*TblTech[[#This Row],[6-3]] + tech_5_2_3*TblTech[[#This Row],[5-2]], 1-global_constr_cap) * ROUND((TblConstr[[#This Row],[Land]]-250)*0.285 + 87.5 + 0/4.25,0),0)</f>
        <v>122</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1000</v>
      </c>
      <c r="AW24" s="94">
        <f ca="1">ROUND((TblConstr[[#This Row],[Land]]-250 - IF(TblExplore[[#This Row],[Land Bonus]]&lt;&gt;0,20,0))*0.285 + 87.5 + 0/4.25,0)</f>
        <v>122</v>
      </c>
      <c r="AX24" s="154"/>
      <c r="AY24" s="188" cm="1">
        <f t="array" aca="1" ref="AY24" ca="1">IF(TblConstr[[#This Row],[Hour]:[Hour]]&gt;12,OFFSET(TblConstr[[#This Row],[Hom]],-12,0),0)+OFFSET(TblConstr[[#This Row],[Tot Hom]],-1,0)-TblConstr[[#This Row],[Dest Hom]]</f>
        <v>50</v>
      </c>
      <c r="AZ24" s="189" cm="1">
        <f t="array" aca="1" ref="AZ24" ca="1">IF(TblConstr[[#This Row],[Hour]:[Hour]]&gt;12,OFFSET(TblConstr[[#This Row],[Alc]],-12,0),0)+OFFSET(TblConstr[[#This Row],[Tot Alc]],-1,0)-TblConstr[[#This Row],[Dest Alc]]</f>
        <v>50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50</v>
      </c>
      <c r="BM24" s="369" cm="1">
        <f t="array" aca="1" ref="BM24" ca="1">IF(TblConstr[[#This Row],[Hour]:[Hour]]&gt;12,OFFSET(TblConstr[[#This Row],[Tem]],-12,0),0)+OFFSET(TblConstr[[#This Row],[Tot Tem]],-1,0)-TblConstr[[#This Row],[Dest Tem]]</f>
        <v>50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50</v>
      </c>
      <c r="BP24" s="191" cm="1">
        <f t="array" aca="1" ref="BP24" ca="1">IF(TblConstr[[#This Row],[Hour]:[Hour]]&gt;12,OFFSET(TblConstr[[#This Row],[Sch]],-12,0),0)+OFFSET(TblConstr[[#This Row],[Tot Sch]],-1,0)-TblConstr[[#This Row],[Dest Sch]]</f>
        <v>50</v>
      </c>
      <c r="BQ24" s="192" cm="1">
        <f t="array" aca="1" ref="BQ24" ca="1">IF(TblConstr[[#This Row],[Hour]:[Hour]]&gt;12,OFFSET(TblConstr[[#This Row],[Doc]],-12,0),0)+OFFSET(TblConstr[[#This Row],[Tot Doc]],-1,0)-TblConstr[[#This Row],[Dest Doc]]</f>
        <v>0</v>
      </c>
      <c r="BR24" s="142"/>
      <c r="BS24" s="154"/>
      <c r="BT24" s="94">
        <f ca="1">TblConstr[[#This Row],[Land]]</f>
        <v>370</v>
      </c>
      <c r="BU24" s="159">
        <f ca="1">TblImps[[#This Row],[Time]]</f>
        <v>45815.833333333285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100</v>
      </c>
      <c r="DA24" s="94">
        <f t="shared" ca="1" si="4"/>
        <v>20</v>
      </c>
      <c r="DB24" s="45">
        <f t="shared" ca="1" si="5"/>
        <v>0</v>
      </c>
      <c r="DC24" s="94">
        <f t="shared" ca="1" si="6"/>
        <v>0</v>
      </c>
      <c r="DD24" s="94">
        <f t="shared" ca="1" si="7"/>
        <v>100</v>
      </c>
      <c r="DE24" s="45">
        <f t="shared" ca="1" si="8"/>
        <v>50</v>
      </c>
      <c r="DF24" s="94">
        <f t="shared" ca="1" si="9"/>
        <v>0</v>
      </c>
      <c r="DG24" s="94" cm="1">
        <f t="array" aca="1" ref="DG24" ca="1">INDEX(TblConstr[[Total Plain]:[Total Water]],ROW()-ROW(TblConstr[#Headers]),MATCH("Total "&amp;home_land,TblConstr[[#Headers],[Total Plain]:[Total Water]],0))+TblConstr[[#This Row],[Homes]]</f>
        <v>150</v>
      </c>
      <c r="DH24" s="45">
        <f t="shared" ca="1" si="10"/>
        <v>50</v>
      </c>
      <c r="DI24" s="45">
        <f t="shared" ca="1" si="0"/>
        <v>0</v>
      </c>
      <c r="DJ24" s="45">
        <f t="shared" ca="1" si="1"/>
        <v>0</v>
      </c>
    </row>
    <row r="25" spans="1:114" x14ac:dyDescent="0.2">
      <c r="A25" s="175">
        <f>TblRezone[[#This Row],[Hour]]</f>
        <v>22</v>
      </c>
      <c r="B25" s="176">
        <f ca="1">SUM(TblConstr[[#This Row],[Plain]:[Water]])</f>
        <v>20</v>
      </c>
      <c r="C25" s="177">
        <f ca="1">SUM(TblConstr[[#This Row],[Tot Hom]:[Tot Doc]])</f>
        <v>350</v>
      </c>
      <c r="D25" s="177">
        <f t="shared" si="2"/>
        <v>0</v>
      </c>
      <c r="E25" s="178"/>
      <c r="F25" s="61">
        <f ca="1">TblConstr[[#This Row],[Barren]]+TblConstr[[#This Row],[Buildings]]+TblConstr[[#This Row],[Incoming]]</f>
        <v>370</v>
      </c>
      <c r="G25" s="187">
        <f ca="1">OFFSET(TblConstr[[#This Row],[Plain]],-1,0)+TblConstr[[#This Row],[Ch_Plain]]</f>
        <v>20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45815.874999999949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472838</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25" s="94">
        <f ca="1">ROUNDDOWN( MAX(1 - MIN(facs_constr_factor*TblConstr[[#This Row],[Facs -DB]],facs_constr_max) + tech_1_11*TblTech[[#This Row],[11-1]] + tech_6_3_2*TblTech[[#This Row],[6-3]] + tech_5_2_3*TblTech[[#This Row],[5-2]], 1-global_constr_cap) * TblConstr[[#This Row],[RCPA Lumber]],0)</f>
        <v>122</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25" s="94">
        <f ca="1">ROUNDDOWN( MAX(1 - MIN(facs_constr_factor*TblConstr[[#This Row],[Facs DB]],facs_constr_max) + tech_1_11*TblTech[[#This Row],[1-11]] + tech_6_3_2*TblTech[[#This Row],[6-3]] + tech_5_2_3*TblTech[[#This Row],[5-2]], 1-global_constr_cap) * ROUND((TblConstr[[#This Row],[Land]]-250)*0.285 + 87.5 + 0/4.25,0),0)</f>
        <v>122</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1000</v>
      </c>
      <c r="AW25" s="94">
        <f ca="1">ROUND((TblConstr[[#This Row],[Land]]-250 - IF(TblExplore[[#This Row],[Land Bonus]]&lt;&gt;0,20,0))*0.285 + 87.5 + 0/4.25,0)</f>
        <v>122</v>
      </c>
      <c r="AX25" s="154"/>
      <c r="AY25" s="188" cm="1">
        <f t="array" aca="1" ref="AY25" ca="1">IF(TblConstr[[#This Row],[Hour]:[Hour]]&gt;12,OFFSET(TblConstr[[#This Row],[Hom]],-12,0),0)+OFFSET(TblConstr[[#This Row],[Tot Hom]],-1,0)-TblConstr[[#This Row],[Dest Hom]]</f>
        <v>50</v>
      </c>
      <c r="AZ25" s="189" cm="1">
        <f t="array" aca="1" ref="AZ25" ca="1">IF(TblConstr[[#This Row],[Hour]:[Hour]]&gt;12,OFFSET(TblConstr[[#This Row],[Alc]],-12,0),0)+OFFSET(TblConstr[[#This Row],[Tot Alc]],-1,0)-TblConstr[[#This Row],[Dest Alc]]</f>
        <v>50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50</v>
      </c>
      <c r="BM25" s="369" cm="1">
        <f t="array" aca="1" ref="BM25" ca="1">IF(TblConstr[[#This Row],[Hour]:[Hour]]&gt;12,OFFSET(TblConstr[[#This Row],[Tem]],-12,0),0)+OFFSET(TblConstr[[#This Row],[Tot Tem]],-1,0)-TblConstr[[#This Row],[Dest Tem]]</f>
        <v>50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50</v>
      </c>
      <c r="BP25" s="191" cm="1">
        <f t="array" aca="1" ref="BP25" ca="1">IF(TblConstr[[#This Row],[Hour]:[Hour]]&gt;12,OFFSET(TblConstr[[#This Row],[Sch]],-12,0),0)+OFFSET(TblConstr[[#This Row],[Tot Sch]],-1,0)-TblConstr[[#This Row],[Dest Sch]]</f>
        <v>50</v>
      </c>
      <c r="BQ25" s="192" cm="1">
        <f t="array" aca="1" ref="BQ25" ca="1">IF(TblConstr[[#This Row],[Hour]:[Hour]]&gt;12,OFFSET(TblConstr[[#This Row],[Doc]],-12,0),0)+OFFSET(TblConstr[[#This Row],[Tot Doc]],-1,0)-TblConstr[[#This Row],[Dest Doc]]</f>
        <v>0</v>
      </c>
      <c r="BR25" s="142"/>
      <c r="BS25" s="154"/>
      <c r="BT25" s="94">
        <f ca="1">TblConstr[[#This Row],[Land]]</f>
        <v>370</v>
      </c>
      <c r="BU25" s="159">
        <f ca="1">TblImps[[#This Row],[Time]]</f>
        <v>45815.874999999949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100</v>
      </c>
      <c r="DA25" s="94">
        <f t="shared" ca="1" si="4"/>
        <v>20</v>
      </c>
      <c r="DB25" s="45">
        <f t="shared" ca="1" si="5"/>
        <v>0</v>
      </c>
      <c r="DC25" s="94">
        <f t="shared" ca="1" si="6"/>
        <v>0</v>
      </c>
      <c r="DD25" s="94">
        <f t="shared" ca="1" si="7"/>
        <v>100</v>
      </c>
      <c r="DE25" s="45">
        <f t="shared" ca="1" si="8"/>
        <v>50</v>
      </c>
      <c r="DF25" s="94">
        <f t="shared" ca="1" si="9"/>
        <v>0</v>
      </c>
      <c r="DG25" s="94" cm="1">
        <f t="array" aca="1" ref="DG25" ca="1">INDEX(TblConstr[[Total Plain]:[Total Water]],ROW()-ROW(TblConstr[#Headers]),MATCH("Total "&amp;home_land,TblConstr[[#Headers],[Total Plain]:[Total Water]],0))+TblConstr[[#This Row],[Homes]]</f>
        <v>150</v>
      </c>
      <c r="DH25" s="45">
        <f t="shared" ca="1" si="10"/>
        <v>50</v>
      </c>
      <c r="DI25" s="45">
        <f t="shared" ca="1" si="0"/>
        <v>0</v>
      </c>
      <c r="DJ25" s="45">
        <f t="shared" ca="1" si="1"/>
        <v>0</v>
      </c>
    </row>
    <row r="26" spans="1:114" x14ac:dyDescent="0.2">
      <c r="A26" s="175">
        <f>TblRezone[[#This Row],[Hour]]</f>
        <v>23</v>
      </c>
      <c r="B26" s="176">
        <f ca="1">SUM(TblConstr[[#This Row],[Plain]:[Water]])</f>
        <v>20</v>
      </c>
      <c r="C26" s="177">
        <f ca="1">SUM(TblConstr[[#This Row],[Tot Hom]:[Tot Doc]])</f>
        <v>350</v>
      </c>
      <c r="D26" s="177">
        <f>SUM(O15:AG26)</f>
        <v>0</v>
      </c>
      <c r="E26" s="178"/>
      <c r="F26" s="61">
        <f ca="1">TblConstr[[#This Row],[Barren]]+TblConstr[[#This Row],[Buildings]]+TblConstr[[#This Row],[Incoming]]</f>
        <v>370</v>
      </c>
      <c r="G26" s="187">
        <f ca="1">OFFSET(TblConstr[[#This Row],[Plain]],-1,0)+TblConstr[[#This Row],[Ch_Plain]]</f>
        <v>20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45815.916666666613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488104</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26" s="94">
        <f ca="1">ROUNDDOWN( MAX(1 - MIN(facs_constr_factor*TblConstr[[#This Row],[Facs -DB]],facs_constr_max) + tech_1_11*TblTech[[#This Row],[11-1]] + tech_6_3_2*TblTech[[#This Row],[6-3]] + tech_5_2_3*TblTech[[#This Row],[5-2]], 1-global_constr_cap) * TblConstr[[#This Row],[RCPA Lumber]],0)</f>
        <v>122</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26" s="94">
        <f ca="1">ROUNDDOWN( MAX(1 - MIN(facs_constr_factor*TblConstr[[#This Row],[Facs DB]],facs_constr_max) + tech_1_11*TblTech[[#This Row],[1-11]] + tech_6_3_2*TblTech[[#This Row],[6-3]] + tech_5_2_3*TblTech[[#This Row],[5-2]], 1-global_constr_cap) * ROUND((TblConstr[[#This Row],[Land]]-250)*0.285 + 87.5 + 0/4.25,0),0)</f>
        <v>122</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1000</v>
      </c>
      <c r="AW26" s="94">
        <f ca="1">ROUND((TblConstr[[#This Row],[Land]]-250 - IF(TblExplore[[#This Row],[Land Bonus]]&lt;&gt;0,20,0))*0.285 + 87.5 + 0/4.25,0)</f>
        <v>122</v>
      </c>
      <c r="AX26" s="154"/>
      <c r="AY26" s="188" cm="1">
        <f t="array" aca="1" ref="AY26" ca="1">IF(TblConstr[[#This Row],[Hour]:[Hour]]&gt;12,OFFSET(TblConstr[[#This Row],[Hom]],-12,0),0)+OFFSET(TblConstr[[#This Row],[Tot Hom]],-1,0)-TblConstr[[#This Row],[Dest Hom]]</f>
        <v>50</v>
      </c>
      <c r="AZ26" s="189" cm="1">
        <f t="array" aca="1" ref="AZ26" ca="1">IF(TblConstr[[#This Row],[Hour]:[Hour]]&gt;12,OFFSET(TblConstr[[#This Row],[Alc]],-12,0),0)+OFFSET(TblConstr[[#This Row],[Tot Alc]],-1,0)-TblConstr[[#This Row],[Dest Alc]]</f>
        <v>50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50</v>
      </c>
      <c r="BM26" s="369" cm="1">
        <f t="array" aca="1" ref="BM26" ca="1">IF(TblConstr[[#This Row],[Hour]:[Hour]]&gt;12,OFFSET(TblConstr[[#This Row],[Tem]],-12,0),0)+OFFSET(TblConstr[[#This Row],[Tot Tem]],-1,0)-TblConstr[[#This Row],[Dest Tem]]</f>
        <v>50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50</v>
      </c>
      <c r="BP26" s="191" cm="1">
        <f t="array" aca="1" ref="BP26" ca="1">IF(TblConstr[[#This Row],[Hour]:[Hour]]&gt;12,OFFSET(TblConstr[[#This Row],[Sch]],-12,0),0)+OFFSET(TblConstr[[#This Row],[Tot Sch]],-1,0)-TblConstr[[#This Row],[Dest Sch]]</f>
        <v>50</v>
      </c>
      <c r="BQ26" s="192" cm="1">
        <f t="array" aca="1" ref="BQ26" ca="1">IF(TblConstr[[#This Row],[Hour]:[Hour]]&gt;12,OFFSET(TblConstr[[#This Row],[Doc]],-12,0),0)+OFFSET(TblConstr[[#This Row],[Tot Doc]],-1,0)-TblConstr[[#This Row],[Dest Doc]]</f>
        <v>0</v>
      </c>
      <c r="BR26" s="142"/>
      <c r="BS26" s="154"/>
      <c r="BT26" s="94">
        <f ca="1">TblConstr[[#This Row],[Land]]</f>
        <v>370</v>
      </c>
      <c r="BU26" s="159">
        <f ca="1">TblImps[[#This Row],[Time]]</f>
        <v>45815.916666666613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100</v>
      </c>
      <c r="DA26" s="94">
        <f t="shared" ca="1" si="4"/>
        <v>20</v>
      </c>
      <c r="DB26" s="45">
        <f t="shared" ca="1" si="5"/>
        <v>0</v>
      </c>
      <c r="DC26" s="94">
        <f t="shared" ca="1" si="6"/>
        <v>0</v>
      </c>
      <c r="DD26" s="94">
        <f t="shared" ca="1" si="7"/>
        <v>100</v>
      </c>
      <c r="DE26" s="45">
        <f t="shared" ca="1" si="8"/>
        <v>50</v>
      </c>
      <c r="DF26" s="94">
        <f t="shared" ca="1" si="9"/>
        <v>0</v>
      </c>
      <c r="DG26" s="94" cm="1">
        <f t="array" aca="1" ref="DG26" ca="1">INDEX(TblConstr[[Total Plain]:[Total Water]],ROW()-ROW(TblConstr[#Headers]),MATCH("Total "&amp;home_land,TblConstr[[#Headers],[Total Plain]:[Total Water]],0))+TblConstr[[#This Row],[Homes]]</f>
        <v>150</v>
      </c>
      <c r="DH26" s="45">
        <f t="shared" ca="1" si="10"/>
        <v>50</v>
      </c>
      <c r="DI26" s="45">
        <f t="shared" ca="1" si="0"/>
        <v>0</v>
      </c>
      <c r="DJ26" s="45">
        <f t="shared" ca="1" si="1"/>
        <v>0</v>
      </c>
    </row>
    <row r="27" spans="1:114" x14ac:dyDescent="0.2">
      <c r="A27" s="175">
        <f>TblRezone[[#This Row],[Hour]]</f>
        <v>24</v>
      </c>
      <c r="B27" s="176">
        <f ca="1">SUM(TblConstr[[#This Row],[Plain]:[Water]])</f>
        <v>20</v>
      </c>
      <c r="C27" s="177">
        <f ca="1">SUM(TblConstr[[#This Row],[Tot Hom]:[Tot Doc]])</f>
        <v>350</v>
      </c>
      <c r="D27" s="177">
        <f t="shared" si="2"/>
        <v>0</v>
      </c>
      <c r="E27" s="178"/>
      <c r="F27" s="61">
        <f ca="1">TblConstr[[#This Row],[Barren]]+TblConstr[[#This Row],[Buildings]]+TblConstr[[#This Row],[Incoming]]</f>
        <v>370</v>
      </c>
      <c r="G27" s="187">
        <f ca="1">OFFSET(TblConstr[[#This Row],[Plain]],-1,0)+TblConstr[[#This Row],[Ch_Plain]]</f>
        <v>20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45815.958333333278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503241</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27" s="94">
        <f ca="1">ROUNDDOWN( MAX(1 - MIN(facs_constr_factor*TblConstr[[#This Row],[Facs -DB]],facs_constr_max) + tech_1_11*TblTech[[#This Row],[11-1]] + tech_6_3_2*TblTech[[#This Row],[6-3]] + tech_5_2_3*TblTech[[#This Row],[5-2]], 1-global_constr_cap) * TblConstr[[#This Row],[RCPA Lumber]],0)</f>
        <v>122</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27" s="94">
        <f ca="1">ROUNDDOWN( MAX(1 - MIN(facs_constr_factor*TblConstr[[#This Row],[Facs DB]],facs_constr_max) + tech_1_11*TblTech[[#This Row],[1-11]] + tech_6_3_2*TblTech[[#This Row],[6-3]] + tech_5_2_3*TblTech[[#This Row],[5-2]], 1-global_constr_cap) * ROUND((TblConstr[[#This Row],[Land]]-250)*0.285 + 87.5 + 0/4.25,0),0)</f>
        <v>122</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1000</v>
      </c>
      <c r="AW27" s="94">
        <f ca="1">ROUND((TblConstr[[#This Row],[Land]]-250 - IF(TblExplore[[#This Row],[Land Bonus]]&lt;&gt;0,20,0))*0.285 + 87.5 + 0/4.25,0)</f>
        <v>122</v>
      </c>
      <c r="AX27" s="154"/>
      <c r="AY27" s="188" cm="1">
        <f t="array" aca="1" ref="AY27" ca="1">IF(TblConstr[[#This Row],[Hour]:[Hour]]&gt;12,OFFSET(TblConstr[[#This Row],[Hom]],-12,0),0)+OFFSET(TblConstr[[#This Row],[Tot Hom]],-1,0)-TblConstr[[#This Row],[Dest Hom]]</f>
        <v>50</v>
      </c>
      <c r="AZ27" s="189" cm="1">
        <f t="array" aca="1" ref="AZ27" ca="1">IF(TblConstr[[#This Row],[Hour]:[Hour]]&gt;12,OFFSET(TblConstr[[#This Row],[Alc]],-12,0),0)+OFFSET(TblConstr[[#This Row],[Tot Alc]],-1,0)-TblConstr[[#This Row],[Dest Alc]]</f>
        <v>50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50</v>
      </c>
      <c r="BM27" s="369" cm="1">
        <f t="array" aca="1" ref="BM27" ca="1">IF(TblConstr[[#This Row],[Hour]:[Hour]]&gt;12,OFFSET(TblConstr[[#This Row],[Tem]],-12,0),0)+OFFSET(TblConstr[[#This Row],[Tot Tem]],-1,0)-TblConstr[[#This Row],[Dest Tem]]</f>
        <v>50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50</v>
      </c>
      <c r="BP27" s="191" cm="1">
        <f t="array" aca="1" ref="BP27" ca="1">IF(TblConstr[[#This Row],[Hour]:[Hour]]&gt;12,OFFSET(TblConstr[[#This Row],[Sch]],-12,0),0)+OFFSET(TblConstr[[#This Row],[Tot Sch]],-1,0)-TblConstr[[#This Row],[Dest Sch]]</f>
        <v>50</v>
      </c>
      <c r="BQ27" s="192" cm="1">
        <f t="array" aca="1" ref="BQ27" ca="1">IF(TblConstr[[#This Row],[Hour]:[Hour]]&gt;12,OFFSET(TblConstr[[#This Row],[Doc]],-12,0),0)+OFFSET(TblConstr[[#This Row],[Tot Doc]],-1,0)-TblConstr[[#This Row],[Dest Doc]]</f>
        <v>0</v>
      </c>
      <c r="BR27" s="142"/>
      <c r="BS27" s="154"/>
      <c r="BT27" s="94">
        <f ca="1">TblConstr[[#This Row],[Land]]</f>
        <v>370</v>
      </c>
      <c r="BU27" s="159">
        <f ca="1">TblImps[[#This Row],[Time]]</f>
        <v>45815.958333333278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100</v>
      </c>
      <c r="DA27" s="94">
        <f t="shared" ca="1" si="4"/>
        <v>20</v>
      </c>
      <c r="DB27" s="45">
        <f t="shared" ca="1" si="5"/>
        <v>0</v>
      </c>
      <c r="DC27" s="94">
        <f t="shared" ca="1" si="6"/>
        <v>0</v>
      </c>
      <c r="DD27" s="94">
        <f t="shared" ca="1" si="7"/>
        <v>100</v>
      </c>
      <c r="DE27" s="45">
        <f t="shared" ca="1" si="8"/>
        <v>50</v>
      </c>
      <c r="DF27" s="94">
        <f t="shared" ca="1" si="9"/>
        <v>0</v>
      </c>
      <c r="DG27" s="94" cm="1">
        <f t="array" aca="1" ref="DG27" ca="1">INDEX(TblConstr[[Total Plain]:[Total Water]],ROW()-ROW(TblConstr[#Headers]),MATCH("Total "&amp;home_land,TblConstr[[#Headers],[Total Plain]:[Total Water]],0))+TblConstr[[#This Row],[Homes]]</f>
        <v>150</v>
      </c>
      <c r="DH27" s="45">
        <f t="shared" ca="1" si="10"/>
        <v>50</v>
      </c>
      <c r="DI27" s="45">
        <f t="shared" ca="1" si="0"/>
        <v>0</v>
      </c>
      <c r="DJ27" s="45">
        <f t="shared" ca="1" si="1"/>
        <v>0</v>
      </c>
    </row>
    <row r="28" spans="1:114" x14ac:dyDescent="0.2">
      <c r="A28" s="175">
        <f>TblRezone[[#This Row],[Hour]]</f>
        <v>25</v>
      </c>
      <c r="B28" s="176">
        <f ca="1">SUM(TblConstr[[#This Row],[Plain]:[Water]])</f>
        <v>20</v>
      </c>
      <c r="C28" s="177">
        <f ca="1">SUM(TblConstr[[#This Row],[Tot Hom]:[Tot Doc]])</f>
        <v>350</v>
      </c>
      <c r="D28" s="177">
        <f t="shared" si="2"/>
        <v>0</v>
      </c>
      <c r="E28" s="178"/>
      <c r="F28" s="61">
        <f ca="1">TblConstr[[#This Row],[Barren]]+TblConstr[[#This Row],[Buildings]]+TblConstr[[#This Row],[Incoming]]</f>
        <v>370</v>
      </c>
      <c r="G28" s="187">
        <f ca="1">OFFSET(TblConstr[[#This Row],[Plain]],-1,0)+TblConstr[[#This Row],[Ch_Plain]]</f>
        <v>20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45815.999999999942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518248</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28" s="94">
        <f ca="1">ROUNDDOWN( MAX(1 - MIN(facs_constr_factor*TblConstr[[#This Row],[Facs -DB]],facs_constr_max) + tech_1_11*TblTech[[#This Row],[11-1]] + tech_6_3_2*TblTech[[#This Row],[6-3]] + tech_5_2_3*TblTech[[#This Row],[5-2]], 1-global_constr_cap) * TblConstr[[#This Row],[RCPA Lumber]],0)</f>
        <v>122</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28" s="94">
        <f ca="1">ROUNDDOWN( MAX(1 - MIN(facs_constr_factor*TblConstr[[#This Row],[Facs DB]],facs_constr_max) + tech_1_11*TblTech[[#This Row],[1-11]] + tech_6_3_2*TblTech[[#This Row],[6-3]] + tech_5_2_3*TblTech[[#This Row],[5-2]], 1-global_constr_cap) * ROUND((TblConstr[[#This Row],[Land]]-250)*0.285 + 87.5 + 0/4.25,0),0)</f>
        <v>122</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1000</v>
      </c>
      <c r="AW28" s="94">
        <f ca="1">ROUND((TblConstr[[#This Row],[Land]]-250 - IF(TblExplore[[#This Row],[Land Bonus]]&lt;&gt;0,20,0))*0.285 + 87.5 + 0/4.25,0)</f>
        <v>122</v>
      </c>
      <c r="AX28" s="154"/>
      <c r="AY28" s="188" cm="1">
        <f t="array" aca="1" ref="AY28" ca="1">IF(TblConstr[[#This Row],[Hour]:[Hour]]&gt;12,OFFSET(TblConstr[[#This Row],[Hom]],-12,0),0)+OFFSET(TblConstr[[#This Row],[Tot Hom]],-1,0)-TblConstr[[#This Row],[Dest Hom]]</f>
        <v>50</v>
      </c>
      <c r="AZ28" s="189" cm="1">
        <f t="array" aca="1" ref="AZ28" ca="1">IF(TblConstr[[#This Row],[Hour]:[Hour]]&gt;12,OFFSET(TblConstr[[#This Row],[Alc]],-12,0),0)+OFFSET(TblConstr[[#This Row],[Tot Alc]],-1,0)-TblConstr[[#This Row],[Dest Alc]]</f>
        <v>50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50</v>
      </c>
      <c r="BM28" s="369" cm="1">
        <f t="array" aca="1" ref="BM28" ca="1">IF(TblConstr[[#This Row],[Hour]:[Hour]]&gt;12,OFFSET(TblConstr[[#This Row],[Tem]],-12,0),0)+OFFSET(TblConstr[[#This Row],[Tot Tem]],-1,0)-TblConstr[[#This Row],[Dest Tem]]</f>
        <v>50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50</v>
      </c>
      <c r="BP28" s="191" cm="1">
        <f t="array" aca="1" ref="BP28" ca="1">IF(TblConstr[[#This Row],[Hour]:[Hour]]&gt;12,OFFSET(TblConstr[[#This Row],[Sch]],-12,0),0)+OFFSET(TblConstr[[#This Row],[Tot Sch]],-1,0)-TblConstr[[#This Row],[Dest Sch]]</f>
        <v>50</v>
      </c>
      <c r="BQ28" s="192" cm="1">
        <f t="array" aca="1" ref="BQ28" ca="1">IF(TblConstr[[#This Row],[Hour]:[Hour]]&gt;12,OFFSET(TblConstr[[#This Row],[Doc]],-12,0),0)+OFFSET(TblConstr[[#This Row],[Tot Doc]],-1,0)-TblConstr[[#This Row],[Dest Doc]]</f>
        <v>0</v>
      </c>
      <c r="BR28" s="142"/>
      <c r="BS28" s="154"/>
      <c r="BT28" s="94">
        <f ca="1">TblConstr[[#This Row],[Land]]</f>
        <v>370</v>
      </c>
      <c r="BU28" s="159">
        <f ca="1">TblImps[[#This Row],[Time]]</f>
        <v>45815.999999999942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100</v>
      </c>
      <c r="DA28" s="94">
        <f t="shared" ca="1" si="4"/>
        <v>20</v>
      </c>
      <c r="DB28" s="45">
        <f t="shared" ca="1" si="5"/>
        <v>0</v>
      </c>
      <c r="DC28" s="94">
        <f t="shared" ca="1" si="6"/>
        <v>0</v>
      </c>
      <c r="DD28" s="94">
        <f t="shared" ca="1" si="7"/>
        <v>100</v>
      </c>
      <c r="DE28" s="45">
        <f t="shared" ca="1" si="8"/>
        <v>50</v>
      </c>
      <c r="DF28" s="94">
        <f t="shared" ca="1" si="9"/>
        <v>0</v>
      </c>
      <c r="DG28" s="94" cm="1">
        <f t="array" aca="1" ref="DG28" ca="1">INDEX(TblConstr[[Total Plain]:[Total Water]],ROW()-ROW(TblConstr[#Headers]),MATCH("Total "&amp;home_land,TblConstr[[#Headers],[Total Plain]:[Total Water]],0))+TblConstr[[#This Row],[Homes]]</f>
        <v>150</v>
      </c>
      <c r="DH28" s="45">
        <f t="shared" ca="1" si="10"/>
        <v>50</v>
      </c>
      <c r="DI28" s="45">
        <f t="shared" ca="1" si="0"/>
        <v>0</v>
      </c>
      <c r="DJ28" s="45">
        <f t="shared" ca="1" si="1"/>
        <v>0</v>
      </c>
    </row>
    <row r="29" spans="1:114" x14ac:dyDescent="0.2">
      <c r="A29" s="175">
        <f>TblRezone[[#This Row],[Hour]]</f>
        <v>26</v>
      </c>
      <c r="B29" s="176">
        <f ca="1">SUM(TblConstr[[#This Row],[Plain]:[Water]])</f>
        <v>20</v>
      </c>
      <c r="C29" s="177">
        <f ca="1">SUM(TblConstr[[#This Row],[Tot Hom]:[Tot Doc]])</f>
        <v>350</v>
      </c>
      <c r="D29" s="177">
        <f t="shared" si="2"/>
        <v>0</v>
      </c>
      <c r="E29" s="178"/>
      <c r="F29" s="61">
        <f ca="1">TblConstr[[#This Row],[Barren]]+TblConstr[[#This Row],[Buildings]]+TblConstr[[#This Row],[Incoming]]</f>
        <v>370</v>
      </c>
      <c r="G29" s="187">
        <f ca="1">OFFSET(TblConstr[[#This Row],[Plain]],-1,0)+TblConstr[[#This Row],[Ch_Plain]]</f>
        <v>20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45816.041666666606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533128</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29" s="94">
        <f ca="1">ROUNDDOWN( MAX(1 - MIN(facs_constr_factor*TblConstr[[#This Row],[Facs -DB]],facs_constr_max) + tech_1_11*TblTech[[#This Row],[11-1]] + tech_6_3_2*TblTech[[#This Row],[6-3]] + tech_5_2_3*TblTech[[#This Row],[5-2]], 1-global_constr_cap) * TblConstr[[#This Row],[RCPA Lumber]],0)</f>
        <v>122</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29" s="94">
        <f ca="1">ROUNDDOWN( MAX(1 - MIN(facs_constr_factor*TblConstr[[#This Row],[Facs DB]],facs_constr_max) + tech_1_11*TblTech[[#This Row],[1-11]] + tech_6_3_2*TblTech[[#This Row],[6-3]] + tech_5_2_3*TblTech[[#This Row],[5-2]], 1-global_constr_cap) * ROUND((TblConstr[[#This Row],[Land]]-250)*0.285 + 87.5 + 0/4.25,0),0)</f>
        <v>122</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1000</v>
      </c>
      <c r="AW29" s="94">
        <f ca="1">ROUND((TblConstr[[#This Row],[Land]]-250 - IF(TblExplore[[#This Row],[Land Bonus]]&lt;&gt;0,20,0))*0.285 + 87.5 + 0/4.25,0)</f>
        <v>122</v>
      </c>
      <c r="AX29" s="154"/>
      <c r="AY29" s="188" cm="1">
        <f t="array" aca="1" ref="AY29" ca="1">IF(TblConstr[[#This Row],[Hour]:[Hour]]&gt;12,OFFSET(TblConstr[[#This Row],[Hom]],-12,0),0)+OFFSET(TblConstr[[#This Row],[Tot Hom]],-1,0)-TblConstr[[#This Row],[Dest Hom]]</f>
        <v>50</v>
      </c>
      <c r="AZ29" s="189" cm="1">
        <f t="array" aca="1" ref="AZ29" ca="1">IF(TblConstr[[#This Row],[Hour]:[Hour]]&gt;12,OFFSET(TblConstr[[#This Row],[Alc]],-12,0),0)+OFFSET(TblConstr[[#This Row],[Tot Alc]],-1,0)-TblConstr[[#This Row],[Dest Alc]]</f>
        <v>50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50</v>
      </c>
      <c r="BM29" s="369" cm="1">
        <f t="array" aca="1" ref="BM29" ca="1">IF(TblConstr[[#This Row],[Hour]:[Hour]]&gt;12,OFFSET(TblConstr[[#This Row],[Tem]],-12,0),0)+OFFSET(TblConstr[[#This Row],[Tot Tem]],-1,0)-TblConstr[[#This Row],[Dest Tem]]</f>
        <v>50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50</v>
      </c>
      <c r="BP29" s="191" cm="1">
        <f t="array" aca="1" ref="BP29" ca="1">IF(TblConstr[[#This Row],[Hour]:[Hour]]&gt;12,OFFSET(TblConstr[[#This Row],[Sch]],-12,0),0)+OFFSET(TblConstr[[#This Row],[Tot Sch]],-1,0)-TblConstr[[#This Row],[Dest Sch]]</f>
        <v>50</v>
      </c>
      <c r="BQ29" s="192" cm="1">
        <f t="array" aca="1" ref="BQ29" ca="1">IF(TblConstr[[#This Row],[Hour]:[Hour]]&gt;12,OFFSET(TblConstr[[#This Row],[Doc]],-12,0),0)+OFFSET(TblConstr[[#This Row],[Tot Doc]],-1,0)-TblConstr[[#This Row],[Dest Doc]]</f>
        <v>0</v>
      </c>
      <c r="BR29" s="142"/>
      <c r="BS29" s="154"/>
      <c r="BT29" s="94">
        <f ca="1">TblConstr[[#This Row],[Land]]</f>
        <v>370</v>
      </c>
      <c r="BU29" s="159">
        <f ca="1">TblImps[[#This Row],[Time]]</f>
        <v>45816.041666666606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100</v>
      </c>
      <c r="DA29" s="94">
        <f t="shared" ca="1" si="4"/>
        <v>20</v>
      </c>
      <c r="DB29" s="45">
        <f t="shared" ca="1" si="5"/>
        <v>0</v>
      </c>
      <c r="DC29" s="94">
        <f t="shared" ca="1" si="6"/>
        <v>0</v>
      </c>
      <c r="DD29" s="94">
        <f t="shared" ca="1" si="7"/>
        <v>100</v>
      </c>
      <c r="DE29" s="45">
        <f t="shared" ca="1" si="8"/>
        <v>50</v>
      </c>
      <c r="DF29" s="94">
        <f t="shared" ca="1" si="9"/>
        <v>0</v>
      </c>
      <c r="DG29" s="94" cm="1">
        <f t="array" aca="1" ref="DG29" ca="1">INDEX(TblConstr[[Total Plain]:[Total Water]],ROW()-ROW(TblConstr[#Headers]),MATCH("Total "&amp;home_land,TblConstr[[#Headers],[Total Plain]:[Total Water]],0))+TblConstr[[#This Row],[Homes]]</f>
        <v>150</v>
      </c>
      <c r="DH29" s="45">
        <f t="shared" ca="1" si="10"/>
        <v>50</v>
      </c>
      <c r="DI29" s="45">
        <f t="shared" ca="1" si="0"/>
        <v>0</v>
      </c>
      <c r="DJ29" s="45">
        <f t="shared" ca="1" si="1"/>
        <v>0</v>
      </c>
    </row>
    <row r="30" spans="1:114" x14ac:dyDescent="0.2">
      <c r="A30" s="175">
        <f>TblRezone[[#This Row],[Hour]]</f>
        <v>27</v>
      </c>
      <c r="B30" s="176">
        <f ca="1">SUM(TblConstr[[#This Row],[Plain]:[Water]])</f>
        <v>20</v>
      </c>
      <c r="C30" s="177">
        <f ca="1">SUM(TblConstr[[#This Row],[Tot Hom]:[Tot Doc]])</f>
        <v>350</v>
      </c>
      <c r="D30" s="177">
        <f t="shared" si="2"/>
        <v>0</v>
      </c>
      <c r="E30" s="178"/>
      <c r="F30" s="61">
        <f ca="1">TblConstr[[#This Row],[Barren]]+TblConstr[[#This Row],[Buildings]]+TblConstr[[#This Row],[Incoming]]</f>
        <v>370</v>
      </c>
      <c r="G30" s="187">
        <f ca="1">OFFSET(TblConstr[[#This Row],[Plain]],-1,0)+TblConstr[[#This Row],[Ch_Plain]]</f>
        <v>20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45816.08333333327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547881</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30" s="94">
        <f ca="1">ROUNDDOWN( MAX(1 - MIN(facs_constr_factor*TblConstr[[#This Row],[Facs -DB]],facs_constr_max) + tech_1_11*TblTech[[#This Row],[11-1]] + tech_6_3_2*TblTech[[#This Row],[6-3]] + tech_5_2_3*TblTech[[#This Row],[5-2]], 1-global_constr_cap) * TblConstr[[#This Row],[RCPA Lumber]],0)</f>
        <v>122</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30" s="94">
        <f ca="1">ROUNDDOWN( MAX(1 - MIN(facs_constr_factor*TblConstr[[#This Row],[Facs DB]],facs_constr_max) + tech_1_11*TblTech[[#This Row],[1-11]] + tech_6_3_2*TblTech[[#This Row],[6-3]] + tech_5_2_3*TblTech[[#This Row],[5-2]], 1-global_constr_cap) * ROUND((TblConstr[[#This Row],[Land]]-250)*0.285 + 87.5 + 0/4.25,0),0)</f>
        <v>122</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1000</v>
      </c>
      <c r="AW30" s="94">
        <f ca="1">ROUND((TblConstr[[#This Row],[Land]]-250 - IF(TblExplore[[#This Row],[Land Bonus]]&lt;&gt;0,20,0))*0.285 + 87.5 + 0/4.25,0)</f>
        <v>122</v>
      </c>
      <c r="AX30" s="154"/>
      <c r="AY30" s="188" cm="1">
        <f t="array" aca="1" ref="AY30" ca="1">IF(TblConstr[[#This Row],[Hour]:[Hour]]&gt;12,OFFSET(TblConstr[[#This Row],[Hom]],-12,0),0)+OFFSET(TblConstr[[#This Row],[Tot Hom]],-1,0)-TblConstr[[#This Row],[Dest Hom]]</f>
        <v>50</v>
      </c>
      <c r="AZ30" s="189" cm="1">
        <f t="array" aca="1" ref="AZ30" ca="1">IF(TblConstr[[#This Row],[Hour]:[Hour]]&gt;12,OFFSET(TblConstr[[#This Row],[Alc]],-12,0),0)+OFFSET(TblConstr[[#This Row],[Tot Alc]],-1,0)-TblConstr[[#This Row],[Dest Alc]]</f>
        <v>50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50</v>
      </c>
      <c r="BM30" s="369" cm="1">
        <f t="array" aca="1" ref="BM30" ca="1">IF(TblConstr[[#This Row],[Hour]:[Hour]]&gt;12,OFFSET(TblConstr[[#This Row],[Tem]],-12,0),0)+OFFSET(TblConstr[[#This Row],[Tot Tem]],-1,0)-TblConstr[[#This Row],[Dest Tem]]</f>
        <v>50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50</v>
      </c>
      <c r="BP30" s="191" cm="1">
        <f t="array" aca="1" ref="BP30" ca="1">IF(TblConstr[[#This Row],[Hour]:[Hour]]&gt;12,OFFSET(TblConstr[[#This Row],[Sch]],-12,0),0)+OFFSET(TblConstr[[#This Row],[Tot Sch]],-1,0)-TblConstr[[#This Row],[Dest Sch]]</f>
        <v>50</v>
      </c>
      <c r="BQ30" s="192" cm="1">
        <f t="array" aca="1" ref="BQ30" ca="1">IF(TblConstr[[#This Row],[Hour]:[Hour]]&gt;12,OFFSET(TblConstr[[#This Row],[Doc]],-12,0),0)+OFFSET(TblConstr[[#This Row],[Tot Doc]],-1,0)-TblConstr[[#This Row],[Dest Doc]]</f>
        <v>0</v>
      </c>
      <c r="BR30" s="142"/>
      <c r="BS30" s="154"/>
      <c r="BT30" s="94">
        <f ca="1">TblConstr[[#This Row],[Land]]</f>
        <v>370</v>
      </c>
      <c r="BU30" s="159">
        <f ca="1">TblImps[[#This Row],[Time]]</f>
        <v>45816.08333333327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100</v>
      </c>
      <c r="DA30" s="94">
        <f t="shared" ca="1" si="4"/>
        <v>20</v>
      </c>
      <c r="DB30" s="45">
        <f t="shared" ca="1" si="5"/>
        <v>0</v>
      </c>
      <c r="DC30" s="94">
        <f t="shared" ca="1" si="6"/>
        <v>0</v>
      </c>
      <c r="DD30" s="94">
        <f t="shared" ca="1" si="7"/>
        <v>100</v>
      </c>
      <c r="DE30" s="45">
        <f t="shared" ca="1" si="8"/>
        <v>50</v>
      </c>
      <c r="DF30" s="94">
        <f t="shared" ca="1" si="9"/>
        <v>0</v>
      </c>
      <c r="DG30" s="94" cm="1">
        <f t="array" aca="1" ref="DG30" ca="1">INDEX(TblConstr[[Total Plain]:[Total Water]],ROW()-ROW(TblConstr[#Headers]),MATCH("Total "&amp;home_land,TblConstr[[#Headers],[Total Plain]:[Total Water]],0))+TblConstr[[#This Row],[Homes]]</f>
        <v>150</v>
      </c>
      <c r="DH30" s="45">
        <f t="shared" ca="1" si="10"/>
        <v>50</v>
      </c>
      <c r="DI30" s="45">
        <f t="shared" ca="1" si="0"/>
        <v>0</v>
      </c>
      <c r="DJ30" s="45">
        <f t="shared" ca="1" si="1"/>
        <v>0</v>
      </c>
    </row>
    <row r="31" spans="1:114" x14ac:dyDescent="0.2">
      <c r="A31" s="175">
        <f>TblRezone[[#This Row],[Hour]]</f>
        <v>28</v>
      </c>
      <c r="B31" s="176">
        <f ca="1">SUM(TblConstr[[#This Row],[Plain]:[Water]])</f>
        <v>20</v>
      </c>
      <c r="C31" s="177">
        <f ca="1">SUM(TblConstr[[#This Row],[Tot Hom]:[Tot Doc]])</f>
        <v>350</v>
      </c>
      <c r="D31" s="177">
        <f t="shared" si="2"/>
        <v>0</v>
      </c>
      <c r="E31" s="178"/>
      <c r="F31" s="61">
        <f ca="1">TblConstr[[#This Row],[Barren]]+TblConstr[[#This Row],[Buildings]]+TblConstr[[#This Row],[Incoming]]</f>
        <v>370</v>
      </c>
      <c r="G31" s="187">
        <f ca="1">OFFSET(TblConstr[[#This Row],[Plain]],-1,0)+TblConstr[[#This Row],[Ch_Plain]]</f>
        <v>20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45816.124999999935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562510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31" s="94">
        <f ca="1">ROUNDDOWN( MAX(1 - MIN(facs_constr_factor*TblConstr[[#This Row],[Facs -DB]],facs_constr_max) + tech_1_11*TblTech[[#This Row],[11-1]] + tech_6_3_2*TblTech[[#This Row],[6-3]] + tech_5_2_3*TblTech[[#This Row],[5-2]], 1-global_constr_cap) * TblConstr[[#This Row],[RCPA Lumber]],0)</f>
        <v>122</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31" s="94">
        <f ca="1">ROUNDDOWN( MAX(1 - MIN(facs_constr_factor*TblConstr[[#This Row],[Facs DB]],facs_constr_max) + tech_1_11*TblTech[[#This Row],[1-11]] + tech_6_3_2*TblTech[[#This Row],[6-3]] + tech_5_2_3*TblTech[[#This Row],[5-2]], 1-global_constr_cap) * ROUND((TblConstr[[#This Row],[Land]]-250)*0.285 + 87.5 + 0/4.25,0),0)</f>
        <v>122</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1000</v>
      </c>
      <c r="AW31" s="94">
        <f ca="1">ROUND((TblConstr[[#This Row],[Land]]-250 - IF(TblExplore[[#This Row],[Land Bonus]]&lt;&gt;0,20,0))*0.285 + 87.5 + 0/4.25,0)</f>
        <v>122</v>
      </c>
      <c r="AX31" s="154"/>
      <c r="AY31" s="188" cm="1">
        <f t="array" aca="1" ref="AY31" ca="1">IF(TblConstr[[#This Row],[Hour]:[Hour]]&gt;12,OFFSET(TblConstr[[#This Row],[Hom]],-12,0),0)+OFFSET(TblConstr[[#This Row],[Tot Hom]],-1,0)-TblConstr[[#This Row],[Dest Hom]]</f>
        <v>50</v>
      </c>
      <c r="AZ31" s="189" cm="1">
        <f t="array" aca="1" ref="AZ31" ca="1">IF(TblConstr[[#This Row],[Hour]:[Hour]]&gt;12,OFFSET(TblConstr[[#This Row],[Alc]],-12,0),0)+OFFSET(TblConstr[[#This Row],[Tot Alc]],-1,0)-TblConstr[[#This Row],[Dest Alc]]</f>
        <v>50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50</v>
      </c>
      <c r="BM31" s="369" cm="1">
        <f t="array" aca="1" ref="BM31" ca="1">IF(TblConstr[[#This Row],[Hour]:[Hour]]&gt;12,OFFSET(TblConstr[[#This Row],[Tem]],-12,0),0)+OFFSET(TblConstr[[#This Row],[Tot Tem]],-1,0)-TblConstr[[#This Row],[Dest Tem]]</f>
        <v>50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50</v>
      </c>
      <c r="BP31" s="191" cm="1">
        <f t="array" aca="1" ref="BP31" ca="1">IF(TblConstr[[#This Row],[Hour]:[Hour]]&gt;12,OFFSET(TblConstr[[#This Row],[Sch]],-12,0),0)+OFFSET(TblConstr[[#This Row],[Tot Sch]],-1,0)-TblConstr[[#This Row],[Dest Sch]]</f>
        <v>50</v>
      </c>
      <c r="BQ31" s="192" cm="1">
        <f t="array" aca="1" ref="BQ31" ca="1">IF(TblConstr[[#This Row],[Hour]:[Hour]]&gt;12,OFFSET(TblConstr[[#This Row],[Doc]],-12,0),0)+OFFSET(TblConstr[[#This Row],[Tot Doc]],-1,0)-TblConstr[[#This Row],[Dest Doc]]</f>
        <v>0</v>
      </c>
      <c r="BR31" s="142"/>
      <c r="BS31" s="154"/>
      <c r="BT31" s="94">
        <f ca="1">TblConstr[[#This Row],[Land]]</f>
        <v>370</v>
      </c>
      <c r="BU31" s="159">
        <f ca="1">TblImps[[#This Row],[Time]]</f>
        <v>45816.124999999935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100</v>
      </c>
      <c r="DA31" s="94">
        <f t="shared" ca="1" si="4"/>
        <v>20</v>
      </c>
      <c r="DB31" s="45">
        <f t="shared" ca="1" si="5"/>
        <v>0</v>
      </c>
      <c r="DC31" s="94">
        <f t="shared" ca="1" si="6"/>
        <v>0</v>
      </c>
      <c r="DD31" s="94">
        <f t="shared" ca="1" si="7"/>
        <v>100</v>
      </c>
      <c r="DE31" s="45">
        <f t="shared" ca="1" si="8"/>
        <v>50</v>
      </c>
      <c r="DF31" s="94">
        <f t="shared" ca="1" si="9"/>
        <v>0</v>
      </c>
      <c r="DG31" s="94" cm="1">
        <f t="array" aca="1" ref="DG31" ca="1">INDEX(TblConstr[[Total Plain]:[Total Water]],ROW()-ROW(TblConstr[#Headers]),MATCH("Total "&amp;home_land,TblConstr[[#Headers],[Total Plain]:[Total Water]],0))+TblConstr[[#This Row],[Homes]]</f>
        <v>150</v>
      </c>
      <c r="DH31" s="45">
        <f t="shared" ca="1" si="10"/>
        <v>50</v>
      </c>
      <c r="DI31" s="45">
        <f t="shared" ca="1" si="0"/>
        <v>0</v>
      </c>
      <c r="DJ31" s="45">
        <f t="shared" ca="1" si="1"/>
        <v>0</v>
      </c>
    </row>
    <row r="32" spans="1:114" x14ac:dyDescent="0.2">
      <c r="A32" s="175">
        <f>TblRezone[[#This Row],[Hour]]</f>
        <v>29</v>
      </c>
      <c r="B32" s="176">
        <f ca="1">SUM(TblConstr[[#This Row],[Plain]:[Water]])</f>
        <v>20</v>
      </c>
      <c r="C32" s="177">
        <f ca="1">SUM(TblConstr[[#This Row],[Tot Hom]:[Tot Doc]])</f>
        <v>350</v>
      </c>
      <c r="D32" s="177">
        <f t="shared" si="2"/>
        <v>0</v>
      </c>
      <c r="E32" s="178"/>
      <c r="F32" s="61">
        <f ca="1">TblConstr[[#This Row],[Barren]]+TblConstr[[#This Row],[Buildings]]+TblConstr[[#This Row],[Incoming]]</f>
        <v>370</v>
      </c>
      <c r="G32" s="187">
        <f ca="1">OFFSET(TblConstr[[#This Row],[Plain]],-1,0)+TblConstr[[#This Row],[Ch_Plain]]</f>
        <v>20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45816.166666666599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577015</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32" s="94">
        <f ca="1">ROUNDDOWN( MAX(1 - MIN(facs_constr_factor*TblConstr[[#This Row],[Facs -DB]],facs_constr_max) + tech_1_11*TblTech[[#This Row],[11-1]] + tech_6_3_2*TblTech[[#This Row],[6-3]] + tech_5_2_3*TblTech[[#This Row],[5-2]], 1-global_constr_cap) * TblConstr[[#This Row],[RCPA Lumber]],0)</f>
        <v>122</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32" s="94">
        <f ca="1">ROUNDDOWN( MAX(1 - MIN(facs_constr_factor*TblConstr[[#This Row],[Facs DB]],facs_constr_max) + tech_1_11*TblTech[[#This Row],[1-11]] + tech_6_3_2*TblTech[[#This Row],[6-3]] + tech_5_2_3*TblTech[[#This Row],[5-2]], 1-global_constr_cap) * ROUND((TblConstr[[#This Row],[Land]]-250)*0.285 + 87.5 + 0/4.25,0),0)</f>
        <v>122</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1000</v>
      </c>
      <c r="AW32" s="94">
        <f ca="1">ROUND((TblConstr[[#This Row],[Land]]-250 - IF(TblExplore[[#This Row],[Land Bonus]]&lt;&gt;0,20,0))*0.285 + 87.5 + 0/4.25,0)</f>
        <v>122</v>
      </c>
      <c r="AX32" s="154"/>
      <c r="AY32" s="188" cm="1">
        <f t="array" aca="1" ref="AY32" ca="1">IF(TblConstr[[#This Row],[Hour]:[Hour]]&gt;12,OFFSET(TblConstr[[#This Row],[Hom]],-12,0),0)+OFFSET(TblConstr[[#This Row],[Tot Hom]],-1,0)-TblConstr[[#This Row],[Dest Hom]]</f>
        <v>50</v>
      </c>
      <c r="AZ32" s="189" cm="1">
        <f t="array" aca="1" ref="AZ32" ca="1">IF(TblConstr[[#This Row],[Hour]:[Hour]]&gt;12,OFFSET(TblConstr[[#This Row],[Alc]],-12,0),0)+OFFSET(TblConstr[[#This Row],[Tot Alc]],-1,0)-TblConstr[[#This Row],[Dest Alc]]</f>
        <v>50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50</v>
      </c>
      <c r="BM32" s="369" cm="1">
        <f t="array" aca="1" ref="BM32" ca="1">IF(TblConstr[[#This Row],[Hour]:[Hour]]&gt;12,OFFSET(TblConstr[[#This Row],[Tem]],-12,0),0)+OFFSET(TblConstr[[#This Row],[Tot Tem]],-1,0)-TblConstr[[#This Row],[Dest Tem]]</f>
        <v>50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50</v>
      </c>
      <c r="BP32" s="191" cm="1">
        <f t="array" aca="1" ref="BP32" ca="1">IF(TblConstr[[#This Row],[Hour]:[Hour]]&gt;12,OFFSET(TblConstr[[#This Row],[Sch]],-12,0),0)+OFFSET(TblConstr[[#This Row],[Tot Sch]],-1,0)-TblConstr[[#This Row],[Dest Sch]]</f>
        <v>50</v>
      </c>
      <c r="BQ32" s="192" cm="1">
        <f t="array" aca="1" ref="BQ32" ca="1">IF(TblConstr[[#This Row],[Hour]:[Hour]]&gt;12,OFFSET(TblConstr[[#This Row],[Doc]],-12,0),0)+OFFSET(TblConstr[[#This Row],[Tot Doc]],-1,0)-TblConstr[[#This Row],[Dest Doc]]</f>
        <v>0</v>
      </c>
      <c r="BR32" s="142"/>
      <c r="BS32" s="154"/>
      <c r="BT32" s="94">
        <f ca="1">TblConstr[[#This Row],[Land]]</f>
        <v>370</v>
      </c>
      <c r="BU32" s="159">
        <f ca="1">TblImps[[#This Row],[Time]]</f>
        <v>45816.166666666599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100</v>
      </c>
      <c r="DA32" s="94">
        <f t="shared" ca="1" si="4"/>
        <v>20</v>
      </c>
      <c r="DB32" s="45">
        <f t="shared" ca="1" si="5"/>
        <v>0</v>
      </c>
      <c r="DC32" s="94">
        <f t="shared" ca="1" si="6"/>
        <v>0</v>
      </c>
      <c r="DD32" s="94">
        <f t="shared" ca="1" si="7"/>
        <v>100</v>
      </c>
      <c r="DE32" s="45">
        <f t="shared" ca="1" si="8"/>
        <v>50</v>
      </c>
      <c r="DF32" s="94">
        <f t="shared" ca="1" si="9"/>
        <v>0</v>
      </c>
      <c r="DG32" s="94" cm="1">
        <f t="array" aca="1" ref="DG32" ca="1">INDEX(TblConstr[[Total Plain]:[Total Water]],ROW()-ROW(TblConstr[#Headers]),MATCH("Total "&amp;home_land,TblConstr[[#Headers],[Total Plain]:[Total Water]],0))+TblConstr[[#This Row],[Homes]]</f>
        <v>150</v>
      </c>
      <c r="DH32" s="45">
        <f t="shared" ca="1" si="10"/>
        <v>50</v>
      </c>
      <c r="DI32" s="45">
        <f t="shared" ca="1" si="0"/>
        <v>0</v>
      </c>
      <c r="DJ32" s="45">
        <f t="shared" ca="1" si="1"/>
        <v>0</v>
      </c>
    </row>
    <row r="33" spans="1:114" x14ac:dyDescent="0.2">
      <c r="A33" s="175">
        <f>TblRezone[[#This Row],[Hour]]</f>
        <v>30</v>
      </c>
      <c r="B33" s="176">
        <f ca="1">SUM(TblConstr[[#This Row],[Plain]:[Water]])</f>
        <v>20</v>
      </c>
      <c r="C33" s="177">
        <f ca="1">SUM(TblConstr[[#This Row],[Tot Hom]:[Tot Doc]])</f>
        <v>350</v>
      </c>
      <c r="D33" s="177">
        <f t="shared" si="2"/>
        <v>0</v>
      </c>
      <c r="E33" s="178"/>
      <c r="F33" s="61">
        <f ca="1">TblConstr[[#This Row],[Barren]]+TblConstr[[#This Row],[Buildings]]+TblConstr[[#This Row],[Incoming]]</f>
        <v>370</v>
      </c>
      <c r="G33" s="187">
        <f ca="1">OFFSET(TblConstr[[#This Row],[Plain]],-1,0)+TblConstr[[#This Row],[Ch_Plain]]</f>
        <v>20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45816.208333333263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591398</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33" s="94">
        <f ca="1">ROUNDDOWN( MAX(1 - MIN(facs_constr_factor*TblConstr[[#This Row],[Facs -DB]],facs_constr_max) + tech_1_11*TblTech[[#This Row],[11-1]] + tech_6_3_2*TblTech[[#This Row],[6-3]] + tech_5_2_3*TblTech[[#This Row],[5-2]], 1-global_constr_cap) * TblConstr[[#This Row],[RCPA Lumber]],0)</f>
        <v>122</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33" s="94">
        <f ca="1">ROUNDDOWN( MAX(1 - MIN(facs_constr_factor*TblConstr[[#This Row],[Facs DB]],facs_constr_max) + tech_1_11*TblTech[[#This Row],[1-11]] + tech_6_3_2*TblTech[[#This Row],[6-3]] + tech_5_2_3*TblTech[[#This Row],[5-2]], 1-global_constr_cap) * ROUND((TblConstr[[#This Row],[Land]]-250)*0.285 + 87.5 + 0/4.25,0),0)</f>
        <v>122</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1000</v>
      </c>
      <c r="AW33" s="94">
        <f ca="1">ROUND((TblConstr[[#This Row],[Land]]-250 - IF(TblExplore[[#This Row],[Land Bonus]]&lt;&gt;0,20,0))*0.285 + 87.5 + 0/4.25,0)</f>
        <v>122</v>
      </c>
      <c r="AX33" s="154"/>
      <c r="AY33" s="188" cm="1">
        <f t="array" aca="1" ref="AY33" ca="1">IF(TblConstr[[#This Row],[Hour]:[Hour]]&gt;12,OFFSET(TblConstr[[#This Row],[Hom]],-12,0),0)+OFFSET(TblConstr[[#This Row],[Tot Hom]],-1,0)-TblConstr[[#This Row],[Dest Hom]]</f>
        <v>50</v>
      </c>
      <c r="AZ33" s="189" cm="1">
        <f t="array" aca="1" ref="AZ33" ca="1">IF(TblConstr[[#This Row],[Hour]:[Hour]]&gt;12,OFFSET(TblConstr[[#This Row],[Alc]],-12,0),0)+OFFSET(TblConstr[[#This Row],[Tot Alc]],-1,0)-TblConstr[[#This Row],[Dest Alc]]</f>
        <v>50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50</v>
      </c>
      <c r="BM33" s="369" cm="1">
        <f t="array" aca="1" ref="BM33" ca="1">IF(TblConstr[[#This Row],[Hour]:[Hour]]&gt;12,OFFSET(TblConstr[[#This Row],[Tem]],-12,0),0)+OFFSET(TblConstr[[#This Row],[Tot Tem]],-1,0)-TblConstr[[#This Row],[Dest Tem]]</f>
        <v>50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50</v>
      </c>
      <c r="BP33" s="191" cm="1">
        <f t="array" aca="1" ref="BP33" ca="1">IF(TblConstr[[#This Row],[Hour]:[Hour]]&gt;12,OFFSET(TblConstr[[#This Row],[Sch]],-12,0),0)+OFFSET(TblConstr[[#This Row],[Tot Sch]],-1,0)-TblConstr[[#This Row],[Dest Sch]]</f>
        <v>50</v>
      </c>
      <c r="BQ33" s="192" cm="1">
        <f t="array" aca="1" ref="BQ33" ca="1">IF(TblConstr[[#This Row],[Hour]:[Hour]]&gt;12,OFFSET(TblConstr[[#This Row],[Doc]],-12,0),0)+OFFSET(TblConstr[[#This Row],[Tot Doc]],-1,0)-TblConstr[[#This Row],[Dest Doc]]</f>
        <v>0</v>
      </c>
      <c r="BR33" s="142"/>
      <c r="BS33" s="154"/>
      <c r="BT33" s="94">
        <f ca="1">TblConstr[[#This Row],[Land]]</f>
        <v>370</v>
      </c>
      <c r="BU33" s="159">
        <f ca="1">TblImps[[#This Row],[Time]]</f>
        <v>45816.208333333263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100</v>
      </c>
      <c r="DA33" s="94">
        <f t="shared" ca="1" si="4"/>
        <v>20</v>
      </c>
      <c r="DB33" s="45">
        <f t="shared" ca="1" si="5"/>
        <v>0</v>
      </c>
      <c r="DC33" s="94">
        <f t="shared" ca="1" si="6"/>
        <v>0</v>
      </c>
      <c r="DD33" s="94">
        <f t="shared" ca="1" si="7"/>
        <v>100</v>
      </c>
      <c r="DE33" s="45">
        <f t="shared" ca="1" si="8"/>
        <v>50</v>
      </c>
      <c r="DF33" s="94">
        <f t="shared" ca="1" si="9"/>
        <v>0</v>
      </c>
      <c r="DG33" s="94" cm="1">
        <f t="array" aca="1" ref="DG33" ca="1">INDEX(TblConstr[[Total Plain]:[Total Water]],ROW()-ROW(TblConstr[#Headers]),MATCH("Total "&amp;home_land,TblConstr[[#Headers],[Total Plain]:[Total Water]],0))+TblConstr[[#This Row],[Homes]]</f>
        <v>150</v>
      </c>
      <c r="DH33" s="45">
        <f t="shared" ca="1" si="10"/>
        <v>50</v>
      </c>
      <c r="DI33" s="45">
        <f t="shared" ca="1" si="0"/>
        <v>0</v>
      </c>
      <c r="DJ33" s="45">
        <f t="shared" ca="1" si="1"/>
        <v>0</v>
      </c>
    </row>
    <row r="34" spans="1:114" x14ac:dyDescent="0.2">
      <c r="A34" s="175">
        <f>TblRezone[[#This Row],[Hour]]</f>
        <v>31</v>
      </c>
      <c r="B34" s="176">
        <f ca="1">SUM(TblConstr[[#This Row],[Plain]:[Water]])</f>
        <v>20</v>
      </c>
      <c r="C34" s="177">
        <f ca="1">SUM(TblConstr[[#This Row],[Tot Hom]:[Tot Doc]])</f>
        <v>350</v>
      </c>
      <c r="D34" s="177">
        <f t="shared" si="2"/>
        <v>0</v>
      </c>
      <c r="E34" s="178"/>
      <c r="F34" s="61">
        <f ca="1">TblConstr[[#This Row],[Barren]]+TblConstr[[#This Row],[Buildings]]+TblConstr[[#This Row],[Incoming]]</f>
        <v>370</v>
      </c>
      <c r="G34" s="187">
        <f ca="1">OFFSET(TblConstr[[#This Row],[Plain]],-1,0)+TblConstr[[#This Row],[Ch_Plain]]</f>
        <v>20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45816.249999999927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605660</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34" s="94">
        <f ca="1">ROUNDDOWN( MAX(1 - MIN(facs_constr_factor*TblConstr[[#This Row],[Facs -DB]],facs_constr_max) + tech_1_11*TblTech[[#This Row],[11-1]] + tech_6_3_2*TblTech[[#This Row],[6-3]] + tech_5_2_3*TblTech[[#This Row],[5-2]], 1-global_constr_cap) * TblConstr[[#This Row],[RCPA Lumber]],0)</f>
        <v>122</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34" s="94">
        <f ca="1">ROUNDDOWN( MAX(1 - MIN(facs_constr_factor*TblConstr[[#This Row],[Facs DB]],facs_constr_max) + tech_1_11*TblTech[[#This Row],[1-11]] + tech_6_3_2*TblTech[[#This Row],[6-3]] + tech_5_2_3*TblTech[[#This Row],[5-2]], 1-global_constr_cap) * ROUND((TblConstr[[#This Row],[Land]]-250)*0.285 + 87.5 + 0/4.25,0),0)</f>
        <v>122</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1000</v>
      </c>
      <c r="AW34" s="94">
        <f ca="1">ROUND((TblConstr[[#This Row],[Land]]-250 - IF(TblExplore[[#This Row],[Land Bonus]]&lt;&gt;0,20,0))*0.285 + 87.5 + 0/4.25,0)</f>
        <v>122</v>
      </c>
      <c r="AX34" s="154"/>
      <c r="AY34" s="188" cm="1">
        <f t="array" aca="1" ref="AY34" ca="1">IF(TblConstr[[#This Row],[Hour]:[Hour]]&gt;12,OFFSET(TblConstr[[#This Row],[Hom]],-12,0),0)+OFFSET(TblConstr[[#This Row],[Tot Hom]],-1,0)-TblConstr[[#This Row],[Dest Hom]]</f>
        <v>50</v>
      </c>
      <c r="AZ34" s="189" cm="1">
        <f t="array" aca="1" ref="AZ34" ca="1">IF(TblConstr[[#This Row],[Hour]:[Hour]]&gt;12,OFFSET(TblConstr[[#This Row],[Alc]],-12,0),0)+OFFSET(TblConstr[[#This Row],[Tot Alc]],-1,0)-TblConstr[[#This Row],[Dest Alc]]</f>
        <v>50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50</v>
      </c>
      <c r="BM34" s="369" cm="1">
        <f t="array" aca="1" ref="BM34" ca="1">IF(TblConstr[[#This Row],[Hour]:[Hour]]&gt;12,OFFSET(TblConstr[[#This Row],[Tem]],-12,0),0)+OFFSET(TblConstr[[#This Row],[Tot Tem]],-1,0)-TblConstr[[#This Row],[Dest Tem]]</f>
        <v>50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50</v>
      </c>
      <c r="BP34" s="191" cm="1">
        <f t="array" aca="1" ref="BP34" ca="1">IF(TblConstr[[#This Row],[Hour]:[Hour]]&gt;12,OFFSET(TblConstr[[#This Row],[Sch]],-12,0),0)+OFFSET(TblConstr[[#This Row],[Tot Sch]],-1,0)-TblConstr[[#This Row],[Dest Sch]]</f>
        <v>50</v>
      </c>
      <c r="BQ34" s="192" cm="1">
        <f t="array" aca="1" ref="BQ34" ca="1">IF(TblConstr[[#This Row],[Hour]:[Hour]]&gt;12,OFFSET(TblConstr[[#This Row],[Doc]],-12,0),0)+OFFSET(TblConstr[[#This Row],[Tot Doc]],-1,0)-TblConstr[[#This Row],[Dest Doc]]</f>
        <v>0</v>
      </c>
      <c r="BR34" s="142"/>
      <c r="BS34" s="154"/>
      <c r="BT34" s="94">
        <f ca="1">TblConstr[[#This Row],[Land]]</f>
        <v>370</v>
      </c>
      <c r="BU34" s="159">
        <f ca="1">TblImps[[#This Row],[Time]]</f>
        <v>45816.249999999927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100</v>
      </c>
      <c r="DA34" s="94">
        <f t="shared" ca="1" si="4"/>
        <v>20</v>
      </c>
      <c r="DB34" s="45">
        <f t="shared" ca="1" si="5"/>
        <v>0</v>
      </c>
      <c r="DC34" s="94">
        <f t="shared" ca="1" si="6"/>
        <v>0</v>
      </c>
      <c r="DD34" s="94">
        <f t="shared" ca="1" si="7"/>
        <v>100</v>
      </c>
      <c r="DE34" s="45">
        <f t="shared" ca="1" si="8"/>
        <v>50</v>
      </c>
      <c r="DF34" s="94">
        <f t="shared" ca="1" si="9"/>
        <v>0</v>
      </c>
      <c r="DG34" s="94" cm="1">
        <f t="array" aca="1" ref="DG34" ca="1">INDEX(TblConstr[[Total Plain]:[Total Water]],ROW()-ROW(TblConstr[#Headers]),MATCH("Total "&amp;home_land,TblConstr[[#Headers],[Total Plain]:[Total Water]],0))+TblConstr[[#This Row],[Homes]]</f>
        <v>150</v>
      </c>
      <c r="DH34" s="45">
        <f t="shared" ca="1" si="10"/>
        <v>50</v>
      </c>
      <c r="DI34" s="45">
        <f t="shared" ca="1" si="0"/>
        <v>0</v>
      </c>
      <c r="DJ34" s="45">
        <f t="shared" ca="1" si="1"/>
        <v>0</v>
      </c>
    </row>
    <row r="35" spans="1:114" x14ac:dyDescent="0.2">
      <c r="A35" s="175">
        <f>TblRezone[[#This Row],[Hour]]</f>
        <v>32</v>
      </c>
      <c r="B35" s="176">
        <f ca="1">SUM(TblConstr[[#This Row],[Plain]:[Water]])</f>
        <v>20</v>
      </c>
      <c r="C35" s="177">
        <f ca="1">SUM(TblConstr[[#This Row],[Tot Hom]:[Tot Doc]])</f>
        <v>350</v>
      </c>
      <c r="D35" s="177">
        <f t="shared" si="2"/>
        <v>0</v>
      </c>
      <c r="E35" s="178"/>
      <c r="F35" s="61">
        <f ca="1">TblConstr[[#This Row],[Barren]]+TblConstr[[#This Row],[Buildings]]+TblConstr[[#This Row],[Incoming]]</f>
        <v>370</v>
      </c>
      <c r="G35" s="187">
        <f ca="1">OFFSET(TblConstr[[#This Row],[Plain]],-1,0)+TblConstr[[#This Row],[Ch_Plain]]</f>
        <v>20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45816.291666666591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619803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35" s="94">
        <f ca="1">ROUNDDOWN( MAX(1 - MIN(facs_constr_factor*TblConstr[[#This Row],[Facs -DB]],facs_constr_max) + tech_1_11*TblTech[[#This Row],[11-1]] + tech_6_3_2*TblTech[[#This Row],[6-3]] + tech_5_2_3*TblTech[[#This Row],[5-2]], 1-global_constr_cap) * TblConstr[[#This Row],[RCPA Lumber]],0)</f>
        <v>122</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35" s="94">
        <f ca="1">ROUNDDOWN( MAX(1 - MIN(facs_constr_factor*TblConstr[[#This Row],[Facs DB]],facs_constr_max) + tech_1_11*TblTech[[#This Row],[1-11]] + tech_6_3_2*TblTech[[#This Row],[6-3]] + tech_5_2_3*TblTech[[#This Row],[5-2]], 1-global_constr_cap) * ROUND((TblConstr[[#This Row],[Land]]-250)*0.285 + 87.5 + 0/4.25,0),0)</f>
        <v>122</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1000</v>
      </c>
      <c r="AW35" s="94">
        <f ca="1">ROUND((TblConstr[[#This Row],[Land]]-250 - IF(TblExplore[[#This Row],[Land Bonus]]&lt;&gt;0,20,0))*0.285 + 87.5 + 0/4.25,0)</f>
        <v>122</v>
      </c>
      <c r="AX35" s="154"/>
      <c r="AY35" s="188" cm="1">
        <f t="array" aca="1" ref="AY35" ca="1">IF(TblConstr[[#This Row],[Hour]:[Hour]]&gt;12,OFFSET(TblConstr[[#This Row],[Hom]],-12,0),0)+OFFSET(TblConstr[[#This Row],[Tot Hom]],-1,0)-TblConstr[[#This Row],[Dest Hom]]</f>
        <v>50</v>
      </c>
      <c r="AZ35" s="189" cm="1">
        <f t="array" aca="1" ref="AZ35" ca="1">IF(TblConstr[[#This Row],[Hour]:[Hour]]&gt;12,OFFSET(TblConstr[[#This Row],[Alc]],-12,0),0)+OFFSET(TblConstr[[#This Row],[Tot Alc]],-1,0)-TblConstr[[#This Row],[Dest Alc]]</f>
        <v>50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50</v>
      </c>
      <c r="BM35" s="369" cm="1">
        <f t="array" aca="1" ref="BM35" ca="1">IF(TblConstr[[#This Row],[Hour]:[Hour]]&gt;12,OFFSET(TblConstr[[#This Row],[Tem]],-12,0),0)+OFFSET(TblConstr[[#This Row],[Tot Tem]],-1,0)-TblConstr[[#This Row],[Dest Tem]]</f>
        <v>50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50</v>
      </c>
      <c r="BP35" s="191" cm="1">
        <f t="array" aca="1" ref="BP35" ca="1">IF(TblConstr[[#This Row],[Hour]:[Hour]]&gt;12,OFFSET(TblConstr[[#This Row],[Sch]],-12,0),0)+OFFSET(TblConstr[[#This Row],[Tot Sch]],-1,0)-TblConstr[[#This Row],[Dest Sch]]</f>
        <v>50</v>
      </c>
      <c r="BQ35" s="192" cm="1">
        <f t="array" aca="1" ref="BQ35" ca="1">IF(TblConstr[[#This Row],[Hour]:[Hour]]&gt;12,OFFSET(TblConstr[[#This Row],[Doc]],-12,0),0)+OFFSET(TblConstr[[#This Row],[Tot Doc]],-1,0)-TblConstr[[#This Row],[Dest Doc]]</f>
        <v>0</v>
      </c>
      <c r="BR35" s="142"/>
      <c r="BS35" s="154"/>
      <c r="BT35" s="94">
        <f ca="1">TblConstr[[#This Row],[Land]]</f>
        <v>370</v>
      </c>
      <c r="BU35" s="159">
        <f ca="1">TblImps[[#This Row],[Time]]</f>
        <v>45816.291666666591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100</v>
      </c>
      <c r="DA35" s="94">
        <f t="shared" ca="1" si="4"/>
        <v>20</v>
      </c>
      <c r="DB35" s="45">
        <f t="shared" ca="1" si="5"/>
        <v>0</v>
      </c>
      <c r="DC35" s="94">
        <f t="shared" ca="1" si="6"/>
        <v>0</v>
      </c>
      <c r="DD35" s="94">
        <f t="shared" ca="1" si="7"/>
        <v>100</v>
      </c>
      <c r="DE35" s="45">
        <f t="shared" ca="1" si="8"/>
        <v>50</v>
      </c>
      <c r="DF35" s="94">
        <f t="shared" ca="1" si="9"/>
        <v>0</v>
      </c>
      <c r="DG35" s="94" cm="1">
        <f t="array" aca="1" ref="DG35" ca="1">INDEX(TblConstr[[Total Plain]:[Total Water]],ROW()-ROW(TblConstr[#Headers]),MATCH("Total "&amp;home_land,TblConstr[[#Headers],[Total Plain]:[Total Water]],0))+TblConstr[[#This Row],[Homes]]</f>
        <v>150</v>
      </c>
      <c r="DH35" s="45">
        <f t="shared" ca="1" si="10"/>
        <v>50</v>
      </c>
      <c r="DI35" s="45">
        <f t="shared" ca="1" si="0"/>
        <v>0</v>
      </c>
      <c r="DJ35" s="45">
        <f t="shared" ca="1" si="1"/>
        <v>0</v>
      </c>
    </row>
    <row r="36" spans="1:114" x14ac:dyDescent="0.2">
      <c r="A36" s="175">
        <f>TblRezone[[#This Row],[Hour]]</f>
        <v>33</v>
      </c>
      <c r="B36" s="176">
        <f ca="1">SUM(TblConstr[[#This Row],[Plain]:[Water]])</f>
        <v>20</v>
      </c>
      <c r="C36" s="177">
        <f ca="1">SUM(TblConstr[[#This Row],[Tot Hom]:[Tot Doc]])</f>
        <v>350</v>
      </c>
      <c r="D36" s="177">
        <f t="shared" si="2"/>
        <v>0</v>
      </c>
      <c r="E36" s="178"/>
      <c r="F36" s="61">
        <f ca="1">TblConstr[[#This Row],[Barren]]+TblConstr[[#This Row],[Buildings]]+TblConstr[[#This Row],[Incoming]]</f>
        <v>370</v>
      </c>
      <c r="G36" s="187">
        <f ca="1">OFFSET(TblConstr[[#This Row],[Plain]],-1,0)+TblConstr[[#This Row],[Ch_Plain]]</f>
        <v>20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45816.333333333256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633827</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36" s="94">
        <f ca="1">ROUNDDOWN( MAX(1 - MIN(facs_constr_factor*TblConstr[[#This Row],[Facs -DB]],facs_constr_max) + tech_1_11*TblTech[[#This Row],[11-1]] + tech_6_3_2*TblTech[[#This Row],[6-3]] + tech_5_2_3*TblTech[[#This Row],[5-2]], 1-global_constr_cap) * TblConstr[[#This Row],[RCPA Lumber]],0)</f>
        <v>122</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36" s="94">
        <f ca="1">ROUNDDOWN( MAX(1 - MIN(facs_constr_factor*TblConstr[[#This Row],[Facs DB]],facs_constr_max) + tech_1_11*TblTech[[#This Row],[1-11]] + tech_6_3_2*TblTech[[#This Row],[6-3]] + tech_5_2_3*TblTech[[#This Row],[5-2]], 1-global_constr_cap) * ROUND((TblConstr[[#This Row],[Land]]-250)*0.285 + 87.5 + 0/4.25,0),0)</f>
        <v>122</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1000</v>
      </c>
      <c r="AW36" s="94">
        <f ca="1">ROUND((TblConstr[[#This Row],[Land]]-250 - IF(TblExplore[[#This Row],[Land Bonus]]&lt;&gt;0,20,0))*0.285 + 87.5 + 0/4.25,0)</f>
        <v>122</v>
      </c>
      <c r="AX36" s="154"/>
      <c r="AY36" s="188" cm="1">
        <f t="array" aca="1" ref="AY36" ca="1">IF(TblConstr[[#This Row],[Hour]:[Hour]]&gt;12,OFFSET(TblConstr[[#This Row],[Hom]],-12,0),0)+OFFSET(TblConstr[[#This Row],[Tot Hom]],-1,0)-TblConstr[[#This Row],[Dest Hom]]</f>
        <v>50</v>
      </c>
      <c r="AZ36" s="189" cm="1">
        <f t="array" aca="1" ref="AZ36" ca="1">IF(TblConstr[[#This Row],[Hour]:[Hour]]&gt;12,OFFSET(TblConstr[[#This Row],[Alc]],-12,0),0)+OFFSET(TblConstr[[#This Row],[Tot Alc]],-1,0)-TblConstr[[#This Row],[Dest Alc]]</f>
        <v>50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50</v>
      </c>
      <c r="BM36" s="369" cm="1">
        <f t="array" aca="1" ref="BM36" ca="1">IF(TblConstr[[#This Row],[Hour]:[Hour]]&gt;12,OFFSET(TblConstr[[#This Row],[Tem]],-12,0),0)+OFFSET(TblConstr[[#This Row],[Tot Tem]],-1,0)-TblConstr[[#This Row],[Dest Tem]]</f>
        <v>50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50</v>
      </c>
      <c r="BP36" s="191" cm="1">
        <f t="array" aca="1" ref="BP36" ca="1">IF(TblConstr[[#This Row],[Hour]:[Hour]]&gt;12,OFFSET(TblConstr[[#This Row],[Sch]],-12,0),0)+OFFSET(TblConstr[[#This Row],[Tot Sch]],-1,0)-TblConstr[[#This Row],[Dest Sch]]</f>
        <v>50</v>
      </c>
      <c r="BQ36" s="192" cm="1">
        <f t="array" aca="1" ref="BQ36" ca="1">IF(TblConstr[[#This Row],[Hour]:[Hour]]&gt;12,OFFSET(TblConstr[[#This Row],[Doc]],-12,0),0)+OFFSET(TblConstr[[#This Row],[Tot Doc]],-1,0)-TblConstr[[#This Row],[Dest Doc]]</f>
        <v>0</v>
      </c>
      <c r="BR36" s="142"/>
      <c r="BS36" s="154"/>
      <c r="BT36" s="94">
        <f ca="1">TblConstr[[#This Row],[Land]]</f>
        <v>370</v>
      </c>
      <c r="BU36" s="159">
        <f ca="1">TblImps[[#This Row],[Time]]</f>
        <v>45816.333333333256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100</v>
      </c>
      <c r="DA36" s="94">
        <f t="shared" ca="1" si="4"/>
        <v>20</v>
      </c>
      <c r="DB36" s="45">
        <f t="shared" ca="1" si="5"/>
        <v>0</v>
      </c>
      <c r="DC36" s="94">
        <f t="shared" ca="1" si="6"/>
        <v>0</v>
      </c>
      <c r="DD36" s="94">
        <f t="shared" ca="1" si="7"/>
        <v>100</v>
      </c>
      <c r="DE36" s="45">
        <f t="shared" ca="1" si="8"/>
        <v>50</v>
      </c>
      <c r="DF36" s="94">
        <f t="shared" ca="1" si="9"/>
        <v>0</v>
      </c>
      <c r="DG36" s="94" cm="1">
        <f t="array" aca="1" ref="DG36" ca="1">INDEX(TblConstr[[Total Plain]:[Total Water]],ROW()-ROW(TblConstr[#Headers]),MATCH("Total "&amp;home_land,TblConstr[[#Headers],[Total Plain]:[Total Water]],0))+TblConstr[[#This Row],[Homes]]</f>
        <v>150</v>
      </c>
      <c r="DH36" s="45">
        <f t="shared" ca="1" si="10"/>
        <v>50</v>
      </c>
      <c r="DI36" s="45">
        <f t="shared" ca="1" si="0"/>
        <v>0</v>
      </c>
      <c r="DJ36" s="45">
        <f t="shared" ca="1" si="1"/>
        <v>0</v>
      </c>
    </row>
    <row r="37" spans="1:114" x14ac:dyDescent="0.2">
      <c r="A37" s="175">
        <f>TblRezone[[#This Row],[Hour]]</f>
        <v>34</v>
      </c>
      <c r="B37" s="176">
        <f ca="1">SUM(TblConstr[[#This Row],[Plain]:[Water]])</f>
        <v>20</v>
      </c>
      <c r="C37" s="177">
        <f ca="1">SUM(TblConstr[[#This Row],[Tot Hom]:[Tot Doc]])</f>
        <v>350</v>
      </c>
      <c r="D37" s="177">
        <f t="shared" si="2"/>
        <v>0</v>
      </c>
      <c r="E37" s="178"/>
      <c r="F37" s="61">
        <f ca="1">TblConstr[[#This Row],[Barren]]+TblConstr[[#This Row],[Buildings]]+TblConstr[[#This Row],[Incoming]]</f>
        <v>370</v>
      </c>
      <c r="G37" s="187">
        <f ca="1">OFFSET(TblConstr[[#This Row],[Plain]],-1,0)+TblConstr[[#This Row],[Ch_Plain]]</f>
        <v>20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45816.37499999992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647732</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37" s="94">
        <f ca="1">ROUNDDOWN( MAX(1 - MIN(facs_constr_factor*TblConstr[[#This Row],[Facs -DB]],facs_constr_max) + tech_1_11*TblTech[[#This Row],[11-1]] + tech_6_3_2*TblTech[[#This Row],[6-3]] + tech_5_2_3*TblTech[[#This Row],[5-2]], 1-global_constr_cap) * TblConstr[[#This Row],[RCPA Lumber]],0)</f>
        <v>122</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37" s="94">
        <f ca="1">ROUNDDOWN( MAX(1 - MIN(facs_constr_factor*TblConstr[[#This Row],[Facs DB]],facs_constr_max) + tech_1_11*TblTech[[#This Row],[1-11]] + tech_6_3_2*TblTech[[#This Row],[6-3]] + tech_5_2_3*TblTech[[#This Row],[5-2]], 1-global_constr_cap) * ROUND((TblConstr[[#This Row],[Land]]-250)*0.285 + 87.5 + 0/4.25,0),0)</f>
        <v>122</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1000</v>
      </c>
      <c r="AW37" s="94">
        <f ca="1">ROUND((TblConstr[[#This Row],[Land]]-250 - IF(TblExplore[[#This Row],[Land Bonus]]&lt;&gt;0,20,0))*0.285 + 87.5 + 0/4.25,0)</f>
        <v>122</v>
      </c>
      <c r="AX37" s="154"/>
      <c r="AY37" s="188" cm="1">
        <f t="array" aca="1" ref="AY37" ca="1">IF(TblConstr[[#This Row],[Hour]:[Hour]]&gt;12,OFFSET(TblConstr[[#This Row],[Hom]],-12,0),0)+OFFSET(TblConstr[[#This Row],[Tot Hom]],-1,0)-TblConstr[[#This Row],[Dest Hom]]</f>
        <v>50</v>
      </c>
      <c r="AZ37" s="189" cm="1">
        <f t="array" aca="1" ref="AZ37" ca="1">IF(TblConstr[[#This Row],[Hour]:[Hour]]&gt;12,OFFSET(TblConstr[[#This Row],[Alc]],-12,0),0)+OFFSET(TblConstr[[#This Row],[Tot Alc]],-1,0)-TblConstr[[#This Row],[Dest Alc]]</f>
        <v>50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50</v>
      </c>
      <c r="BM37" s="369" cm="1">
        <f t="array" aca="1" ref="BM37" ca="1">IF(TblConstr[[#This Row],[Hour]:[Hour]]&gt;12,OFFSET(TblConstr[[#This Row],[Tem]],-12,0),0)+OFFSET(TblConstr[[#This Row],[Tot Tem]],-1,0)-TblConstr[[#This Row],[Dest Tem]]</f>
        <v>50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50</v>
      </c>
      <c r="BP37" s="191" cm="1">
        <f t="array" aca="1" ref="BP37" ca="1">IF(TblConstr[[#This Row],[Hour]:[Hour]]&gt;12,OFFSET(TblConstr[[#This Row],[Sch]],-12,0),0)+OFFSET(TblConstr[[#This Row],[Tot Sch]],-1,0)-TblConstr[[#This Row],[Dest Sch]]</f>
        <v>50</v>
      </c>
      <c r="BQ37" s="192" cm="1">
        <f t="array" aca="1" ref="BQ37" ca="1">IF(TblConstr[[#This Row],[Hour]:[Hour]]&gt;12,OFFSET(TblConstr[[#This Row],[Doc]],-12,0),0)+OFFSET(TblConstr[[#This Row],[Tot Doc]],-1,0)-TblConstr[[#This Row],[Dest Doc]]</f>
        <v>0</v>
      </c>
      <c r="BR37" s="142"/>
      <c r="BS37" s="154"/>
      <c r="BT37" s="94">
        <f ca="1">TblConstr[[#This Row],[Land]]</f>
        <v>370</v>
      </c>
      <c r="BU37" s="159">
        <f ca="1">TblImps[[#This Row],[Time]]</f>
        <v>45816.37499999992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100</v>
      </c>
      <c r="DA37" s="94">
        <f t="shared" ca="1" si="4"/>
        <v>20</v>
      </c>
      <c r="DB37" s="45">
        <f t="shared" ca="1" si="5"/>
        <v>0</v>
      </c>
      <c r="DC37" s="94">
        <f t="shared" ca="1" si="6"/>
        <v>0</v>
      </c>
      <c r="DD37" s="94">
        <f t="shared" ca="1" si="7"/>
        <v>100</v>
      </c>
      <c r="DE37" s="45">
        <f t="shared" ca="1" si="8"/>
        <v>50</v>
      </c>
      <c r="DF37" s="94">
        <f t="shared" ca="1" si="9"/>
        <v>0</v>
      </c>
      <c r="DG37" s="94" cm="1">
        <f t="array" aca="1" ref="DG37" ca="1">INDEX(TblConstr[[Total Plain]:[Total Water]],ROW()-ROW(TblConstr[#Headers]),MATCH("Total "&amp;home_land,TblConstr[[#Headers],[Total Plain]:[Total Water]],0))+TblConstr[[#This Row],[Homes]]</f>
        <v>150</v>
      </c>
      <c r="DH37" s="45">
        <f t="shared" ca="1" si="10"/>
        <v>50</v>
      </c>
      <c r="DI37" s="45">
        <f t="shared" ca="1" si="0"/>
        <v>0</v>
      </c>
      <c r="DJ37" s="45">
        <f t="shared" ca="1" si="1"/>
        <v>0</v>
      </c>
    </row>
    <row r="38" spans="1:114" x14ac:dyDescent="0.2">
      <c r="A38" s="175">
        <f>TblRezone[[#This Row],[Hour]]</f>
        <v>35</v>
      </c>
      <c r="B38" s="176">
        <f ca="1">SUM(TblConstr[[#This Row],[Plain]:[Water]])</f>
        <v>20</v>
      </c>
      <c r="C38" s="177">
        <f ca="1">SUM(TblConstr[[#This Row],[Tot Hom]:[Tot Doc]])</f>
        <v>350</v>
      </c>
      <c r="D38" s="177">
        <f t="shared" si="2"/>
        <v>0</v>
      </c>
      <c r="E38" s="178"/>
      <c r="F38" s="61">
        <f ca="1">TblConstr[[#This Row],[Barren]]+TblConstr[[#This Row],[Buildings]]+TblConstr[[#This Row],[Incoming]]</f>
        <v>370</v>
      </c>
      <c r="G38" s="187">
        <f ca="1">OFFSET(TblConstr[[#This Row],[Plain]],-1,0)+TblConstr[[#This Row],[Ch_Plain]]</f>
        <v>20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45816.416666666584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661521</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38" s="94">
        <f ca="1">ROUNDDOWN( MAX(1 - MIN(facs_constr_factor*TblConstr[[#This Row],[Facs -DB]],facs_constr_max) + tech_1_11*TblTech[[#This Row],[11-1]] + tech_6_3_2*TblTech[[#This Row],[6-3]] + tech_5_2_3*TblTech[[#This Row],[5-2]], 1-global_constr_cap) * TblConstr[[#This Row],[RCPA Lumber]],0)</f>
        <v>122</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38" s="94">
        <f ca="1">ROUNDDOWN( MAX(1 - MIN(facs_constr_factor*TblConstr[[#This Row],[Facs DB]],facs_constr_max) + tech_1_11*TblTech[[#This Row],[1-11]] + tech_6_3_2*TblTech[[#This Row],[6-3]] + tech_5_2_3*TblTech[[#This Row],[5-2]], 1-global_constr_cap) * ROUND((TblConstr[[#This Row],[Land]]-250)*0.285 + 87.5 + 0/4.25,0),0)</f>
        <v>122</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1000</v>
      </c>
      <c r="AW38" s="94">
        <f ca="1">ROUND((TblConstr[[#This Row],[Land]]-250 - IF(TblExplore[[#This Row],[Land Bonus]]&lt;&gt;0,20,0))*0.285 + 87.5 + 0/4.25,0)</f>
        <v>122</v>
      </c>
      <c r="AX38" s="154"/>
      <c r="AY38" s="188" cm="1">
        <f t="array" aca="1" ref="AY38" ca="1">IF(TblConstr[[#This Row],[Hour]:[Hour]]&gt;12,OFFSET(TblConstr[[#This Row],[Hom]],-12,0),0)+OFFSET(TblConstr[[#This Row],[Tot Hom]],-1,0)-TblConstr[[#This Row],[Dest Hom]]</f>
        <v>50</v>
      </c>
      <c r="AZ38" s="189" cm="1">
        <f t="array" aca="1" ref="AZ38" ca="1">IF(TblConstr[[#This Row],[Hour]:[Hour]]&gt;12,OFFSET(TblConstr[[#This Row],[Alc]],-12,0),0)+OFFSET(TblConstr[[#This Row],[Tot Alc]],-1,0)-TblConstr[[#This Row],[Dest Alc]]</f>
        <v>50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50</v>
      </c>
      <c r="BM38" s="369" cm="1">
        <f t="array" aca="1" ref="BM38" ca="1">IF(TblConstr[[#This Row],[Hour]:[Hour]]&gt;12,OFFSET(TblConstr[[#This Row],[Tem]],-12,0),0)+OFFSET(TblConstr[[#This Row],[Tot Tem]],-1,0)-TblConstr[[#This Row],[Dest Tem]]</f>
        <v>50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50</v>
      </c>
      <c r="BP38" s="191" cm="1">
        <f t="array" aca="1" ref="BP38" ca="1">IF(TblConstr[[#This Row],[Hour]:[Hour]]&gt;12,OFFSET(TblConstr[[#This Row],[Sch]],-12,0),0)+OFFSET(TblConstr[[#This Row],[Tot Sch]],-1,0)-TblConstr[[#This Row],[Dest Sch]]</f>
        <v>50</v>
      </c>
      <c r="BQ38" s="192" cm="1">
        <f t="array" aca="1" ref="BQ38" ca="1">IF(TblConstr[[#This Row],[Hour]:[Hour]]&gt;12,OFFSET(TblConstr[[#This Row],[Doc]],-12,0),0)+OFFSET(TblConstr[[#This Row],[Tot Doc]],-1,0)-TblConstr[[#This Row],[Dest Doc]]</f>
        <v>0</v>
      </c>
      <c r="BR38" s="142"/>
      <c r="BS38" s="154"/>
      <c r="BT38" s="94">
        <f ca="1">TblConstr[[#This Row],[Land]]</f>
        <v>370</v>
      </c>
      <c r="BU38" s="159">
        <f ca="1">TblImps[[#This Row],[Time]]</f>
        <v>45816.416666666584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100</v>
      </c>
      <c r="DA38" s="94">
        <f t="shared" ca="1" si="4"/>
        <v>20</v>
      </c>
      <c r="DB38" s="45">
        <f t="shared" ca="1" si="5"/>
        <v>0</v>
      </c>
      <c r="DC38" s="94">
        <f t="shared" ca="1" si="6"/>
        <v>0</v>
      </c>
      <c r="DD38" s="94">
        <f t="shared" ca="1" si="7"/>
        <v>100</v>
      </c>
      <c r="DE38" s="45">
        <f t="shared" ca="1" si="8"/>
        <v>50</v>
      </c>
      <c r="DF38" s="94">
        <f t="shared" ca="1" si="9"/>
        <v>0</v>
      </c>
      <c r="DG38" s="94" cm="1">
        <f t="array" aca="1" ref="DG38" ca="1">INDEX(TblConstr[[Total Plain]:[Total Water]],ROW()-ROW(TblConstr[#Headers]),MATCH("Total "&amp;home_land,TblConstr[[#Headers],[Total Plain]:[Total Water]],0))+TblConstr[[#This Row],[Homes]]</f>
        <v>150</v>
      </c>
      <c r="DH38" s="45">
        <f t="shared" ca="1" si="10"/>
        <v>50</v>
      </c>
      <c r="DI38" s="45">
        <f t="shared" ca="1" si="0"/>
        <v>0</v>
      </c>
      <c r="DJ38" s="45">
        <f t="shared" ca="1" si="1"/>
        <v>0</v>
      </c>
    </row>
    <row r="39" spans="1:114" x14ac:dyDescent="0.2">
      <c r="A39" s="175">
        <f>TblRezone[[#This Row],[Hour]]</f>
        <v>36</v>
      </c>
      <c r="B39" s="176">
        <f ca="1">SUM(TblConstr[[#This Row],[Plain]:[Water]])</f>
        <v>20</v>
      </c>
      <c r="C39" s="177">
        <f ca="1">SUM(TblConstr[[#This Row],[Tot Hom]:[Tot Doc]])</f>
        <v>350</v>
      </c>
      <c r="D39" s="177">
        <f t="shared" si="2"/>
        <v>0</v>
      </c>
      <c r="E39" s="178"/>
      <c r="F39" s="61">
        <f ca="1">TblConstr[[#This Row],[Barren]]+TblConstr[[#This Row],[Buildings]]+TblConstr[[#This Row],[Incoming]]</f>
        <v>370</v>
      </c>
      <c r="G39" s="187">
        <f ca="1">OFFSET(TblConstr[[#This Row],[Plain]],-1,0)+TblConstr[[#This Row],[Ch_Plain]]</f>
        <v>20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45816.458333333248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675194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39" s="94">
        <f ca="1">ROUNDDOWN( MAX(1 - MIN(facs_constr_factor*TblConstr[[#This Row],[Facs -DB]],facs_constr_max) + tech_1_11*TblTech[[#This Row],[11-1]] + tech_6_3_2*TblTech[[#This Row],[6-3]] + tech_5_2_3*TblTech[[#This Row],[5-2]], 1-global_constr_cap) * TblConstr[[#This Row],[RCPA Lumber]],0)</f>
        <v>122</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39" s="94">
        <f ca="1">ROUNDDOWN( MAX(1 - MIN(facs_constr_factor*TblConstr[[#This Row],[Facs DB]],facs_constr_max) + tech_1_11*TblTech[[#This Row],[1-11]] + tech_6_3_2*TblTech[[#This Row],[6-3]] + tech_5_2_3*TblTech[[#This Row],[5-2]], 1-global_constr_cap) * ROUND((TblConstr[[#This Row],[Land]]-250)*0.285 + 87.5 + 0/4.25,0),0)</f>
        <v>122</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1000</v>
      </c>
      <c r="AW39" s="94">
        <f ca="1">ROUND((TblConstr[[#This Row],[Land]]-250 - IF(TblExplore[[#This Row],[Land Bonus]]&lt;&gt;0,20,0))*0.285 + 87.5 + 0/4.25,0)</f>
        <v>122</v>
      </c>
      <c r="AX39" s="154"/>
      <c r="AY39" s="188" cm="1">
        <f t="array" aca="1" ref="AY39" ca="1">IF(TblConstr[[#This Row],[Hour]:[Hour]]&gt;12,OFFSET(TblConstr[[#This Row],[Hom]],-12,0),0)+OFFSET(TblConstr[[#This Row],[Tot Hom]],-1,0)-TblConstr[[#This Row],[Dest Hom]]</f>
        <v>50</v>
      </c>
      <c r="AZ39" s="189" cm="1">
        <f t="array" aca="1" ref="AZ39" ca="1">IF(TblConstr[[#This Row],[Hour]:[Hour]]&gt;12,OFFSET(TblConstr[[#This Row],[Alc]],-12,0),0)+OFFSET(TblConstr[[#This Row],[Tot Alc]],-1,0)-TblConstr[[#This Row],[Dest Alc]]</f>
        <v>50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50</v>
      </c>
      <c r="BM39" s="369" cm="1">
        <f t="array" aca="1" ref="BM39" ca="1">IF(TblConstr[[#This Row],[Hour]:[Hour]]&gt;12,OFFSET(TblConstr[[#This Row],[Tem]],-12,0),0)+OFFSET(TblConstr[[#This Row],[Tot Tem]],-1,0)-TblConstr[[#This Row],[Dest Tem]]</f>
        <v>50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50</v>
      </c>
      <c r="BP39" s="191" cm="1">
        <f t="array" aca="1" ref="BP39" ca="1">IF(TblConstr[[#This Row],[Hour]:[Hour]]&gt;12,OFFSET(TblConstr[[#This Row],[Sch]],-12,0),0)+OFFSET(TblConstr[[#This Row],[Tot Sch]],-1,0)-TblConstr[[#This Row],[Dest Sch]]</f>
        <v>50</v>
      </c>
      <c r="BQ39" s="192" cm="1">
        <f t="array" aca="1" ref="BQ39" ca="1">IF(TblConstr[[#This Row],[Hour]:[Hour]]&gt;12,OFFSET(TblConstr[[#This Row],[Doc]],-12,0),0)+OFFSET(TblConstr[[#This Row],[Tot Doc]],-1,0)-TblConstr[[#This Row],[Dest Doc]]</f>
        <v>0</v>
      </c>
      <c r="BR39" s="142"/>
      <c r="BS39" s="154"/>
      <c r="BT39" s="94">
        <f ca="1">TblConstr[[#This Row],[Land]]</f>
        <v>370</v>
      </c>
      <c r="BU39" s="159">
        <f ca="1">TblImps[[#This Row],[Time]]</f>
        <v>45816.458333333248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100</v>
      </c>
      <c r="DA39" s="94">
        <f t="shared" ca="1" si="4"/>
        <v>20</v>
      </c>
      <c r="DB39" s="45">
        <f t="shared" ca="1" si="5"/>
        <v>0</v>
      </c>
      <c r="DC39" s="94">
        <f t="shared" ca="1" si="6"/>
        <v>0</v>
      </c>
      <c r="DD39" s="94">
        <f t="shared" ca="1" si="7"/>
        <v>100</v>
      </c>
      <c r="DE39" s="45">
        <f t="shared" ca="1" si="8"/>
        <v>50</v>
      </c>
      <c r="DF39" s="94">
        <f t="shared" ca="1" si="9"/>
        <v>0</v>
      </c>
      <c r="DG39" s="94" cm="1">
        <f t="array" aca="1" ref="DG39" ca="1">INDEX(TblConstr[[Total Plain]:[Total Water]],ROW()-ROW(TblConstr[#Headers]),MATCH("Total "&amp;home_land,TblConstr[[#Headers],[Total Plain]:[Total Water]],0))+TblConstr[[#This Row],[Homes]]</f>
        <v>150</v>
      </c>
      <c r="DH39" s="45">
        <f t="shared" ca="1" si="10"/>
        <v>50</v>
      </c>
      <c r="DI39" s="45">
        <f t="shared" ca="1" si="0"/>
        <v>0</v>
      </c>
      <c r="DJ39" s="45">
        <f t="shared" ca="1" si="1"/>
        <v>0</v>
      </c>
    </row>
    <row r="40" spans="1:114" x14ac:dyDescent="0.2">
      <c r="A40" s="175">
        <f>TblRezone[[#This Row],[Hour]]</f>
        <v>37</v>
      </c>
      <c r="B40" s="176">
        <f ca="1">SUM(TblConstr[[#This Row],[Plain]:[Water]])</f>
        <v>20</v>
      </c>
      <c r="C40" s="177">
        <f ca="1">SUM(TblConstr[[#This Row],[Tot Hom]:[Tot Doc]])</f>
        <v>350</v>
      </c>
      <c r="D40" s="177">
        <f t="shared" si="2"/>
        <v>0</v>
      </c>
      <c r="E40" s="178"/>
      <c r="F40" s="61">
        <f ca="1">TblConstr[[#This Row],[Barren]]+TblConstr[[#This Row],[Buildings]]+TblConstr[[#This Row],[Incoming]]</f>
        <v>370</v>
      </c>
      <c r="G40" s="187">
        <f ca="1">OFFSET(TblConstr[[#This Row],[Plain]],-1,0)+TblConstr[[#This Row],[Ch_Plain]]</f>
        <v>20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45816.499999999913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688754</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40" s="94">
        <f ca="1">ROUNDDOWN( MAX(1 - MIN(facs_constr_factor*TblConstr[[#This Row],[Facs -DB]],facs_constr_max) + tech_1_11*TblTech[[#This Row],[11-1]] + tech_6_3_2*TblTech[[#This Row],[6-3]] + tech_5_2_3*TblTech[[#This Row],[5-2]], 1-global_constr_cap) * TblConstr[[#This Row],[RCPA Lumber]],0)</f>
        <v>122</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40" s="94">
        <f ca="1">ROUNDDOWN( MAX(1 - MIN(facs_constr_factor*TblConstr[[#This Row],[Facs DB]],facs_constr_max) + tech_1_11*TblTech[[#This Row],[1-11]] + tech_6_3_2*TblTech[[#This Row],[6-3]] + tech_5_2_3*TblTech[[#This Row],[5-2]], 1-global_constr_cap) * ROUND((TblConstr[[#This Row],[Land]]-250)*0.285 + 87.5 + 0/4.25,0),0)</f>
        <v>122</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1000</v>
      </c>
      <c r="AW40" s="94">
        <f ca="1">ROUND((TblConstr[[#This Row],[Land]]-250 - IF(TblExplore[[#This Row],[Land Bonus]]&lt;&gt;0,20,0))*0.285 + 87.5 + 0/4.25,0)</f>
        <v>122</v>
      </c>
      <c r="AX40" s="154"/>
      <c r="AY40" s="188" cm="1">
        <f t="array" aca="1" ref="AY40" ca="1">IF(TblConstr[[#This Row],[Hour]:[Hour]]&gt;12,OFFSET(TblConstr[[#This Row],[Hom]],-12,0),0)+OFFSET(TblConstr[[#This Row],[Tot Hom]],-1,0)-TblConstr[[#This Row],[Dest Hom]]</f>
        <v>50</v>
      </c>
      <c r="AZ40" s="189" cm="1">
        <f t="array" aca="1" ref="AZ40" ca="1">IF(TblConstr[[#This Row],[Hour]:[Hour]]&gt;12,OFFSET(TblConstr[[#This Row],[Alc]],-12,0),0)+OFFSET(TblConstr[[#This Row],[Tot Alc]],-1,0)-TblConstr[[#This Row],[Dest Alc]]</f>
        <v>50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50</v>
      </c>
      <c r="BM40" s="369" cm="1">
        <f t="array" aca="1" ref="BM40" ca="1">IF(TblConstr[[#This Row],[Hour]:[Hour]]&gt;12,OFFSET(TblConstr[[#This Row],[Tem]],-12,0),0)+OFFSET(TblConstr[[#This Row],[Tot Tem]],-1,0)-TblConstr[[#This Row],[Dest Tem]]</f>
        <v>50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50</v>
      </c>
      <c r="BP40" s="191" cm="1">
        <f t="array" aca="1" ref="BP40" ca="1">IF(TblConstr[[#This Row],[Hour]:[Hour]]&gt;12,OFFSET(TblConstr[[#This Row],[Sch]],-12,0),0)+OFFSET(TblConstr[[#This Row],[Tot Sch]],-1,0)-TblConstr[[#This Row],[Dest Sch]]</f>
        <v>50</v>
      </c>
      <c r="BQ40" s="192" cm="1">
        <f t="array" aca="1" ref="BQ40" ca="1">IF(TblConstr[[#This Row],[Hour]:[Hour]]&gt;12,OFFSET(TblConstr[[#This Row],[Doc]],-12,0),0)+OFFSET(TblConstr[[#This Row],[Tot Doc]],-1,0)-TblConstr[[#This Row],[Dest Doc]]</f>
        <v>0</v>
      </c>
      <c r="BR40" s="142"/>
      <c r="BS40" s="154"/>
      <c r="BT40" s="94">
        <f ca="1">TblConstr[[#This Row],[Land]]</f>
        <v>370</v>
      </c>
      <c r="BU40" s="159">
        <f ca="1">TblImps[[#This Row],[Time]]</f>
        <v>45816.499999999913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100</v>
      </c>
      <c r="DA40" s="94">
        <f t="shared" ca="1" si="4"/>
        <v>20</v>
      </c>
      <c r="DB40" s="45">
        <f t="shared" ca="1" si="5"/>
        <v>0</v>
      </c>
      <c r="DC40" s="94">
        <f t="shared" ca="1" si="6"/>
        <v>0</v>
      </c>
      <c r="DD40" s="94">
        <f t="shared" ca="1" si="7"/>
        <v>100</v>
      </c>
      <c r="DE40" s="45">
        <f t="shared" ca="1" si="8"/>
        <v>50</v>
      </c>
      <c r="DF40" s="94">
        <f t="shared" ca="1" si="9"/>
        <v>0</v>
      </c>
      <c r="DG40" s="94" cm="1">
        <f t="array" aca="1" ref="DG40" ca="1">INDEX(TblConstr[[Total Plain]:[Total Water]],ROW()-ROW(TblConstr[#Headers]),MATCH("Total "&amp;home_land,TblConstr[[#Headers],[Total Plain]:[Total Water]],0))+TblConstr[[#This Row],[Homes]]</f>
        <v>150</v>
      </c>
      <c r="DH40" s="45">
        <f t="shared" ca="1" si="10"/>
        <v>50</v>
      </c>
      <c r="DI40" s="45">
        <f t="shared" ca="1" si="0"/>
        <v>0</v>
      </c>
      <c r="DJ40" s="45">
        <f t="shared" ca="1" si="1"/>
        <v>0</v>
      </c>
    </row>
    <row r="41" spans="1:114" x14ac:dyDescent="0.2">
      <c r="A41" s="175">
        <f>TblRezone[[#This Row],[Hour]]</f>
        <v>38</v>
      </c>
      <c r="B41" s="176">
        <f ca="1">SUM(TblConstr[[#This Row],[Plain]:[Water]])</f>
        <v>20</v>
      </c>
      <c r="C41" s="177">
        <f ca="1">SUM(TblConstr[[#This Row],[Tot Hom]:[Tot Doc]])</f>
        <v>350</v>
      </c>
      <c r="D41" s="177">
        <f t="shared" si="2"/>
        <v>0</v>
      </c>
      <c r="E41" s="178"/>
      <c r="F41" s="61">
        <f ca="1">TblConstr[[#This Row],[Barren]]+TblConstr[[#This Row],[Buildings]]+TblConstr[[#This Row],[Incoming]]</f>
        <v>370</v>
      </c>
      <c r="G41" s="187">
        <f ca="1">OFFSET(TblConstr[[#This Row],[Plain]],-1,0)+TblConstr[[#This Row],[Ch_Plain]]</f>
        <v>20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45816.541666666577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702200</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41" s="94">
        <f ca="1">ROUNDDOWN( MAX(1 - MIN(facs_constr_factor*TblConstr[[#This Row],[Facs -DB]],facs_constr_max) + tech_1_11*TblTech[[#This Row],[11-1]] + tech_6_3_2*TblTech[[#This Row],[6-3]] + tech_5_2_3*TblTech[[#This Row],[5-2]], 1-global_constr_cap) * TblConstr[[#This Row],[RCPA Lumber]],0)</f>
        <v>122</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41" s="94">
        <f ca="1">ROUNDDOWN( MAX(1 - MIN(facs_constr_factor*TblConstr[[#This Row],[Facs DB]],facs_constr_max) + tech_1_11*TblTech[[#This Row],[1-11]] + tech_6_3_2*TblTech[[#This Row],[6-3]] + tech_5_2_3*TblTech[[#This Row],[5-2]], 1-global_constr_cap) * ROUND((TblConstr[[#This Row],[Land]]-250)*0.285 + 87.5 + 0/4.25,0),0)</f>
        <v>122</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1000</v>
      </c>
      <c r="AW41" s="94">
        <f ca="1">ROUND((TblConstr[[#This Row],[Land]]-250 - IF(TblExplore[[#This Row],[Land Bonus]]&lt;&gt;0,20,0))*0.285 + 87.5 + 0/4.25,0)</f>
        <v>122</v>
      </c>
      <c r="AX41" s="154"/>
      <c r="AY41" s="188" cm="1">
        <f t="array" aca="1" ref="AY41" ca="1">IF(TblConstr[[#This Row],[Hour]:[Hour]]&gt;12,OFFSET(TblConstr[[#This Row],[Hom]],-12,0),0)+OFFSET(TblConstr[[#This Row],[Tot Hom]],-1,0)-TblConstr[[#This Row],[Dest Hom]]</f>
        <v>50</v>
      </c>
      <c r="AZ41" s="189" cm="1">
        <f t="array" aca="1" ref="AZ41" ca="1">IF(TblConstr[[#This Row],[Hour]:[Hour]]&gt;12,OFFSET(TblConstr[[#This Row],[Alc]],-12,0),0)+OFFSET(TblConstr[[#This Row],[Tot Alc]],-1,0)-TblConstr[[#This Row],[Dest Alc]]</f>
        <v>50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50</v>
      </c>
      <c r="BM41" s="369" cm="1">
        <f t="array" aca="1" ref="BM41" ca="1">IF(TblConstr[[#This Row],[Hour]:[Hour]]&gt;12,OFFSET(TblConstr[[#This Row],[Tem]],-12,0),0)+OFFSET(TblConstr[[#This Row],[Tot Tem]],-1,0)-TblConstr[[#This Row],[Dest Tem]]</f>
        <v>50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50</v>
      </c>
      <c r="BP41" s="191" cm="1">
        <f t="array" aca="1" ref="BP41" ca="1">IF(TblConstr[[#This Row],[Hour]:[Hour]]&gt;12,OFFSET(TblConstr[[#This Row],[Sch]],-12,0),0)+OFFSET(TblConstr[[#This Row],[Tot Sch]],-1,0)-TblConstr[[#This Row],[Dest Sch]]</f>
        <v>50</v>
      </c>
      <c r="BQ41" s="192" cm="1">
        <f t="array" aca="1" ref="BQ41" ca="1">IF(TblConstr[[#This Row],[Hour]:[Hour]]&gt;12,OFFSET(TblConstr[[#This Row],[Doc]],-12,0),0)+OFFSET(TblConstr[[#This Row],[Tot Doc]],-1,0)-TblConstr[[#This Row],[Dest Doc]]</f>
        <v>0</v>
      </c>
      <c r="BR41" s="142"/>
      <c r="BS41" s="154"/>
      <c r="BT41" s="94">
        <f ca="1">TblConstr[[#This Row],[Land]]</f>
        <v>370</v>
      </c>
      <c r="BU41" s="159">
        <f ca="1">TblImps[[#This Row],[Time]]</f>
        <v>45816.541666666577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100</v>
      </c>
      <c r="DA41" s="94">
        <f t="shared" ca="1" si="4"/>
        <v>20</v>
      </c>
      <c r="DB41" s="45">
        <f t="shared" ca="1" si="5"/>
        <v>0</v>
      </c>
      <c r="DC41" s="94">
        <f t="shared" ca="1" si="6"/>
        <v>0</v>
      </c>
      <c r="DD41" s="94">
        <f t="shared" ca="1" si="7"/>
        <v>100</v>
      </c>
      <c r="DE41" s="45">
        <f t="shared" ca="1" si="8"/>
        <v>50</v>
      </c>
      <c r="DF41" s="94">
        <f t="shared" ca="1" si="9"/>
        <v>0</v>
      </c>
      <c r="DG41" s="94" cm="1">
        <f t="array" aca="1" ref="DG41" ca="1">INDEX(TblConstr[[Total Plain]:[Total Water]],ROW()-ROW(TblConstr[#Headers]),MATCH("Total "&amp;home_land,TblConstr[[#Headers],[Total Plain]:[Total Water]],0))+TblConstr[[#This Row],[Homes]]</f>
        <v>150</v>
      </c>
      <c r="DH41" s="45">
        <f t="shared" ca="1" si="10"/>
        <v>50</v>
      </c>
      <c r="DI41" s="45">
        <f t="shared" ca="1" si="0"/>
        <v>0</v>
      </c>
      <c r="DJ41" s="45">
        <f t="shared" ca="1" si="1"/>
        <v>0</v>
      </c>
    </row>
    <row r="42" spans="1:114" x14ac:dyDescent="0.2">
      <c r="A42" s="175">
        <f>TblRezone[[#This Row],[Hour]]</f>
        <v>39</v>
      </c>
      <c r="B42" s="176">
        <f ca="1">SUM(TblConstr[[#This Row],[Plain]:[Water]])</f>
        <v>20</v>
      </c>
      <c r="C42" s="177">
        <f ca="1">SUM(TblConstr[[#This Row],[Tot Hom]:[Tot Doc]])</f>
        <v>350</v>
      </c>
      <c r="D42" s="177">
        <f t="shared" si="2"/>
        <v>0</v>
      </c>
      <c r="E42" s="178"/>
      <c r="F42" s="61">
        <f ca="1">TblConstr[[#This Row],[Barren]]+TblConstr[[#This Row],[Buildings]]+TblConstr[[#This Row],[Incoming]]</f>
        <v>370</v>
      </c>
      <c r="G42" s="187">
        <f ca="1">OFFSET(TblConstr[[#This Row],[Plain]],-1,0)+TblConstr[[#This Row],[Ch_Plain]]</f>
        <v>20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45816.583333333241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715536</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42" s="94">
        <f ca="1">ROUNDDOWN( MAX(1 - MIN(facs_constr_factor*TblConstr[[#This Row],[Facs -DB]],facs_constr_max) + tech_1_11*TblTech[[#This Row],[11-1]] + tech_6_3_2*TblTech[[#This Row],[6-3]] + tech_5_2_3*TblTech[[#This Row],[5-2]], 1-global_constr_cap) * TblConstr[[#This Row],[RCPA Lumber]],0)</f>
        <v>122</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42" s="94">
        <f ca="1">ROUNDDOWN( MAX(1 - MIN(facs_constr_factor*TblConstr[[#This Row],[Facs DB]],facs_constr_max) + tech_1_11*TblTech[[#This Row],[1-11]] + tech_6_3_2*TblTech[[#This Row],[6-3]] + tech_5_2_3*TblTech[[#This Row],[5-2]], 1-global_constr_cap) * ROUND((TblConstr[[#This Row],[Land]]-250)*0.285 + 87.5 + 0/4.25,0),0)</f>
        <v>122</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1000</v>
      </c>
      <c r="AW42" s="94">
        <f ca="1">ROUND((TblConstr[[#This Row],[Land]]-250 - IF(TblExplore[[#This Row],[Land Bonus]]&lt;&gt;0,20,0))*0.285 + 87.5 + 0/4.25,0)</f>
        <v>122</v>
      </c>
      <c r="AX42" s="154"/>
      <c r="AY42" s="188" cm="1">
        <f t="array" aca="1" ref="AY42" ca="1">IF(TblConstr[[#This Row],[Hour]:[Hour]]&gt;12,OFFSET(TblConstr[[#This Row],[Hom]],-12,0),0)+OFFSET(TblConstr[[#This Row],[Tot Hom]],-1,0)-TblConstr[[#This Row],[Dest Hom]]</f>
        <v>50</v>
      </c>
      <c r="AZ42" s="189" cm="1">
        <f t="array" aca="1" ref="AZ42" ca="1">IF(TblConstr[[#This Row],[Hour]:[Hour]]&gt;12,OFFSET(TblConstr[[#This Row],[Alc]],-12,0),0)+OFFSET(TblConstr[[#This Row],[Tot Alc]],-1,0)-TblConstr[[#This Row],[Dest Alc]]</f>
        <v>50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50</v>
      </c>
      <c r="BM42" s="369" cm="1">
        <f t="array" aca="1" ref="BM42" ca="1">IF(TblConstr[[#This Row],[Hour]:[Hour]]&gt;12,OFFSET(TblConstr[[#This Row],[Tem]],-12,0),0)+OFFSET(TblConstr[[#This Row],[Tot Tem]],-1,0)-TblConstr[[#This Row],[Dest Tem]]</f>
        <v>50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50</v>
      </c>
      <c r="BP42" s="191" cm="1">
        <f t="array" aca="1" ref="BP42" ca="1">IF(TblConstr[[#This Row],[Hour]:[Hour]]&gt;12,OFFSET(TblConstr[[#This Row],[Sch]],-12,0),0)+OFFSET(TblConstr[[#This Row],[Tot Sch]],-1,0)-TblConstr[[#This Row],[Dest Sch]]</f>
        <v>50</v>
      </c>
      <c r="BQ42" s="192" cm="1">
        <f t="array" aca="1" ref="BQ42" ca="1">IF(TblConstr[[#This Row],[Hour]:[Hour]]&gt;12,OFFSET(TblConstr[[#This Row],[Doc]],-12,0),0)+OFFSET(TblConstr[[#This Row],[Tot Doc]],-1,0)-TblConstr[[#This Row],[Dest Doc]]</f>
        <v>0</v>
      </c>
      <c r="BR42" s="142"/>
      <c r="BS42" s="154"/>
      <c r="BT42" s="94">
        <f ca="1">TblConstr[[#This Row],[Land]]</f>
        <v>370</v>
      </c>
      <c r="BU42" s="159">
        <f ca="1">TblImps[[#This Row],[Time]]</f>
        <v>45816.583333333241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100</v>
      </c>
      <c r="DA42" s="94">
        <f t="shared" ca="1" si="4"/>
        <v>20</v>
      </c>
      <c r="DB42" s="45">
        <f t="shared" ca="1" si="5"/>
        <v>0</v>
      </c>
      <c r="DC42" s="94">
        <f t="shared" ca="1" si="6"/>
        <v>0</v>
      </c>
      <c r="DD42" s="94">
        <f t="shared" ca="1" si="7"/>
        <v>100</v>
      </c>
      <c r="DE42" s="45">
        <f t="shared" ca="1" si="8"/>
        <v>50</v>
      </c>
      <c r="DF42" s="94">
        <f t="shared" ca="1" si="9"/>
        <v>0</v>
      </c>
      <c r="DG42" s="94" cm="1">
        <f t="array" aca="1" ref="DG42" ca="1">INDEX(TblConstr[[Total Plain]:[Total Water]],ROW()-ROW(TblConstr[#Headers]),MATCH("Total "&amp;home_land,TblConstr[[#Headers],[Total Plain]:[Total Water]],0))+TblConstr[[#This Row],[Homes]]</f>
        <v>150</v>
      </c>
      <c r="DH42" s="45">
        <f t="shared" ca="1" si="10"/>
        <v>50</v>
      </c>
      <c r="DI42" s="45">
        <f t="shared" ca="1" si="0"/>
        <v>0</v>
      </c>
      <c r="DJ42" s="45">
        <f t="shared" ca="1" si="1"/>
        <v>0</v>
      </c>
    </row>
    <row r="43" spans="1:114" x14ac:dyDescent="0.2">
      <c r="A43" s="175">
        <f>TblRezone[[#This Row],[Hour]]</f>
        <v>40</v>
      </c>
      <c r="B43" s="176">
        <f ca="1">SUM(TblConstr[[#This Row],[Plain]:[Water]])</f>
        <v>20</v>
      </c>
      <c r="C43" s="177">
        <f ca="1">SUM(TblConstr[[#This Row],[Tot Hom]:[Tot Doc]])</f>
        <v>350</v>
      </c>
      <c r="D43" s="177">
        <f t="shared" si="2"/>
        <v>0</v>
      </c>
      <c r="E43" s="178"/>
      <c r="F43" s="61">
        <f ca="1">TblConstr[[#This Row],[Barren]]+TblConstr[[#This Row],[Buildings]]+TblConstr[[#This Row],[Incoming]]</f>
        <v>370</v>
      </c>
      <c r="G43" s="187">
        <f ca="1">OFFSET(TblConstr[[#This Row],[Plain]],-1,0)+TblConstr[[#This Row],[Ch_Plain]]</f>
        <v>20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45816.624999999905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728761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43" s="94">
        <f ca="1">ROUNDDOWN( MAX(1 - MIN(facs_constr_factor*TblConstr[[#This Row],[Facs -DB]],facs_constr_max) + tech_1_11*TblTech[[#This Row],[11-1]] + tech_6_3_2*TblTech[[#This Row],[6-3]] + tech_5_2_3*TblTech[[#This Row],[5-2]], 1-global_constr_cap) * TblConstr[[#This Row],[RCPA Lumber]],0)</f>
        <v>122</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43" s="94">
        <f ca="1">ROUNDDOWN( MAX(1 - MIN(facs_constr_factor*TblConstr[[#This Row],[Facs DB]],facs_constr_max) + tech_1_11*TblTech[[#This Row],[1-11]] + tech_6_3_2*TblTech[[#This Row],[6-3]] + tech_5_2_3*TblTech[[#This Row],[5-2]], 1-global_constr_cap) * ROUND((TblConstr[[#This Row],[Land]]-250)*0.285 + 87.5 + 0/4.25,0),0)</f>
        <v>122</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1000</v>
      </c>
      <c r="AW43" s="94">
        <f ca="1">ROUND((TblConstr[[#This Row],[Land]]-250 - IF(TblExplore[[#This Row],[Land Bonus]]&lt;&gt;0,20,0))*0.285 + 87.5 + 0/4.25,0)</f>
        <v>122</v>
      </c>
      <c r="AX43" s="154"/>
      <c r="AY43" s="188" cm="1">
        <f t="array" aca="1" ref="AY43" ca="1">IF(TblConstr[[#This Row],[Hour]:[Hour]]&gt;12,OFFSET(TblConstr[[#This Row],[Hom]],-12,0),0)+OFFSET(TblConstr[[#This Row],[Tot Hom]],-1,0)-TblConstr[[#This Row],[Dest Hom]]</f>
        <v>50</v>
      </c>
      <c r="AZ43" s="189" cm="1">
        <f t="array" aca="1" ref="AZ43" ca="1">IF(TblConstr[[#This Row],[Hour]:[Hour]]&gt;12,OFFSET(TblConstr[[#This Row],[Alc]],-12,0),0)+OFFSET(TblConstr[[#This Row],[Tot Alc]],-1,0)-TblConstr[[#This Row],[Dest Alc]]</f>
        <v>50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50</v>
      </c>
      <c r="BM43" s="369" cm="1">
        <f t="array" aca="1" ref="BM43" ca="1">IF(TblConstr[[#This Row],[Hour]:[Hour]]&gt;12,OFFSET(TblConstr[[#This Row],[Tem]],-12,0),0)+OFFSET(TblConstr[[#This Row],[Tot Tem]],-1,0)-TblConstr[[#This Row],[Dest Tem]]</f>
        <v>50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50</v>
      </c>
      <c r="BP43" s="191" cm="1">
        <f t="array" aca="1" ref="BP43" ca="1">IF(TblConstr[[#This Row],[Hour]:[Hour]]&gt;12,OFFSET(TblConstr[[#This Row],[Sch]],-12,0),0)+OFFSET(TblConstr[[#This Row],[Tot Sch]],-1,0)-TblConstr[[#This Row],[Dest Sch]]</f>
        <v>50</v>
      </c>
      <c r="BQ43" s="192" cm="1">
        <f t="array" aca="1" ref="BQ43" ca="1">IF(TblConstr[[#This Row],[Hour]:[Hour]]&gt;12,OFFSET(TblConstr[[#This Row],[Doc]],-12,0),0)+OFFSET(TblConstr[[#This Row],[Tot Doc]],-1,0)-TblConstr[[#This Row],[Dest Doc]]</f>
        <v>0</v>
      </c>
      <c r="BR43" s="142"/>
      <c r="BS43" s="154"/>
      <c r="BT43" s="94">
        <f ca="1">TblConstr[[#This Row],[Land]]</f>
        <v>370</v>
      </c>
      <c r="BU43" s="159">
        <f ca="1">TblImps[[#This Row],[Time]]</f>
        <v>45816.624999999905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100</v>
      </c>
      <c r="DA43" s="94">
        <f t="shared" ca="1" si="4"/>
        <v>20</v>
      </c>
      <c r="DB43" s="45">
        <f t="shared" ca="1" si="5"/>
        <v>0</v>
      </c>
      <c r="DC43" s="94">
        <f t="shared" ca="1" si="6"/>
        <v>0</v>
      </c>
      <c r="DD43" s="94">
        <f t="shared" ca="1" si="7"/>
        <v>100</v>
      </c>
      <c r="DE43" s="45">
        <f t="shared" ca="1" si="8"/>
        <v>50</v>
      </c>
      <c r="DF43" s="94">
        <f t="shared" ca="1" si="9"/>
        <v>0</v>
      </c>
      <c r="DG43" s="94" cm="1">
        <f t="array" aca="1" ref="DG43" ca="1">INDEX(TblConstr[[Total Plain]:[Total Water]],ROW()-ROW(TblConstr[#Headers]),MATCH("Total "&amp;home_land,TblConstr[[#Headers],[Total Plain]:[Total Water]],0))+TblConstr[[#This Row],[Homes]]</f>
        <v>150</v>
      </c>
      <c r="DH43" s="45">
        <f t="shared" ca="1" si="10"/>
        <v>50</v>
      </c>
      <c r="DI43" s="45">
        <f t="shared" ca="1" si="0"/>
        <v>0</v>
      </c>
      <c r="DJ43" s="45">
        <f t="shared" ca="1" si="1"/>
        <v>0</v>
      </c>
    </row>
    <row r="44" spans="1:114" x14ac:dyDescent="0.2">
      <c r="A44" s="175">
        <f>TblRezone[[#This Row],[Hour]]</f>
        <v>41</v>
      </c>
      <c r="B44" s="176">
        <f ca="1">SUM(TblConstr[[#This Row],[Plain]:[Water]])</f>
        <v>20</v>
      </c>
      <c r="C44" s="177">
        <f ca="1">SUM(TblConstr[[#This Row],[Tot Hom]:[Tot Doc]])</f>
        <v>350</v>
      </c>
      <c r="D44" s="177">
        <f t="shared" si="2"/>
        <v>0</v>
      </c>
      <c r="E44" s="178"/>
      <c r="F44" s="61">
        <f ca="1">TblConstr[[#This Row],[Barren]]+TblConstr[[#This Row],[Buildings]]+TblConstr[[#This Row],[Incoming]]</f>
        <v>370</v>
      </c>
      <c r="G44" s="187">
        <f ca="1">OFFSET(TblConstr[[#This Row],[Plain]],-1,0)+TblConstr[[#This Row],[Ch_Plain]]</f>
        <v>20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45816.66666666657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741875</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44" s="94">
        <f ca="1">ROUNDDOWN( MAX(1 - MIN(facs_constr_factor*TblConstr[[#This Row],[Facs -DB]],facs_constr_max) + tech_1_11*TblTech[[#This Row],[11-1]] + tech_6_3_2*TblTech[[#This Row],[6-3]] + tech_5_2_3*TblTech[[#This Row],[5-2]], 1-global_constr_cap) * TblConstr[[#This Row],[RCPA Lumber]],0)</f>
        <v>122</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44" s="94">
        <f ca="1">ROUNDDOWN( MAX(1 - MIN(facs_constr_factor*TblConstr[[#This Row],[Facs DB]],facs_constr_max) + tech_1_11*TblTech[[#This Row],[1-11]] + tech_6_3_2*TblTech[[#This Row],[6-3]] + tech_5_2_3*TblTech[[#This Row],[5-2]], 1-global_constr_cap) * ROUND((TblConstr[[#This Row],[Land]]-250)*0.285 + 87.5 + 0/4.25,0),0)</f>
        <v>122</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1000</v>
      </c>
      <c r="AW44" s="94">
        <f ca="1">ROUND((TblConstr[[#This Row],[Land]]-250 - IF(TblExplore[[#This Row],[Land Bonus]]&lt;&gt;0,20,0))*0.285 + 87.5 + 0/4.25,0)</f>
        <v>122</v>
      </c>
      <c r="AX44" s="154"/>
      <c r="AY44" s="188" cm="1">
        <f t="array" aca="1" ref="AY44" ca="1">IF(TblConstr[[#This Row],[Hour]:[Hour]]&gt;12,OFFSET(TblConstr[[#This Row],[Hom]],-12,0),0)+OFFSET(TblConstr[[#This Row],[Tot Hom]],-1,0)-TblConstr[[#This Row],[Dest Hom]]</f>
        <v>50</v>
      </c>
      <c r="AZ44" s="189" cm="1">
        <f t="array" aca="1" ref="AZ44" ca="1">IF(TblConstr[[#This Row],[Hour]:[Hour]]&gt;12,OFFSET(TblConstr[[#This Row],[Alc]],-12,0),0)+OFFSET(TblConstr[[#This Row],[Tot Alc]],-1,0)-TblConstr[[#This Row],[Dest Alc]]</f>
        <v>50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50</v>
      </c>
      <c r="BM44" s="369" cm="1">
        <f t="array" aca="1" ref="BM44" ca="1">IF(TblConstr[[#This Row],[Hour]:[Hour]]&gt;12,OFFSET(TblConstr[[#This Row],[Tem]],-12,0),0)+OFFSET(TblConstr[[#This Row],[Tot Tem]],-1,0)-TblConstr[[#This Row],[Dest Tem]]</f>
        <v>50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50</v>
      </c>
      <c r="BP44" s="191" cm="1">
        <f t="array" aca="1" ref="BP44" ca="1">IF(TblConstr[[#This Row],[Hour]:[Hour]]&gt;12,OFFSET(TblConstr[[#This Row],[Sch]],-12,0),0)+OFFSET(TblConstr[[#This Row],[Tot Sch]],-1,0)-TblConstr[[#This Row],[Dest Sch]]</f>
        <v>50</v>
      </c>
      <c r="BQ44" s="192" cm="1">
        <f t="array" aca="1" ref="BQ44" ca="1">IF(TblConstr[[#This Row],[Hour]:[Hour]]&gt;12,OFFSET(TblConstr[[#This Row],[Doc]],-12,0),0)+OFFSET(TblConstr[[#This Row],[Tot Doc]],-1,0)-TblConstr[[#This Row],[Dest Doc]]</f>
        <v>0</v>
      </c>
      <c r="BR44" s="142"/>
      <c r="BS44" s="154"/>
      <c r="BT44" s="94">
        <f ca="1">TblConstr[[#This Row],[Land]]</f>
        <v>370</v>
      </c>
      <c r="BU44" s="159">
        <f ca="1">TblImps[[#This Row],[Time]]</f>
        <v>45816.66666666657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100</v>
      </c>
      <c r="DA44" s="94">
        <f t="shared" ca="1" si="4"/>
        <v>20</v>
      </c>
      <c r="DB44" s="45">
        <f t="shared" ca="1" si="5"/>
        <v>0</v>
      </c>
      <c r="DC44" s="94">
        <f t="shared" ca="1" si="6"/>
        <v>0</v>
      </c>
      <c r="DD44" s="94">
        <f t="shared" ca="1" si="7"/>
        <v>100</v>
      </c>
      <c r="DE44" s="45">
        <f t="shared" ca="1" si="8"/>
        <v>50</v>
      </c>
      <c r="DF44" s="94">
        <f t="shared" ca="1" si="9"/>
        <v>0</v>
      </c>
      <c r="DG44" s="94" cm="1">
        <f t="array" aca="1" ref="DG44" ca="1">INDEX(TblConstr[[Total Plain]:[Total Water]],ROW()-ROW(TblConstr[#Headers]),MATCH("Total "&amp;home_land,TblConstr[[#Headers],[Total Plain]:[Total Water]],0))+TblConstr[[#This Row],[Homes]]</f>
        <v>150</v>
      </c>
      <c r="DH44" s="45">
        <f t="shared" ca="1" si="10"/>
        <v>50</v>
      </c>
      <c r="DI44" s="45">
        <f t="shared" ca="1" si="0"/>
        <v>0</v>
      </c>
      <c r="DJ44" s="45">
        <f t="shared" ca="1" si="1"/>
        <v>0</v>
      </c>
    </row>
    <row r="45" spans="1:114" x14ac:dyDescent="0.2">
      <c r="A45" s="175">
        <f>TblRezone[[#This Row],[Hour]]</f>
        <v>42</v>
      </c>
      <c r="B45" s="176">
        <f ca="1">SUM(TblConstr[[#This Row],[Plain]:[Water]])</f>
        <v>20</v>
      </c>
      <c r="C45" s="177">
        <f ca="1">SUM(TblConstr[[#This Row],[Tot Hom]:[Tot Doc]])</f>
        <v>350</v>
      </c>
      <c r="D45" s="177">
        <f t="shared" si="2"/>
        <v>0</v>
      </c>
      <c r="E45" s="178"/>
      <c r="F45" s="61">
        <f ca="1">TblConstr[[#This Row],[Barren]]+TblConstr[[#This Row],[Buildings]]+TblConstr[[#This Row],[Incoming]]</f>
        <v>370</v>
      </c>
      <c r="G45" s="187">
        <f ca="1">OFFSET(TblConstr[[#This Row],[Plain]],-1,0)+TblConstr[[#This Row],[Ch_Plain]]</f>
        <v>20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45816.708333333234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754881</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45" s="94">
        <f ca="1">ROUNDDOWN( MAX(1 - MIN(facs_constr_factor*TblConstr[[#This Row],[Facs -DB]],facs_constr_max) + tech_1_11*TblTech[[#This Row],[11-1]] + tech_6_3_2*TblTech[[#This Row],[6-3]] + tech_5_2_3*TblTech[[#This Row],[5-2]], 1-global_constr_cap) * TblConstr[[#This Row],[RCPA Lumber]],0)</f>
        <v>122</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45" s="94">
        <f ca="1">ROUNDDOWN( MAX(1 - MIN(facs_constr_factor*TblConstr[[#This Row],[Facs DB]],facs_constr_max) + tech_1_11*TblTech[[#This Row],[1-11]] + tech_6_3_2*TblTech[[#This Row],[6-3]] + tech_5_2_3*TblTech[[#This Row],[5-2]], 1-global_constr_cap) * ROUND((TblConstr[[#This Row],[Land]]-250)*0.285 + 87.5 + 0/4.25,0),0)</f>
        <v>122</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1000</v>
      </c>
      <c r="AW45" s="94">
        <f ca="1">ROUND((TblConstr[[#This Row],[Land]]-250 - IF(TblExplore[[#This Row],[Land Bonus]]&lt;&gt;0,20,0))*0.285 + 87.5 + 0/4.25,0)</f>
        <v>122</v>
      </c>
      <c r="AX45" s="154"/>
      <c r="AY45" s="188" cm="1">
        <f t="array" aca="1" ref="AY45" ca="1">IF(TblConstr[[#This Row],[Hour]:[Hour]]&gt;12,OFFSET(TblConstr[[#This Row],[Hom]],-12,0),0)+OFFSET(TblConstr[[#This Row],[Tot Hom]],-1,0)-TblConstr[[#This Row],[Dest Hom]]</f>
        <v>50</v>
      </c>
      <c r="AZ45" s="189" cm="1">
        <f t="array" aca="1" ref="AZ45" ca="1">IF(TblConstr[[#This Row],[Hour]:[Hour]]&gt;12,OFFSET(TblConstr[[#This Row],[Alc]],-12,0),0)+OFFSET(TblConstr[[#This Row],[Tot Alc]],-1,0)-TblConstr[[#This Row],[Dest Alc]]</f>
        <v>50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50</v>
      </c>
      <c r="BM45" s="369" cm="1">
        <f t="array" aca="1" ref="BM45" ca="1">IF(TblConstr[[#This Row],[Hour]:[Hour]]&gt;12,OFFSET(TblConstr[[#This Row],[Tem]],-12,0),0)+OFFSET(TblConstr[[#This Row],[Tot Tem]],-1,0)-TblConstr[[#This Row],[Dest Tem]]</f>
        <v>50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50</v>
      </c>
      <c r="BP45" s="191" cm="1">
        <f t="array" aca="1" ref="BP45" ca="1">IF(TblConstr[[#This Row],[Hour]:[Hour]]&gt;12,OFFSET(TblConstr[[#This Row],[Sch]],-12,0),0)+OFFSET(TblConstr[[#This Row],[Tot Sch]],-1,0)-TblConstr[[#This Row],[Dest Sch]]</f>
        <v>50</v>
      </c>
      <c r="BQ45" s="192" cm="1">
        <f t="array" aca="1" ref="BQ45" ca="1">IF(TblConstr[[#This Row],[Hour]:[Hour]]&gt;12,OFFSET(TblConstr[[#This Row],[Doc]],-12,0),0)+OFFSET(TblConstr[[#This Row],[Tot Doc]],-1,0)-TblConstr[[#This Row],[Dest Doc]]</f>
        <v>0</v>
      </c>
      <c r="BR45" s="142"/>
      <c r="BS45" s="154"/>
      <c r="BT45" s="94">
        <f ca="1">TblConstr[[#This Row],[Land]]</f>
        <v>370</v>
      </c>
      <c r="BU45" s="159">
        <f ca="1">TblImps[[#This Row],[Time]]</f>
        <v>45816.708333333234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100</v>
      </c>
      <c r="DA45" s="94">
        <f t="shared" ca="1" si="4"/>
        <v>20</v>
      </c>
      <c r="DB45" s="45">
        <f t="shared" ca="1" si="5"/>
        <v>0</v>
      </c>
      <c r="DC45" s="94">
        <f t="shared" ca="1" si="6"/>
        <v>0</v>
      </c>
      <c r="DD45" s="94">
        <f t="shared" ca="1" si="7"/>
        <v>100</v>
      </c>
      <c r="DE45" s="45">
        <f t="shared" ca="1" si="8"/>
        <v>50</v>
      </c>
      <c r="DF45" s="94">
        <f t="shared" ca="1" si="9"/>
        <v>0</v>
      </c>
      <c r="DG45" s="94" cm="1">
        <f t="array" aca="1" ref="DG45" ca="1">INDEX(TblConstr[[Total Plain]:[Total Water]],ROW()-ROW(TblConstr[#Headers]),MATCH("Total "&amp;home_land,TblConstr[[#Headers],[Total Plain]:[Total Water]],0))+TblConstr[[#This Row],[Homes]]</f>
        <v>150</v>
      </c>
      <c r="DH45" s="45">
        <f t="shared" ca="1" si="10"/>
        <v>50</v>
      </c>
      <c r="DI45" s="45">
        <f t="shared" ca="1" si="0"/>
        <v>0</v>
      </c>
      <c r="DJ45" s="45">
        <f t="shared" ca="1" si="1"/>
        <v>0</v>
      </c>
    </row>
    <row r="46" spans="1:114" x14ac:dyDescent="0.2">
      <c r="A46" s="175">
        <f>TblRezone[[#This Row],[Hour]]</f>
        <v>43</v>
      </c>
      <c r="B46" s="176">
        <f ca="1">SUM(TblConstr[[#This Row],[Plain]:[Water]])</f>
        <v>20</v>
      </c>
      <c r="C46" s="177">
        <f ca="1">SUM(TblConstr[[#This Row],[Tot Hom]:[Tot Doc]])</f>
        <v>350</v>
      </c>
      <c r="D46" s="177">
        <f t="shared" si="2"/>
        <v>0</v>
      </c>
      <c r="E46" s="178"/>
      <c r="F46" s="61">
        <f ca="1">TblConstr[[#This Row],[Barren]]+TblConstr[[#This Row],[Buildings]]+TblConstr[[#This Row],[Incoming]]</f>
        <v>370</v>
      </c>
      <c r="G46" s="187">
        <f ca="1">OFFSET(TblConstr[[#This Row],[Plain]],-1,0)+TblConstr[[#This Row],[Ch_Plain]]</f>
        <v>20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45816.749999999898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767779</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46" s="94">
        <f ca="1">ROUNDDOWN( MAX(1 - MIN(facs_constr_factor*TblConstr[[#This Row],[Facs -DB]],facs_constr_max) + tech_1_11*TblTech[[#This Row],[11-1]] + tech_6_3_2*TblTech[[#This Row],[6-3]] + tech_5_2_3*TblTech[[#This Row],[5-2]], 1-global_constr_cap) * TblConstr[[#This Row],[RCPA Lumber]],0)</f>
        <v>122</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46" s="94">
        <f ca="1">ROUNDDOWN( MAX(1 - MIN(facs_constr_factor*TblConstr[[#This Row],[Facs DB]],facs_constr_max) + tech_1_11*TblTech[[#This Row],[1-11]] + tech_6_3_2*TblTech[[#This Row],[6-3]] + tech_5_2_3*TblTech[[#This Row],[5-2]], 1-global_constr_cap) * ROUND((TblConstr[[#This Row],[Land]]-250)*0.285 + 87.5 + 0/4.25,0),0)</f>
        <v>122</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1000</v>
      </c>
      <c r="AW46" s="94">
        <f ca="1">ROUND((TblConstr[[#This Row],[Land]]-250 - IF(TblExplore[[#This Row],[Land Bonus]]&lt;&gt;0,20,0))*0.285 + 87.5 + 0/4.25,0)</f>
        <v>122</v>
      </c>
      <c r="AX46" s="154"/>
      <c r="AY46" s="188" cm="1">
        <f t="array" aca="1" ref="AY46" ca="1">IF(TblConstr[[#This Row],[Hour]:[Hour]]&gt;12,OFFSET(TblConstr[[#This Row],[Hom]],-12,0),0)+OFFSET(TblConstr[[#This Row],[Tot Hom]],-1,0)-TblConstr[[#This Row],[Dest Hom]]</f>
        <v>50</v>
      </c>
      <c r="AZ46" s="189" cm="1">
        <f t="array" aca="1" ref="AZ46" ca="1">IF(TblConstr[[#This Row],[Hour]:[Hour]]&gt;12,OFFSET(TblConstr[[#This Row],[Alc]],-12,0),0)+OFFSET(TblConstr[[#This Row],[Tot Alc]],-1,0)-TblConstr[[#This Row],[Dest Alc]]</f>
        <v>50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50</v>
      </c>
      <c r="BM46" s="369" cm="1">
        <f t="array" aca="1" ref="BM46" ca="1">IF(TblConstr[[#This Row],[Hour]:[Hour]]&gt;12,OFFSET(TblConstr[[#This Row],[Tem]],-12,0),0)+OFFSET(TblConstr[[#This Row],[Tot Tem]],-1,0)-TblConstr[[#This Row],[Dest Tem]]</f>
        <v>50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50</v>
      </c>
      <c r="BP46" s="191" cm="1">
        <f t="array" aca="1" ref="BP46" ca="1">IF(TblConstr[[#This Row],[Hour]:[Hour]]&gt;12,OFFSET(TblConstr[[#This Row],[Sch]],-12,0),0)+OFFSET(TblConstr[[#This Row],[Tot Sch]],-1,0)-TblConstr[[#This Row],[Dest Sch]]</f>
        <v>50</v>
      </c>
      <c r="BQ46" s="192" cm="1">
        <f t="array" aca="1" ref="BQ46" ca="1">IF(TblConstr[[#This Row],[Hour]:[Hour]]&gt;12,OFFSET(TblConstr[[#This Row],[Doc]],-12,0),0)+OFFSET(TblConstr[[#This Row],[Tot Doc]],-1,0)-TblConstr[[#This Row],[Dest Doc]]</f>
        <v>0</v>
      </c>
      <c r="BR46" s="142"/>
      <c r="BS46" s="154"/>
      <c r="BT46" s="94">
        <f ca="1">TblConstr[[#This Row],[Land]]</f>
        <v>370</v>
      </c>
      <c r="BU46" s="159">
        <f ca="1">TblImps[[#This Row],[Time]]</f>
        <v>45816.749999999898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100</v>
      </c>
      <c r="DA46" s="94">
        <f t="shared" ca="1" si="4"/>
        <v>20</v>
      </c>
      <c r="DB46" s="45">
        <f t="shared" ca="1" si="5"/>
        <v>0</v>
      </c>
      <c r="DC46" s="94">
        <f t="shared" ca="1" si="6"/>
        <v>0</v>
      </c>
      <c r="DD46" s="94">
        <f t="shared" ca="1" si="7"/>
        <v>100</v>
      </c>
      <c r="DE46" s="45">
        <f t="shared" ca="1" si="8"/>
        <v>50</v>
      </c>
      <c r="DF46" s="94">
        <f t="shared" ca="1" si="9"/>
        <v>0</v>
      </c>
      <c r="DG46" s="94" cm="1">
        <f t="array" aca="1" ref="DG46" ca="1">INDEX(TblConstr[[Total Plain]:[Total Water]],ROW()-ROW(TblConstr[#Headers]),MATCH("Total "&amp;home_land,TblConstr[[#Headers],[Total Plain]:[Total Water]],0))+TblConstr[[#This Row],[Homes]]</f>
        <v>150</v>
      </c>
      <c r="DH46" s="45">
        <f t="shared" ca="1" si="10"/>
        <v>50</v>
      </c>
      <c r="DI46" s="45">
        <f t="shared" ca="1" si="0"/>
        <v>0</v>
      </c>
      <c r="DJ46" s="45">
        <f t="shared" ca="1" si="1"/>
        <v>0</v>
      </c>
    </row>
    <row r="47" spans="1:114" x14ac:dyDescent="0.2">
      <c r="A47" s="175">
        <f>TblRezone[[#This Row],[Hour]]</f>
        <v>44</v>
      </c>
      <c r="B47" s="176">
        <f ca="1">SUM(TblConstr[[#This Row],[Plain]:[Water]])</f>
        <v>20</v>
      </c>
      <c r="C47" s="177">
        <f ca="1">SUM(TblConstr[[#This Row],[Tot Hom]:[Tot Doc]])</f>
        <v>350</v>
      </c>
      <c r="D47" s="177">
        <f t="shared" ref="D47:D75" si="11">SUM(O36:AG47)</f>
        <v>0</v>
      </c>
      <c r="E47" s="178"/>
      <c r="F47" s="61">
        <f ca="1">TblConstr[[#This Row],[Barren]]+TblConstr[[#This Row],[Buildings]]+TblConstr[[#This Row],[Incoming]]</f>
        <v>370</v>
      </c>
      <c r="G47" s="187">
        <f ca="1">OFFSET(TblConstr[[#This Row],[Plain]],-1,0)+TblConstr[[#This Row],[Ch_Plain]]</f>
        <v>20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45816.791666666562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780572</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47" s="94">
        <f ca="1">ROUNDDOWN( MAX(1 - MIN(facs_constr_factor*TblConstr[[#This Row],[Facs -DB]],facs_constr_max) + tech_1_11*TblTech[[#This Row],[11-1]] + tech_6_3_2*TblTech[[#This Row],[6-3]] + tech_5_2_3*TblTech[[#This Row],[5-2]], 1-global_constr_cap) * TblConstr[[#This Row],[RCPA Lumber]],0)</f>
        <v>122</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47" s="94">
        <f ca="1">ROUNDDOWN( MAX(1 - MIN(facs_constr_factor*TblConstr[[#This Row],[Facs DB]],facs_constr_max) + tech_1_11*TblTech[[#This Row],[1-11]] + tech_6_3_2*TblTech[[#This Row],[6-3]] + tech_5_2_3*TblTech[[#This Row],[5-2]], 1-global_constr_cap) * ROUND((TblConstr[[#This Row],[Land]]-250)*0.285 + 87.5 + 0/4.25,0),0)</f>
        <v>122</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1000</v>
      </c>
      <c r="AW47" s="94">
        <f ca="1">ROUND((TblConstr[[#This Row],[Land]]-250 - IF(TblExplore[[#This Row],[Land Bonus]]&lt;&gt;0,20,0))*0.285 + 87.5 + 0/4.25,0)</f>
        <v>122</v>
      </c>
      <c r="AX47" s="154"/>
      <c r="AY47" s="188" cm="1">
        <f t="array" aca="1" ref="AY47" ca="1">IF(TblConstr[[#This Row],[Hour]:[Hour]]&gt;12,OFFSET(TblConstr[[#This Row],[Hom]],-12,0),0)+OFFSET(TblConstr[[#This Row],[Tot Hom]],-1,0)-TblConstr[[#This Row],[Dest Hom]]</f>
        <v>50</v>
      </c>
      <c r="AZ47" s="189" cm="1">
        <f t="array" aca="1" ref="AZ47" ca="1">IF(TblConstr[[#This Row],[Hour]:[Hour]]&gt;12,OFFSET(TblConstr[[#This Row],[Alc]],-12,0),0)+OFFSET(TblConstr[[#This Row],[Tot Alc]],-1,0)-TblConstr[[#This Row],[Dest Alc]]</f>
        <v>50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50</v>
      </c>
      <c r="BM47" s="369" cm="1">
        <f t="array" aca="1" ref="BM47" ca="1">IF(TblConstr[[#This Row],[Hour]:[Hour]]&gt;12,OFFSET(TblConstr[[#This Row],[Tem]],-12,0),0)+OFFSET(TblConstr[[#This Row],[Tot Tem]],-1,0)-TblConstr[[#This Row],[Dest Tem]]</f>
        <v>50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50</v>
      </c>
      <c r="BP47" s="191" cm="1">
        <f t="array" aca="1" ref="BP47" ca="1">IF(TblConstr[[#This Row],[Hour]:[Hour]]&gt;12,OFFSET(TblConstr[[#This Row],[Sch]],-12,0),0)+OFFSET(TblConstr[[#This Row],[Tot Sch]],-1,0)-TblConstr[[#This Row],[Dest Sch]]</f>
        <v>50</v>
      </c>
      <c r="BQ47" s="192" cm="1">
        <f t="array" aca="1" ref="BQ47" ca="1">IF(TblConstr[[#This Row],[Hour]:[Hour]]&gt;12,OFFSET(TblConstr[[#This Row],[Doc]],-12,0),0)+OFFSET(TblConstr[[#This Row],[Tot Doc]],-1,0)-TblConstr[[#This Row],[Dest Doc]]</f>
        <v>0</v>
      </c>
      <c r="BR47" s="142"/>
      <c r="BS47" s="154"/>
      <c r="BT47" s="94">
        <f ca="1">TblConstr[[#This Row],[Land]]</f>
        <v>370</v>
      </c>
      <c r="BU47" s="159">
        <f ca="1">TblImps[[#This Row],[Time]]</f>
        <v>45816.791666666562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100</v>
      </c>
      <c r="DA47" s="94">
        <f t="shared" ca="1" si="4"/>
        <v>20</v>
      </c>
      <c r="DB47" s="45">
        <f t="shared" ca="1" si="5"/>
        <v>0</v>
      </c>
      <c r="DC47" s="94">
        <f t="shared" ca="1" si="6"/>
        <v>0</v>
      </c>
      <c r="DD47" s="94">
        <f t="shared" ca="1" si="7"/>
        <v>100</v>
      </c>
      <c r="DE47" s="45">
        <f t="shared" ca="1" si="8"/>
        <v>50</v>
      </c>
      <c r="DF47" s="94">
        <f t="shared" ca="1" si="9"/>
        <v>0</v>
      </c>
      <c r="DG47" s="94" cm="1">
        <f t="array" aca="1" ref="DG47" ca="1">INDEX(TblConstr[[Total Plain]:[Total Water]],ROW()-ROW(TblConstr[#Headers]),MATCH("Total "&amp;home_land,TblConstr[[#Headers],[Total Plain]:[Total Water]],0))+TblConstr[[#This Row],[Homes]]</f>
        <v>150</v>
      </c>
      <c r="DH47" s="45">
        <f t="shared" ca="1" si="10"/>
        <v>50</v>
      </c>
      <c r="DI47" s="45">
        <f t="shared" ca="1" si="0"/>
        <v>0</v>
      </c>
      <c r="DJ47" s="45">
        <f t="shared" ca="1" si="1"/>
        <v>0</v>
      </c>
    </row>
    <row r="48" spans="1:114" x14ac:dyDescent="0.2">
      <c r="A48" s="175">
        <f>TblRezone[[#This Row],[Hour]]</f>
        <v>45</v>
      </c>
      <c r="B48" s="176">
        <f ca="1">SUM(TblConstr[[#This Row],[Plain]:[Water]])</f>
        <v>20</v>
      </c>
      <c r="C48" s="177">
        <f ca="1">SUM(TblConstr[[#This Row],[Tot Hom]:[Tot Doc]])</f>
        <v>350</v>
      </c>
      <c r="D48" s="177">
        <f t="shared" si="11"/>
        <v>0</v>
      </c>
      <c r="E48" s="178"/>
      <c r="F48" s="61">
        <f ca="1">TblConstr[[#This Row],[Barren]]+TblConstr[[#This Row],[Buildings]]+TblConstr[[#This Row],[Incoming]]</f>
        <v>370</v>
      </c>
      <c r="G48" s="187">
        <f ca="1">OFFSET(TblConstr[[#This Row],[Plain]],-1,0)+TblConstr[[#This Row],[Ch_Plain]]</f>
        <v>20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45816.833333333227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793260</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48" s="94">
        <f ca="1">ROUNDDOWN( MAX(1 - MIN(facs_constr_factor*TblConstr[[#This Row],[Facs -DB]],facs_constr_max) + tech_1_11*TblTech[[#This Row],[11-1]] + tech_6_3_2*TblTech[[#This Row],[6-3]] + tech_5_2_3*TblTech[[#This Row],[5-2]], 1-global_constr_cap) * TblConstr[[#This Row],[RCPA Lumber]],0)</f>
        <v>122</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48" s="94">
        <f ca="1">ROUNDDOWN( MAX(1 - MIN(facs_constr_factor*TblConstr[[#This Row],[Facs DB]],facs_constr_max) + tech_1_11*TblTech[[#This Row],[1-11]] + tech_6_3_2*TblTech[[#This Row],[6-3]] + tech_5_2_3*TblTech[[#This Row],[5-2]], 1-global_constr_cap) * ROUND((TblConstr[[#This Row],[Land]]-250)*0.285 + 87.5 + 0/4.25,0),0)</f>
        <v>122</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1000</v>
      </c>
      <c r="AW48" s="94">
        <f ca="1">ROUND((TblConstr[[#This Row],[Land]]-250 - IF(TblExplore[[#This Row],[Land Bonus]]&lt;&gt;0,20,0))*0.285 + 87.5 + 0/4.25,0)</f>
        <v>122</v>
      </c>
      <c r="AX48" s="154"/>
      <c r="AY48" s="188" cm="1">
        <f t="array" aca="1" ref="AY48" ca="1">IF(TblConstr[[#This Row],[Hour]:[Hour]]&gt;12,OFFSET(TblConstr[[#This Row],[Hom]],-12,0),0)+OFFSET(TblConstr[[#This Row],[Tot Hom]],-1,0)-TblConstr[[#This Row],[Dest Hom]]</f>
        <v>50</v>
      </c>
      <c r="AZ48" s="189" cm="1">
        <f t="array" aca="1" ref="AZ48" ca="1">IF(TblConstr[[#This Row],[Hour]:[Hour]]&gt;12,OFFSET(TblConstr[[#This Row],[Alc]],-12,0),0)+OFFSET(TblConstr[[#This Row],[Tot Alc]],-1,0)-TblConstr[[#This Row],[Dest Alc]]</f>
        <v>50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50</v>
      </c>
      <c r="BM48" s="369" cm="1">
        <f t="array" aca="1" ref="BM48" ca="1">IF(TblConstr[[#This Row],[Hour]:[Hour]]&gt;12,OFFSET(TblConstr[[#This Row],[Tem]],-12,0),0)+OFFSET(TblConstr[[#This Row],[Tot Tem]],-1,0)-TblConstr[[#This Row],[Dest Tem]]</f>
        <v>50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50</v>
      </c>
      <c r="BP48" s="191" cm="1">
        <f t="array" aca="1" ref="BP48" ca="1">IF(TblConstr[[#This Row],[Hour]:[Hour]]&gt;12,OFFSET(TblConstr[[#This Row],[Sch]],-12,0),0)+OFFSET(TblConstr[[#This Row],[Tot Sch]],-1,0)-TblConstr[[#This Row],[Dest Sch]]</f>
        <v>50</v>
      </c>
      <c r="BQ48" s="192" cm="1">
        <f t="array" aca="1" ref="BQ48" ca="1">IF(TblConstr[[#This Row],[Hour]:[Hour]]&gt;12,OFFSET(TblConstr[[#This Row],[Doc]],-12,0),0)+OFFSET(TblConstr[[#This Row],[Tot Doc]],-1,0)-TblConstr[[#This Row],[Dest Doc]]</f>
        <v>0</v>
      </c>
      <c r="BR48" s="142"/>
      <c r="BS48" s="154"/>
      <c r="BT48" s="94">
        <f ca="1">TblConstr[[#This Row],[Land]]</f>
        <v>370</v>
      </c>
      <c r="BU48" s="159">
        <f ca="1">TblImps[[#This Row],[Time]]</f>
        <v>45816.833333333227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100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100</v>
      </c>
      <c r="DE48" s="45">
        <f t="shared" ref="DE48:DE79" ca="1" si="17">L48+SUM(AE37:AE48)+BO48</f>
        <v>50</v>
      </c>
      <c r="DF48" s="94">
        <f t="shared" ref="DF48:DF79" ca="1" si="18">M48+SUM(AG37:AG48)+BQ48</f>
        <v>0</v>
      </c>
      <c r="DG48" s="94" cm="1">
        <f t="array" aca="1" ref="DG48" ca="1">INDEX(TblConstr[[Total Plain]:[Total Water]],ROW()-ROW(TblConstr[#Headers]),MATCH("Total "&amp;home_land,TblConstr[[#Headers],[Total Plain]:[Total Water]],0))+TblConstr[[#This Row],[Homes]]</f>
        <v>150</v>
      </c>
      <c r="DH48" s="45">
        <f t="shared" ca="1" si="10"/>
        <v>50</v>
      </c>
      <c r="DI48" s="45">
        <f t="shared" ca="1" si="0"/>
        <v>0</v>
      </c>
      <c r="DJ48" s="45">
        <f t="shared" ca="1" si="1"/>
        <v>0</v>
      </c>
    </row>
    <row r="49" spans="1:114" x14ac:dyDescent="0.2">
      <c r="A49" s="175">
        <f>TblRezone[[#This Row],[Hour]]</f>
        <v>46</v>
      </c>
      <c r="B49" s="176">
        <f ca="1">SUM(TblConstr[[#This Row],[Plain]:[Water]])</f>
        <v>20</v>
      </c>
      <c r="C49" s="177">
        <f ca="1">SUM(TblConstr[[#This Row],[Tot Hom]:[Tot Doc]])</f>
        <v>350</v>
      </c>
      <c r="D49" s="177">
        <f t="shared" si="11"/>
        <v>0</v>
      </c>
      <c r="E49" s="178"/>
      <c r="F49" s="61">
        <f ca="1">TblConstr[[#This Row],[Barren]]+TblConstr[[#This Row],[Buildings]]+TblConstr[[#This Row],[Incoming]]</f>
        <v>370</v>
      </c>
      <c r="G49" s="187">
        <f ca="1">OFFSET(TblConstr[[#This Row],[Plain]],-1,0)+TblConstr[[#This Row],[Ch_Plain]]</f>
        <v>20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45816.874999999891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805842</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49" s="94">
        <f ca="1">ROUNDDOWN( MAX(1 - MIN(facs_constr_factor*TblConstr[[#This Row],[Facs -DB]],facs_constr_max) + tech_1_11*TblTech[[#This Row],[11-1]] + tech_6_3_2*TblTech[[#This Row],[6-3]] + tech_5_2_3*TblTech[[#This Row],[5-2]], 1-global_constr_cap) * TblConstr[[#This Row],[RCPA Lumber]],0)</f>
        <v>122</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49" s="94">
        <f ca="1">ROUNDDOWN( MAX(1 - MIN(facs_constr_factor*TblConstr[[#This Row],[Facs DB]],facs_constr_max) + tech_1_11*TblTech[[#This Row],[1-11]] + tech_6_3_2*TblTech[[#This Row],[6-3]] + tech_5_2_3*TblTech[[#This Row],[5-2]], 1-global_constr_cap) * ROUND((TblConstr[[#This Row],[Land]]-250)*0.285 + 87.5 + 0/4.25,0),0)</f>
        <v>122</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1000</v>
      </c>
      <c r="AW49" s="94">
        <f ca="1">ROUND((TblConstr[[#This Row],[Land]]-250 - IF(TblExplore[[#This Row],[Land Bonus]]&lt;&gt;0,20,0))*0.285 + 87.5 + 0/4.25,0)</f>
        <v>122</v>
      </c>
      <c r="AX49" s="154"/>
      <c r="AY49" s="188" cm="1">
        <f t="array" aca="1" ref="AY49" ca="1">IF(TblConstr[[#This Row],[Hour]:[Hour]]&gt;12,OFFSET(TblConstr[[#This Row],[Hom]],-12,0),0)+OFFSET(TblConstr[[#This Row],[Tot Hom]],-1,0)-TblConstr[[#This Row],[Dest Hom]]</f>
        <v>50</v>
      </c>
      <c r="AZ49" s="189" cm="1">
        <f t="array" aca="1" ref="AZ49" ca="1">IF(TblConstr[[#This Row],[Hour]:[Hour]]&gt;12,OFFSET(TblConstr[[#This Row],[Alc]],-12,0),0)+OFFSET(TblConstr[[#This Row],[Tot Alc]],-1,0)-TblConstr[[#This Row],[Dest Alc]]</f>
        <v>50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50</v>
      </c>
      <c r="BM49" s="369" cm="1">
        <f t="array" aca="1" ref="BM49" ca="1">IF(TblConstr[[#This Row],[Hour]:[Hour]]&gt;12,OFFSET(TblConstr[[#This Row],[Tem]],-12,0),0)+OFFSET(TblConstr[[#This Row],[Tot Tem]],-1,0)-TblConstr[[#This Row],[Dest Tem]]</f>
        <v>50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50</v>
      </c>
      <c r="BP49" s="191" cm="1">
        <f t="array" aca="1" ref="BP49" ca="1">IF(TblConstr[[#This Row],[Hour]:[Hour]]&gt;12,OFFSET(TblConstr[[#This Row],[Sch]],-12,0),0)+OFFSET(TblConstr[[#This Row],[Tot Sch]],-1,0)-TblConstr[[#This Row],[Dest Sch]]</f>
        <v>50</v>
      </c>
      <c r="BQ49" s="192" cm="1">
        <f t="array" aca="1" ref="BQ49" ca="1">IF(TblConstr[[#This Row],[Hour]:[Hour]]&gt;12,OFFSET(TblConstr[[#This Row],[Doc]],-12,0),0)+OFFSET(TblConstr[[#This Row],[Tot Doc]],-1,0)-TblConstr[[#This Row],[Dest Doc]]</f>
        <v>0</v>
      </c>
      <c r="BR49" s="142"/>
      <c r="BS49" s="154"/>
      <c r="BT49" s="94">
        <f ca="1">TblConstr[[#This Row],[Land]]</f>
        <v>370</v>
      </c>
      <c r="BU49" s="159">
        <f ca="1">TblImps[[#This Row],[Time]]</f>
        <v>45816.874999999891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100</v>
      </c>
      <c r="DA49" s="94">
        <f t="shared" ca="1" si="13"/>
        <v>20</v>
      </c>
      <c r="DB49" s="45">
        <f t="shared" ca="1" si="14"/>
        <v>0</v>
      </c>
      <c r="DC49" s="94">
        <f t="shared" ca="1" si="15"/>
        <v>0</v>
      </c>
      <c r="DD49" s="94">
        <f t="shared" ca="1" si="16"/>
        <v>100</v>
      </c>
      <c r="DE49" s="45">
        <f t="shared" ca="1" si="17"/>
        <v>50</v>
      </c>
      <c r="DF49" s="94">
        <f t="shared" ca="1" si="18"/>
        <v>0</v>
      </c>
      <c r="DG49" s="94" cm="1">
        <f t="array" aca="1" ref="DG49" ca="1">INDEX(TblConstr[[Total Plain]:[Total Water]],ROW()-ROW(TblConstr[#Headers]),MATCH("Total "&amp;home_land,TblConstr[[#Headers],[Total Plain]:[Total Water]],0))+TblConstr[[#This Row],[Homes]]</f>
        <v>150</v>
      </c>
      <c r="DH49" s="45">
        <f t="shared" ca="1" si="10"/>
        <v>50</v>
      </c>
      <c r="DI49" s="45">
        <f t="shared" ca="1" si="0"/>
        <v>0</v>
      </c>
      <c r="DJ49" s="45">
        <f t="shared" ca="1" si="1"/>
        <v>0</v>
      </c>
    </row>
    <row r="50" spans="1:114" x14ac:dyDescent="0.2">
      <c r="A50" s="175">
        <f>TblRezone[[#This Row],[Hour]]</f>
        <v>47</v>
      </c>
      <c r="B50" s="176">
        <f ca="1">SUM(TblConstr[[#This Row],[Plain]:[Water]])</f>
        <v>20</v>
      </c>
      <c r="C50" s="177">
        <f ca="1">SUM(TblConstr[[#This Row],[Tot Hom]:[Tot Doc]])</f>
        <v>350</v>
      </c>
      <c r="D50" s="177">
        <f t="shared" si="11"/>
        <v>0</v>
      </c>
      <c r="E50" s="178"/>
      <c r="F50" s="61">
        <f ca="1">TblConstr[[#This Row],[Barren]]+TblConstr[[#This Row],[Buildings]]+TblConstr[[#This Row],[Incoming]]</f>
        <v>370</v>
      </c>
      <c r="G50" s="187">
        <f ca="1">OFFSET(TblConstr[[#This Row],[Plain]],-1,0)+TblConstr[[#This Row],[Ch_Plain]]</f>
        <v>20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45816.916666666555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818322</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50" s="94">
        <f ca="1">ROUNDDOWN( MAX(1 - MIN(facs_constr_factor*TblConstr[[#This Row],[Facs -DB]],facs_constr_max) + tech_1_11*TblTech[[#This Row],[11-1]] + tech_6_3_2*TblTech[[#This Row],[6-3]] + tech_5_2_3*TblTech[[#This Row],[5-2]], 1-global_constr_cap) * TblConstr[[#This Row],[RCPA Lumber]],0)</f>
        <v>122</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50" s="94">
        <f ca="1">ROUNDDOWN( MAX(1 - MIN(facs_constr_factor*TblConstr[[#This Row],[Facs DB]],facs_constr_max) + tech_1_11*TblTech[[#This Row],[1-11]] + tech_6_3_2*TblTech[[#This Row],[6-3]] + tech_5_2_3*TblTech[[#This Row],[5-2]], 1-global_constr_cap) * ROUND((TblConstr[[#This Row],[Land]]-250)*0.285 + 87.5 + 0/4.25,0),0)</f>
        <v>122</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1000</v>
      </c>
      <c r="AW50" s="94">
        <f ca="1">ROUND((TblConstr[[#This Row],[Land]]-250 - IF(TblExplore[[#This Row],[Land Bonus]]&lt;&gt;0,20,0))*0.285 + 87.5 + 0/4.25,0)</f>
        <v>122</v>
      </c>
      <c r="AX50" s="154"/>
      <c r="AY50" s="188" cm="1">
        <f t="array" aca="1" ref="AY50" ca="1">IF(TblConstr[[#This Row],[Hour]:[Hour]]&gt;12,OFFSET(TblConstr[[#This Row],[Hom]],-12,0),0)+OFFSET(TblConstr[[#This Row],[Tot Hom]],-1,0)-TblConstr[[#This Row],[Dest Hom]]</f>
        <v>50</v>
      </c>
      <c r="AZ50" s="189" cm="1">
        <f t="array" aca="1" ref="AZ50" ca="1">IF(TblConstr[[#This Row],[Hour]:[Hour]]&gt;12,OFFSET(TblConstr[[#This Row],[Alc]],-12,0),0)+OFFSET(TblConstr[[#This Row],[Tot Alc]],-1,0)-TblConstr[[#This Row],[Dest Alc]]</f>
        <v>50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50</v>
      </c>
      <c r="BM50" s="369" cm="1">
        <f t="array" aca="1" ref="BM50" ca="1">IF(TblConstr[[#This Row],[Hour]:[Hour]]&gt;12,OFFSET(TblConstr[[#This Row],[Tem]],-12,0),0)+OFFSET(TblConstr[[#This Row],[Tot Tem]],-1,0)-TblConstr[[#This Row],[Dest Tem]]</f>
        <v>50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50</v>
      </c>
      <c r="BP50" s="191" cm="1">
        <f t="array" aca="1" ref="BP50" ca="1">IF(TblConstr[[#This Row],[Hour]:[Hour]]&gt;12,OFFSET(TblConstr[[#This Row],[Sch]],-12,0),0)+OFFSET(TblConstr[[#This Row],[Tot Sch]],-1,0)-TblConstr[[#This Row],[Dest Sch]]</f>
        <v>50</v>
      </c>
      <c r="BQ50" s="192" cm="1">
        <f t="array" aca="1" ref="BQ50" ca="1">IF(TblConstr[[#This Row],[Hour]:[Hour]]&gt;12,OFFSET(TblConstr[[#This Row],[Doc]],-12,0),0)+OFFSET(TblConstr[[#This Row],[Tot Doc]],-1,0)-TblConstr[[#This Row],[Dest Doc]]</f>
        <v>0</v>
      </c>
      <c r="BR50" s="142"/>
      <c r="BS50" s="154"/>
      <c r="BT50" s="94">
        <f ca="1">TblConstr[[#This Row],[Land]]</f>
        <v>370</v>
      </c>
      <c r="BU50" s="159">
        <f ca="1">TblImps[[#This Row],[Time]]</f>
        <v>45816.916666666555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100</v>
      </c>
      <c r="DA50" s="94">
        <f t="shared" ca="1" si="13"/>
        <v>20</v>
      </c>
      <c r="DB50" s="45">
        <f t="shared" ca="1" si="14"/>
        <v>0</v>
      </c>
      <c r="DC50" s="94">
        <f t="shared" ca="1" si="15"/>
        <v>0</v>
      </c>
      <c r="DD50" s="94">
        <f t="shared" ca="1" si="16"/>
        <v>100</v>
      </c>
      <c r="DE50" s="45">
        <f t="shared" ca="1" si="17"/>
        <v>50</v>
      </c>
      <c r="DF50" s="94">
        <f t="shared" ca="1" si="18"/>
        <v>0</v>
      </c>
      <c r="DG50" s="94" cm="1">
        <f t="array" aca="1" ref="DG50" ca="1">INDEX(TblConstr[[Total Plain]:[Total Water]],ROW()-ROW(TblConstr[#Headers]),MATCH("Total "&amp;home_land,TblConstr[[#Headers],[Total Plain]:[Total Water]],0))+TblConstr[[#This Row],[Homes]]</f>
        <v>150</v>
      </c>
      <c r="DH50" s="45">
        <f t="shared" ca="1" si="10"/>
        <v>50</v>
      </c>
      <c r="DI50" s="45">
        <f t="shared" ca="1" si="0"/>
        <v>0</v>
      </c>
      <c r="DJ50" s="45">
        <f t="shared" ca="1" si="1"/>
        <v>0</v>
      </c>
    </row>
    <row r="51" spans="1:114" x14ac:dyDescent="0.2">
      <c r="A51" s="175">
        <f>TblRezone[[#This Row],[Hour]]</f>
        <v>48</v>
      </c>
      <c r="B51" s="176">
        <f ca="1">SUM(TblConstr[[#This Row],[Plain]:[Water]])</f>
        <v>20</v>
      </c>
      <c r="C51" s="177">
        <f ca="1">SUM(TblConstr[[#This Row],[Tot Hom]:[Tot Doc]])</f>
        <v>350</v>
      </c>
      <c r="D51" s="177">
        <f t="shared" si="11"/>
        <v>0</v>
      </c>
      <c r="E51" s="178"/>
      <c r="F51" s="61">
        <f ca="1">TblConstr[[#This Row],[Barren]]+TblConstr[[#This Row],[Buildings]]+TblConstr[[#This Row],[Incoming]]</f>
        <v>370</v>
      </c>
      <c r="G51" s="187">
        <f ca="1">OFFSET(TblConstr[[#This Row],[Plain]],-1,0)+TblConstr[[#This Row],[Ch_Plain]]</f>
        <v>20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45816.958333333219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830699</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51" s="94">
        <f ca="1">ROUNDDOWN( MAX(1 - MIN(facs_constr_factor*TblConstr[[#This Row],[Facs -DB]],facs_constr_max) + tech_1_11*TblTech[[#This Row],[11-1]] + tech_6_3_2*TblTech[[#This Row],[6-3]] + tech_5_2_3*TblTech[[#This Row],[5-2]], 1-global_constr_cap) * TblConstr[[#This Row],[RCPA Lumber]],0)</f>
        <v>122</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51" s="94">
        <f ca="1">ROUNDDOWN( MAX(1 - MIN(facs_constr_factor*TblConstr[[#This Row],[Facs DB]],facs_constr_max) + tech_1_11*TblTech[[#This Row],[1-11]] + tech_6_3_2*TblTech[[#This Row],[6-3]] + tech_5_2_3*TblTech[[#This Row],[5-2]], 1-global_constr_cap) * ROUND((TblConstr[[#This Row],[Land]]-250)*0.285 + 87.5 + 0/4.25,0),0)</f>
        <v>122</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1000</v>
      </c>
      <c r="AW51" s="94">
        <f ca="1">ROUND((TblConstr[[#This Row],[Land]]-250 - IF(TblExplore[[#This Row],[Land Bonus]]&lt;&gt;0,20,0))*0.285 + 87.5 + 0/4.25,0)</f>
        <v>122</v>
      </c>
      <c r="AX51" s="154"/>
      <c r="AY51" s="188" cm="1">
        <f t="array" aca="1" ref="AY51" ca="1">IF(TblConstr[[#This Row],[Hour]:[Hour]]&gt;12,OFFSET(TblConstr[[#This Row],[Hom]],-12,0),0)+OFFSET(TblConstr[[#This Row],[Tot Hom]],-1,0)-TblConstr[[#This Row],[Dest Hom]]</f>
        <v>50</v>
      </c>
      <c r="AZ51" s="189" cm="1">
        <f t="array" aca="1" ref="AZ51" ca="1">IF(TblConstr[[#This Row],[Hour]:[Hour]]&gt;12,OFFSET(TblConstr[[#This Row],[Alc]],-12,0),0)+OFFSET(TblConstr[[#This Row],[Tot Alc]],-1,0)-TblConstr[[#This Row],[Dest Alc]]</f>
        <v>50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50</v>
      </c>
      <c r="BM51" s="369" cm="1">
        <f t="array" aca="1" ref="BM51" ca="1">IF(TblConstr[[#This Row],[Hour]:[Hour]]&gt;12,OFFSET(TblConstr[[#This Row],[Tem]],-12,0),0)+OFFSET(TblConstr[[#This Row],[Tot Tem]],-1,0)-TblConstr[[#This Row],[Dest Tem]]</f>
        <v>50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50</v>
      </c>
      <c r="BP51" s="191" cm="1">
        <f t="array" aca="1" ref="BP51" ca="1">IF(TblConstr[[#This Row],[Hour]:[Hour]]&gt;12,OFFSET(TblConstr[[#This Row],[Sch]],-12,0),0)+OFFSET(TblConstr[[#This Row],[Tot Sch]],-1,0)-TblConstr[[#This Row],[Dest Sch]]</f>
        <v>50</v>
      </c>
      <c r="BQ51" s="192" cm="1">
        <f t="array" aca="1" ref="BQ51" ca="1">IF(TblConstr[[#This Row],[Hour]:[Hour]]&gt;12,OFFSET(TblConstr[[#This Row],[Doc]],-12,0),0)+OFFSET(TblConstr[[#This Row],[Tot Doc]],-1,0)-TblConstr[[#This Row],[Dest Doc]]</f>
        <v>0</v>
      </c>
      <c r="BR51" s="142"/>
      <c r="BS51" s="154"/>
      <c r="BT51" s="94">
        <f ca="1">TblConstr[[#This Row],[Land]]</f>
        <v>370</v>
      </c>
      <c r="BU51" s="159">
        <f ca="1">TblImps[[#This Row],[Time]]</f>
        <v>45816.958333333219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100</v>
      </c>
      <c r="DA51" s="94">
        <f t="shared" ca="1" si="13"/>
        <v>20</v>
      </c>
      <c r="DB51" s="45">
        <f t="shared" ca="1" si="14"/>
        <v>0</v>
      </c>
      <c r="DC51" s="94">
        <f t="shared" ca="1" si="15"/>
        <v>0</v>
      </c>
      <c r="DD51" s="94">
        <f t="shared" ca="1" si="16"/>
        <v>100</v>
      </c>
      <c r="DE51" s="45">
        <f t="shared" ca="1" si="17"/>
        <v>50</v>
      </c>
      <c r="DF51" s="94">
        <f t="shared" ca="1" si="18"/>
        <v>0</v>
      </c>
      <c r="DG51" s="94" cm="1">
        <f t="array" aca="1" ref="DG51" ca="1">INDEX(TblConstr[[Total Plain]:[Total Water]],ROW()-ROW(TblConstr[#Headers]),MATCH("Total "&amp;home_land,TblConstr[[#Headers],[Total Plain]:[Total Water]],0))+TblConstr[[#This Row],[Homes]]</f>
        <v>150</v>
      </c>
      <c r="DH51" s="45">
        <f t="shared" ca="1" si="10"/>
        <v>50</v>
      </c>
      <c r="DI51" s="45">
        <f t="shared" ca="1" si="0"/>
        <v>0</v>
      </c>
      <c r="DJ51" s="45">
        <f t="shared" ca="1" si="1"/>
        <v>0</v>
      </c>
    </row>
    <row r="52" spans="1:114" s="5" customFormat="1" x14ac:dyDescent="0.2">
      <c r="A52" s="193">
        <f>TblRezone[[#This Row],[Hour]]</f>
        <v>49</v>
      </c>
      <c r="B52" s="434">
        <f ca="1">SUM(TblConstr[[#This Row],[Plain]:[Water]])</f>
        <v>20</v>
      </c>
      <c r="C52" s="173">
        <f ca="1">SUM(TblConstr[[#This Row],[Tot Hom]:[Tot Doc]])</f>
        <v>350</v>
      </c>
      <c r="D52" s="173">
        <f t="shared" si="11"/>
        <v>0</v>
      </c>
      <c r="E52" s="194"/>
      <c r="F52" s="148">
        <f ca="1">TblConstr[[#This Row],[Barren]]+TblConstr[[#This Row],[Buildings]]+TblConstr[[#This Row],[Incoming]]</f>
        <v>370</v>
      </c>
      <c r="G52" s="195">
        <f ca="1">OFFSET(TblConstr[[#This Row],[Plain]],-1,0)+TblConstr[[#This Row],[Ch_Plain]]</f>
        <v>20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45816.999999999884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842974</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52" s="35">
        <f ca="1">ROUNDDOWN( MAX(1 - MIN(facs_constr_factor*TblConstr[[#This Row],[Facs -DB]],facs_constr_max) + tech_1_11*TblTech[[#This Row],[11-1]] + tech_6_3_2*TblTech[[#This Row],[6-3]] + tech_5_2_3*TblTech[[#This Row],[5-2]], 1-global_constr_cap) * TblConstr[[#This Row],[RCPA Lumber]],0)</f>
        <v>122</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52" s="35">
        <f ca="1">ROUNDDOWN( MAX(1 - MIN(facs_constr_factor*TblConstr[[#This Row],[Facs DB]],facs_constr_max) + tech_1_11*TblTech[[#This Row],[1-11]] + tech_6_3_2*TblTech[[#This Row],[6-3]] + tech_5_2_3*TblTech[[#This Row],[5-2]], 1-global_constr_cap) * ROUND((TblConstr[[#This Row],[Land]]-250)*0.285 + 87.5 + 0/4.25,0),0)</f>
        <v>122</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1000</v>
      </c>
      <c r="AW52" s="35">
        <f ca="1">ROUND((TblConstr[[#This Row],[Land]]-250 - IF(TblExplore[[#This Row],[Land Bonus]]&lt;&gt;0,20,0))*0.285 + 87.5 + 0/4.25,0)</f>
        <v>122</v>
      </c>
      <c r="AX52" s="162"/>
      <c r="AY52" s="437" cm="1">
        <f t="array" aca="1" ref="AY52" ca="1">IF(TblConstr[[#This Row],[Hour]:[Hour]]&gt;12,OFFSET(TblConstr[[#This Row],[Hom]],-12,0),0)+OFFSET(TblConstr[[#This Row],[Tot Hom]],-1,0)-TblConstr[[#This Row],[Dest Hom]]</f>
        <v>50</v>
      </c>
      <c r="AZ52" s="203" cm="1">
        <f t="array" aca="1" ref="AZ52" ca="1">IF(TblConstr[[#This Row],[Hour]:[Hour]]&gt;12,OFFSET(TblConstr[[#This Row],[Alc]],-12,0),0)+OFFSET(TblConstr[[#This Row],[Tot Alc]],-1,0)-TblConstr[[#This Row],[Dest Alc]]</f>
        <v>50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50</v>
      </c>
      <c r="BM52" s="370" cm="1">
        <f t="array" aca="1" ref="BM52" ca="1">IF(TblConstr[[#This Row],[Hour]:[Hour]]&gt;12,OFFSET(TblConstr[[#This Row],[Tem]],-12,0),0)+OFFSET(TblConstr[[#This Row],[Tot Tem]],-1,0)-TblConstr[[#This Row],[Dest Tem]]</f>
        <v>50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50</v>
      </c>
      <c r="BP52" s="205" cm="1">
        <f t="array" aca="1" ref="BP52" ca="1">IF(TblConstr[[#This Row],[Hour]:[Hour]]&gt;12,OFFSET(TblConstr[[#This Row],[Sch]],-12,0),0)+OFFSET(TblConstr[[#This Row],[Tot Sch]],-1,0)-TblConstr[[#This Row],[Dest Sch]]</f>
        <v>50</v>
      </c>
      <c r="BQ52" s="206" cm="1">
        <f t="array" aca="1" ref="BQ52" ca="1">IF(TblConstr[[#This Row],[Hour]:[Hour]]&gt;12,OFFSET(TblConstr[[#This Row],[Doc]],-12,0),0)+OFFSET(TblConstr[[#This Row],[Tot Doc]],-1,0)-TblConstr[[#This Row],[Dest Doc]]</f>
        <v>0</v>
      </c>
      <c r="BR52" s="149"/>
      <c r="BS52" s="162"/>
      <c r="BT52" s="35">
        <f ca="1">TblConstr[[#This Row],[Land]]</f>
        <v>370</v>
      </c>
      <c r="BU52" s="167">
        <f ca="1">TblImps[[#This Row],[Time]]</f>
        <v>45816.999999999884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100</v>
      </c>
      <c r="DA52" s="35">
        <f t="shared" ca="1" si="13"/>
        <v>20</v>
      </c>
      <c r="DB52" s="5">
        <f t="shared" ca="1" si="14"/>
        <v>0</v>
      </c>
      <c r="DC52" s="35">
        <f t="shared" ca="1" si="15"/>
        <v>0</v>
      </c>
      <c r="DD52" s="35">
        <f t="shared" ca="1" si="16"/>
        <v>100</v>
      </c>
      <c r="DE52" s="5">
        <f t="shared" ca="1" si="17"/>
        <v>50</v>
      </c>
      <c r="DF52" s="35">
        <f t="shared" ca="1" si="18"/>
        <v>0</v>
      </c>
      <c r="DG52" s="35" cm="1">
        <f t="array" aca="1" ref="DG52" ca="1">INDEX(TblConstr[[Total Plain]:[Total Water]],ROW()-ROW(TblConstr[#Headers]),MATCH("Total "&amp;home_land,TblConstr[[#Headers],[Total Plain]:[Total Water]],0))+TblConstr[[#This Row],[Homes]]</f>
        <v>150</v>
      </c>
      <c r="DH52" s="5">
        <f t="shared" ca="1" si="10"/>
        <v>50</v>
      </c>
      <c r="DI52" s="5">
        <f t="shared" ca="1" si="0"/>
        <v>0</v>
      </c>
      <c r="DJ52" s="5">
        <f t="shared" ca="1" si="1"/>
        <v>0</v>
      </c>
    </row>
    <row r="53" spans="1:114" x14ac:dyDescent="0.2">
      <c r="A53" s="175">
        <f>TblRezone[[#This Row],[Hour]]</f>
        <v>50</v>
      </c>
      <c r="B53" s="176">
        <f ca="1">SUM(TblConstr[[#This Row],[Plain]:[Water]])</f>
        <v>20</v>
      </c>
      <c r="C53" s="177">
        <f ca="1">SUM(TblConstr[[#This Row],[Tot Hom]:[Tot Doc]])</f>
        <v>350</v>
      </c>
      <c r="D53" s="177">
        <f t="shared" si="11"/>
        <v>0</v>
      </c>
      <c r="E53" s="178"/>
      <c r="F53" s="61">
        <f ca="1">TblConstr[[#This Row],[Barren]]+TblConstr[[#This Row],[Buildings]]+TblConstr[[#This Row],[Incoming]]</f>
        <v>370</v>
      </c>
      <c r="G53" s="187">
        <f ca="1">OFFSET(TblConstr[[#This Row],[Plain]],-1,0)+TblConstr[[#This Row],[Ch_Plain]]</f>
        <v>20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45817.041666666548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855149</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53" s="94">
        <f ca="1">ROUNDDOWN( MAX(1 - MIN(facs_constr_factor*TblConstr[[#This Row],[Facs -DB]],facs_constr_max) + tech_1_11*TblTech[[#This Row],[11-1]] + tech_6_3_2*TblTech[[#This Row],[6-3]] + tech_5_2_3*TblTech[[#This Row],[5-2]], 1-global_constr_cap) * TblConstr[[#This Row],[RCPA Lumber]],0)</f>
        <v>122</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53" s="94">
        <f ca="1">ROUNDDOWN( MAX(1 - MIN(facs_constr_factor*TblConstr[[#This Row],[Facs DB]],facs_constr_max) + tech_1_11*TblTech[[#This Row],[1-11]] + tech_6_3_2*TblTech[[#This Row],[6-3]] + tech_5_2_3*TblTech[[#This Row],[5-2]], 1-global_constr_cap) * ROUND((TblConstr[[#This Row],[Land]]-250)*0.285 + 87.5 + 0/4.25,0),0)</f>
        <v>122</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1000</v>
      </c>
      <c r="AW53" s="94">
        <f ca="1">ROUND((TblConstr[[#This Row],[Land]]-250 - IF(TblExplore[[#This Row],[Land Bonus]]&lt;&gt;0,20,0))*0.285 + 87.5 + 0/4.25,0)</f>
        <v>122</v>
      </c>
      <c r="AX53" s="154"/>
      <c r="AY53" s="188" cm="1">
        <f t="array" aca="1" ref="AY53" ca="1">IF(TblConstr[[#This Row],[Hour]:[Hour]]&gt;12,OFFSET(TblConstr[[#This Row],[Hom]],-12,0),0)+OFFSET(TblConstr[[#This Row],[Tot Hom]],-1,0)-TblConstr[[#This Row],[Dest Hom]]</f>
        <v>50</v>
      </c>
      <c r="AZ53" s="189" cm="1">
        <f t="array" aca="1" ref="AZ53" ca="1">IF(TblConstr[[#This Row],[Hour]:[Hour]]&gt;12,OFFSET(TblConstr[[#This Row],[Alc]],-12,0),0)+OFFSET(TblConstr[[#This Row],[Tot Alc]],-1,0)-TblConstr[[#This Row],[Dest Alc]]</f>
        <v>50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50</v>
      </c>
      <c r="BM53" s="369" cm="1">
        <f t="array" aca="1" ref="BM53" ca="1">IF(TblConstr[[#This Row],[Hour]:[Hour]]&gt;12,OFFSET(TblConstr[[#This Row],[Tem]],-12,0),0)+OFFSET(TblConstr[[#This Row],[Tot Tem]],-1,0)-TblConstr[[#This Row],[Dest Tem]]</f>
        <v>50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50</v>
      </c>
      <c r="BP53" s="191" cm="1">
        <f t="array" aca="1" ref="BP53" ca="1">IF(TblConstr[[#This Row],[Hour]:[Hour]]&gt;12,OFFSET(TblConstr[[#This Row],[Sch]],-12,0),0)+OFFSET(TblConstr[[#This Row],[Tot Sch]],-1,0)-TblConstr[[#This Row],[Dest Sch]]</f>
        <v>50</v>
      </c>
      <c r="BQ53" s="192" cm="1">
        <f t="array" aca="1" ref="BQ53" ca="1">IF(TblConstr[[#This Row],[Hour]:[Hour]]&gt;12,OFFSET(TblConstr[[#This Row],[Doc]],-12,0),0)+OFFSET(TblConstr[[#This Row],[Tot Doc]],-1,0)-TblConstr[[#This Row],[Dest Doc]]</f>
        <v>0</v>
      </c>
      <c r="BR53" s="142"/>
      <c r="BS53" s="154"/>
      <c r="BT53" s="94">
        <f ca="1">TblConstr[[#This Row],[Land]]</f>
        <v>370</v>
      </c>
      <c r="BU53" s="159">
        <f ca="1">TblImps[[#This Row],[Time]]</f>
        <v>45817.041666666548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100</v>
      </c>
      <c r="DA53" s="94">
        <f t="shared" ca="1" si="13"/>
        <v>20</v>
      </c>
      <c r="DB53" s="45">
        <f t="shared" ca="1" si="14"/>
        <v>0</v>
      </c>
      <c r="DC53" s="94">
        <f t="shared" ca="1" si="15"/>
        <v>0</v>
      </c>
      <c r="DD53" s="94">
        <f t="shared" ca="1" si="16"/>
        <v>100</v>
      </c>
      <c r="DE53" s="45">
        <f t="shared" ca="1" si="17"/>
        <v>50</v>
      </c>
      <c r="DF53" s="94">
        <f t="shared" ca="1" si="18"/>
        <v>0</v>
      </c>
      <c r="DG53" s="94" cm="1">
        <f t="array" aca="1" ref="DG53" ca="1">INDEX(TblConstr[[Total Plain]:[Total Water]],ROW()-ROW(TblConstr[#Headers]),MATCH("Total "&amp;home_land,TblConstr[[#Headers],[Total Plain]:[Total Water]],0))+TblConstr[[#This Row],[Homes]]</f>
        <v>150</v>
      </c>
      <c r="DH53" s="45">
        <f t="shared" ca="1" si="10"/>
        <v>50</v>
      </c>
      <c r="DI53" s="45">
        <f t="shared" ca="1" si="0"/>
        <v>0</v>
      </c>
      <c r="DJ53" s="45">
        <f t="shared" ca="1" si="1"/>
        <v>0</v>
      </c>
    </row>
    <row r="54" spans="1:114" x14ac:dyDescent="0.2">
      <c r="A54" s="175">
        <f>TblRezone[[#This Row],[Hour]]</f>
        <v>51</v>
      </c>
      <c r="B54" s="176">
        <f ca="1">SUM(TblConstr[[#This Row],[Plain]:[Water]])</f>
        <v>20</v>
      </c>
      <c r="C54" s="177">
        <f ca="1">SUM(TblConstr[[#This Row],[Tot Hom]:[Tot Doc]])</f>
        <v>350</v>
      </c>
      <c r="D54" s="177">
        <f t="shared" si="11"/>
        <v>0</v>
      </c>
      <c r="E54" s="178"/>
      <c r="F54" s="61">
        <f ca="1">TblConstr[[#This Row],[Barren]]+TblConstr[[#This Row],[Buildings]]+TblConstr[[#This Row],[Incoming]]</f>
        <v>370</v>
      </c>
      <c r="G54" s="187">
        <f ca="1">OFFSET(TblConstr[[#This Row],[Plain]],-1,0)+TblConstr[[#This Row],[Ch_Plain]]</f>
        <v>20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45817.083333333212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867224</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54" s="94">
        <f ca="1">ROUNDDOWN( MAX(1 - MIN(facs_constr_factor*TblConstr[[#This Row],[Facs -DB]],facs_constr_max) + tech_1_11*TblTech[[#This Row],[11-1]] + tech_6_3_2*TblTech[[#This Row],[6-3]] + tech_5_2_3*TblTech[[#This Row],[5-2]], 1-global_constr_cap) * TblConstr[[#This Row],[RCPA Lumber]],0)</f>
        <v>122</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54" s="94">
        <f ca="1">ROUNDDOWN( MAX(1 - MIN(facs_constr_factor*TblConstr[[#This Row],[Facs DB]],facs_constr_max) + tech_1_11*TblTech[[#This Row],[1-11]] + tech_6_3_2*TblTech[[#This Row],[6-3]] + tech_5_2_3*TblTech[[#This Row],[5-2]], 1-global_constr_cap) * ROUND((TblConstr[[#This Row],[Land]]-250)*0.285 + 87.5 + 0/4.25,0),0)</f>
        <v>122</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1000</v>
      </c>
      <c r="AW54" s="94">
        <f ca="1">ROUND((TblConstr[[#This Row],[Land]]-250 - IF(TblExplore[[#This Row],[Land Bonus]]&lt;&gt;0,20,0))*0.285 + 87.5 + 0/4.25,0)</f>
        <v>122</v>
      </c>
      <c r="AX54" s="154"/>
      <c r="AY54" s="188" cm="1">
        <f t="array" aca="1" ref="AY54" ca="1">IF(TblConstr[[#This Row],[Hour]:[Hour]]&gt;12,OFFSET(TblConstr[[#This Row],[Hom]],-12,0),0)+OFFSET(TblConstr[[#This Row],[Tot Hom]],-1,0)-TblConstr[[#This Row],[Dest Hom]]</f>
        <v>50</v>
      </c>
      <c r="AZ54" s="189" cm="1">
        <f t="array" aca="1" ref="AZ54" ca="1">IF(TblConstr[[#This Row],[Hour]:[Hour]]&gt;12,OFFSET(TblConstr[[#This Row],[Alc]],-12,0),0)+OFFSET(TblConstr[[#This Row],[Tot Alc]],-1,0)-TblConstr[[#This Row],[Dest Alc]]</f>
        <v>50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50</v>
      </c>
      <c r="BM54" s="369" cm="1">
        <f t="array" aca="1" ref="BM54" ca="1">IF(TblConstr[[#This Row],[Hour]:[Hour]]&gt;12,OFFSET(TblConstr[[#This Row],[Tem]],-12,0),0)+OFFSET(TblConstr[[#This Row],[Tot Tem]],-1,0)-TblConstr[[#This Row],[Dest Tem]]</f>
        <v>50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50</v>
      </c>
      <c r="BP54" s="191" cm="1">
        <f t="array" aca="1" ref="BP54" ca="1">IF(TblConstr[[#This Row],[Hour]:[Hour]]&gt;12,OFFSET(TblConstr[[#This Row],[Sch]],-12,0),0)+OFFSET(TblConstr[[#This Row],[Tot Sch]],-1,0)-TblConstr[[#This Row],[Dest Sch]]</f>
        <v>50</v>
      </c>
      <c r="BQ54" s="192" cm="1">
        <f t="array" aca="1" ref="BQ54" ca="1">IF(TblConstr[[#This Row],[Hour]:[Hour]]&gt;12,OFFSET(TblConstr[[#This Row],[Doc]],-12,0),0)+OFFSET(TblConstr[[#This Row],[Tot Doc]],-1,0)-TblConstr[[#This Row],[Dest Doc]]</f>
        <v>0</v>
      </c>
      <c r="BR54" s="142"/>
      <c r="BS54" s="154"/>
      <c r="BT54" s="94">
        <f ca="1">TblConstr[[#This Row],[Land]]</f>
        <v>370</v>
      </c>
      <c r="BU54" s="159">
        <f ca="1">TblImps[[#This Row],[Time]]</f>
        <v>45817.083333333212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100</v>
      </c>
      <c r="DA54" s="94">
        <f t="shared" ca="1" si="13"/>
        <v>20</v>
      </c>
      <c r="DB54" s="45">
        <f t="shared" ca="1" si="14"/>
        <v>0</v>
      </c>
      <c r="DC54" s="94">
        <f t="shared" ca="1" si="15"/>
        <v>0</v>
      </c>
      <c r="DD54" s="94">
        <f t="shared" ca="1" si="16"/>
        <v>100</v>
      </c>
      <c r="DE54" s="45">
        <f t="shared" ca="1" si="17"/>
        <v>50</v>
      </c>
      <c r="DF54" s="94">
        <f t="shared" ca="1" si="18"/>
        <v>0</v>
      </c>
      <c r="DG54" s="94" cm="1">
        <f t="array" aca="1" ref="DG54" ca="1">INDEX(TblConstr[[Total Plain]:[Total Water]],ROW()-ROW(TblConstr[#Headers]),MATCH("Total "&amp;home_land,TblConstr[[#Headers],[Total Plain]:[Total Water]],0))+TblConstr[[#This Row],[Homes]]</f>
        <v>150</v>
      </c>
      <c r="DH54" s="45">
        <f t="shared" ca="1" si="10"/>
        <v>50</v>
      </c>
      <c r="DI54" s="45">
        <f t="shared" ca="1" si="0"/>
        <v>0</v>
      </c>
      <c r="DJ54" s="45">
        <f t="shared" ca="1" si="1"/>
        <v>0</v>
      </c>
    </row>
    <row r="55" spans="1:114" x14ac:dyDescent="0.2">
      <c r="A55" s="175">
        <f>TblRezone[[#This Row],[Hour]]</f>
        <v>52</v>
      </c>
      <c r="B55" s="176">
        <f ca="1">SUM(TblConstr[[#This Row],[Plain]:[Water]])</f>
        <v>20</v>
      </c>
      <c r="C55" s="177">
        <f ca="1">SUM(TblConstr[[#This Row],[Tot Hom]:[Tot Doc]])</f>
        <v>350</v>
      </c>
      <c r="D55" s="177">
        <f t="shared" si="11"/>
        <v>0</v>
      </c>
      <c r="E55" s="178"/>
      <c r="F55" s="61">
        <f ca="1">TblConstr[[#This Row],[Barren]]+TblConstr[[#This Row],[Buildings]]+TblConstr[[#This Row],[Incoming]]</f>
        <v>370</v>
      </c>
      <c r="G55" s="187">
        <f ca="1">OFFSET(TblConstr[[#This Row],[Plain]],-1,0)+TblConstr[[#This Row],[Ch_Plain]]</f>
        <v>20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45817.124999999876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879202</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55" s="94">
        <f ca="1">ROUNDDOWN( MAX(1 - MIN(facs_constr_factor*TblConstr[[#This Row],[Facs -DB]],facs_constr_max) + tech_1_11*TblTech[[#This Row],[11-1]] + tech_6_3_2*TblTech[[#This Row],[6-3]] + tech_5_2_3*TblTech[[#This Row],[5-2]], 1-global_constr_cap) * TblConstr[[#This Row],[RCPA Lumber]],0)</f>
        <v>122</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55" s="94">
        <f ca="1">ROUNDDOWN( MAX(1 - MIN(facs_constr_factor*TblConstr[[#This Row],[Facs DB]],facs_constr_max) + tech_1_11*TblTech[[#This Row],[1-11]] + tech_6_3_2*TblTech[[#This Row],[6-3]] + tech_5_2_3*TblTech[[#This Row],[5-2]], 1-global_constr_cap) * ROUND((TblConstr[[#This Row],[Land]]-250)*0.285 + 87.5 + 0/4.25,0),0)</f>
        <v>122</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1000</v>
      </c>
      <c r="AW55" s="94">
        <f ca="1">ROUND((TblConstr[[#This Row],[Land]]-250 - IF(TblExplore[[#This Row],[Land Bonus]]&lt;&gt;0,20,0))*0.285 + 87.5 + 0/4.25,0)</f>
        <v>122</v>
      </c>
      <c r="AX55" s="154"/>
      <c r="AY55" s="188" cm="1">
        <f t="array" aca="1" ref="AY55" ca="1">IF(TblConstr[[#This Row],[Hour]:[Hour]]&gt;12,OFFSET(TblConstr[[#This Row],[Hom]],-12,0),0)+OFFSET(TblConstr[[#This Row],[Tot Hom]],-1,0)-TblConstr[[#This Row],[Dest Hom]]</f>
        <v>50</v>
      </c>
      <c r="AZ55" s="189" cm="1">
        <f t="array" aca="1" ref="AZ55" ca="1">IF(TblConstr[[#This Row],[Hour]:[Hour]]&gt;12,OFFSET(TblConstr[[#This Row],[Alc]],-12,0),0)+OFFSET(TblConstr[[#This Row],[Tot Alc]],-1,0)-TblConstr[[#This Row],[Dest Alc]]</f>
        <v>50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50</v>
      </c>
      <c r="BM55" s="369" cm="1">
        <f t="array" aca="1" ref="BM55" ca="1">IF(TblConstr[[#This Row],[Hour]:[Hour]]&gt;12,OFFSET(TblConstr[[#This Row],[Tem]],-12,0),0)+OFFSET(TblConstr[[#This Row],[Tot Tem]],-1,0)-TblConstr[[#This Row],[Dest Tem]]</f>
        <v>50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50</v>
      </c>
      <c r="BP55" s="191" cm="1">
        <f t="array" aca="1" ref="BP55" ca="1">IF(TblConstr[[#This Row],[Hour]:[Hour]]&gt;12,OFFSET(TblConstr[[#This Row],[Sch]],-12,0),0)+OFFSET(TblConstr[[#This Row],[Tot Sch]],-1,0)-TblConstr[[#This Row],[Dest Sch]]</f>
        <v>50</v>
      </c>
      <c r="BQ55" s="192" cm="1">
        <f t="array" aca="1" ref="BQ55" ca="1">IF(TblConstr[[#This Row],[Hour]:[Hour]]&gt;12,OFFSET(TblConstr[[#This Row],[Doc]],-12,0),0)+OFFSET(TblConstr[[#This Row],[Tot Doc]],-1,0)-TblConstr[[#This Row],[Dest Doc]]</f>
        <v>0</v>
      </c>
      <c r="BR55" s="142"/>
      <c r="BS55" s="154"/>
      <c r="BT55" s="94">
        <f ca="1">TblConstr[[#This Row],[Land]]</f>
        <v>370</v>
      </c>
      <c r="BU55" s="159">
        <f ca="1">TblImps[[#This Row],[Time]]</f>
        <v>45817.124999999876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100</v>
      </c>
      <c r="DA55" s="94">
        <f t="shared" ca="1" si="13"/>
        <v>20</v>
      </c>
      <c r="DB55" s="45">
        <f t="shared" ca="1" si="14"/>
        <v>0</v>
      </c>
      <c r="DC55" s="94">
        <f t="shared" ca="1" si="15"/>
        <v>0</v>
      </c>
      <c r="DD55" s="94">
        <f t="shared" ca="1" si="16"/>
        <v>100</v>
      </c>
      <c r="DE55" s="45">
        <f t="shared" ca="1" si="17"/>
        <v>50</v>
      </c>
      <c r="DF55" s="94">
        <f t="shared" ca="1" si="18"/>
        <v>0</v>
      </c>
      <c r="DG55" s="94" cm="1">
        <f t="array" aca="1" ref="DG55" ca="1">INDEX(TblConstr[[Total Plain]:[Total Water]],ROW()-ROW(TblConstr[#Headers]),MATCH("Total "&amp;home_land,TblConstr[[#Headers],[Total Plain]:[Total Water]],0))+TblConstr[[#This Row],[Homes]]</f>
        <v>150</v>
      </c>
      <c r="DH55" s="45">
        <f t="shared" ca="1" si="10"/>
        <v>50</v>
      </c>
      <c r="DI55" s="45">
        <f t="shared" ca="1" si="0"/>
        <v>0</v>
      </c>
      <c r="DJ55" s="45">
        <f t="shared" ca="1" si="1"/>
        <v>0</v>
      </c>
    </row>
    <row r="56" spans="1:114" x14ac:dyDescent="0.2">
      <c r="A56" s="175">
        <f>TblRezone[[#This Row],[Hour]]</f>
        <v>53</v>
      </c>
      <c r="B56" s="176">
        <f ca="1">SUM(TblConstr[[#This Row],[Plain]:[Water]])</f>
        <v>20</v>
      </c>
      <c r="C56" s="177">
        <f ca="1">SUM(TblConstr[[#This Row],[Tot Hom]:[Tot Doc]])</f>
        <v>350</v>
      </c>
      <c r="D56" s="177">
        <f t="shared" si="11"/>
        <v>0</v>
      </c>
      <c r="E56" s="178"/>
      <c r="F56" s="61">
        <f ca="1">TblConstr[[#This Row],[Barren]]+TblConstr[[#This Row],[Buildings]]+TblConstr[[#This Row],[Incoming]]</f>
        <v>370</v>
      </c>
      <c r="G56" s="187">
        <f ca="1">OFFSET(TblConstr[[#This Row],[Plain]],-1,0)+TblConstr[[#This Row],[Ch_Plain]]</f>
        <v>20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45817.166666666541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891082</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56" s="94">
        <f ca="1">ROUNDDOWN( MAX(1 - MIN(facs_constr_factor*TblConstr[[#This Row],[Facs -DB]],facs_constr_max) + tech_1_11*TblTech[[#This Row],[11-1]] + tech_6_3_2*TblTech[[#This Row],[6-3]] + tech_5_2_3*TblTech[[#This Row],[5-2]], 1-global_constr_cap) * TblConstr[[#This Row],[RCPA Lumber]],0)</f>
        <v>122</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56" s="94">
        <f ca="1">ROUNDDOWN( MAX(1 - MIN(facs_constr_factor*TblConstr[[#This Row],[Facs DB]],facs_constr_max) + tech_1_11*TblTech[[#This Row],[1-11]] + tech_6_3_2*TblTech[[#This Row],[6-3]] + tech_5_2_3*TblTech[[#This Row],[5-2]], 1-global_constr_cap) * ROUND((TblConstr[[#This Row],[Land]]-250)*0.285 + 87.5 + 0/4.25,0),0)</f>
        <v>122</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1000</v>
      </c>
      <c r="AW56" s="94">
        <f ca="1">ROUND((TblConstr[[#This Row],[Land]]-250 - IF(TblExplore[[#This Row],[Land Bonus]]&lt;&gt;0,20,0))*0.285 + 87.5 + 0/4.25,0)</f>
        <v>122</v>
      </c>
      <c r="AX56" s="154"/>
      <c r="AY56" s="188" cm="1">
        <f t="array" aca="1" ref="AY56" ca="1">IF(TblConstr[[#This Row],[Hour]:[Hour]]&gt;12,OFFSET(TblConstr[[#This Row],[Hom]],-12,0),0)+OFFSET(TblConstr[[#This Row],[Tot Hom]],-1,0)-TblConstr[[#This Row],[Dest Hom]]</f>
        <v>50</v>
      </c>
      <c r="AZ56" s="189" cm="1">
        <f t="array" aca="1" ref="AZ56" ca="1">IF(TblConstr[[#This Row],[Hour]:[Hour]]&gt;12,OFFSET(TblConstr[[#This Row],[Alc]],-12,0),0)+OFFSET(TblConstr[[#This Row],[Tot Alc]],-1,0)-TblConstr[[#This Row],[Dest Alc]]</f>
        <v>50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50</v>
      </c>
      <c r="BM56" s="369" cm="1">
        <f t="array" aca="1" ref="BM56" ca="1">IF(TblConstr[[#This Row],[Hour]:[Hour]]&gt;12,OFFSET(TblConstr[[#This Row],[Tem]],-12,0),0)+OFFSET(TblConstr[[#This Row],[Tot Tem]],-1,0)-TblConstr[[#This Row],[Dest Tem]]</f>
        <v>50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50</v>
      </c>
      <c r="BP56" s="191" cm="1">
        <f t="array" aca="1" ref="BP56" ca="1">IF(TblConstr[[#This Row],[Hour]:[Hour]]&gt;12,OFFSET(TblConstr[[#This Row],[Sch]],-12,0),0)+OFFSET(TblConstr[[#This Row],[Tot Sch]],-1,0)-TblConstr[[#This Row],[Dest Sch]]</f>
        <v>50</v>
      </c>
      <c r="BQ56" s="192" cm="1">
        <f t="array" aca="1" ref="BQ56" ca="1">IF(TblConstr[[#This Row],[Hour]:[Hour]]&gt;12,OFFSET(TblConstr[[#This Row],[Doc]],-12,0),0)+OFFSET(TblConstr[[#This Row],[Tot Doc]],-1,0)-TblConstr[[#This Row],[Dest Doc]]</f>
        <v>0</v>
      </c>
      <c r="BR56" s="142"/>
      <c r="BS56" s="154"/>
      <c r="BT56" s="94">
        <f ca="1">TblConstr[[#This Row],[Land]]</f>
        <v>370</v>
      </c>
      <c r="BU56" s="159">
        <f ca="1">TblImps[[#This Row],[Time]]</f>
        <v>45817.166666666541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100</v>
      </c>
      <c r="DA56" s="94">
        <f t="shared" ca="1" si="13"/>
        <v>20</v>
      </c>
      <c r="DB56" s="45">
        <f t="shared" ca="1" si="14"/>
        <v>0</v>
      </c>
      <c r="DC56" s="94">
        <f t="shared" ca="1" si="15"/>
        <v>0</v>
      </c>
      <c r="DD56" s="94">
        <f t="shared" ca="1" si="16"/>
        <v>100</v>
      </c>
      <c r="DE56" s="45">
        <f t="shared" ca="1" si="17"/>
        <v>50</v>
      </c>
      <c r="DF56" s="94">
        <f t="shared" ca="1" si="18"/>
        <v>0</v>
      </c>
      <c r="DG56" s="94" cm="1">
        <f t="array" aca="1" ref="DG56" ca="1">INDEX(TblConstr[[Total Plain]:[Total Water]],ROW()-ROW(TblConstr[#Headers]),MATCH("Total "&amp;home_land,TblConstr[[#Headers],[Total Plain]:[Total Water]],0))+TblConstr[[#This Row],[Homes]]</f>
        <v>150</v>
      </c>
      <c r="DH56" s="45">
        <f t="shared" ca="1" si="10"/>
        <v>50</v>
      </c>
      <c r="DI56" s="45">
        <f t="shared" ca="1" si="0"/>
        <v>0</v>
      </c>
      <c r="DJ56" s="45">
        <f t="shared" ca="1" si="1"/>
        <v>0</v>
      </c>
    </row>
    <row r="57" spans="1:114" x14ac:dyDescent="0.2">
      <c r="A57" s="175">
        <f>TblRezone[[#This Row],[Hour]]</f>
        <v>54</v>
      </c>
      <c r="B57" s="176">
        <f ca="1">SUM(TblConstr[[#This Row],[Plain]:[Water]])</f>
        <v>20</v>
      </c>
      <c r="C57" s="177">
        <f ca="1">SUM(TblConstr[[#This Row],[Tot Hom]:[Tot Doc]])</f>
        <v>350</v>
      </c>
      <c r="D57" s="177">
        <f t="shared" si="11"/>
        <v>0</v>
      </c>
      <c r="E57" s="178"/>
      <c r="F57" s="61">
        <f ca="1">TblConstr[[#This Row],[Barren]]+TblConstr[[#This Row],[Buildings]]+TblConstr[[#This Row],[Incoming]]</f>
        <v>370</v>
      </c>
      <c r="G57" s="187">
        <f ca="1">OFFSET(TblConstr[[#This Row],[Plain]],-1,0)+TblConstr[[#This Row],[Ch_Plain]]</f>
        <v>20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45817.208333333205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902865</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57" s="94">
        <f ca="1">ROUNDDOWN( MAX(1 - MIN(facs_constr_factor*TblConstr[[#This Row],[Facs -DB]],facs_constr_max) + tech_1_11*TblTech[[#This Row],[11-1]] + tech_6_3_2*TblTech[[#This Row],[6-3]] + tech_5_2_3*TblTech[[#This Row],[5-2]], 1-global_constr_cap) * TblConstr[[#This Row],[RCPA Lumber]],0)</f>
        <v>122</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57" s="94">
        <f ca="1">ROUNDDOWN( MAX(1 - MIN(facs_constr_factor*TblConstr[[#This Row],[Facs DB]],facs_constr_max) + tech_1_11*TblTech[[#This Row],[1-11]] + tech_6_3_2*TblTech[[#This Row],[6-3]] + tech_5_2_3*TblTech[[#This Row],[5-2]], 1-global_constr_cap) * ROUND((TblConstr[[#This Row],[Land]]-250)*0.285 + 87.5 + 0/4.25,0),0)</f>
        <v>122</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1000</v>
      </c>
      <c r="AW57" s="94">
        <f ca="1">ROUND((TblConstr[[#This Row],[Land]]-250 - IF(TblExplore[[#This Row],[Land Bonus]]&lt;&gt;0,20,0))*0.285 + 87.5 + 0/4.25,0)</f>
        <v>122</v>
      </c>
      <c r="AX57" s="154"/>
      <c r="AY57" s="188" cm="1">
        <f t="array" aca="1" ref="AY57" ca="1">IF(TblConstr[[#This Row],[Hour]:[Hour]]&gt;12,OFFSET(TblConstr[[#This Row],[Hom]],-12,0),0)+OFFSET(TblConstr[[#This Row],[Tot Hom]],-1,0)-TblConstr[[#This Row],[Dest Hom]]</f>
        <v>50</v>
      </c>
      <c r="AZ57" s="189" cm="1">
        <f t="array" aca="1" ref="AZ57" ca="1">IF(TblConstr[[#This Row],[Hour]:[Hour]]&gt;12,OFFSET(TblConstr[[#This Row],[Alc]],-12,0),0)+OFFSET(TblConstr[[#This Row],[Tot Alc]],-1,0)-TblConstr[[#This Row],[Dest Alc]]</f>
        <v>50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50</v>
      </c>
      <c r="BM57" s="369" cm="1">
        <f t="array" aca="1" ref="BM57" ca="1">IF(TblConstr[[#This Row],[Hour]:[Hour]]&gt;12,OFFSET(TblConstr[[#This Row],[Tem]],-12,0),0)+OFFSET(TblConstr[[#This Row],[Tot Tem]],-1,0)-TblConstr[[#This Row],[Dest Tem]]</f>
        <v>50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50</v>
      </c>
      <c r="BP57" s="191" cm="1">
        <f t="array" aca="1" ref="BP57" ca="1">IF(TblConstr[[#This Row],[Hour]:[Hour]]&gt;12,OFFSET(TblConstr[[#This Row],[Sch]],-12,0),0)+OFFSET(TblConstr[[#This Row],[Tot Sch]],-1,0)-TblConstr[[#This Row],[Dest Sch]]</f>
        <v>50</v>
      </c>
      <c r="BQ57" s="192" cm="1">
        <f t="array" aca="1" ref="BQ57" ca="1">IF(TblConstr[[#This Row],[Hour]:[Hour]]&gt;12,OFFSET(TblConstr[[#This Row],[Doc]],-12,0),0)+OFFSET(TblConstr[[#This Row],[Tot Doc]],-1,0)-TblConstr[[#This Row],[Dest Doc]]</f>
        <v>0</v>
      </c>
      <c r="BR57" s="142"/>
      <c r="BS57" s="154"/>
      <c r="BT57" s="94">
        <f ca="1">TblConstr[[#This Row],[Land]]</f>
        <v>370</v>
      </c>
      <c r="BU57" s="159">
        <f ca="1">TblImps[[#This Row],[Time]]</f>
        <v>45817.208333333205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100</v>
      </c>
      <c r="DA57" s="94">
        <f t="shared" ca="1" si="13"/>
        <v>20</v>
      </c>
      <c r="DB57" s="45">
        <f t="shared" ca="1" si="14"/>
        <v>0</v>
      </c>
      <c r="DC57" s="94">
        <f t="shared" ca="1" si="15"/>
        <v>0</v>
      </c>
      <c r="DD57" s="94">
        <f t="shared" ca="1" si="16"/>
        <v>100</v>
      </c>
      <c r="DE57" s="45">
        <f t="shared" ca="1" si="17"/>
        <v>50</v>
      </c>
      <c r="DF57" s="94">
        <f t="shared" ca="1" si="18"/>
        <v>0</v>
      </c>
      <c r="DG57" s="94" cm="1">
        <f t="array" aca="1" ref="DG57" ca="1">INDEX(TblConstr[[Total Plain]:[Total Water]],ROW()-ROW(TblConstr[#Headers]),MATCH("Total "&amp;home_land,TblConstr[[#Headers],[Total Plain]:[Total Water]],0))+TblConstr[[#This Row],[Homes]]</f>
        <v>150</v>
      </c>
      <c r="DH57" s="45">
        <f t="shared" ca="1" si="10"/>
        <v>50</v>
      </c>
      <c r="DI57" s="45">
        <f t="shared" ca="1" si="0"/>
        <v>0</v>
      </c>
      <c r="DJ57" s="45">
        <f t="shared" ca="1" si="1"/>
        <v>0</v>
      </c>
    </row>
    <row r="58" spans="1:114" x14ac:dyDescent="0.2">
      <c r="A58" s="175">
        <f>TblRezone[[#This Row],[Hour]]</f>
        <v>55</v>
      </c>
      <c r="B58" s="176">
        <f ca="1">SUM(TblConstr[[#This Row],[Plain]:[Water]])</f>
        <v>20</v>
      </c>
      <c r="C58" s="177">
        <f ca="1">SUM(TblConstr[[#This Row],[Tot Hom]:[Tot Doc]])</f>
        <v>350</v>
      </c>
      <c r="D58" s="177">
        <f t="shared" si="11"/>
        <v>0</v>
      </c>
      <c r="E58" s="178"/>
      <c r="F58" s="61">
        <f ca="1">TblConstr[[#This Row],[Barren]]+TblConstr[[#This Row],[Buildings]]+TblConstr[[#This Row],[Incoming]]</f>
        <v>370</v>
      </c>
      <c r="G58" s="187">
        <f ca="1">OFFSET(TblConstr[[#This Row],[Plain]],-1,0)+TblConstr[[#This Row],[Ch_Plain]]</f>
        <v>20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45817.249999999869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914554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58" s="94">
        <f ca="1">ROUNDDOWN( MAX(1 - MIN(facs_constr_factor*TblConstr[[#This Row],[Facs -DB]],facs_constr_max) + tech_1_11*TblTech[[#This Row],[11-1]] + tech_6_3_2*TblTech[[#This Row],[6-3]] + tech_5_2_3*TblTech[[#This Row],[5-2]], 1-global_constr_cap) * TblConstr[[#This Row],[RCPA Lumber]],0)</f>
        <v>122</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58" s="94">
        <f ca="1">ROUNDDOWN( MAX(1 - MIN(facs_constr_factor*TblConstr[[#This Row],[Facs DB]],facs_constr_max) + tech_1_11*TblTech[[#This Row],[1-11]] + tech_6_3_2*TblTech[[#This Row],[6-3]] + tech_5_2_3*TblTech[[#This Row],[5-2]], 1-global_constr_cap) * ROUND((TblConstr[[#This Row],[Land]]-250)*0.285 + 87.5 + 0/4.25,0),0)</f>
        <v>122</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1000</v>
      </c>
      <c r="AW58" s="94">
        <f ca="1">ROUND((TblConstr[[#This Row],[Land]]-250 - IF(TblExplore[[#This Row],[Land Bonus]]&lt;&gt;0,20,0))*0.285 + 87.5 + 0/4.25,0)</f>
        <v>122</v>
      </c>
      <c r="AX58" s="154"/>
      <c r="AY58" s="188" cm="1">
        <f t="array" aca="1" ref="AY58" ca="1">IF(TblConstr[[#This Row],[Hour]:[Hour]]&gt;12,OFFSET(TblConstr[[#This Row],[Hom]],-12,0),0)+OFFSET(TblConstr[[#This Row],[Tot Hom]],-1,0)-TblConstr[[#This Row],[Dest Hom]]</f>
        <v>50</v>
      </c>
      <c r="AZ58" s="189" cm="1">
        <f t="array" aca="1" ref="AZ58" ca="1">IF(TblConstr[[#This Row],[Hour]:[Hour]]&gt;12,OFFSET(TblConstr[[#This Row],[Alc]],-12,0),0)+OFFSET(TblConstr[[#This Row],[Tot Alc]],-1,0)-TblConstr[[#This Row],[Dest Alc]]</f>
        <v>50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50</v>
      </c>
      <c r="BM58" s="369" cm="1">
        <f t="array" aca="1" ref="BM58" ca="1">IF(TblConstr[[#This Row],[Hour]:[Hour]]&gt;12,OFFSET(TblConstr[[#This Row],[Tem]],-12,0),0)+OFFSET(TblConstr[[#This Row],[Tot Tem]],-1,0)-TblConstr[[#This Row],[Dest Tem]]</f>
        <v>50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50</v>
      </c>
      <c r="BP58" s="191" cm="1">
        <f t="array" aca="1" ref="BP58" ca="1">IF(TblConstr[[#This Row],[Hour]:[Hour]]&gt;12,OFFSET(TblConstr[[#This Row],[Sch]],-12,0),0)+OFFSET(TblConstr[[#This Row],[Tot Sch]],-1,0)-TblConstr[[#This Row],[Dest Sch]]</f>
        <v>50</v>
      </c>
      <c r="BQ58" s="192" cm="1">
        <f t="array" aca="1" ref="BQ58" ca="1">IF(TblConstr[[#This Row],[Hour]:[Hour]]&gt;12,OFFSET(TblConstr[[#This Row],[Doc]],-12,0),0)+OFFSET(TblConstr[[#This Row],[Tot Doc]],-1,0)-TblConstr[[#This Row],[Dest Doc]]</f>
        <v>0</v>
      </c>
      <c r="BR58" s="142"/>
      <c r="BS58" s="154"/>
      <c r="BT58" s="94">
        <f ca="1">TblConstr[[#This Row],[Land]]</f>
        <v>370</v>
      </c>
      <c r="BU58" s="159">
        <f ca="1">TblImps[[#This Row],[Time]]</f>
        <v>45817.249999999869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100</v>
      </c>
      <c r="DA58" s="94">
        <f t="shared" ca="1" si="13"/>
        <v>20</v>
      </c>
      <c r="DB58" s="45">
        <f t="shared" ca="1" si="14"/>
        <v>0</v>
      </c>
      <c r="DC58" s="94">
        <f t="shared" ca="1" si="15"/>
        <v>0</v>
      </c>
      <c r="DD58" s="94">
        <f t="shared" ca="1" si="16"/>
        <v>100</v>
      </c>
      <c r="DE58" s="45">
        <f t="shared" ca="1" si="17"/>
        <v>50</v>
      </c>
      <c r="DF58" s="94">
        <f t="shared" ca="1" si="18"/>
        <v>0</v>
      </c>
      <c r="DG58" s="94" cm="1">
        <f t="array" aca="1" ref="DG58" ca="1">INDEX(TblConstr[[Total Plain]:[Total Water]],ROW()-ROW(TblConstr[#Headers]),MATCH("Total "&amp;home_land,TblConstr[[#Headers],[Total Plain]:[Total Water]],0))+TblConstr[[#This Row],[Homes]]</f>
        <v>150</v>
      </c>
      <c r="DH58" s="45">
        <f t="shared" ca="1" si="10"/>
        <v>50</v>
      </c>
      <c r="DI58" s="45">
        <f t="shared" ca="1" si="0"/>
        <v>0</v>
      </c>
      <c r="DJ58" s="45">
        <f t="shared" ca="1" si="1"/>
        <v>0</v>
      </c>
    </row>
    <row r="59" spans="1:114" x14ac:dyDescent="0.2">
      <c r="A59" s="175">
        <f>TblRezone[[#This Row],[Hour]]</f>
        <v>56</v>
      </c>
      <c r="B59" s="176">
        <f ca="1">SUM(TblConstr[[#This Row],[Plain]:[Water]])</f>
        <v>20</v>
      </c>
      <c r="C59" s="177">
        <f ca="1">SUM(TblConstr[[#This Row],[Tot Hom]:[Tot Doc]])</f>
        <v>350</v>
      </c>
      <c r="D59" s="177">
        <f t="shared" si="11"/>
        <v>0</v>
      </c>
      <c r="E59" s="178"/>
      <c r="F59" s="61">
        <f ca="1">TblConstr[[#This Row],[Barren]]+TblConstr[[#This Row],[Buildings]]+TblConstr[[#This Row],[Incoming]]</f>
        <v>370</v>
      </c>
      <c r="G59" s="187">
        <f ca="1">OFFSET(TblConstr[[#This Row],[Plain]],-1,0)+TblConstr[[#This Row],[Ch_Plain]]</f>
        <v>20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45817.291666666533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926148</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59" s="94">
        <f ca="1">ROUNDDOWN( MAX(1 - MIN(facs_constr_factor*TblConstr[[#This Row],[Facs -DB]],facs_constr_max) + tech_1_11*TblTech[[#This Row],[11-1]] + tech_6_3_2*TblTech[[#This Row],[6-3]] + tech_5_2_3*TblTech[[#This Row],[5-2]], 1-global_constr_cap) * TblConstr[[#This Row],[RCPA Lumber]],0)</f>
        <v>122</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59" s="94">
        <f ca="1">ROUNDDOWN( MAX(1 - MIN(facs_constr_factor*TblConstr[[#This Row],[Facs DB]],facs_constr_max) + tech_1_11*TblTech[[#This Row],[1-11]] + tech_6_3_2*TblTech[[#This Row],[6-3]] + tech_5_2_3*TblTech[[#This Row],[5-2]], 1-global_constr_cap) * ROUND((TblConstr[[#This Row],[Land]]-250)*0.285 + 87.5 + 0/4.25,0),0)</f>
        <v>122</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1000</v>
      </c>
      <c r="AW59" s="94">
        <f ca="1">ROUND((TblConstr[[#This Row],[Land]]-250 - IF(TblExplore[[#This Row],[Land Bonus]]&lt;&gt;0,20,0))*0.285 + 87.5 + 0/4.25,0)</f>
        <v>122</v>
      </c>
      <c r="AX59" s="154"/>
      <c r="AY59" s="188" cm="1">
        <f t="array" aca="1" ref="AY59" ca="1">IF(TblConstr[[#This Row],[Hour]:[Hour]]&gt;12,OFFSET(TblConstr[[#This Row],[Hom]],-12,0),0)+OFFSET(TblConstr[[#This Row],[Tot Hom]],-1,0)-TblConstr[[#This Row],[Dest Hom]]</f>
        <v>50</v>
      </c>
      <c r="AZ59" s="189" cm="1">
        <f t="array" aca="1" ref="AZ59" ca="1">IF(TblConstr[[#This Row],[Hour]:[Hour]]&gt;12,OFFSET(TblConstr[[#This Row],[Alc]],-12,0),0)+OFFSET(TblConstr[[#This Row],[Tot Alc]],-1,0)-TblConstr[[#This Row],[Dest Alc]]</f>
        <v>50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50</v>
      </c>
      <c r="BM59" s="369" cm="1">
        <f t="array" aca="1" ref="BM59" ca="1">IF(TblConstr[[#This Row],[Hour]:[Hour]]&gt;12,OFFSET(TblConstr[[#This Row],[Tem]],-12,0),0)+OFFSET(TblConstr[[#This Row],[Tot Tem]],-1,0)-TblConstr[[#This Row],[Dest Tem]]</f>
        <v>50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50</v>
      </c>
      <c r="BP59" s="191" cm="1">
        <f t="array" aca="1" ref="BP59" ca="1">IF(TblConstr[[#This Row],[Hour]:[Hour]]&gt;12,OFFSET(TblConstr[[#This Row],[Sch]],-12,0),0)+OFFSET(TblConstr[[#This Row],[Tot Sch]],-1,0)-TblConstr[[#This Row],[Dest Sch]]</f>
        <v>50</v>
      </c>
      <c r="BQ59" s="192" cm="1">
        <f t="array" aca="1" ref="BQ59" ca="1">IF(TblConstr[[#This Row],[Hour]:[Hour]]&gt;12,OFFSET(TblConstr[[#This Row],[Doc]],-12,0),0)+OFFSET(TblConstr[[#This Row],[Tot Doc]],-1,0)-TblConstr[[#This Row],[Dest Doc]]</f>
        <v>0</v>
      </c>
      <c r="BR59" s="142"/>
      <c r="BS59" s="154"/>
      <c r="BT59" s="94">
        <f ca="1">TblConstr[[#This Row],[Land]]</f>
        <v>370</v>
      </c>
      <c r="BU59" s="159">
        <f ca="1">TblImps[[#This Row],[Time]]</f>
        <v>45817.291666666533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100</v>
      </c>
      <c r="DA59" s="94">
        <f t="shared" ca="1" si="13"/>
        <v>20</v>
      </c>
      <c r="DB59" s="45">
        <f t="shared" ca="1" si="14"/>
        <v>0</v>
      </c>
      <c r="DC59" s="94">
        <f t="shared" ca="1" si="15"/>
        <v>0</v>
      </c>
      <c r="DD59" s="94">
        <f t="shared" ca="1" si="16"/>
        <v>100</v>
      </c>
      <c r="DE59" s="45">
        <f t="shared" ca="1" si="17"/>
        <v>50</v>
      </c>
      <c r="DF59" s="94">
        <f t="shared" ca="1" si="18"/>
        <v>0</v>
      </c>
      <c r="DG59" s="94" cm="1">
        <f t="array" aca="1" ref="DG59" ca="1">INDEX(TblConstr[[Total Plain]:[Total Water]],ROW()-ROW(TblConstr[#Headers]),MATCH("Total "&amp;home_land,TblConstr[[#Headers],[Total Plain]:[Total Water]],0))+TblConstr[[#This Row],[Homes]]</f>
        <v>150</v>
      </c>
      <c r="DH59" s="45">
        <f t="shared" ca="1" si="10"/>
        <v>50</v>
      </c>
      <c r="DI59" s="45">
        <f t="shared" ca="1" si="0"/>
        <v>0</v>
      </c>
      <c r="DJ59" s="45">
        <f t="shared" ca="1" si="1"/>
        <v>0</v>
      </c>
    </row>
    <row r="60" spans="1:114" x14ac:dyDescent="0.2">
      <c r="A60" s="175">
        <f>TblRezone[[#This Row],[Hour]]</f>
        <v>57</v>
      </c>
      <c r="B60" s="176">
        <f ca="1">SUM(TblConstr[[#This Row],[Plain]:[Water]])</f>
        <v>20</v>
      </c>
      <c r="C60" s="177">
        <f ca="1">SUM(TblConstr[[#This Row],[Tot Hom]:[Tot Doc]])</f>
        <v>350</v>
      </c>
      <c r="D60" s="177">
        <f t="shared" si="11"/>
        <v>0</v>
      </c>
      <c r="E60" s="178"/>
      <c r="F60" s="61">
        <f ca="1">TblConstr[[#This Row],[Barren]]+TblConstr[[#This Row],[Buildings]]+TblConstr[[#This Row],[Incoming]]</f>
        <v>370</v>
      </c>
      <c r="G60" s="187">
        <f ca="1">OFFSET(TblConstr[[#This Row],[Plain]],-1,0)+TblConstr[[#This Row],[Ch_Plain]]</f>
        <v>20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45817.333333333198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937648</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60" s="94">
        <f ca="1">ROUNDDOWN( MAX(1 - MIN(facs_constr_factor*TblConstr[[#This Row],[Facs -DB]],facs_constr_max) + tech_1_11*TblTech[[#This Row],[11-1]] + tech_6_3_2*TblTech[[#This Row],[6-3]] + tech_5_2_3*TblTech[[#This Row],[5-2]], 1-global_constr_cap) * TblConstr[[#This Row],[RCPA Lumber]],0)</f>
        <v>122</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60" s="94">
        <f ca="1">ROUNDDOWN( MAX(1 - MIN(facs_constr_factor*TblConstr[[#This Row],[Facs DB]],facs_constr_max) + tech_1_11*TblTech[[#This Row],[1-11]] + tech_6_3_2*TblTech[[#This Row],[6-3]] + tech_5_2_3*TblTech[[#This Row],[5-2]], 1-global_constr_cap) * ROUND((TblConstr[[#This Row],[Land]]-250)*0.285 + 87.5 + 0/4.25,0),0)</f>
        <v>122</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1000</v>
      </c>
      <c r="AW60" s="94">
        <f ca="1">ROUND((TblConstr[[#This Row],[Land]]-250 - IF(TblExplore[[#This Row],[Land Bonus]]&lt;&gt;0,20,0))*0.285 + 87.5 + 0/4.25,0)</f>
        <v>122</v>
      </c>
      <c r="AX60" s="154"/>
      <c r="AY60" s="188" cm="1">
        <f t="array" aca="1" ref="AY60" ca="1">IF(TblConstr[[#This Row],[Hour]:[Hour]]&gt;12,OFFSET(TblConstr[[#This Row],[Hom]],-12,0),0)+OFFSET(TblConstr[[#This Row],[Tot Hom]],-1,0)-TblConstr[[#This Row],[Dest Hom]]</f>
        <v>50</v>
      </c>
      <c r="AZ60" s="189" cm="1">
        <f t="array" aca="1" ref="AZ60" ca="1">IF(TblConstr[[#This Row],[Hour]:[Hour]]&gt;12,OFFSET(TblConstr[[#This Row],[Alc]],-12,0),0)+OFFSET(TblConstr[[#This Row],[Tot Alc]],-1,0)-TblConstr[[#This Row],[Dest Alc]]</f>
        <v>50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50</v>
      </c>
      <c r="BM60" s="369" cm="1">
        <f t="array" aca="1" ref="BM60" ca="1">IF(TblConstr[[#This Row],[Hour]:[Hour]]&gt;12,OFFSET(TblConstr[[#This Row],[Tem]],-12,0),0)+OFFSET(TblConstr[[#This Row],[Tot Tem]],-1,0)-TblConstr[[#This Row],[Dest Tem]]</f>
        <v>50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50</v>
      </c>
      <c r="BP60" s="191" cm="1">
        <f t="array" aca="1" ref="BP60" ca="1">IF(TblConstr[[#This Row],[Hour]:[Hour]]&gt;12,OFFSET(TblConstr[[#This Row],[Sch]],-12,0),0)+OFFSET(TblConstr[[#This Row],[Tot Sch]],-1,0)-TblConstr[[#This Row],[Dest Sch]]</f>
        <v>50</v>
      </c>
      <c r="BQ60" s="192" cm="1">
        <f t="array" aca="1" ref="BQ60" ca="1">IF(TblConstr[[#This Row],[Hour]:[Hour]]&gt;12,OFFSET(TblConstr[[#This Row],[Doc]],-12,0),0)+OFFSET(TblConstr[[#This Row],[Tot Doc]],-1,0)-TblConstr[[#This Row],[Dest Doc]]</f>
        <v>0</v>
      </c>
      <c r="BR60" s="142"/>
      <c r="BS60" s="154"/>
      <c r="BT60" s="94">
        <f ca="1">TblConstr[[#This Row],[Land]]</f>
        <v>370</v>
      </c>
      <c r="BU60" s="159">
        <f ca="1">TblImps[[#This Row],[Time]]</f>
        <v>45817.333333333198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100</v>
      </c>
      <c r="DA60" s="94">
        <f t="shared" ca="1" si="13"/>
        <v>20</v>
      </c>
      <c r="DB60" s="45">
        <f t="shared" ca="1" si="14"/>
        <v>0</v>
      </c>
      <c r="DC60" s="94">
        <f t="shared" ca="1" si="15"/>
        <v>0</v>
      </c>
      <c r="DD60" s="94">
        <f t="shared" ca="1" si="16"/>
        <v>100</v>
      </c>
      <c r="DE60" s="45">
        <f t="shared" ca="1" si="17"/>
        <v>50</v>
      </c>
      <c r="DF60" s="94">
        <f t="shared" ca="1" si="18"/>
        <v>0</v>
      </c>
      <c r="DG60" s="94" cm="1">
        <f t="array" aca="1" ref="DG60" ca="1">INDEX(TblConstr[[Total Plain]:[Total Water]],ROW()-ROW(TblConstr[#Headers]),MATCH("Total "&amp;home_land,TblConstr[[#Headers],[Total Plain]:[Total Water]],0))+TblConstr[[#This Row],[Homes]]</f>
        <v>150</v>
      </c>
      <c r="DH60" s="45">
        <f t="shared" ca="1" si="10"/>
        <v>50</v>
      </c>
      <c r="DI60" s="45">
        <f t="shared" ca="1" si="0"/>
        <v>0</v>
      </c>
      <c r="DJ60" s="45">
        <f t="shared" ca="1" si="1"/>
        <v>0</v>
      </c>
    </row>
    <row r="61" spans="1:114" x14ac:dyDescent="0.2">
      <c r="A61" s="175">
        <f>TblRezone[[#This Row],[Hour]]</f>
        <v>58</v>
      </c>
      <c r="B61" s="176">
        <f ca="1">SUM(TblConstr[[#This Row],[Plain]:[Water]])</f>
        <v>20</v>
      </c>
      <c r="C61" s="177">
        <f ca="1">SUM(TblConstr[[#This Row],[Tot Hom]:[Tot Doc]])</f>
        <v>350</v>
      </c>
      <c r="D61" s="177">
        <f t="shared" si="11"/>
        <v>0</v>
      </c>
      <c r="E61" s="178"/>
      <c r="F61" s="61">
        <f ca="1">TblConstr[[#This Row],[Barren]]+TblConstr[[#This Row],[Buildings]]+TblConstr[[#This Row],[Incoming]]</f>
        <v>370</v>
      </c>
      <c r="G61" s="187">
        <f ca="1">OFFSET(TblConstr[[#This Row],[Plain]],-1,0)+TblConstr[[#This Row],[Ch_Plain]]</f>
        <v>20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45817.374999999862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949056</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61" s="94">
        <f ca="1">ROUNDDOWN( MAX(1 - MIN(facs_constr_factor*TblConstr[[#This Row],[Facs -DB]],facs_constr_max) + tech_1_11*TblTech[[#This Row],[11-1]] + tech_6_3_2*TblTech[[#This Row],[6-3]] + tech_5_2_3*TblTech[[#This Row],[5-2]], 1-global_constr_cap) * TblConstr[[#This Row],[RCPA Lumber]],0)</f>
        <v>122</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61" s="94">
        <f ca="1">ROUNDDOWN( MAX(1 - MIN(facs_constr_factor*TblConstr[[#This Row],[Facs DB]],facs_constr_max) + tech_1_11*TblTech[[#This Row],[1-11]] + tech_6_3_2*TblTech[[#This Row],[6-3]] + tech_5_2_3*TblTech[[#This Row],[5-2]], 1-global_constr_cap) * ROUND((TblConstr[[#This Row],[Land]]-250)*0.285 + 87.5 + 0/4.25,0),0)</f>
        <v>122</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1000</v>
      </c>
      <c r="AW61" s="94">
        <f ca="1">ROUND((TblConstr[[#This Row],[Land]]-250 - IF(TblExplore[[#This Row],[Land Bonus]]&lt;&gt;0,20,0))*0.285 + 87.5 + 0/4.25,0)</f>
        <v>122</v>
      </c>
      <c r="AX61" s="154"/>
      <c r="AY61" s="188" cm="1">
        <f t="array" aca="1" ref="AY61" ca="1">IF(TblConstr[[#This Row],[Hour]:[Hour]]&gt;12,OFFSET(TblConstr[[#This Row],[Hom]],-12,0),0)+OFFSET(TblConstr[[#This Row],[Tot Hom]],-1,0)-TblConstr[[#This Row],[Dest Hom]]</f>
        <v>50</v>
      </c>
      <c r="AZ61" s="189" cm="1">
        <f t="array" aca="1" ref="AZ61" ca="1">IF(TblConstr[[#This Row],[Hour]:[Hour]]&gt;12,OFFSET(TblConstr[[#This Row],[Alc]],-12,0),0)+OFFSET(TblConstr[[#This Row],[Tot Alc]],-1,0)-TblConstr[[#This Row],[Dest Alc]]</f>
        <v>50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50</v>
      </c>
      <c r="BM61" s="369" cm="1">
        <f t="array" aca="1" ref="BM61" ca="1">IF(TblConstr[[#This Row],[Hour]:[Hour]]&gt;12,OFFSET(TblConstr[[#This Row],[Tem]],-12,0),0)+OFFSET(TblConstr[[#This Row],[Tot Tem]],-1,0)-TblConstr[[#This Row],[Dest Tem]]</f>
        <v>50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50</v>
      </c>
      <c r="BP61" s="191" cm="1">
        <f t="array" aca="1" ref="BP61" ca="1">IF(TblConstr[[#This Row],[Hour]:[Hour]]&gt;12,OFFSET(TblConstr[[#This Row],[Sch]],-12,0),0)+OFFSET(TblConstr[[#This Row],[Tot Sch]],-1,0)-TblConstr[[#This Row],[Dest Sch]]</f>
        <v>50</v>
      </c>
      <c r="BQ61" s="192" cm="1">
        <f t="array" aca="1" ref="BQ61" ca="1">IF(TblConstr[[#This Row],[Hour]:[Hour]]&gt;12,OFFSET(TblConstr[[#This Row],[Doc]],-12,0),0)+OFFSET(TblConstr[[#This Row],[Tot Doc]],-1,0)-TblConstr[[#This Row],[Dest Doc]]</f>
        <v>0</v>
      </c>
      <c r="BR61" s="142"/>
      <c r="BS61" s="154"/>
      <c r="BT61" s="94">
        <f ca="1">TblConstr[[#This Row],[Land]]</f>
        <v>370</v>
      </c>
      <c r="BU61" s="159">
        <f ca="1">TblImps[[#This Row],[Time]]</f>
        <v>45817.374999999862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100</v>
      </c>
      <c r="DA61" s="94">
        <f t="shared" ca="1" si="13"/>
        <v>20</v>
      </c>
      <c r="DB61" s="45">
        <f t="shared" ca="1" si="14"/>
        <v>0</v>
      </c>
      <c r="DC61" s="94">
        <f t="shared" ca="1" si="15"/>
        <v>0</v>
      </c>
      <c r="DD61" s="94">
        <f t="shared" ca="1" si="16"/>
        <v>100</v>
      </c>
      <c r="DE61" s="45">
        <f t="shared" ca="1" si="17"/>
        <v>50</v>
      </c>
      <c r="DF61" s="94">
        <f t="shared" ca="1" si="18"/>
        <v>0</v>
      </c>
      <c r="DG61" s="94" cm="1">
        <f t="array" aca="1" ref="DG61" ca="1">INDEX(TblConstr[[Total Plain]:[Total Water]],ROW()-ROW(TblConstr[#Headers]),MATCH("Total "&amp;home_land,TblConstr[[#Headers],[Total Plain]:[Total Water]],0))+TblConstr[[#This Row],[Homes]]</f>
        <v>150</v>
      </c>
      <c r="DH61" s="45">
        <f t="shared" ca="1" si="10"/>
        <v>50</v>
      </c>
      <c r="DI61" s="45">
        <f t="shared" ca="1" si="0"/>
        <v>0</v>
      </c>
      <c r="DJ61" s="45">
        <f t="shared" ca="1" si="1"/>
        <v>0</v>
      </c>
    </row>
    <row r="62" spans="1:114" x14ac:dyDescent="0.2">
      <c r="A62" s="175">
        <f>TblRezone[[#This Row],[Hour]]</f>
        <v>59</v>
      </c>
      <c r="B62" s="176">
        <f ca="1">SUM(TblConstr[[#This Row],[Plain]:[Water]])</f>
        <v>20</v>
      </c>
      <c r="C62" s="177">
        <f ca="1">SUM(TblConstr[[#This Row],[Tot Hom]:[Tot Doc]])</f>
        <v>350</v>
      </c>
      <c r="D62" s="177">
        <f t="shared" si="11"/>
        <v>0</v>
      </c>
      <c r="E62" s="178"/>
      <c r="F62" s="61">
        <f ca="1">TblConstr[[#This Row],[Barren]]+TblConstr[[#This Row],[Buildings]]+TblConstr[[#This Row],[Incoming]]</f>
        <v>370</v>
      </c>
      <c r="G62" s="187">
        <f ca="1">OFFSET(TblConstr[[#This Row],[Plain]],-1,0)+TblConstr[[#This Row],[Ch_Plain]]</f>
        <v>20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45817.416666666526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960372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62" s="94">
        <f ca="1">ROUNDDOWN( MAX(1 - MIN(facs_constr_factor*TblConstr[[#This Row],[Facs -DB]],facs_constr_max) + tech_1_11*TblTech[[#This Row],[11-1]] + tech_6_3_2*TblTech[[#This Row],[6-3]] + tech_5_2_3*TblTech[[#This Row],[5-2]], 1-global_constr_cap) * TblConstr[[#This Row],[RCPA Lumber]],0)</f>
        <v>122</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62" s="94">
        <f ca="1">ROUNDDOWN( MAX(1 - MIN(facs_constr_factor*TblConstr[[#This Row],[Facs DB]],facs_constr_max) + tech_1_11*TblTech[[#This Row],[1-11]] + tech_6_3_2*TblTech[[#This Row],[6-3]] + tech_5_2_3*TblTech[[#This Row],[5-2]], 1-global_constr_cap) * ROUND((TblConstr[[#This Row],[Land]]-250)*0.285 + 87.5 + 0/4.25,0),0)</f>
        <v>122</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1000</v>
      </c>
      <c r="AW62" s="94">
        <f ca="1">ROUND((TblConstr[[#This Row],[Land]]-250 - IF(TblExplore[[#This Row],[Land Bonus]]&lt;&gt;0,20,0))*0.285 + 87.5 + 0/4.25,0)</f>
        <v>122</v>
      </c>
      <c r="AX62" s="154"/>
      <c r="AY62" s="188" cm="1">
        <f t="array" aca="1" ref="AY62" ca="1">IF(TblConstr[[#This Row],[Hour]:[Hour]]&gt;12,OFFSET(TblConstr[[#This Row],[Hom]],-12,0),0)+OFFSET(TblConstr[[#This Row],[Tot Hom]],-1,0)-TblConstr[[#This Row],[Dest Hom]]</f>
        <v>50</v>
      </c>
      <c r="AZ62" s="189" cm="1">
        <f t="array" aca="1" ref="AZ62" ca="1">IF(TblConstr[[#This Row],[Hour]:[Hour]]&gt;12,OFFSET(TblConstr[[#This Row],[Alc]],-12,0),0)+OFFSET(TblConstr[[#This Row],[Tot Alc]],-1,0)-TblConstr[[#This Row],[Dest Alc]]</f>
        <v>50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50</v>
      </c>
      <c r="BM62" s="369" cm="1">
        <f t="array" aca="1" ref="BM62" ca="1">IF(TblConstr[[#This Row],[Hour]:[Hour]]&gt;12,OFFSET(TblConstr[[#This Row],[Tem]],-12,0),0)+OFFSET(TblConstr[[#This Row],[Tot Tem]],-1,0)-TblConstr[[#This Row],[Dest Tem]]</f>
        <v>50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50</v>
      </c>
      <c r="BP62" s="191" cm="1">
        <f t="array" aca="1" ref="BP62" ca="1">IF(TblConstr[[#This Row],[Hour]:[Hour]]&gt;12,OFFSET(TblConstr[[#This Row],[Sch]],-12,0),0)+OFFSET(TblConstr[[#This Row],[Tot Sch]],-1,0)-TblConstr[[#This Row],[Dest Sch]]</f>
        <v>50</v>
      </c>
      <c r="BQ62" s="192" cm="1">
        <f t="array" aca="1" ref="BQ62" ca="1">IF(TblConstr[[#This Row],[Hour]:[Hour]]&gt;12,OFFSET(TblConstr[[#This Row],[Doc]],-12,0),0)+OFFSET(TblConstr[[#This Row],[Tot Doc]],-1,0)-TblConstr[[#This Row],[Dest Doc]]</f>
        <v>0</v>
      </c>
      <c r="BR62" s="142"/>
      <c r="BS62" s="154"/>
      <c r="BT62" s="94">
        <f ca="1">TblConstr[[#This Row],[Land]]</f>
        <v>370</v>
      </c>
      <c r="BU62" s="159">
        <f ca="1">TblImps[[#This Row],[Time]]</f>
        <v>45817.416666666526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100</v>
      </c>
      <c r="DA62" s="94">
        <f t="shared" ca="1" si="13"/>
        <v>20</v>
      </c>
      <c r="DB62" s="45">
        <f t="shared" ca="1" si="14"/>
        <v>0</v>
      </c>
      <c r="DC62" s="94">
        <f t="shared" ca="1" si="15"/>
        <v>0</v>
      </c>
      <c r="DD62" s="94">
        <f t="shared" ca="1" si="16"/>
        <v>100</v>
      </c>
      <c r="DE62" s="45">
        <f t="shared" ca="1" si="17"/>
        <v>50</v>
      </c>
      <c r="DF62" s="94">
        <f t="shared" ca="1" si="18"/>
        <v>0</v>
      </c>
      <c r="DG62" s="94" cm="1">
        <f t="array" aca="1" ref="DG62" ca="1">INDEX(TblConstr[[Total Plain]:[Total Water]],ROW()-ROW(TblConstr[#Headers]),MATCH("Total "&amp;home_land,TblConstr[[#Headers],[Total Plain]:[Total Water]],0))+TblConstr[[#This Row],[Homes]]</f>
        <v>150</v>
      </c>
      <c r="DH62" s="45">
        <f t="shared" ca="1" si="10"/>
        <v>50</v>
      </c>
      <c r="DI62" s="45">
        <f t="shared" ca="1" si="0"/>
        <v>0</v>
      </c>
      <c r="DJ62" s="45">
        <f t="shared" ca="1" si="1"/>
        <v>0</v>
      </c>
    </row>
    <row r="63" spans="1:114" x14ac:dyDescent="0.2">
      <c r="A63" s="175">
        <f>TblRezone[[#This Row],[Hour]]</f>
        <v>60</v>
      </c>
      <c r="B63" s="176">
        <f ca="1">SUM(TblConstr[[#This Row],[Plain]:[Water]])</f>
        <v>20</v>
      </c>
      <c r="C63" s="177">
        <f ca="1">SUM(TblConstr[[#This Row],[Tot Hom]:[Tot Doc]])</f>
        <v>350</v>
      </c>
      <c r="D63" s="177">
        <f t="shared" si="11"/>
        <v>0</v>
      </c>
      <c r="E63" s="178"/>
      <c r="F63" s="61">
        <f ca="1">TblConstr[[#This Row],[Barren]]+TblConstr[[#This Row],[Buildings]]+TblConstr[[#This Row],[Incoming]]</f>
        <v>370</v>
      </c>
      <c r="G63" s="187">
        <f ca="1">OFFSET(TblConstr[[#This Row],[Plain]],-1,0)+TblConstr[[#This Row],[Ch_Plain]]</f>
        <v>20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45817.45833333319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971596</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63" s="94">
        <f ca="1">ROUNDDOWN( MAX(1 - MIN(facs_constr_factor*TblConstr[[#This Row],[Facs -DB]],facs_constr_max) + tech_1_11*TblTech[[#This Row],[11-1]] + tech_6_3_2*TblTech[[#This Row],[6-3]] + tech_5_2_3*TblTech[[#This Row],[5-2]], 1-global_constr_cap) * TblConstr[[#This Row],[RCPA Lumber]],0)</f>
        <v>122</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63" s="94">
        <f ca="1">ROUNDDOWN( MAX(1 - MIN(facs_constr_factor*TblConstr[[#This Row],[Facs DB]],facs_constr_max) + tech_1_11*TblTech[[#This Row],[1-11]] + tech_6_3_2*TblTech[[#This Row],[6-3]] + tech_5_2_3*TblTech[[#This Row],[5-2]], 1-global_constr_cap) * ROUND((TblConstr[[#This Row],[Land]]-250)*0.285 + 87.5 + 0/4.25,0),0)</f>
        <v>122</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1000</v>
      </c>
      <c r="AW63" s="94">
        <f ca="1">ROUND((TblConstr[[#This Row],[Land]]-250 - IF(TblExplore[[#This Row],[Land Bonus]]&lt;&gt;0,20,0))*0.285 + 87.5 + 0/4.25,0)</f>
        <v>122</v>
      </c>
      <c r="AX63" s="154"/>
      <c r="AY63" s="188" cm="1">
        <f t="array" aca="1" ref="AY63" ca="1">IF(TblConstr[[#This Row],[Hour]:[Hour]]&gt;12,OFFSET(TblConstr[[#This Row],[Hom]],-12,0),0)+OFFSET(TblConstr[[#This Row],[Tot Hom]],-1,0)-TblConstr[[#This Row],[Dest Hom]]</f>
        <v>50</v>
      </c>
      <c r="AZ63" s="189" cm="1">
        <f t="array" aca="1" ref="AZ63" ca="1">IF(TblConstr[[#This Row],[Hour]:[Hour]]&gt;12,OFFSET(TblConstr[[#This Row],[Alc]],-12,0),0)+OFFSET(TblConstr[[#This Row],[Tot Alc]],-1,0)-TblConstr[[#This Row],[Dest Alc]]</f>
        <v>50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50</v>
      </c>
      <c r="BM63" s="369" cm="1">
        <f t="array" aca="1" ref="BM63" ca="1">IF(TblConstr[[#This Row],[Hour]:[Hour]]&gt;12,OFFSET(TblConstr[[#This Row],[Tem]],-12,0),0)+OFFSET(TblConstr[[#This Row],[Tot Tem]],-1,0)-TblConstr[[#This Row],[Dest Tem]]</f>
        <v>50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50</v>
      </c>
      <c r="BP63" s="191" cm="1">
        <f t="array" aca="1" ref="BP63" ca="1">IF(TblConstr[[#This Row],[Hour]:[Hour]]&gt;12,OFFSET(TblConstr[[#This Row],[Sch]],-12,0),0)+OFFSET(TblConstr[[#This Row],[Tot Sch]],-1,0)-TblConstr[[#This Row],[Dest Sch]]</f>
        <v>50</v>
      </c>
      <c r="BQ63" s="192" cm="1">
        <f t="array" aca="1" ref="BQ63" ca="1">IF(TblConstr[[#This Row],[Hour]:[Hour]]&gt;12,OFFSET(TblConstr[[#This Row],[Doc]],-12,0),0)+OFFSET(TblConstr[[#This Row],[Tot Doc]],-1,0)-TblConstr[[#This Row],[Dest Doc]]</f>
        <v>0</v>
      </c>
      <c r="BR63" s="142"/>
      <c r="BS63" s="154"/>
      <c r="BT63" s="94">
        <f ca="1">TblConstr[[#This Row],[Land]]</f>
        <v>370</v>
      </c>
      <c r="BU63" s="159">
        <f ca="1">TblImps[[#This Row],[Time]]</f>
        <v>45817.45833333319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100</v>
      </c>
      <c r="DA63" s="94">
        <f t="shared" ca="1" si="13"/>
        <v>20</v>
      </c>
      <c r="DB63" s="45">
        <f t="shared" ca="1" si="14"/>
        <v>0</v>
      </c>
      <c r="DC63" s="94">
        <f t="shared" ca="1" si="15"/>
        <v>0</v>
      </c>
      <c r="DD63" s="94">
        <f t="shared" ca="1" si="16"/>
        <v>100</v>
      </c>
      <c r="DE63" s="45">
        <f t="shared" ca="1" si="17"/>
        <v>50</v>
      </c>
      <c r="DF63" s="94">
        <f t="shared" ca="1" si="18"/>
        <v>0</v>
      </c>
      <c r="DG63" s="94" cm="1">
        <f t="array" aca="1" ref="DG63" ca="1">INDEX(TblConstr[[Total Plain]:[Total Water]],ROW()-ROW(TblConstr[#Headers]),MATCH("Total "&amp;home_land,TblConstr[[#Headers],[Total Plain]:[Total Water]],0))+TblConstr[[#This Row],[Homes]]</f>
        <v>150</v>
      </c>
      <c r="DH63" s="45">
        <f t="shared" ca="1" si="10"/>
        <v>50</v>
      </c>
      <c r="DI63" s="45">
        <f t="shared" ca="1" si="0"/>
        <v>0</v>
      </c>
      <c r="DJ63" s="45">
        <f t="shared" ca="1" si="1"/>
        <v>0</v>
      </c>
    </row>
    <row r="64" spans="1:114" x14ac:dyDescent="0.2">
      <c r="A64" s="175">
        <f>TblRezone[[#This Row],[Hour]]</f>
        <v>61</v>
      </c>
      <c r="B64" s="176">
        <f ca="1">SUM(TblConstr[[#This Row],[Plain]:[Water]])</f>
        <v>20</v>
      </c>
      <c r="C64" s="177">
        <f ca="1">SUM(TblConstr[[#This Row],[Tot Hom]:[Tot Doc]])</f>
        <v>350</v>
      </c>
      <c r="D64" s="177">
        <f t="shared" si="11"/>
        <v>0</v>
      </c>
      <c r="E64" s="178"/>
      <c r="F64" s="61">
        <f ca="1">TblConstr[[#This Row],[Barren]]+TblConstr[[#This Row],[Buildings]]+TblConstr[[#This Row],[Incoming]]</f>
        <v>370</v>
      </c>
      <c r="G64" s="187">
        <f ca="1">OFFSET(TblConstr[[#This Row],[Plain]],-1,0)+TblConstr[[#This Row],[Ch_Plain]]</f>
        <v>20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45817.499999999854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982731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64" s="94">
        <f ca="1">ROUNDDOWN( MAX(1 - MIN(facs_constr_factor*TblConstr[[#This Row],[Facs -DB]],facs_constr_max) + tech_1_11*TblTech[[#This Row],[11-1]] + tech_6_3_2*TblTech[[#This Row],[6-3]] + tech_5_2_3*TblTech[[#This Row],[5-2]], 1-global_constr_cap) * TblConstr[[#This Row],[RCPA Lumber]],0)</f>
        <v>122</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64" s="94">
        <f ca="1">ROUNDDOWN( MAX(1 - MIN(facs_constr_factor*TblConstr[[#This Row],[Facs DB]],facs_constr_max) + tech_1_11*TblTech[[#This Row],[1-11]] + tech_6_3_2*TblTech[[#This Row],[6-3]] + tech_5_2_3*TblTech[[#This Row],[5-2]], 1-global_constr_cap) * ROUND((TblConstr[[#This Row],[Land]]-250)*0.285 + 87.5 + 0/4.25,0),0)</f>
        <v>122</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1000</v>
      </c>
      <c r="AW64" s="94">
        <f ca="1">ROUND((TblConstr[[#This Row],[Land]]-250 - IF(TblExplore[[#This Row],[Land Bonus]]&lt;&gt;0,20,0))*0.285 + 87.5 + 0/4.25,0)</f>
        <v>122</v>
      </c>
      <c r="AX64" s="154"/>
      <c r="AY64" s="188" cm="1">
        <f t="array" aca="1" ref="AY64" ca="1">IF(TblConstr[[#This Row],[Hour]:[Hour]]&gt;12,OFFSET(TblConstr[[#This Row],[Hom]],-12,0),0)+OFFSET(TblConstr[[#This Row],[Tot Hom]],-1,0)-TblConstr[[#This Row],[Dest Hom]]</f>
        <v>50</v>
      </c>
      <c r="AZ64" s="189" cm="1">
        <f t="array" aca="1" ref="AZ64" ca="1">IF(TblConstr[[#This Row],[Hour]:[Hour]]&gt;12,OFFSET(TblConstr[[#This Row],[Alc]],-12,0),0)+OFFSET(TblConstr[[#This Row],[Tot Alc]],-1,0)-TblConstr[[#This Row],[Dest Alc]]</f>
        <v>50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50</v>
      </c>
      <c r="BM64" s="369" cm="1">
        <f t="array" aca="1" ref="BM64" ca="1">IF(TblConstr[[#This Row],[Hour]:[Hour]]&gt;12,OFFSET(TblConstr[[#This Row],[Tem]],-12,0),0)+OFFSET(TblConstr[[#This Row],[Tot Tem]],-1,0)-TblConstr[[#This Row],[Dest Tem]]</f>
        <v>50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50</v>
      </c>
      <c r="BP64" s="191" cm="1">
        <f t="array" aca="1" ref="BP64" ca="1">IF(TblConstr[[#This Row],[Hour]:[Hour]]&gt;12,OFFSET(TblConstr[[#This Row],[Sch]],-12,0),0)+OFFSET(TblConstr[[#This Row],[Tot Sch]],-1,0)-TblConstr[[#This Row],[Dest Sch]]</f>
        <v>50</v>
      </c>
      <c r="BQ64" s="192" cm="1">
        <f t="array" aca="1" ref="BQ64" ca="1">IF(TblConstr[[#This Row],[Hour]:[Hour]]&gt;12,OFFSET(TblConstr[[#This Row],[Doc]],-12,0),0)+OFFSET(TblConstr[[#This Row],[Tot Doc]],-1,0)-TblConstr[[#This Row],[Dest Doc]]</f>
        <v>0</v>
      </c>
      <c r="BR64" s="142"/>
      <c r="BS64" s="154"/>
      <c r="BT64" s="94">
        <f ca="1">TblConstr[[#This Row],[Land]]</f>
        <v>370</v>
      </c>
      <c r="BU64" s="159">
        <f ca="1">TblImps[[#This Row],[Time]]</f>
        <v>45817.499999999854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100</v>
      </c>
      <c r="DA64" s="94">
        <f t="shared" ca="1" si="13"/>
        <v>20</v>
      </c>
      <c r="DB64" s="45">
        <f t="shared" ca="1" si="14"/>
        <v>0</v>
      </c>
      <c r="DC64" s="94">
        <f t="shared" ca="1" si="15"/>
        <v>0</v>
      </c>
      <c r="DD64" s="94">
        <f t="shared" ca="1" si="16"/>
        <v>100</v>
      </c>
      <c r="DE64" s="45">
        <f t="shared" ca="1" si="17"/>
        <v>50</v>
      </c>
      <c r="DF64" s="94">
        <f t="shared" ca="1" si="18"/>
        <v>0</v>
      </c>
      <c r="DG64" s="94" cm="1">
        <f t="array" aca="1" ref="DG64" ca="1">INDEX(TblConstr[[Total Plain]:[Total Water]],ROW()-ROW(TblConstr[#Headers]),MATCH("Total "&amp;home_land,TblConstr[[#Headers],[Total Plain]:[Total Water]],0))+TblConstr[[#This Row],[Homes]]</f>
        <v>150</v>
      </c>
      <c r="DH64" s="45">
        <f t="shared" ca="1" si="10"/>
        <v>50</v>
      </c>
      <c r="DI64" s="45">
        <f t="shared" ca="1" si="0"/>
        <v>0</v>
      </c>
      <c r="DJ64" s="45">
        <f t="shared" ca="1" si="1"/>
        <v>0</v>
      </c>
    </row>
    <row r="65" spans="1:114" x14ac:dyDescent="0.2">
      <c r="A65" s="175">
        <f>TblRezone[[#This Row],[Hour]]</f>
        <v>62</v>
      </c>
      <c r="B65" s="176">
        <f ca="1">SUM(TblConstr[[#This Row],[Plain]:[Water]])</f>
        <v>20</v>
      </c>
      <c r="C65" s="177">
        <f ca="1">SUM(TblConstr[[#This Row],[Tot Hom]:[Tot Doc]])</f>
        <v>350</v>
      </c>
      <c r="D65" s="177">
        <f t="shared" si="11"/>
        <v>0</v>
      </c>
      <c r="E65" s="178"/>
      <c r="F65" s="61">
        <f ca="1">TblConstr[[#This Row],[Barren]]+TblConstr[[#This Row],[Buildings]]+TblConstr[[#This Row],[Incoming]]</f>
        <v>370</v>
      </c>
      <c r="G65" s="187">
        <f ca="1">OFFSET(TblConstr[[#This Row],[Plain]],-1,0)+TblConstr[[#This Row],[Ch_Plain]]</f>
        <v>20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45817.541666666519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993777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65" s="94">
        <f ca="1">ROUNDDOWN( MAX(1 - MIN(facs_constr_factor*TblConstr[[#This Row],[Facs -DB]],facs_constr_max) + tech_1_11*TblTech[[#This Row],[11-1]] + tech_6_3_2*TblTech[[#This Row],[6-3]] + tech_5_2_3*TblTech[[#This Row],[5-2]], 1-global_constr_cap) * TblConstr[[#This Row],[RCPA Lumber]],0)</f>
        <v>122</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65" s="94">
        <f ca="1">ROUNDDOWN( MAX(1 - MIN(facs_constr_factor*TblConstr[[#This Row],[Facs DB]],facs_constr_max) + tech_1_11*TblTech[[#This Row],[1-11]] + tech_6_3_2*TblTech[[#This Row],[6-3]] + tech_5_2_3*TblTech[[#This Row],[5-2]], 1-global_constr_cap) * ROUND((TblConstr[[#This Row],[Land]]-250)*0.285 + 87.5 + 0/4.25,0),0)</f>
        <v>122</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1000</v>
      </c>
      <c r="AW65" s="94">
        <f ca="1">ROUND((TblConstr[[#This Row],[Land]]-250 - IF(TblExplore[[#This Row],[Land Bonus]]&lt;&gt;0,20,0))*0.285 + 87.5 + 0/4.25,0)</f>
        <v>122</v>
      </c>
      <c r="AX65" s="154"/>
      <c r="AY65" s="188" cm="1">
        <f t="array" aca="1" ref="AY65" ca="1">IF(TblConstr[[#This Row],[Hour]:[Hour]]&gt;12,OFFSET(TblConstr[[#This Row],[Hom]],-12,0),0)+OFFSET(TblConstr[[#This Row],[Tot Hom]],-1,0)-TblConstr[[#This Row],[Dest Hom]]</f>
        <v>50</v>
      </c>
      <c r="AZ65" s="189" cm="1">
        <f t="array" aca="1" ref="AZ65" ca="1">IF(TblConstr[[#This Row],[Hour]:[Hour]]&gt;12,OFFSET(TblConstr[[#This Row],[Alc]],-12,0),0)+OFFSET(TblConstr[[#This Row],[Tot Alc]],-1,0)-TblConstr[[#This Row],[Dest Alc]]</f>
        <v>50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50</v>
      </c>
      <c r="BM65" s="369" cm="1">
        <f t="array" aca="1" ref="BM65" ca="1">IF(TblConstr[[#This Row],[Hour]:[Hour]]&gt;12,OFFSET(TblConstr[[#This Row],[Tem]],-12,0),0)+OFFSET(TblConstr[[#This Row],[Tot Tem]],-1,0)-TblConstr[[#This Row],[Dest Tem]]</f>
        <v>50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50</v>
      </c>
      <c r="BP65" s="191" cm="1">
        <f t="array" aca="1" ref="BP65" ca="1">IF(TblConstr[[#This Row],[Hour]:[Hour]]&gt;12,OFFSET(TblConstr[[#This Row],[Sch]],-12,0),0)+OFFSET(TblConstr[[#This Row],[Tot Sch]],-1,0)-TblConstr[[#This Row],[Dest Sch]]</f>
        <v>50</v>
      </c>
      <c r="BQ65" s="192" cm="1">
        <f t="array" aca="1" ref="BQ65" ca="1">IF(TblConstr[[#This Row],[Hour]:[Hour]]&gt;12,OFFSET(TblConstr[[#This Row],[Doc]],-12,0),0)+OFFSET(TblConstr[[#This Row],[Tot Doc]],-1,0)-TblConstr[[#This Row],[Dest Doc]]</f>
        <v>0</v>
      </c>
      <c r="BR65" s="142"/>
      <c r="BS65" s="154"/>
      <c r="BT65" s="94">
        <f ca="1">TblConstr[[#This Row],[Land]]</f>
        <v>370</v>
      </c>
      <c r="BU65" s="159">
        <f ca="1">TblImps[[#This Row],[Time]]</f>
        <v>45817.541666666519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100</v>
      </c>
      <c r="DA65" s="94">
        <f t="shared" ca="1" si="13"/>
        <v>20</v>
      </c>
      <c r="DB65" s="45">
        <f t="shared" ca="1" si="14"/>
        <v>0</v>
      </c>
      <c r="DC65" s="94">
        <f t="shared" ca="1" si="15"/>
        <v>0</v>
      </c>
      <c r="DD65" s="94">
        <f t="shared" ca="1" si="16"/>
        <v>100</v>
      </c>
      <c r="DE65" s="45">
        <f t="shared" ca="1" si="17"/>
        <v>50</v>
      </c>
      <c r="DF65" s="94">
        <f t="shared" ca="1" si="18"/>
        <v>0</v>
      </c>
      <c r="DG65" s="94" cm="1">
        <f t="array" aca="1" ref="DG65" ca="1">INDEX(TblConstr[[Total Plain]:[Total Water]],ROW()-ROW(TblConstr[#Headers]),MATCH("Total "&amp;home_land,TblConstr[[#Headers],[Total Plain]:[Total Water]],0))+TblConstr[[#This Row],[Homes]]</f>
        <v>150</v>
      </c>
      <c r="DH65" s="45">
        <f t="shared" ca="1" si="10"/>
        <v>50</v>
      </c>
      <c r="DI65" s="45">
        <f t="shared" ca="1" si="0"/>
        <v>0</v>
      </c>
      <c r="DJ65" s="45">
        <f t="shared" ca="1" si="1"/>
        <v>0</v>
      </c>
    </row>
    <row r="66" spans="1:114" x14ac:dyDescent="0.2">
      <c r="A66" s="175">
        <f>TblRezone[[#This Row],[Hour]]</f>
        <v>63</v>
      </c>
      <c r="B66" s="176">
        <f ca="1">SUM(TblConstr[[#This Row],[Plain]:[Water]])</f>
        <v>20</v>
      </c>
      <c r="C66" s="177">
        <f ca="1">SUM(TblConstr[[#This Row],[Tot Hom]:[Tot Doc]])</f>
        <v>350</v>
      </c>
      <c r="D66" s="177">
        <f t="shared" si="11"/>
        <v>0</v>
      </c>
      <c r="E66" s="178"/>
      <c r="F66" s="61">
        <f ca="1">TblConstr[[#This Row],[Barren]]+TblConstr[[#This Row],[Buildings]]+TblConstr[[#This Row],[Incoming]]</f>
        <v>370</v>
      </c>
      <c r="G66" s="187">
        <f ca="1">OFFSET(TblConstr[[#This Row],[Plain]],-1,0)+TblConstr[[#This Row],[Ch_Plain]]</f>
        <v>20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45817.583333333183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1004734</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66" s="94">
        <f ca="1">ROUNDDOWN( MAX(1 - MIN(facs_constr_factor*TblConstr[[#This Row],[Facs -DB]],facs_constr_max) + tech_1_11*TblTech[[#This Row],[11-1]] + tech_6_3_2*TblTech[[#This Row],[6-3]] + tech_5_2_3*TblTech[[#This Row],[5-2]], 1-global_constr_cap) * TblConstr[[#This Row],[RCPA Lumber]],0)</f>
        <v>122</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66" s="94">
        <f ca="1">ROUNDDOWN( MAX(1 - MIN(facs_constr_factor*TblConstr[[#This Row],[Facs DB]],facs_constr_max) + tech_1_11*TblTech[[#This Row],[1-11]] + tech_6_3_2*TblTech[[#This Row],[6-3]] + tech_5_2_3*TblTech[[#This Row],[5-2]], 1-global_constr_cap) * ROUND((TblConstr[[#This Row],[Land]]-250)*0.285 + 87.5 + 0/4.25,0),0)</f>
        <v>122</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1000</v>
      </c>
      <c r="AW66" s="94">
        <f ca="1">ROUND((TblConstr[[#This Row],[Land]]-250 - IF(TblExplore[[#This Row],[Land Bonus]]&lt;&gt;0,20,0))*0.285 + 87.5 + 0/4.25,0)</f>
        <v>122</v>
      </c>
      <c r="AX66" s="154"/>
      <c r="AY66" s="188" cm="1">
        <f t="array" aca="1" ref="AY66" ca="1">IF(TblConstr[[#This Row],[Hour]:[Hour]]&gt;12,OFFSET(TblConstr[[#This Row],[Hom]],-12,0),0)+OFFSET(TblConstr[[#This Row],[Tot Hom]],-1,0)-TblConstr[[#This Row],[Dest Hom]]</f>
        <v>50</v>
      </c>
      <c r="AZ66" s="189" cm="1">
        <f t="array" aca="1" ref="AZ66" ca="1">IF(TblConstr[[#This Row],[Hour]:[Hour]]&gt;12,OFFSET(TblConstr[[#This Row],[Alc]],-12,0),0)+OFFSET(TblConstr[[#This Row],[Tot Alc]],-1,0)-TblConstr[[#This Row],[Dest Alc]]</f>
        <v>50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50</v>
      </c>
      <c r="BM66" s="369" cm="1">
        <f t="array" aca="1" ref="BM66" ca="1">IF(TblConstr[[#This Row],[Hour]:[Hour]]&gt;12,OFFSET(TblConstr[[#This Row],[Tem]],-12,0),0)+OFFSET(TblConstr[[#This Row],[Tot Tem]],-1,0)-TblConstr[[#This Row],[Dest Tem]]</f>
        <v>50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50</v>
      </c>
      <c r="BP66" s="191" cm="1">
        <f t="array" aca="1" ref="BP66" ca="1">IF(TblConstr[[#This Row],[Hour]:[Hour]]&gt;12,OFFSET(TblConstr[[#This Row],[Sch]],-12,0),0)+OFFSET(TblConstr[[#This Row],[Tot Sch]],-1,0)-TblConstr[[#This Row],[Dest Sch]]</f>
        <v>50</v>
      </c>
      <c r="BQ66" s="192" cm="1">
        <f t="array" aca="1" ref="BQ66" ca="1">IF(TblConstr[[#This Row],[Hour]:[Hour]]&gt;12,OFFSET(TblConstr[[#This Row],[Doc]],-12,0),0)+OFFSET(TblConstr[[#This Row],[Tot Doc]],-1,0)-TblConstr[[#This Row],[Dest Doc]]</f>
        <v>0</v>
      </c>
      <c r="BR66" s="142"/>
      <c r="BS66" s="154"/>
      <c r="BT66" s="94">
        <f ca="1">TblConstr[[#This Row],[Land]]</f>
        <v>370</v>
      </c>
      <c r="BU66" s="159">
        <f ca="1">TblImps[[#This Row],[Time]]</f>
        <v>45817.583333333183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100</v>
      </c>
      <c r="DA66" s="94">
        <f t="shared" ca="1" si="13"/>
        <v>20</v>
      </c>
      <c r="DB66" s="45">
        <f t="shared" ca="1" si="14"/>
        <v>0</v>
      </c>
      <c r="DC66" s="94">
        <f t="shared" ca="1" si="15"/>
        <v>0</v>
      </c>
      <c r="DD66" s="94">
        <f t="shared" ca="1" si="16"/>
        <v>100</v>
      </c>
      <c r="DE66" s="45">
        <f t="shared" ca="1" si="17"/>
        <v>50</v>
      </c>
      <c r="DF66" s="94">
        <f t="shared" ca="1" si="18"/>
        <v>0</v>
      </c>
      <c r="DG66" s="94" cm="1">
        <f t="array" aca="1" ref="DG66" ca="1">INDEX(TblConstr[[Total Plain]:[Total Water]],ROW()-ROW(TblConstr[#Headers]),MATCH("Total "&amp;home_land,TblConstr[[#Headers],[Total Plain]:[Total Water]],0))+TblConstr[[#This Row],[Homes]]</f>
        <v>150</v>
      </c>
      <c r="DH66" s="45">
        <f t="shared" ca="1" si="10"/>
        <v>50</v>
      </c>
      <c r="DI66" s="45">
        <f t="shared" ca="1" si="0"/>
        <v>0</v>
      </c>
      <c r="DJ66" s="45">
        <f t="shared" ca="1" si="1"/>
        <v>0</v>
      </c>
    </row>
    <row r="67" spans="1:114" x14ac:dyDescent="0.2">
      <c r="A67" s="175">
        <f>TblRezone[[#This Row],[Hour]]</f>
        <v>64</v>
      </c>
      <c r="B67" s="176">
        <f ca="1">SUM(TblConstr[[#This Row],[Plain]:[Water]])</f>
        <v>20</v>
      </c>
      <c r="C67" s="177">
        <f ca="1">SUM(TblConstr[[#This Row],[Tot Hom]:[Tot Doc]])</f>
        <v>350</v>
      </c>
      <c r="D67" s="177">
        <f t="shared" si="11"/>
        <v>0</v>
      </c>
      <c r="E67" s="178"/>
      <c r="F67" s="61">
        <f ca="1">TblConstr[[#This Row],[Barren]]+TblConstr[[#This Row],[Buildings]]+TblConstr[[#This Row],[Incoming]]</f>
        <v>370</v>
      </c>
      <c r="G67" s="187">
        <f ca="1">OFFSET(TblConstr[[#This Row],[Plain]],-1,0)+TblConstr[[#This Row],[Ch_Plain]]</f>
        <v>20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45817.624999999847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1015605</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67" s="94">
        <f ca="1">ROUNDDOWN( MAX(1 - MIN(facs_constr_factor*TblConstr[[#This Row],[Facs -DB]],facs_constr_max) + tech_1_11*TblTech[[#This Row],[11-1]] + tech_6_3_2*TblTech[[#This Row],[6-3]] + tech_5_2_3*TblTech[[#This Row],[5-2]], 1-global_constr_cap) * TblConstr[[#This Row],[RCPA Lumber]],0)</f>
        <v>122</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67" s="94">
        <f ca="1">ROUNDDOWN( MAX(1 - MIN(facs_constr_factor*TblConstr[[#This Row],[Facs DB]],facs_constr_max) + tech_1_11*TblTech[[#This Row],[1-11]] + tech_6_3_2*TblTech[[#This Row],[6-3]] + tech_5_2_3*TblTech[[#This Row],[5-2]], 1-global_constr_cap) * ROUND((TblConstr[[#This Row],[Land]]-250)*0.285 + 87.5 + 0/4.25,0),0)</f>
        <v>122</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1000</v>
      </c>
      <c r="AW67" s="94">
        <f ca="1">ROUND((TblConstr[[#This Row],[Land]]-250 - IF(TblExplore[[#This Row],[Land Bonus]]&lt;&gt;0,20,0))*0.285 + 87.5 + 0/4.25,0)</f>
        <v>122</v>
      </c>
      <c r="AX67" s="154"/>
      <c r="AY67" s="188" cm="1">
        <f t="array" aca="1" ref="AY67" ca="1">IF(TblConstr[[#This Row],[Hour]:[Hour]]&gt;12,OFFSET(TblConstr[[#This Row],[Hom]],-12,0),0)+OFFSET(TblConstr[[#This Row],[Tot Hom]],-1,0)-TblConstr[[#This Row],[Dest Hom]]</f>
        <v>50</v>
      </c>
      <c r="AZ67" s="189" cm="1">
        <f t="array" aca="1" ref="AZ67" ca="1">IF(TblConstr[[#This Row],[Hour]:[Hour]]&gt;12,OFFSET(TblConstr[[#This Row],[Alc]],-12,0),0)+OFFSET(TblConstr[[#This Row],[Tot Alc]],-1,0)-TblConstr[[#This Row],[Dest Alc]]</f>
        <v>50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50</v>
      </c>
      <c r="BM67" s="369" cm="1">
        <f t="array" aca="1" ref="BM67" ca="1">IF(TblConstr[[#This Row],[Hour]:[Hour]]&gt;12,OFFSET(TblConstr[[#This Row],[Tem]],-12,0),0)+OFFSET(TblConstr[[#This Row],[Tot Tem]],-1,0)-TblConstr[[#This Row],[Dest Tem]]</f>
        <v>50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50</v>
      </c>
      <c r="BP67" s="191" cm="1">
        <f t="array" aca="1" ref="BP67" ca="1">IF(TblConstr[[#This Row],[Hour]:[Hour]]&gt;12,OFFSET(TblConstr[[#This Row],[Sch]],-12,0),0)+OFFSET(TblConstr[[#This Row],[Tot Sch]],-1,0)-TblConstr[[#This Row],[Dest Sch]]</f>
        <v>50</v>
      </c>
      <c r="BQ67" s="192" cm="1">
        <f t="array" aca="1" ref="BQ67" ca="1">IF(TblConstr[[#This Row],[Hour]:[Hour]]&gt;12,OFFSET(TblConstr[[#This Row],[Doc]],-12,0),0)+OFFSET(TblConstr[[#This Row],[Tot Doc]],-1,0)-TblConstr[[#This Row],[Dest Doc]]</f>
        <v>0</v>
      </c>
      <c r="BR67" s="142"/>
      <c r="BS67" s="154"/>
      <c r="BT67" s="94">
        <f ca="1">TblConstr[[#This Row],[Land]]</f>
        <v>370</v>
      </c>
      <c r="BU67" s="159">
        <f ca="1">TblImps[[#This Row],[Time]]</f>
        <v>45817.624999999847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100</v>
      </c>
      <c r="DA67" s="94">
        <f t="shared" ca="1" si="13"/>
        <v>20</v>
      </c>
      <c r="DB67" s="45">
        <f t="shared" ca="1" si="14"/>
        <v>0</v>
      </c>
      <c r="DC67" s="94">
        <f t="shared" ca="1" si="15"/>
        <v>0</v>
      </c>
      <c r="DD67" s="94">
        <f t="shared" ca="1" si="16"/>
        <v>100</v>
      </c>
      <c r="DE67" s="45">
        <f t="shared" ca="1" si="17"/>
        <v>50</v>
      </c>
      <c r="DF67" s="94">
        <f t="shared" ca="1" si="18"/>
        <v>0</v>
      </c>
      <c r="DG67" s="94" cm="1">
        <f t="array" aca="1" ref="DG67" ca="1">INDEX(TblConstr[[Total Plain]:[Total Water]],ROW()-ROW(TblConstr[#Headers]),MATCH("Total "&amp;home_land,TblConstr[[#Headers],[Total Plain]:[Total Water]],0))+TblConstr[[#This Row],[Homes]]</f>
        <v>150</v>
      </c>
      <c r="DH67" s="45">
        <f t="shared" ca="1" si="10"/>
        <v>50</v>
      </c>
      <c r="DI67" s="45">
        <f t="shared" ca="1" si="0"/>
        <v>0</v>
      </c>
      <c r="DJ67" s="45">
        <f t="shared" ca="1" si="1"/>
        <v>0</v>
      </c>
    </row>
    <row r="68" spans="1:114" x14ac:dyDescent="0.2">
      <c r="A68" s="175">
        <f>TblRezone[[#This Row],[Hour]]</f>
        <v>65</v>
      </c>
      <c r="B68" s="176">
        <f ca="1">SUM(TblConstr[[#This Row],[Plain]:[Water]])</f>
        <v>20</v>
      </c>
      <c r="C68" s="177">
        <f ca="1">SUM(TblConstr[[#This Row],[Tot Hom]:[Tot Doc]])</f>
        <v>350</v>
      </c>
      <c r="D68" s="177">
        <f t="shared" si="11"/>
        <v>0</v>
      </c>
      <c r="E68" s="178"/>
      <c r="F68" s="61">
        <f ca="1">TblConstr[[#This Row],[Barren]]+TblConstr[[#This Row],[Buildings]]+TblConstr[[#This Row],[Incoming]]</f>
        <v>370</v>
      </c>
      <c r="G68" s="187">
        <f ca="1">OFFSET(TblConstr[[#This Row],[Plain]],-1,0)+TblConstr[[#This Row],[Ch_Plain]]</f>
        <v>20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45817.666666666511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1026389</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68" s="94">
        <f ca="1">ROUNDDOWN( MAX(1 - MIN(facs_constr_factor*TblConstr[[#This Row],[Facs -DB]],facs_constr_max) + tech_1_11*TblTech[[#This Row],[11-1]] + tech_6_3_2*TblTech[[#This Row],[6-3]] + tech_5_2_3*TblTech[[#This Row],[5-2]], 1-global_constr_cap) * TblConstr[[#This Row],[RCPA Lumber]],0)</f>
        <v>122</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68" s="94">
        <f ca="1">ROUNDDOWN( MAX(1 - MIN(facs_constr_factor*TblConstr[[#This Row],[Facs DB]],facs_constr_max) + tech_1_11*TblTech[[#This Row],[1-11]] + tech_6_3_2*TblTech[[#This Row],[6-3]] + tech_5_2_3*TblTech[[#This Row],[5-2]], 1-global_constr_cap) * ROUND((TblConstr[[#This Row],[Land]]-250)*0.285 + 87.5 + 0/4.25,0),0)</f>
        <v>122</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1000</v>
      </c>
      <c r="AW68" s="94">
        <f ca="1">ROUND((TblConstr[[#This Row],[Land]]-250 - IF(TblExplore[[#This Row],[Land Bonus]]&lt;&gt;0,20,0))*0.285 + 87.5 + 0/4.25,0)</f>
        <v>122</v>
      </c>
      <c r="AX68" s="154"/>
      <c r="AY68" s="188" cm="1">
        <f t="array" aca="1" ref="AY68" ca="1">IF(TblConstr[[#This Row],[Hour]:[Hour]]&gt;12,OFFSET(TblConstr[[#This Row],[Hom]],-12,0),0)+OFFSET(TblConstr[[#This Row],[Tot Hom]],-1,0)-TblConstr[[#This Row],[Dest Hom]]</f>
        <v>50</v>
      </c>
      <c r="AZ68" s="189" cm="1">
        <f t="array" aca="1" ref="AZ68" ca="1">IF(TblConstr[[#This Row],[Hour]:[Hour]]&gt;12,OFFSET(TblConstr[[#This Row],[Alc]],-12,0),0)+OFFSET(TblConstr[[#This Row],[Tot Alc]],-1,0)-TblConstr[[#This Row],[Dest Alc]]</f>
        <v>50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50</v>
      </c>
      <c r="BM68" s="369" cm="1">
        <f t="array" aca="1" ref="BM68" ca="1">IF(TblConstr[[#This Row],[Hour]:[Hour]]&gt;12,OFFSET(TblConstr[[#This Row],[Tem]],-12,0),0)+OFFSET(TblConstr[[#This Row],[Tot Tem]],-1,0)-TblConstr[[#This Row],[Dest Tem]]</f>
        <v>50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50</v>
      </c>
      <c r="BP68" s="191" cm="1">
        <f t="array" aca="1" ref="BP68" ca="1">IF(TblConstr[[#This Row],[Hour]:[Hour]]&gt;12,OFFSET(TblConstr[[#This Row],[Sch]],-12,0),0)+OFFSET(TblConstr[[#This Row],[Tot Sch]],-1,0)-TblConstr[[#This Row],[Dest Sch]]</f>
        <v>50</v>
      </c>
      <c r="BQ68" s="192" cm="1">
        <f t="array" aca="1" ref="BQ68" ca="1">IF(TblConstr[[#This Row],[Hour]:[Hour]]&gt;12,OFFSET(TblConstr[[#This Row],[Doc]],-12,0),0)+OFFSET(TblConstr[[#This Row],[Tot Doc]],-1,0)-TblConstr[[#This Row],[Dest Doc]]</f>
        <v>0</v>
      </c>
      <c r="BR68" s="142"/>
      <c r="BS68" s="154"/>
      <c r="BT68" s="94">
        <f ca="1">TblConstr[[#This Row],[Land]]</f>
        <v>370</v>
      </c>
      <c r="BU68" s="159">
        <f ca="1">TblImps[[#This Row],[Time]]</f>
        <v>45817.666666666511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100</v>
      </c>
      <c r="DA68" s="94">
        <f t="shared" ca="1" si="13"/>
        <v>20</v>
      </c>
      <c r="DB68" s="45">
        <f t="shared" ca="1" si="14"/>
        <v>0</v>
      </c>
      <c r="DC68" s="94">
        <f t="shared" ca="1" si="15"/>
        <v>0</v>
      </c>
      <c r="DD68" s="94">
        <f t="shared" ca="1" si="16"/>
        <v>100</v>
      </c>
      <c r="DE68" s="45">
        <f t="shared" ca="1" si="17"/>
        <v>50</v>
      </c>
      <c r="DF68" s="94">
        <f t="shared" ca="1" si="18"/>
        <v>0</v>
      </c>
      <c r="DG68" s="94" cm="1">
        <f t="array" aca="1" ref="DG68" ca="1">INDEX(TblConstr[[Total Plain]:[Total Water]],ROW()-ROW(TblConstr[#Headers]),MATCH("Total "&amp;home_land,TblConstr[[#Headers],[Total Plain]:[Total Water]],0))+TblConstr[[#This Row],[Homes]]</f>
        <v>150</v>
      </c>
      <c r="DH68" s="45">
        <f t="shared" ca="1" si="10"/>
        <v>50</v>
      </c>
      <c r="DI68" s="45">
        <f t="shared" ca="1" si="0"/>
        <v>0</v>
      </c>
      <c r="DJ68" s="45">
        <f t="shared" ca="1" si="1"/>
        <v>0</v>
      </c>
    </row>
    <row r="69" spans="1:114" x14ac:dyDescent="0.2">
      <c r="A69" s="175">
        <f>TblRezone[[#This Row],[Hour]]</f>
        <v>66</v>
      </c>
      <c r="B69" s="176">
        <f ca="1">SUM(TblConstr[[#This Row],[Plain]:[Water]])</f>
        <v>20</v>
      </c>
      <c r="C69" s="177">
        <f ca="1">SUM(TblConstr[[#This Row],[Tot Hom]:[Tot Doc]])</f>
        <v>350</v>
      </c>
      <c r="D69" s="177">
        <f t="shared" si="11"/>
        <v>0</v>
      </c>
      <c r="E69" s="178"/>
      <c r="F69" s="61">
        <f ca="1">TblConstr[[#This Row],[Barren]]+TblConstr[[#This Row],[Buildings]]+TblConstr[[#This Row],[Incoming]]</f>
        <v>370</v>
      </c>
      <c r="G69" s="187">
        <f ca="1">OFFSET(TblConstr[[#This Row],[Plain]],-1,0)+TblConstr[[#This Row],[Ch_Plain]]</f>
        <v>20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45817.708333333176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1037087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69" s="94">
        <f ca="1">ROUNDDOWN( MAX(1 - MIN(facs_constr_factor*TblConstr[[#This Row],[Facs -DB]],facs_constr_max) + tech_1_11*TblTech[[#This Row],[11-1]] + tech_6_3_2*TblTech[[#This Row],[6-3]] + tech_5_2_3*TblTech[[#This Row],[5-2]], 1-global_constr_cap) * TblConstr[[#This Row],[RCPA Lumber]],0)</f>
        <v>122</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69" s="94">
        <f ca="1">ROUNDDOWN( MAX(1 - MIN(facs_constr_factor*TblConstr[[#This Row],[Facs DB]],facs_constr_max) + tech_1_11*TblTech[[#This Row],[1-11]] + tech_6_3_2*TblTech[[#This Row],[6-3]] + tech_5_2_3*TblTech[[#This Row],[5-2]], 1-global_constr_cap) * ROUND((TblConstr[[#This Row],[Land]]-250)*0.285 + 87.5 + 0/4.25,0),0)</f>
        <v>122</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1000</v>
      </c>
      <c r="AW69" s="94">
        <f ca="1">ROUND((TblConstr[[#This Row],[Land]]-250 - IF(TblExplore[[#This Row],[Land Bonus]]&lt;&gt;0,20,0))*0.285 + 87.5 + 0/4.25,0)</f>
        <v>122</v>
      </c>
      <c r="AX69" s="154"/>
      <c r="AY69" s="188" cm="1">
        <f t="array" aca="1" ref="AY69" ca="1">IF(TblConstr[[#This Row],[Hour]:[Hour]]&gt;12,OFFSET(TblConstr[[#This Row],[Hom]],-12,0),0)+OFFSET(TblConstr[[#This Row],[Tot Hom]],-1,0)-TblConstr[[#This Row],[Dest Hom]]</f>
        <v>50</v>
      </c>
      <c r="AZ69" s="189" cm="1">
        <f t="array" aca="1" ref="AZ69" ca="1">IF(TblConstr[[#This Row],[Hour]:[Hour]]&gt;12,OFFSET(TblConstr[[#This Row],[Alc]],-12,0),0)+OFFSET(TblConstr[[#This Row],[Tot Alc]],-1,0)-TblConstr[[#This Row],[Dest Alc]]</f>
        <v>50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50</v>
      </c>
      <c r="BM69" s="369" cm="1">
        <f t="array" aca="1" ref="BM69" ca="1">IF(TblConstr[[#This Row],[Hour]:[Hour]]&gt;12,OFFSET(TblConstr[[#This Row],[Tem]],-12,0),0)+OFFSET(TblConstr[[#This Row],[Tot Tem]],-1,0)-TblConstr[[#This Row],[Dest Tem]]</f>
        <v>50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50</v>
      </c>
      <c r="BP69" s="191" cm="1">
        <f t="array" aca="1" ref="BP69" ca="1">IF(TblConstr[[#This Row],[Hour]:[Hour]]&gt;12,OFFSET(TblConstr[[#This Row],[Sch]],-12,0),0)+OFFSET(TblConstr[[#This Row],[Tot Sch]],-1,0)-TblConstr[[#This Row],[Dest Sch]]</f>
        <v>50</v>
      </c>
      <c r="BQ69" s="192" cm="1">
        <f t="array" aca="1" ref="BQ69" ca="1">IF(TblConstr[[#This Row],[Hour]:[Hour]]&gt;12,OFFSET(TblConstr[[#This Row],[Doc]],-12,0),0)+OFFSET(TblConstr[[#This Row],[Tot Doc]],-1,0)-TblConstr[[#This Row],[Dest Doc]]</f>
        <v>0</v>
      </c>
      <c r="BR69" s="142"/>
      <c r="BS69" s="154"/>
      <c r="BT69" s="94">
        <f ca="1">TblConstr[[#This Row],[Land]]</f>
        <v>370</v>
      </c>
      <c r="BU69" s="159">
        <f ca="1">TblImps[[#This Row],[Time]]</f>
        <v>45817.708333333176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100</v>
      </c>
      <c r="DA69" s="94">
        <f t="shared" ca="1" si="13"/>
        <v>20</v>
      </c>
      <c r="DB69" s="45">
        <f t="shared" ca="1" si="14"/>
        <v>0</v>
      </c>
      <c r="DC69" s="94">
        <f t="shared" ca="1" si="15"/>
        <v>0</v>
      </c>
      <c r="DD69" s="94">
        <f t="shared" ca="1" si="16"/>
        <v>100</v>
      </c>
      <c r="DE69" s="45">
        <f t="shared" ca="1" si="17"/>
        <v>50</v>
      </c>
      <c r="DF69" s="94">
        <f t="shared" ca="1" si="18"/>
        <v>0</v>
      </c>
      <c r="DG69" s="94" cm="1">
        <f t="array" aca="1" ref="DG69" ca="1">INDEX(TblConstr[[Total Plain]:[Total Water]],ROW()-ROW(TblConstr[#Headers]),MATCH("Total "&amp;home_land,TblConstr[[#Headers],[Total Plain]:[Total Water]],0))+TblConstr[[#This Row],[Homes]]</f>
        <v>150</v>
      </c>
      <c r="DH69" s="45">
        <f t="shared" ca="1" si="10"/>
        <v>50</v>
      </c>
      <c r="DI69" s="45">
        <f t="shared" ca="1" si="0"/>
        <v>0</v>
      </c>
      <c r="DJ69" s="45">
        <f t="shared" ca="1" si="1"/>
        <v>0</v>
      </c>
    </row>
    <row r="70" spans="1:114" x14ac:dyDescent="0.2">
      <c r="A70" s="175">
        <f>TblRezone[[#This Row],[Hour]]</f>
        <v>67</v>
      </c>
      <c r="B70" s="176">
        <f ca="1">SUM(TblConstr[[#This Row],[Plain]:[Water]])</f>
        <v>20</v>
      </c>
      <c r="C70" s="177">
        <f ca="1">SUM(TblConstr[[#This Row],[Tot Hom]:[Tot Doc]])</f>
        <v>350</v>
      </c>
      <c r="D70" s="177">
        <f t="shared" si="11"/>
        <v>0</v>
      </c>
      <c r="E70" s="178"/>
      <c r="F70" s="61">
        <f ca="1">TblConstr[[#This Row],[Barren]]+TblConstr[[#This Row],[Buildings]]+TblConstr[[#This Row],[Incoming]]</f>
        <v>370</v>
      </c>
      <c r="G70" s="187">
        <f ca="1">OFFSET(TblConstr[[#This Row],[Plain]],-1,0)+TblConstr[[#This Row],[Ch_Plain]]</f>
        <v>20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45817.74999999984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1047701</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70" s="94">
        <f ca="1">ROUNDDOWN( MAX(1 - MIN(facs_constr_factor*TblConstr[[#This Row],[Facs -DB]],facs_constr_max) + tech_1_11*TblTech[[#This Row],[11-1]] + tech_6_3_2*TblTech[[#This Row],[6-3]] + tech_5_2_3*TblTech[[#This Row],[5-2]], 1-global_constr_cap) * TblConstr[[#This Row],[RCPA Lumber]],0)</f>
        <v>122</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70" s="94">
        <f ca="1">ROUNDDOWN( MAX(1 - MIN(facs_constr_factor*TblConstr[[#This Row],[Facs DB]],facs_constr_max) + tech_1_11*TblTech[[#This Row],[1-11]] + tech_6_3_2*TblTech[[#This Row],[6-3]] + tech_5_2_3*TblTech[[#This Row],[5-2]], 1-global_constr_cap) * ROUND((TblConstr[[#This Row],[Land]]-250)*0.285 + 87.5 + 0/4.25,0),0)</f>
        <v>122</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1000</v>
      </c>
      <c r="AW70" s="94">
        <f ca="1">ROUND((TblConstr[[#This Row],[Land]]-250 - IF(TblExplore[[#This Row],[Land Bonus]]&lt;&gt;0,20,0))*0.285 + 87.5 + 0/4.25,0)</f>
        <v>122</v>
      </c>
      <c r="AX70" s="154"/>
      <c r="AY70" s="188" cm="1">
        <f t="array" aca="1" ref="AY70" ca="1">IF(TblConstr[[#This Row],[Hour]:[Hour]]&gt;12,OFFSET(TblConstr[[#This Row],[Hom]],-12,0),0)+OFFSET(TblConstr[[#This Row],[Tot Hom]],-1,0)-TblConstr[[#This Row],[Dest Hom]]</f>
        <v>50</v>
      </c>
      <c r="AZ70" s="189" cm="1">
        <f t="array" aca="1" ref="AZ70" ca="1">IF(TblConstr[[#This Row],[Hour]:[Hour]]&gt;12,OFFSET(TblConstr[[#This Row],[Alc]],-12,0),0)+OFFSET(TblConstr[[#This Row],[Tot Alc]],-1,0)-TblConstr[[#This Row],[Dest Alc]]</f>
        <v>50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50</v>
      </c>
      <c r="BM70" s="369" cm="1">
        <f t="array" aca="1" ref="BM70" ca="1">IF(TblConstr[[#This Row],[Hour]:[Hour]]&gt;12,OFFSET(TblConstr[[#This Row],[Tem]],-12,0),0)+OFFSET(TblConstr[[#This Row],[Tot Tem]],-1,0)-TblConstr[[#This Row],[Dest Tem]]</f>
        <v>50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50</v>
      </c>
      <c r="BP70" s="191" cm="1">
        <f t="array" aca="1" ref="BP70" ca="1">IF(TblConstr[[#This Row],[Hour]:[Hour]]&gt;12,OFFSET(TblConstr[[#This Row],[Sch]],-12,0),0)+OFFSET(TblConstr[[#This Row],[Tot Sch]],-1,0)-TblConstr[[#This Row],[Dest Sch]]</f>
        <v>50</v>
      </c>
      <c r="BQ70" s="192" cm="1">
        <f t="array" aca="1" ref="BQ70" ca="1">IF(TblConstr[[#This Row],[Hour]:[Hour]]&gt;12,OFFSET(TblConstr[[#This Row],[Doc]],-12,0),0)+OFFSET(TblConstr[[#This Row],[Tot Doc]],-1,0)-TblConstr[[#This Row],[Dest Doc]]</f>
        <v>0</v>
      </c>
      <c r="BR70" s="142"/>
      <c r="BS70" s="154"/>
      <c r="BT70" s="94">
        <f ca="1">TblConstr[[#This Row],[Land]]</f>
        <v>370</v>
      </c>
      <c r="BU70" s="159">
        <f ca="1">TblImps[[#This Row],[Time]]</f>
        <v>45817.74999999984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100</v>
      </c>
      <c r="DA70" s="94">
        <f t="shared" ca="1" si="13"/>
        <v>20</v>
      </c>
      <c r="DB70" s="45">
        <f t="shared" ca="1" si="14"/>
        <v>0</v>
      </c>
      <c r="DC70" s="94">
        <f t="shared" ca="1" si="15"/>
        <v>0</v>
      </c>
      <c r="DD70" s="94">
        <f t="shared" ca="1" si="16"/>
        <v>100</v>
      </c>
      <c r="DE70" s="45">
        <f t="shared" ca="1" si="17"/>
        <v>50</v>
      </c>
      <c r="DF70" s="94">
        <f t="shared" ca="1" si="18"/>
        <v>0</v>
      </c>
      <c r="DG70" s="94" cm="1">
        <f t="array" aca="1" ref="DG70" ca="1">INDEX(TblConstr[[Total Plain]:[Total Water]],ROW()-ROW(TblConstr[#Headers]),MATCH("Total "&amp;home_land,TblConstr[[#Headers],[Total Plain]:[Total Water]],0))+TblConstr[[#This Row],[Homes]]</f>
        <v>150</v>
      </c>
      <c r="DH70" s="45">
        <f t="shared" ca="1" si="10"/>
        <v>50</v>
      </c>
      <c r="DI70" s="45">
        <f t="shared" ref="DI70:DI133" ca="1" si="19">MAX(BA70-BA69,0)</f>
        <v>0</v>
      </c>
      <c r="DJ70" s="45">
        <f t="shared" ref="DJ70:DJ133" ca="1" si="20">MAX(BQ70-BQ69,0)</f>
        <v>0</v>
      </c>
    </row>
    <row r="71" spans="1:114" x14ac:dyDescent="0.2">
      <c r="A71" s="175">
        <f>TblRezone[[#This Row],[Hour]]</f>
        <v>68</v>
      </c>
      <c r="B71" s="176">
        <f ca="1">SUM(TblConstr[[#This Row],[Plain]:[Water]])</f>
        <v>20</v>
      </c>
      <c r="C71" s="177">
        <f ca="1">SUM(TblConstr[[#This Row],[Tot Hom]:[Tot Doc]])</f>
        <v>350</v>
      </c>
      <c r="D71" s="177">
        <f t="shared" si="11"/>
        <v>0</v>
      </c>
      <c r="E71" s="178"/>
      <c r="F71" s="61">
        <f ca="1">TblConstr[[#This Row],[Barren]]+TblConstr[[#This Row],[Buildings]]+TblConstr[[#This Row],[Incoming]]</f>
        <v>370</v>
      </c>
      <c r="G71" s="187">
        <f ca="1">OFFSET(TblConstr[[#This Row],[Plain]],-1,0)+TblConstr[[#This Row],[Ch_Plain]]</f>
        <v>20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45817.791666666504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1058231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71" s="94">
        <f ca="1">ROUNDDOWN( MAX(1 - MIN(facs_constr_factor*TblConstr[[#This Row],[Facs -DB]],facs_constr_max) + tech_1_11*TblTech[[#This Row],[11-1]] + tech_6_3_2*TblTech[[#This Row],[6-3]] + tech_5_2_3*TblTech[[#This Row],[5-2]], 1-global_constr_cap) * TblConstr[[#This Row],[RCPA Lumber]],0)</f>
        <v>122</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71" s="94">
        <f ca="1">ROUNDDOWN( MAX(1 - MIN(facs_constr_factor*TblConstr[[#This Row],[Facs DB]],facs_constr_max) + tech_1_11*TblTech[[#This Row],[1-11]] + tech_6_3_2*TblTech[[#This Row],[6-3]] + tech_5_2_3*TblTech[[#This Row],[5-2]], 1-global_constr_cap) * ROUND((TblConstr[[#This Row],[Land]]-250)*0.285 + 87.5 + 0/4.25,0),0)</f>
        <v>122</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1000</v>
      </c>
      <c r="AW71" s="94">
        <f ca="1">ROUND((TblConstr[[#This Row],[Land]]-250 - IF(TblExplore[[#This Row],[Land Bonus]]&lt;&gt;0,20,0))*0.285 + 87.5 + 0/4.25,0)</f>
        <v>122</v>
      </c>
      <c r="AX71" s="154"/>
      <c r="AY71" s="188" cm="1">
        <f t="array" aca="1" ref="AY71" ca="1">IF(TblConstr[[#This Row],[Hour]:[Hour]]&gt;12,OFFSET(TblConstr[[#This Row],[Hom]],-12,0),0)+OFFSET(TblConstr[[#This Row],[Tot Hom]],-1,0)-TblConstr[[#This Row],[Dest Hom]]</f>
        <v>50</v>
      </c>
      <c r="AZ71" s="189" cm="1">
        <f t="array" aca="1" ref="AZ71" ca="1">IF(TblConstr[[#This Row],[Hour]:[Hour]]&gt;12,OFFSET(TblConstr[[#This Row],[Alc]],-12,0),0)+OFFSET(TblConstr[[#This Row],[Tot Alc]],-1,0)-TblConstr[[#This Row],[Dest Alc]]</f>
        <v>50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50</v>
      </c>
      <c r="BM71" s="369" cm="1">
        <f t="array" aca="1" ref="BM71" ca="1">IF(TblConstr[[#This Row],[Hour]:[Hour]]&gt;12,OFFSET(TblConstr[[#This Row],[Tem]],-12,0),0)+OFFSET(TblConstr[[#This Row],[Tot Tem]],-1,0)-TblConstr[[#This Row],[Dest Tem]]</f>
        <v>50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50</v>
      </c>
      <c r="BP71" s="191" cm="1">
        <f t="array" aca="1" ref="BP71" ca="1">IF(TblConstr[[#This Row],[Hour]:[Hour]]&gt;12,OFFSET(TblConstr[[#This Row],[Sch]],-12,0),0)+OFFSET(TblConstr[[#This Row],[Tot Sch]],-1,0)-TblConstr[[#This Row],[Dest Sch]]</f>
        <v>50</v>
      </c>
      <c r="BQ71" s="192" cm="1">
        <f t="array" aca="1" ref="BQ71" ca="1">IF(TblConstr[[#This Row],[Hour]:[Hour]]&gt;12,OFFSET(TblConstr[[#This Row],[Doc]],-12,0),0)+OFFSET(TblConstr[[#This Row],[Tot Doc]],-1,0)-TblConstr[[#This Row],[Dest Doc]]</f>
        <v>0</v>
      </c>
      <c r="BR71" s="142"/>
      <c r="BS71" s="154"/>
      <c r="BT71" s="94">
        <f ca="1">TblConstr[[#This Row],[Land]]</f>
        <v>370</v>
      </c>
      <c r="BU71" s="159">
        <f ca="1">TblImps[[#This Row],[Time]]</f>
        <v>45817.791666666504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100</v>
      </c>
      <c r="DA71" s="94">
        <f t="shared" ca="1" si="13"/>
        <v>20</v>
      </c>
      <c r="DB71" s="45">
        <f t="shared" ca="1" si="14"/>
        <v>0</v>
      </c>
      <c r="DC71" s="94">
        <f t="shared" ca="1" si="15"/>
        <v>0</v>
      </c>
      <c r="DD71" s="94">
        <f t="shared" ca="1" si="16"/>
        <v>100</v>
      </c>
      <c r="DE71" s="45">
        <f t="shared" ca="1" si="17"/>
        <v>50</v>
      </c>
      <c r="DF71" s="94">
        <f t="shared" ca="1" si="18"/>
        <v>0</v>
      </c>
      <c r="DG71" s="94" cm="1">
        <f t="array" aca="1" ref="DG71" ca="1">INDEX(TblConstr[[Total Plain]:[Total Water]],ROW()-ROW(TblConstr[#Headers]),MATCH("Total "&amp;home_land,TblConstr[[#Headers],[Total Plain]:[Total Water]],0))+TblConstr[[#This Row],[Homes]]</f>
        <v>150</v>
      </c>
      <c r="DH71" s="45">
        <f t="shared" ca="1" si="10"/>
        <v>50</v>
      </c>
      <c r="DI71" s="45">
        <f t="shared" ca="1" si="19"/>
        <v>0</v>
      </c>
      <c r="DJ71" s="45">
        <f t="shared" ca="1" si="20"/>
        <v>0</v>
      </c>
    </row>
    <row r="72" spans="1:114" x14ac:dyDescent="0.2">
      <c r="A72" s="175">
        <f>TblRezone[[#This Row],[Hour]]</f>
        <v>69</v>
      </c>
      <c r="B72" s="176">
        <f ca="1">SUM(TblConstr[[#This Row],[Plain]:[Water]])</f>
        <v>20</v>
      </c>
      <c r="C72" s="177">
        <f ca="1">SUM(TblConstr[[#This Row],[Tot Hom]:[Tot Doc]])</f>
        <v>350</v>
      </c>
      <c r="D72" s="177">
        <f t="shared" si="11"/>
        <v>0</v>
      </c>
      <c r="E72" s="178"/>
      <c r="F72" s="61">
        <f ca="1">TblConstr[[#This Row],[Barren]]+TblConstr[[#This Row],[Buildings]]+TblConstr[[#This Row],[Incoming]]</f>
        <v>370</v>
      </c>
      <c r="G72" s="187">
        <f ca="1">OFFSET(TblConstr[[#This Row],[Plain]],-1,0)+TblConstr[[#This Row],[Ch_Plain]]</f>
        <v>20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45817.833333333168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1068678</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72" s="94">
        <f ca="1">ROUNDDOWN( MAX(1 - MIN(facs_constr_factor*TblConstr[[#This Row],[Facs -DB]],facs_constr_max) + tech_1_11*TblTech[[#This Row],[11-1]] + tech_6_3_2*TblTech[[#This Row],[6-3]] + tech_5_2_3*TblTech[[#This Row],[5-2]], 1-global_constr_cap) * TblConstr[[#This Row],[RCPA Lumber]],0)</f>
        <v>122</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72" s="94">
        <f ca="1">ROUNDDOWN( MAX(1 - MIN(facs_constr_factor*TblConstr[[#This Row],[Facs DB]],facs_constr_max) + tech_1_11*TblTech[[#This Row],[1-11]] + tech_6_3_2*TblTech[[#This Row],[6-3]] + tech_5_2_3*TblTech[[#This Row],[5-2]], 1-global_constr_cap) * ROUND((TblConstr[[#This Row],[Land]]-250)*0.285 + 87.5 + 0/4.25,0),0)</f>
        <v>122</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1000</v>
      </c>
      <c r="AW72" s="94">
        <f ca="1">ROUND((TblConstr[[#This Row],[Land]]-250 - IF(TblExplore[[#This Row],[Land Bonus]]&lt;&gt;0,20,0))*0.285 + 87.5 + 0/4.25,0)</f>
        <v>122</v>
      </c>
      <c r="AX72" s="154"/>
      <c r="AY72" s="188" cm="1">
        <f t="array" aca="1" ref="AY72" ca="1">IF(TblConstr[[#This Row],[Hour]:[Hour]]&gt;12,OFFSET(TblConstr[[#This Row],[Hom]],-12,0),0)+OFFSET(TblConstr[[#This Row],[Tot Hom]],-1,0)-TblConstr[[#This Row],[Dest Hom]]</f>
        <v>50</v>
      </c>
      <c r="AZ72" s="189" cm="1">
        <f t="array" aca="1" ref="AZ72" ca="1">IF(TblConstr[[#This Row],[Hour]:[Hour]]&gt;12,OFFSET(TblConstr[[#This Row],[Alc]],-12,0),0)+OFFSET(TblConstr[[#This Row],[Tot Alc]],-1,0)-TblConstr[[#This Row],[Dest Alc]]</f>
        <v>50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50</v>
      </c>
      <c r="BM72" s="369" cm="1">
        <f t="array" aca="1" ref="BM72" ca="1">IF(TblConstr[[#This Row],[Hour]:[Hour]]&gt;12,OFFSET(TblConstr[[#This Row],[Tem]],-12,0),0)+OFFSET(TblConstr[[#This Row],[Tot Tem]],-1,0)-TblConstr[[#This Row],[Dest Tem]]</f>
        <v>50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50</v>
      </c>
      <c r="BP72" s="191" cm="1">
        <f t="array" aca="1" ref="BP72" ca="1">IF(TblConstr[[#This Row],[Hour]:[Hour]]&gt;12,OFFSET(TblConstr[[#This Row],[Sch]],-12,0),0)+OFFSET(TblConstr[[#This Row],[Tot Sch]],-1,0)-TblConstr[[#This Row],[Dest Sch]]</f>
        <v>50</v>
      </c>
      <c r="BQ72" s="192" cm="1">
        <f t="array" aca="1" ref="BQ72" ca="1">IF(TblConstr[[#This Row],[Hour]:[Hour]]&gt;12,OFFSET(TblConstr[[#This Row],[Doc]],-12,0),0)+OFFSET(TblConstr[[#This Row],[Tot Doc]],-1,0)-TblConstr[[#This Row],[Dest Doc]]</f>
        <v>0</v>
      </c>
      <c r="BR72" s="142"/>
      <c r="BS72" s="154"/>
      <c r="BT72" s="94">
        <f ca="1">TblConstr[[#This Row],[Land]]</f>
        <v>370</v>
      </c>
      <c r="BU72" s="159">
        <f ca="1">TblImps[[#This Row],[Time]]</f>
        <v>45817.833333333168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100</v>
      </c>
      <c r="DA72" s="94">
        <f t="shared" ca="1" si="13"/>
        <v>20</v>
      </c>
      <c r="DB72" s="45">
        <f t="shared" ca="1" si="14"/>
        <v>0</v>
      </c>
      <c r="DC72" s="94">
        <f t="shared" ca="1" si="15"/>
        <v>0</v>
      </c>
      <c r="DD72" s="94">
        <f t="shared" ca="1" si="16"/>
        <v>100</v>
      </c>
      <c r="DE72" s="45">
        <f t="shared" ca="1" si="17"/>
        <v>50</v>
      </c>
      <c r="DF72" s="94">
        <f t="shared" ca="1" si="18"/>
        <v>0</v>
      </c>
      <c r="DG72" s="94" cm="1">
        <f t="array" aca="1" ref="DG72" ca="1">INDEX(TblConstr[[Total Plain]:[Total Water]],ROW()-ROW(TblConstr[#Headers]),MATCH("Total "&amp;home_land,TblConstr[[#Headers],[Total Plain]:[Total Water]],0))+TblConstr[[#This Row],[Homes]]</f>
        <v>150</v>
      </c>
      <c r="DH72" s="45">
        <f t="shared" ca="1" si="10"/>
        <v>50</v>
      </c>
      <c r="DI72" s="45">
        <f t="shared" ca="1" si="19"/>
        <v>0</v>
      </c>
      <c r="DJ72" s="45">
        <f t="shared" ca="1" si="20"/>
        <v>0</v>
      </c>
    </row>
    <row r="73" spans="1:114" x14ac:dyDescent="0.2">
      <c r="A73" s="175">
        <f>TblRezone[[#This Row],[Hour]]</f>
        <v>70</v>
      </c>
      <c r="B73" s="176">
        <f ca="1">SUM(TblConstr[[#This Row],[Plain]:[Water]])</f>
        <v>20</v>
      </c>
      <c r="C73" s="177">
        <f ca="1">SUM(TblConstr[[#This Row],[Tot Hom]:[Tot Doc]])</f>
        <v>350</v>
      </c>
      <c r="D73" s="177">
        <f t="shared" si="11"/>
        <v>0</v>
      </c>
      <c r="E73" s="178"/>
      <c r="F73" s="61">
        <f ca="1">TblConstr[[#This Row],[Barren]]+TblConstr[[#This Row],[Buildings]]+TblConstr[[#This Row],[Incoming]]</f>
        <v>370</v>
      </c>
      <c r="G73" s="187">
        <f ca="1">OFFSET(TblConstr[[#This Row],[Plain]],-1,0)+TblConstr[[#This Row],[Ch_Plain]]</f>
        <v>20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45817.874999999833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1079044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73" s="94">
        <f ca="1">ROUNDDOWN( MAX(1 - MIN(facs_constr_factor*TblConstr[[#This Row],[Facs -DB]],facs_constr_max) + tech_1_11*TblTech[[#This Row],[11-1]] + tech_6_3_2*TblTech[[#This Row],[6-3]] + tech_5_2_3*TblTech[[#This Row],[5-2]], 1-global_constr_cap) * TblConstr[[#This Row],[RCPA Lumber]],0)</f>
        <v>122</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73" s="94">
        <f ca="1">ROUNDDOWN( MAX(1 - MIN(facs_constr_factor*TblConstr[[#This Row],[Facs DB]],facs_constr_max) + tech_1_11*TblTech[[#This Row],[1-11]] + tech_6_3_2*TblTech[[#This Row],[6-3]] + tech_5_2_3*TblTech[[#This Row],[5-2]], 1-global_constr_cap) * ROUND((TblConstr[[#This Row],[Land]]-250)*0.285 + 87.5 + 0/4.25,0),0)</f>
        <v>122</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1000</v>
      </c>
      <c r="AW73" s="94">
        <f ca="1">ROUND((TblConstr[[#This Row],[Land]]-250 - IF(TblExplore[[#This Row],[Land Bonus]]&lt;&gt;0,20,0))*0.285 + 87.5 + 0/4.25,0)</f>
        <v>122</v>
      </c>
      <c r="AX73" s="154"/>
      <c r="AY73" s="188" cm="1">
        <f t="array" aca="1" ref="AY73" ca="1">IF(TblConstr[[#This Row],[Hour]:[Hour]]&gt;12,OFFSET(TblConstr[[#This Row],[Hom]],-12,0),0)+OFFSET(TblConstr[[#This Row],[Tot Hom]],-1,0)-TblConstr[[#This Row],[Dest Hom]]</f>
        <v>50</v>
      </c>
      <c r="AZ73" s="189" cm="1">
        <f t="array" aca="1" ref="AZ73" ca="1">IF(TblConstr[[#This Row],[Hour]:[Hour]]&gt;12,OFFSET(TblConstr[[#This Row],[Alc]],-12,0),0)+OFFSET(TblConstr[[#This Row],[Tot Alc]],-1,0)-TblConstr[[#This Row],[Dest Alc]]</f>
        <v>50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50</v>
      </c>
      <c r="BM73" s="369" cm="1">
        <f t="array" aca="1" ref="BM73" ca="1">IF(TblConstr[[#This Row],[Hour]:[Hour]]&gt;12,OFFSET(TblConstr[[#This Row],[Tem]],-12,0),0)+OFFSET(TblConstr[[#This Row],[Tot Tem]],-1,0)-TblConstr[[#This Row],[Dest Tem]]</f>
        <v>50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50</v>
      </c>
      <c r="BP73" s="191" cm="1">
        <f t="array" aca="1" ref="BP73" ca="1">IF(TblConstr[[#This Row],[Hour]:[Hour]]&gt;12,OFFSET(TblConstr[[#This Row],[Sch]],-12,0),0)+OFFSET(TblConstr[[#This Row],[Tot Sch]],-1,0)-TblConstr[[#This Row],[Dest Sch]]</f>
        <v>50</v>
      </c>
      <c r="BQ73" s="192" cm="1">
        <f t="array" aca="1" ref="BQ73" ca="1">IF(TblConstr[[#This Row],[Hour]:[Hour]]&gt;12,OFFSET(TblConstr[[#This Row],[Doc]],-12,0),0)+OFFSET(TblConstr[[#This Row],[Tot Doc]],-1,0)-TblConstr[[#This Row],[Dest Doc]]</f>
        <v>0</v>
      </c>
      <c r="BR73" s="142"/>
      <c r="BS73" s="154"/>
      <c r="BT73" s="94">
        <f ca="1">TblConstr[[#This Row],[Land]]</f>
        <v>370</v>
      </c>
      <c r="BU73" s="159">
        <f ca="1">TblImps[[#This Row],[Time]]</f>
        <v>45817.874999999833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100</v>
      </c>
      <c r="DA73" s="94">
        <f t="shared" ca="1" si="13"/>
        <v>20</v>
      </c>
      <c r="DB73" s="45">
        <f t="shared" ca="1" si="14"/>
        <v>0</v>
      </c>
      <c r="DC73" s="94">
        <f t="shared" ca="1" si="15"/>
        <v>0</v>
      </c>
      <c r="DD73" s="94">
        <f t="shared" ca="1" si="16"/>
        <v>100</v>
      </c>
      <c r="DE73" s="45">
        <f t="shared" ca="1" si="17"/>
        <v>50</v>
      </c>
      <c r="DF73" s="94">
        <f t="shared" ca="1" si="18"/>
        <v>0</v>
      </c>
      <c r="DG73" s="94" cm="1">
        <f t="array" aca="1" ref="DG73" ca="1">INDEX(TblConstr[[Total Plain]:[Total Water]],ROW()-ROW(TblConstr[#Headers]),MATCH("Total "&amp;home_land,TblConstr[[#Headers],[Total Plain]:[Total Water]],0))+TblConstr[[#This Row],[Homes]]</f>
        <v>150</v>
      </c>
      <c r="DH73" s="45">
        <f t="shared" ca="1" si="10"/>
        <v>50</v>
      </c>
      <c r="DI73" s="45">
        <f t="shared" ca="1" si="19"/>
        <v>0</v>
      </c>
      <c r="DJ73" s="45">
        <f t="shared" ca="1" si="20"/>
        <v>0</v>
      </c>
    </row>
    <row r="74" spans="1:114" x14ac:dyDescent="0.2">
      <c r="A74" s="175">
        <f>TblRezone[[#This Row],[Hour]]</f>
        <v>71</v>
      </c>
      <c r="B74" s="176">
        <f ca="1">SUM(TblConstr[[#This Row],[Plain]:[Water]])</f>
        <v>20</v>
      </c>
      <c r="C74" s="177">
        <f ca="1">SUM(TblConstr[[#This Row],[Tot Hom]:[Tot Doc]])</f>
        <v>350</v>
      </c>
      <c r="D74" s="177">
        <f t="shared" si="11"/>
        <v>0</v>
      </c>
      <c r="E74" s="178"/>
      <c r="F74" s="61">
        <f ca="1">TblConstr[[#This Row],[Barren]]+TblConstr[[#This Row],[Buildings]]+TblConstr[[#This Row],[Incoming]]</f>
        <v>370</v>
      </c>
      <c r="G74" s="187">
        <f ca="1">OFFSET(TblConstr[[#This Row],[Plain]],-1,0)+TblConstr[[#This Row],[Ch_Plain]]</f>
        <v>20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45817.916666666497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1089329</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74" s="94">
        <f ca="1">ROUNDDOWN( MAX(1 - MIN(facs_constr_factor*TblConstr[[#This Row],[Facs -DB]],facs_constr_max) + tech_1_11*TblTech[[#This Row],[11-1]] + tech_6_3_2*TblTech[[#This Row],[6-3]] + tech_5_2_3*TblTech[[#This Row],[5-2]], 1-global_constr_cap) * TblConstr[[#This Row],[RCPA Lumber]],0)</f>
        <v>122</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74" s="94">
        <f ca="1">ROUNDDOWN( MAX(1 - MIN(facs_constr_factor*TblConstr[[#This Row],[Facs DB]],facs_constr_max) + tech_1_11*TblTech[[#This Row],[1-11]] + tech_6_3_2*TblTech[[#This Row],[6-3]] + tech_5_2_3*TblTech[[#This Row],[5-2]], 1-global_constr_cap) * ROUND((TblConstr[[#This Row],[Land]]-250)*0.285 + 87.5 + 0/4.25,0),0)</f>
        <v>122</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1000</v>
      </c>
      <c r="AW74" s="94">
        <f ca="1">ROUND((TblConstr[[#This Row],[Land]]-250 - IF(TblExplore[[#This Row],[Land Bonus]]&lt;&gt;0,20,0))*0.285 + 87.5 + 0/4.25,0)</f>
        <v>122</v>
      </c>
      <c r="AX74" s="154"/>
      <c r="AY74" s="188" cm="1">
        <f t="array" aca="1" ref="AY74" ca="1">IF(TblConstr[[#This Row],[Hour]:[Hour]]&gt;12,OFFSET(TblConstr[[#This Row],[Hom]],-12,0),0)+OFFSET(TblConstr[[#This Row],[Tot Hom]],-1,0)-TblConstr[[#This Row],[Dest Hom]]</f>
        <v>50</v>
      </c>
      <c r="AZ74" s="189" cm="1">
        <f t="array" aca="1" ref="AZ74" ca="1">IF(TblConstr[[#This Row],[Hour]:[Hour]]&gt;12,OFFSET(TblConstr[[#This Row],[Alc]],-12,0),0)+OFFSET(TblConstr[[#This Row],[Tot Alc]],-1,0)-TblConstr[[#This Row],[Dest Alc]]</f>
        <v>50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50</v>
      </c>
      <c r="BM74" s="369" cm="1">
        <f t="array" aca="1" ref="BM74" ca="1">IF(TblConstr[[#This Row],[Hour]:[Hour]]&gt;12,OFFSET(TblConstr[[#This Row],[Tem]],-12,0),0)+OFFSET(TblConstr[[#This Row],[Tot Tem]],-1,0)-TblConstr[[#This Row],[Dest Tem]]</f>
        <v>50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50</v>
      </c>
      <c r="BP74" s="191" cm="1">
        <f t="array" aca="1" ref="BP74" ca="1">IF(TblConstr[[#This Row],[Hour]:[Hour]]&gt;12,OFFSET(TblConstr[[#This Row],[Sch]],-12,0),0)+OFFSET(TblConstr[[#This Row],[Tot Sch]],-1,0)-TblConstr[[#This Row],[Dest Sch]]</f>
        <v>50</v>
      </c>
      <c r="BQ74" s="192" cm="1">
        <f t="array" aca="1" ref="BQ74" ca="1">IF(TblConstr[[#This Row],[Hour]:[Hour]]&gt;12,OFFSET(TblConstr[[#This Row],[Doc]],-12,0),0)+OFFSET(TblConstr[[#This Row],[Tot Doc]],-1,0)-TblConstr[[#This Row],[Dest Doc]]</f>
        <v>0</v>
      </c>
      <c r="BR74" s="142"/>
      <c r="BS74" s="154"/>
      <c r="BT74" s="94">
        <f ca="1">TblConstr[[#This Row],[Land]]</f>
        <v>370</v>
      </c>
      <c r="BU74" s="159">
        <f ca="1">TblImps[[#This Row],[Time]]</f>
        <v>45817.916666666497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100</v>
      </c>
      <c r="DA74" s="94">
        <f t="shared" ca="1" si="13"/>
        <v>20</v>
      </c>
      <c r="DB74" s="45">
        <f t="shared" ca="1" si="14"/>
        <v>0</v>
      </c>
      <c r="DC74" s="94">
        <f t="shared" ca="1" si="15"/>
        <v>0</v>
      </c>
      <c r="DD74" s="94">
        <f t="shared" ca="1" si="16"/>
        <v>100</v>
      </c>
      <c r="DE74" s="45">
        <f t="shared" ca="1" si="17"/>
        <v>50</v>
      </c>
      <c r="DF74" s="94">
        <f t="shared" ca="1" si="18"/>
        <v>0</v>
      </c>
      <c r="DG74" s="94" cm="1">
        <f t="array" aca="1" ref="DG74" ca="1">INDEX(TblConstr[[Total Plain]:[Total Water]],ROW()-ROW(TblConstr[#Headers]),MATCH("Total "&amp;home_land,TblConstr[[#Headers],[Total Plain]:[Total Water]],0))+TblConstr[[#This Row],[Homes]]</f>
        <v>150</v>
      </c>
      <c r="DH74" s="45">
        <f t="shared" ca="1" si="10"/>
        <v>50</v>
      </c>
      <c r="DI74" s="45">
        <f t="shared" ca="1" si="19"/>
        <v>0</v>
      </c>
      <c r="DJ74" s="45">
        <f t="shared" ca="1" si="20"/>
        <v>0</v>
      </c>
    </row>
    <row r="75" spans="1:114" x14ac:dyDescent="0.2">
      <c r="A75" s="175">
        <f>TblRezone[[#This Row],[Hour]]</f>
        <v>72</v>
      </c>
      <c r="B75" s="176">
        <f ca="1">SUM(TblConstr[[#This Row],[Plain]:[Water]])</f>
        <v>20</v>
      </c>
      <c r="C75" s="177">
        <f ca="1">SUM(TblConstr[[#This Row],[Tot Hom]:[Tot Doc]])</f>
        <v>350</v>
      </c>
      <c r="D75" s="177">
        <f t="shared" si="11"/>
        <v>0</v>
      </c>
      <c r="E75" s="178"/>
      <c r="F75" s="61">
        <f ca="1">TblConstr[[#This Row],[Barren]]+TblConstr[[#This Row],[Buildings]]+TblConstr[[#This Row],[Incoming]]</f>
        <v>370</v>
      </c>
      <c r="G75" s="187">
        <f ca="1">OFFSET(TblConstr[[#This Row],[Plain]],-1,0)+TblConstr[[#This Row],[Ch_Plain]]</f>
        <v>20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45817.958333333161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1099533</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75" s="94">
        <f ca="1">ROUNDDOWN( MAX(1 - MIN(facs_constr_factor*TblConstr[[#This Row],[Facs -DB]],facs_constr_max) + tech_1_11*TblTech[[#This Row],[11-1]] + tech_6_3_2*TblTech[[#This Row],[6-3]] + tech_5_2_3*TblTech[[#This Row],[5-2]], 1-global_constr_cap) * TblConstr[[#This Row],[RCPA Lumber]],0)</f>
        <v>122</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75" s="94">
        <f ca="1">ROUNDDOWN( MAX(1 - MIN(facs_constr_factor*TblConstr[[#This Row],[Facs DB]],facs_constr_max) + tech_1_11*TblTech[[#This Row],[1-11]] + tech_6_3_2*TblTech[[#This Row],[6-3]] + tech_5_2_3*TblTech[[#This Row],[5-2]], 1-global_constr_cap) * ROUND((TblConstr[[#This Row],[Land]]-250)*0.285 + 87.5 + 0/4.25,0),0)</f>
        <v>122</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1000</v>
      </c>
      <c r="AW75" s="94">
        <f ca="1">ROUND((TblConstr[[#This Row],[Land]]-250 - IF(TblExplore[[#This Row],[Land Bonus]]&lt;&gt;0,20,0))*0.285 + 87.5 + 0/4.25,0)</f>
        <v>122</v>
      </c>
      <c r="AX75" s="154"/>
      <c r="AY75" s="188" cm="1">
        <f t="array" aca="1" ref="AY75" ca="1">IF(TblConstr[[#This Row],[Hour]:[Hour]]&gt;12,OFFSET(TblConstr[[#This Row],[Hom]],-12,0),0)+OFFSET(TblConstr[[#This Row],[Tot Hom]],-1,0)-TblConstr[[#This Row],[Dest Hom]]</f>
        <v>50</v>
      </c>
      <c r="AZ75" s="189" cm="1">
        <f t="array" aca="1" ref="AZ75" ca="1">IF(TblConstr[[#This Row],[Hour]:[Hour]]&gt;12,OFFSET(TblConstr[[#This Row],[Alc]],-12,0),0)+OFFSET(TblConstr[[#This Row],[Tot Alc]],-1,0)-TblConstr[[#This Row],[Dest Alc]]</f>
        <v>50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50</v>
      </c>
      <c r="BM75" s="369" cm="1">
        <f t="array" aca="1" ref="BM75" ca="1">IF(TblConstr[[#This Row],[Hour]:[Hour]]&gt;12,OFFSET(TblConstr[[#This Row],[Tem]],-12,0),0)+OFFSET(TblConstr[[#This Row],[Tot Tem]],-1,0)-TblConstr[[#This Row],[Dest Tem]]</f>
        <v>50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50</v>
      </c>
      <c r="BP75" s="191" cm="1">
        <f t="array" aca="1" ref="BP75" ca="1">IF(TblConstr[[#This Row],[Hour]:[Hour]]&gt;12,OFFSET(TblConstr[[#This Row],[Sch]],-12,0),0)+OFFSET(TblConstr[[#This Row],[Tot Sch]],-1,0)-TblConstr[[#This Row],[Dest Sch]]</f>
        <v>50</v>
      </c>
      <c r="BQ75" s="192" cm="1">
        <f t="array" aca="1" ref="BQ75" ca="1">IF(TblConstr[[#This Row],[Hour]:[Hour]]&gt;12,OFFSET(TblConstr[[#This Row],[Doc]],-12,0),0)+OFFSET(TblConstr[[#This Row],[Tot Doc]],-1,0)-TblConstr[[#This Row],[Dest Doc]]</f>
        <v>0</v>
      </c>
      <c r="BR75" s="142"/>
      <c r="BS75" s="154"/>
      <c r="BT75" s="94">
        <f ca="1">TblConstr[[#This Row],[Land]]</f>
        <v>370</v>
      </c>
      <c r="BU75" s="159">
        <f ca="1">TblImps[[#This Row],[Time]]</f>
        <v>45817.958333333161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100</v>
      </c>
      <c r="DA75" s="94">
        <f t="shared" ca="1" si="13"/>
        <v>20</v>
      </c>
      <c r="DB75" s="45">
        <f t="shared" ca="1" si="14"/>
        <v>0</v>
      </c>
      <c r="DC75" s="94">
        <f t="shared" ca="1" si="15"/>
        <v>0</v>
      </c>
      <c r="DD75" s="94">
        <f t="shared" ca="1" si="16"/>
        <v>100</v>
      </c>
      <c r="DE75" s="45">
        <f t="shared" ca="1" si="17"/>
        <v>50</v>
      </c>
      <c r="DF75" s="94">
        <f t="shared" ca="1" si="18"/>
        <v>0</v>
      </c>
      <c r="DG75" s="94" cm="1">
        <f t="array" aca="1" ref="DG75" ca="1">INDEX(TblConstr[[Total Plain]:[Total Water]],ROW()-ROW(TblConstr[#Headers]),MATCH("Total "&amp;home_land,TblConstr[[#Headers],[Total Plain]:[Total Water]],0))+TblConstr[[#This Row],[Homes]]</f>
        <v>150</v>
      </c>
      <c r="DH75" s="45">
        <f t="shared" ca="1" si="10"/>
        <v>50</v>
      </c>
      <c r="DI75" s="45">
        <f t="shared" ca="1" si="19"/>
        <v>0</v>
      </c>
      <c r="DJ75" s="45">
        <f t="shared" ca="1" si="20"/>
        <v>0</v>
      </c>
    </row>
    <row r="76" spans="1:114" x14ac:dyDescent="0.2">
      <c r="A76" s="175">
        <f>TblRezone[[#This Row],[Hour]]</f>
        <v>73</v>
      </c>
      <c r="B76" s="426">
        <f ca="1">SUM(TblConstr[[#This Row],[Plain]:[Water]])</f>
        <v>20</v>
      </c>
      <c r="C76" s="427">
        <f ca="1">SUM(TblConstr[[#This Row],[Tot Hom]:[Tot Doc]])</f>
        <v>350</v>
      </c>
      <c r="D76" s="427">
        <f t="shared" ref="D76:D131" si="21">SUM(O65:AG76)</f>
        <v>0</v>
      </c>
      <c r="E76" s="178"/>
      <c r="F76" s="428">
        <f ca="1">TblConstr[[#This Row],[Barren]]+TblConstr[[#This Row],[Buildings]]+TblConstr[[#This Row],[Incoming]]</f>
        <v>370</v>
      </c>
      <c r="G76" s="187">
        <f ca="1">OFFSET(TblConstr[[#This Row],[Plain]],-1,0)+TblConstr[[#This Row],[Ch_Plain]]</f>
        <v>20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45817.999999999825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1109658</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76" s="430">
        <f ca="1">ROUNDDOWN( MAX(1 - MIN(facs_constr_factor*TblConstr[[#This Row],[Facs -DB]],facs_constr_max) + tech_1_11*TblTech[[#This Row],[11-1]] + tech_6_3_2*TblTech[[#This Row],[6-3]] + tech_5_2_3*TblTech[[#This Row],[5-2]], 1-global_constr_cap) * TblConstr[[#This Row],[RCPA Lumber]],0)</f>
        <v>122</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76" s="430">
        <f ca="1">ROUNDDOWN( MAX(1 - MIN(facs_constr_factor*TblConstr[[#This Row],[Facs DB]],facs_constr_max) + tech_1_11*TblTech[[#This Row],[1-11]] + tech_6_3_2*TblTech[[#This Row],[6-3]] + tech_5_2_3*TblTech[[#This Row],[5-2]], 1-global_constr_cap) * ROUND((TblConstr[[#This Row],[Land]]-250)*0.285 + 87.5 + 0/4.25,0),0)</f>
        <v>122</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1000</v>
      </c>
      <c r="AW76" s="430">
        <f ca="1">ROUND((TblConstr[[#This Row],[Land]]-250 - IF(TblExplore[[#This Row],[Land Bonus]]&lt;&gt;0,20,0))*0.285 + 87.5 + 0/4.25,0)</f>
        <v>122</v>
      </c>
      <c r="AX76" s="154"/>
      <c r="AY76" s="431" cm="1">
        <f t="array" aca="1" ref="AY76" ca="1">IF(TblConstr[[#This Row],[Hour]:[Hour]]&gt;12,OFFSET(TblConstr[[#This Row],[Hom]],-12,0),0)+OFFSET(TblConstr[[#This Row],[Tot Hom]],-1,0)-TblConstr[[#This Row],[Dest Hom]]</f>
        <v>50</v>
      </c>
      <c r="AZ76" s="189" cm="1">
        <f t="array" aca="1" ref="AZ76" ca="1">IF(TblConstr[[#This Row],[Hour]:[Hour]]&gt;12,OFFSET(TblConstr[[#This Row],[Alc]],-12,0),0)+OFFSET(TblConstr[[#This Row],[Tot Alc]],-1,0)-TblConstr[[#This Row],[Dest Alc]]</f>
        <v>50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50</v>
      </c>
      <c r="BM76" s="369" cm="1">
        <f t="array" aca="1" ref="BM76" ca="1">IF(TblConstr[[#This Row],[Hour]:[Hour]]&gt;12,OFFSET(TblConstr[[#This Row],[Tem]],-12,0),0)+OFFSET(TblConstr[[#This Row],[Tot Tem]],-1,0)-TblConstr[[#This Row],[Dest Tem]]</f>
        <v>50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50</v>
      </c>
      <c r="BP76" s="191" cm="1">
        <f t="array" aca="1" ref="BP76" ca="1">IF(TblConstr[[#This Row],[Hour]:[Hour]]&gt;12,OFFSET(TblConstr[[#This Row],[Sch]],-12,0),0)+OFFSET(TblConstr[[#This Row],[Tot Sch]],-1,0)-TblConstr[[#This Row],[Dest Sch]]</f>
        <v>50</v>
      </c>
      <c r="BQ76" s="192" cm="1">
        <f t="array" aca="1" ref="BQ76" ca="1">IF(TblConstr[[#This Row],[Hour]:[Hour]]&gt;12,OFFSET(TblConstr[[#This Row],[Doc]],-12,0),0)+OFFSET(TblConstr[[#This Row],[Tot Doc]],-1,0)-TblConstr[[#This Row],[Dest Doc]]</f>
        <v>0</v>
      </c>
      <c r="BR76" s="142"/>
      <c r="BS76" s="154"/>
      <c r="BT76" s="430">
        <f ca="1">TblConstr[[#This Row],[Land]]</f>
        <v>370</v>
      </c>
      <c r="BU76" s="432">
        <f ca="1">TblImps[[#This Row],[Time]]</f>
        <v>45817.999999999825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100</v>
      </c>
      <c r="DA76" s="430">
        <f t="shared" ca="1" si="13"/>
        <v>20</v>
      </c>
      <c r="DB76" s="433">
        <f t="shared" ca="1" si="14"/>
        <v>0</v>
      </c>
      <c r="DC76" s="430">
        <f t="shared" ca="1" si="15"/>
        <v>0</v>
      </c>
      <c r="DD76" s="430">
        <f t="shared" ca="1" si="16"/>
        <v>100</v>
      </c>
      <c r="DE76" s="433">
        <f t="shared" ca="1" si="17"/>
        <v>50</v>
      </c>
      <c r="DF76" s="430">
        <f t="shared" ca="1" si="18"/>
        <v>0</v>
      </c>
      <c r="DG76" s="430" cm="1">
        <f t="array" aca="1" ref="DG76" ca="1">INDEX(TblConstr[[Total Plain]:[Total Water]],ROW()-ROW(TblConstr[#Headers]),MATCH("Total "&amp;home_land,TblConstr[[#Headers],[Total Plain]:[Total Water]],0))+TblConstr[[#This Row],[Homes]]</f>
        <v>150</v>
      </c>
      <c r="DH76" s="433">
        <f t="shared" ref="DH76:DH131" ca="1" si="22">SUM(O65:O76)+AY76</f>
        <v>50</v>
      </c>
      <c r="DI76" s="433">
        <f t="shared" ca="1" si="19"/>
        <v>0</v>
      </c>
      <c r="DJ76" s="433">
        <f t="shared" ca="1" si="20"/>
        <v>0</v>
      </c>
    </row>
    <row r="77" spans="1:114" x14ac:dyDescent="0.2">
      <c r="A77" s="175">
        <f>TblRezone[[#This Row],[Hour]]</f>
        <v>74</v>
      </c>
      <c r="B77" s="176">
        <f ca="1">SUM(TblConstr[[#This Row],[Plain]:[Water]])</f>
        <v>20</v>
      </c>
      <c r="C77" s="177">
        <f ca="1">SUM(TblConstr[[#This Row],[Tot Hom]:[Tot Doc]])</f>
        <v>350</v>
      </c>
      <c r="D77" s="177">
        <f t="shared" si="21"/>
        <v>0</v>
      </c>
      <c r="E77" s="178"/>
      <c r="F77" s="61">
        <f ca="1">TblConstr[[#This Row],[Barren]]+TblConstr[[#This Row],[Buildings]]+TblConstr[[#This Row],[Incoming]]</f>
        <v>370</v>
      </c>
      <c r="G77" s="187">
        <f ca="1">OFFSET(TblConstr[[#This Row],[Plain]],-1,0)+TblConstr[[#This Row],[Ch_Plain]]</f>
        <v>20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45818.04166666649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1119705</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77" s="94">
        <f ca="1">ROUNDDOWN( MAX(1 - MIN(facs_constr_factor*TblConstr[[#This Row],[Facs -DB]],facs_constr_max) + tech_1_11*TblTech[[#This Row],[11-1]] + tech_6_3_2*TblTech[[#This Row],[6-3]] + tech_5_2_3*TblTech[[#This Row],[5-2]], 1-global_constr_cap) * TblConstr[[#This Row],[RCPA Lumber]],0)</f>
        <v>122</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77" s="94">
        <f ca="1">ROUNDDOWN( MAX(1 - MIN(facs_constr_factor*TblConstr[[#This Row],[Facs DB]],facs_constr_max) + tech_1_11*TblTech[[#This Row],[1-11]] + tech_6_3_2*TblTech[[#This Row],[6-3]] + tech_5_2_3*TblTech[[#This Row],[5-2]], 1-global_constr_cap) * ROUND((TblConstr[[#This Row],[Land]]-250)*0.285 + 87.5 + 0/4.25,0),0)</f>
        <v>122</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1000</v>
      </c>
      <c r="AW77" s="94">
        <f ca="1">ROUND((TblConstr[[#This Row],[Land]]-250 - IF(TblExplore[[#This Row],[Land Bonus]]&lt;&gt;0,20,0))*0.285 + 87.5 + 0/4.25,0)</f>
        <v>122</v>
      </c>
      <c r="AX77" s="154"/>
      <c r="AY77" s="188" cm="1">
        <f t="array" aca="1" ref="AY77" ca="1">IF(TblConstr[[#This Row],[Hour]:[Hour]]&gt;12,OFFSET(TblConstr[[#This Row],[Hom]],-12,0),0)+OFFSET(TblConstr[[#This Row],[Tot Hom]],-1,0)-TblConstr[[#This Row],[Dest Hom]]</f>
        <v>50</v>
      </c>
      <c r="AZ77" s="189" cm="1">
        <f t="array" aca="1" ref="AZ77" ca="1">IF(TblConstr[[#This Row],[Hour]:[Hour]]&gt;12,OFFSET(TblConstr[[#This Row],[Alc]],-12,0),0)+OFFSET(TblConstr[[#This Row],[Tot Alc]],-1,0)-TblConstr[[#This Row],[Dest Alc]]</f>
        <v>50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50</v>
      </c>
      <c r="BM77" s="369" cm="1">
        <f t="array" aca="1" ref="BM77" ca="1">IF(TblConstr[[#This Row],[Hour]:[Hour]]&gt;12,OFFSET(TblConstr[[#This Row],[Tem]],-12,0),0)+OFFSET(TblConstr[[#This Row],[Tot Tem]],-1,0)-TblConstr[[#This Row],[Dest Tem]]</f>
        <v>50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50</v>
      </c>
      <c r="BP77" s="191" cm="1">
        <f t="array" aca="1" ref="BP77" ca="1">IF(TblConstr[[#This Row],[Hour]:[Hour]]&gt;12,OFFSET(TblConstr[[#This Row],[Sch]],-12,0),0)+OFFSET(TblConstr[[#This Row],[Tot Sch]],-1,0)-TblConstr[[#This Row],[Dest Sch]]</f>
        <v>50</v>
      </c>
      <c r="BQ77" s="192" cm="1">
        <f t="array" aca="1" ref="BQ77" ca="1">IF(TblConstr[[#This Row],[Hour]:[Hour]]&gt;12,OFFSET(TblConstr[[#This Row],[Doc]],-12,0),0)+OFFSET(TblConstr[[#This Row],[Tot Doc]],-1,0)-TblConstr[[#This Row],[Dest Doc]]</f>
        <v>0</v>
      </c>
      <c r="BR77" s="142"/>
      <c r="BS77" s="154"/>
      <c r="BT77" s="94">
        <f ca="1">TblConstr[[#This Row],[Land]]</f>
        <v>370</v>
      </c>
      <c r="BU77" s="159">
        <f ca="1">TblImps[[#This Row],[Time]]</f>
        <v>45818.04166666649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100</v>
      </c>
      <c r="DA77" s="94">
        <f t="shared" ca="1" si="13"/>
        <v>20</v>
      </c>
      <c r="DB77" s="45">
        <f t="shared" ca="1" si="14"/>
        <v>0</v>
      </c>
      <c r="DC77" s="94">
        <f t="shared" ca="1" si="15"/>
        <v>0</v>
      </c>
      <c r="DD77" s="94">
        <f t="shared" ca="1" si="16"/>
        <v>100</v>
      </c>
      <c r="DE77" s="45">
        <f t="shared" ca="1" si="17"/>
        <v>50</v>
      </c>
      <c r="DF77" s="94">
        <f t="shared" ca="1" si="18"/>
        <v>0</v>
      </c>
      <c r="DG77" s="94" cm="1">
        <f t="array" aca="1" ref="DG77" ca="1">INDEX(TblConstr[[Total Plain]:[Total Water]],ROW()-ROW(TblConstr[#Headers]),MATCH("Total "&amp;home_land,TblConstr[[#Headers],[Total Plain]:[Total Water]],0))+TblConstr[[#This Row],[Homes]]</f>
        <v>150</v>
      </c>
      <c r="DH77" s="45">
        <f t="shared" ca="1" si="22"/>
        <v>50</v>
      </c>
      <c r="DI77" s="94">
        <f t="shared" ca="1" si="19"/>
        <v>0</v>
      </c>
      <c r="DJ77" s="45">
        <f t="shared" ca="1" si="20"/>
        <v>0</v>
      </c>
    </row>
    <row r="78" spans="1:114" x14ac:dyDescent="0.2">
      <c r="A78" s="175">
        <f>TblRezone[[#This Row],[Hour]]</f>
        <v>75</v>
      </c>
      <c r="B78" s="176">
        <f ca="1">SUM(TblConstr[[#This Row],[Plain]:[Water]])</f>
        <v>20</v>
      </c>
      <c r="C78" s="177">
        <f ca="1">SUM(TblConstr[[#This Row],[Tot Hom]:[Tot Doc]])</f>
        <v>350</v>
      </c>
      <c r="D78" s="177">
        <f t="shared" si="21"/>
        <v>0</v>
      </c>
      <c r="E78" s="178"/>
      <c r="F78" s="61">
        <f ca="1">TblConstr[[#This Row],[Barren]]+TblConstr[[#This Row],[Buildings]]+TblConstr[[#This Row],[Incoming]]</f>
        <v>370</v>
      </c>
      <c r="G78" s="187">
        <f ca="1">OFFSET(TblConstr[[#This Row],[Plain]],-1,0)+TblConstr[[#This Row],[Ch_Plain]]</f>
        <v>20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45818.083333333154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1129674</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78" s="94">
        <f ca="1">ROUNDDOWN( MAX(1 - MIN(facs_constr_factor*TblConstr[[#This Row],[Facs -DB]],facs_constr_max) + tech_1_11*TblTech[[#This Row],[11-1]] + tech_6_3_2*TblTech[[#This Row],[6-3]] + tech_5_2_3*TblTech[[#This Row],[5-2]], 1-global_constr_cap) * TblConstr[[#This Row],[RCPA Lumber]],0)</f>
        <v>122</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78" s="94">
        <f ca="1">ROUNDDOWN( MAX(1 - MIN(facs_constr_factor*TblConstr[[#This Row],[Facs DB]],facs_constr_max) + tech_1_11*TblTech[[#This Row],[1-11]] + tech_6_3_2*TblTech[[#This Row],[6-3]] + tech_5_2_3*TblTech[[#This Row],[5-2]], 1-global_constr_cap) * ROUND((TblConstr[[#This Row],[Land]]-250)*0.285 + 87.5 + 0/4.25,0),0)</f>
        <v>122</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1000</v>
      </c>
      <c r="AW78" s="94">
        <f ca="1">ROUND((TblConstr[[#This Row],[Land]]-250 - IF(TblExplore[[#This Row],[Land Bonus]]&lt;&gt;0,20,0))*0.285 + 87.5 + 0/4.25,0)</f>
        <v>122</v>
      </c>
      <c r="AX78" s="154"/>
      <c r="AY78" s="188" cm="1">
        <f t="array" aca="1" ref="AY78" ca="1">IF(TblConstr[[#This Row],[Hour]:[Hour]]&gt;12,OFFSET(TblConstr[[#This Row],[Hom]],-12,0),0)+OFFSET(TblConstr[[#This Row],[Tot Hom]],-1,0)-TblConstr[[#This Row],[Dest Hom]]</f>
        <v>50</v>
      </c>
      <c r="AZ78" s="189" cm="1">
        <f t="array" aca="1" ref="AZ78" ca="1">IF(TblConstr[[#This Row],[Hour]:[Hour]]&gt;12,OFFSET(TblConstr[[#This Row],[Alc]],-12,0),0)+OFFSET(TblConstr[[#This Row],[Tot Alc]],-1,0)-TblConstr[[#This Row],[Dest Alc]]</f>
        <v>50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50</v>
      </c>
      <c r="BM78" s="369" cm="1">
        <f t="array" aca="1" ref="BM78" ca="1">IF(TblConstr[[#This Row],[Hour]:[Hour]]&gt;12,OFFSET(TblConstr[[#This Row],[Tem]],-12,0),0)+OFFSET(TblConstr[[#This Row],[Tot Tem]],-1,0)-TblConstr[[#This Row],[Dest Tem]]</f>
        <v>50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50</v>
      </c>
      <c r="BP78" s="191" cm="1">
        <f t="array" aca="1" ref="BP78" ca="1">IF(TblConstr[[#This Row],[Hour]:[Hour]]&gt;12,OFFSET(TblConstr[[#This Row],[Sch]],-12,0),0)+OFFSET(TblConstr[[#This Row],[Tot Sch]],-1,0)-TblConstr[[#This Row],[Dest Sch]]</f>
        <v>50</v>
      </c>
      <c r="BQ78" s="192" cm="1">
        <f t="array" aca="1" ref="BQ78" ca="1">IF(TblConstr[[#This Row],[Hour]:[Hour]]&gt;12,OFFSET(TblConstr[[#This Row],[Doc]],-12,0),0)+OFFSET(TblConstr[[#This Row],[Tot Doc]],-1,0)-TblConstr[[#This Row],[Dest Doc]]</f>
        <v>0</v>
      </c>
      <c r="BR78" s="142"/>
      <c r="BS78" s="154"/>
      <c r="BT78" s="94">
        <f ca="1">TblConstr[[#This Row],[Land]]</f>
        <v>370</v>
      </c>
      <c r="BU78" s="159">
        <f ca="1">TblImps[[#This Row],[Time]]</f>
        <v>45818.083333333154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100</v>
      </c>
      <c r="DA78" s="94">
        <f t="shared" ca="1" si="13"/>
        <v>20</v>
      </c>
      <c r="DB78" s="45">
        <f t="shared" ca="1" si="14"/>
        <v>0</v>
      </c>
      <c r="DC78" s="94">
        <f t="shared" ca="1" si="15"/>
        <v>0</v>
      </c>
      <c r="DD78" s="94">
        <f t="shared" ca="1" si="16"/>
        <v>100</v>
      </c>
      <c r="DE78" s="45">
        <f t="shared" ca="1" si="17"/>
        <v>50</v>
      </c>
      <c r="DF78" s="94">
        <f t="shared" ca="1" si="18"/>
        <v>0</v>
      </c>
      <c r="DG78" s="94" cm="1">
        <f t="array" aca="1" ref="DG78" ca="1">INDEX(TblConstr[[Total Plain]:[Total Water]],ROW()-ROW(TblConstr[#Headers]),MATCH("Total "&amp;home_land,TblConstr[[#Headers],[Total Plain]:[Total Water]],0))+TblConstr[[#This Row],[Homes]]</f>
        <v>150</v>
      </c>
      <c r="DH78" s="45">
        <f t="shared" ca="1" si="22"/>
        <v>50</v>
      </c>
      <c r="DI78" s="45">
        <f t="shared" ca="1" si="19"/>
        <v>0</v>
      </c>
      <c r="DJ78" s="45">
        <f t="shared" ca="1" si="20"/>
        <v>0</v>
      </c>
    </row>
    <row r="79" spans="1:114" x14ac:dyDescent="0.2">
      <c r="A79" s="175">
        <f>TblRezone[[#This Row],[Hour]]</f>
        <v>76</v>
      </c>
      <c r="B79" s="176">
        <f ca="1">SUM(TblConstr[[#This Row],[Plain]:[Water]])</f>
        <v>20</v>
      </c>
      <c r="C79" s="177">
        <f ca="1">SUM(TblConstr[[#This Row],[Tot Hom]:[Tot Doc]])</f>
        <v>350</v>
      </c>
      <c r="D79" s="177">
        <f t="shared" si="21"/>
        <v>0</v>
      </c>
      <c r="E79" s="178"/>
      <c r="F79" s="61">
        <f ca="1">TblConstr[[#This Row],[Barren]]+TblConstr[[#This Row],[Buildings]]+TblConstr[[#This Row],[Incoming]]</f>
        <v>370</v>
      </c>
      <c r="G79" s="187">
        <f ca="1">OFFSET(TblConstr[[#This Row],[Plain]],-1,0)+TblConstr[[#This Row],[Ch_Plain]]</f>
        <v>20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45818.124999999818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1139565</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79" s="94">
        <f ca="1">ROUNDDOWN( MAX(1 - MIN(facs_constr_factor*TblConstr[[#This Row],[Facs -DB]],facs_constr_max) + tech_1_11*TblTech[[#This Row],[11-1]] + tech_6_3_2*TblTech[[#This Row],[6-3]] + tech_5_2_3*TblTech[[#This Row],[5-2]], 1-global_constr_cap) * TblConstr[[#This Row],[RCPA Lumber]],0)</f>
        <v>122</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79" s="94">
        <f ca="1">ROUNDDOWN( MAX(1 - MIN(facs_constr_factor*TblConstr[[#This Row],[Facs DB]],facs_constr_max) + tech_1_11*TblTech[[#This Row],[1-11]] + tech_6_3_2*TblTech[[#This Row],[6-3]] + tech_5_2_3*TblTech[[#This Row],[5-2]], 1-global_constr_cap) * ROUND((TblConstr[[#This Row],[Land]]-250)*0.285 + 87.5 + 0/4.25,0),0)</f>
        <v>122</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1000</v>
      </c>
      <c r="AW79" s="94">
        <f ca="1">ROUND((TblConstr[[#This Row],[Land]]-250 - IF(TblExplore[[#This Row],[Land Bonus]]&lt;&gt;0,20,0))*0.285 + 87.5 + 0/4.25,0)</f>
        <v>122</v>
      </c>
      <c r="AX79" s="154"/>
      <c r="AY79" s="188" cm="1">
        <f t="array" aca="1" ref="AY79" ca="1">IF(TblConstr[[#This Row],[Hour]:[Hour]]&gt;12,OFFSET(TblConstr[[#This Row],[Hom]],-12,0),0)+OFFSET(TblConstr[[#This Row],[Tot Hom]],-1,0)-TblConstr[[#This Row],[Dest Hom]]</f>
        <v>50</v>
      </c>
      <c r="AZ79" s="189" cm="1">
        <f t="array" aca="1" ref="AZ79" ca="1">IF(TblConstr[[#This Row],[Hour]:[Hour]]&gt;12,OFFSET(TblConstr[[#This Row],[Alc]],-12,0),0)+OFFSET(TblConstr[[#This Row],[Tot Alc]],-1,0)-TblConstr[[#This Row],[Dest Alc]]</f>
        <v>50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50</v>
      </c>
      <c r="BM79" s="369" cm="1">
        <f t="array" aca="1" ref="BM79" ca="1">IF(TblConstr[[#This Row],[Hour]:[Hour]]&gt;12,OFFSET(TblConstr[[#This Row],[Tem]],-12,0),0)+OFFSET(TblConstr[[#This Row],[Tot Tem]],-1,0)-TblConstr[[#This Row],[Dest Tem]]</f>
        <v>50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50</v>
      </c>
      <c r="BP79" s="191" cm="1">
        <f t="array" aca="1" ref="BP79" ca="1">IF(TblConstr[[#This Row],[Hour]:[Hour]]&gt;12,OFFSET(TblConstr[[#This Row],[Sch]],-12,0),0)+OFFSET(TblConstr[[#This Row],[Tot Sch]],-1,0)-TblConstr[[#This Row],[Dest Sch]]</f>
        <v>50</v>
      </c>
      <c r="BQ79" s="192" cm="1">
        <f t="array" aca="1" ref="BQ79" ca="1">IF(TblConstr[[#This Row],[Hour]:[Hour]]&gt;12,OFFSET(TblConstr[[#This Row],[Doc]],-12,0),0)+OFFSET(TblConstr[[#This Row],[Tot Doc]],-1,0)-TblConstr[[#This Row],[Dest Doc]]</f>
        <v>0</v>
      </c>
      <c r="BR79" s="142"/>
      <c r="BS79" s="154"/>
      <c r="BT79" s="94">
        <f ca="1">TblConstr[[#This Row],[Land]]</f>
        <v>370</v>
      </c>
      <c r="BU79" s="159">
        <f ca="1">TblImps[[#This Row],[Time]]</f>
        <v>45818.124999999818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100</v>
      </c>
      <c r="DA79" s="94">
        <f t="shared" ca="1" si="13"/>
        <v>20</v>
      </c>
      <c r="DB79" s="45">
        <f t="shared" ca="1" si="14"/>
        <v>0</v>
      </c>
      <c r="DC79" s="94">
        <f t="shared" ca="1" si="15"/>
        <v>0</v>
      </c>
      <c r="DD79" s="94">
        <f t="shared" ca="1" si="16"/>
        <v>100</v>
      </c>
      <c r="DE79" s="45">
        <f t="shared" ca="1" si="17"/>
        <v>50</v>
      </c>
      <c r="DF79" s="94">
        <f t="shared" ca="1" si="18"/>
        <v>0</v>
      </c>
      <c r="DG79" s="94" cm="1">
        <f t="array" aca="1" ref="DG79" ca="1">INDEX(TblConstr[[Total Plain]:[Total Water]],ROW()-ROW(TblConstr[#Headers]),MATCH("Total "&amp;home_land,TblConstr[[#Headers],[Total Plain]:[Total Water]],0))+TblConstr[[#This Row],[Homes]]</f>
        <v>150</v>
      </c>
      <c r="DH79" s="45">
        <f t="shared" ca="1" si="22"/>
        <v>50</v>
      </c>
      <c r="DI79" s="45">
        <f t="shared" ca="1" si="19"/>
        <v>0</v>
      </c>
      <c r="DJ79" s="45">
        <f t="shared" ca="1" si="20"/>
        <v>0</v>
      </c>
    </row>
    <row r="80" spans="1:114" x14ac:dyDescent="0.2">
      <c r="A80" s="175">
        <f>TblRezone[[#This Row],[Hour]]</f>
        <v>77</v>
      </c>
      <c r="B80" s="176">
        <f ca="1">SUM(TblConstr[[#This Row],[Plain]:[Water]])</f>
        <v>20</v>
      </c>
      <c r="C80" s="177">
        <f ca="1">SUM(TblConstr[[#This Row],[Tot Hom]:[Tot Doc]])</f>
        <v>350</v>
      </c>
      <c r="D80" s="177">
        <f t="shared" si="21"/>
        <v>0</v>
      </c>
      <c r="E80" s="178"/>
      <c r="F80" s="61">
        <f ca="1">TblConstr[[#This Row],[Barren]]+TblConstr[[#This Row],[Buildings]]+TblConstr[[#This Row],[Incoming]]</f>
        <v>370</v>
      </c>
      <c r="G80" s="187">
        <f ca="1">OFFSET(TblConstr[[#This Row],[Plain]],-1,0)+TblConstr[[#This Row],[Ch_Plain]]</f>
        <v>20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45818.166666666482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1149380</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80" s="94">
        <f ca="1">ROUNDDOWN( MAX(1 - MIN(facs_constr_factor*TblConstr[[#This Row],[Facs -DB]],facs_constr_max) + tech_1_11*TblTech[[#This Row],[11-1]] + tech_6_3_2*TblTech[[#This Row],[6-3]] + tech_5_2_3*TblTech[[#This Row],[5-2]], 1-global_constr_cap) * TblConstr[[#This Row],[RCPA Lumber]],0)</f>
        <v>122</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80" s="94">
        <f ca="1">ROUNDDOWN( MAX(1 - MIN(facs_constr_factor*TblConstr[[#This Row],[Facs DB]],facs_constr_max) + tech_1_11*TblTech[[#This Row],[1-11]] + tech_6_3_2*TblTech[[#This Row],[6-3]] + tech_5_2_3*TblTech[[#This Row],[5-2]], 1-global_constr_cap) * ROUND((TblConstr[[#This Row],[Land]]-250)*0.285 + 87.5 + 0/4.25,0),0)</f>
        <v>122</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1000</v>
      </c>
      <c r="AW80" s="94">
        <f ca="1">ROUND((TblConstr[[#This Row],[Land]]-250 - IF(TblExplore[[#This Row],[Land Bonus]]&lt;&gt;0,20,0))*0.285 + 87.5 + 0/4.25,0)</f>
        <v>122</v>
      </c>
      <c r="AX80" s="154"/>
      <c r="AY80" s="188" cm="1">
        <f t="array" aca="1" ref="AY80" ca="1">IF(TblConstr[[#This Row],[Hour]:[Hour]]&gt;12,OFFSET(TblConstr[[#This Row],[Hom]],-12,0),0)+OFFSET(TblConstr[[#This Row],[Tot Hom]],-1,0)-TblConstr[[#This Row],[Dest Hom]]</f>
        <v>50</v>
      </c>
      <c r="AZ80" s="189" cm="1">
        <f t="array" aca="1" ref="AZ80" ca="1">IF(TblConstr[[#This Row],[Hour]:[Hour]]&gt;12,OFFSET(TblConstr[[#This Row],[Alc]],-12,0),0)+OFFSET(TblConstr[[#This Row],[Tot Alc]],-1,0)-TblConstr[[#This Row],[Dest Alc]]</f>
        <v>50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50</v>
      </c>
      <c r="BM80" s="369" cm="1">
        <f t="array" aca="1" ref="BM80" ca="1">IF(TblConstr[[#This Row],[Hour]:[Hour]]&gt;12,OFFSET(TblConstr[[#This Row],[Tem]],-12,0),0)+OFFSET(TblConstr[[#This Row],[Tot Tem]],-1,0)-TblConstr[[#This Row],[Dest Tem]]</f>
        <v>50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50</v>
      </c>
      <c r="BP80" s="191" cm="1">
        <f t="array" aca="1" ref="BP80" ca="1">IF(TblConstr[[#This Row],[Hour]:[Hour]]&gt;12,OFFSET(TblConstr[[#This Row],[Sch]],-12,0),0)+OFFSET(TblConstr[[#This Row],[Tot Sch]],-1,0)-TblConstr[[#This Row],[Dest Sch]]</f>
        <v>50</v>
      </c>
      <c r="BQ80" s="192" cm="1">
        <f t="array" aca="1" ref="BQ80" ca="1">IF(TblConstr[[#This Row],[Hour]:[Hour]]&gt;12,OFFSET(TblConstr[[#This Row],[Doc]],-12,0),0)+OFFSET(TblConstr[[#This Row],[Tot Doc]],-1,0)-TblConstr[[#This Row],[Dest Doc]]</f>
        <v>0</v>
      </c>
      <c r="BR80" s="142"/>
      <c r="BS80" s="154"/>
      <c r="BT80" s="94">
        <f ca="1">TblConstr[[#This Row],[Land]]</f>
        <v>370</v>
      </c>
      <c r="BU80" s="159">
        <f ca="1">TblImps[[#This Row],[Time]]</f>
        <v>45818.166666666482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100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100</v>
      </c>
      <c r="DE80" s="45">
        <f t="shared" ref="DE80:DE111" ca="1" si="28">L80+SUM(AE69:AE80)+BO80</f>
        <v>50</v>
      </c>
      <c r="DF80" s="94">
        <f t="shared" ref="DF80:DF111" ca="1" si="29">M80+SUM(AG69:AG80)+BQ80</f>
        <v>0</v>
      </c>
      <c r="DG80" s="94" cm="1">
        <f t="array" aca="1" ref="DG80" ca="1">INDEX(TblConstr[[Total Plain]:[Total Water]],ROW()-ROW(TblConstr[#Headers]),MATCH("Total "&amp;home_land,TblConstr[[#Headers],[Total Plain]:[Total Water]],0))+TblConstr[[#This Row],[Homes]]</f>
        <v>150</v>
      </c>
      <c r="DH80" s="45">
        <f t="shared" ca="1" si="22"/>
        <v>50</v>
      </c>
      <c r="DI80" s="45">
        <f t="shared" ca="1" si="19"/>
        <v>0</v>
      </c>
      <c r="DJ80" s="45">
        <f t="shared" ca="1" si="20"/>
        <v>0</v>
      </c>
    </row>
    <row r="81" spans="1:114" x14ac:dyDescent="0.2">
      <c r="A81" s="175">
        <f>TblRezone[[#This Row],[Hour]]</f>
        <v>78</v>
      </c>
      <c r="B81" s="176">
        <f ca="1">SUM(TblConstr[[#This Row],[Plain]:[Water]])</f>
        <v>20</v>
      </c>
      <c r="C81" s="177">
        <f ca="1">SUM(TblConstr[[#This Row],[Tot Hom]:[Tot Doc]])</f>
        <v>350</v>
      </c>
      <c r="D81" s="177">
        <f t="shared" si="21"/>
        <v>0</v>
      </c>
      <c r="E81" s="178"/>
      <c r="F81" s="61">
        <f ca="1">TblConstr[[#This Row],[Barren]]+TblConstr[[#This Row],[Buildings]]+TblConstr[[#This Row],[Incoming]]</f>
        <v>370</v>
      </c>
      <c r="G81" s="187">
        <f ca="1">OFFSET(TblConstr[[#This Row],[Plain]],-1,0)+TblConstr[[#This Row],[Ch_Plain]]</f>
        <v>20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45818.208333333147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1159119</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81" s="94">
        <f ca="1">ROUNDDOWN( MAX(1 - MIN(facs_constr_factor*TblConstr[[#This Row],[Facs -DB]],facs_constr_max) + tech_1_11*TblTech[[#This Row],[11-1]] + tech_6_3_2*TblTech[[#This Row],[6-3]] + tech_5_2_3*TblTech[[#This Row],[5-2]], 1-global_constr_cap) * TblConstr[[#This Row],[RCPA Lumber]],0)</f>
        <v>122</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81" s="94">
        <f ca="1">ROUNDDOWN( MAX(1 - MIN(facs_constr_factor*TblConstr[[#This Row],[Facs DB]],facs_constr_max) + tech_1_11*TblTech[[#This Row],[1-11]] + tech_6_3_2*TblTech[[#This Row],[6-3]] + tech_5_2_3*TblTech[[#This Row],[5-2]], 1-global_constr_cap) * ROUND((TblConstr[[#This Row],[Land]]-250)*0.285 + 87.5 + 0/4.25,0),0)</f>
        <v>122</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1000</v>
      </c>
      <c r="AW81" s="94">
        <f ca="1">ROUND((TblConstr[[#This Row],[Land]]-250 - IF(TblExplore[[#This Row],[Land Bonus]]&lt;&gt;0,20,0))*0.285 + 87.5 + 0/4.25,0)</f>
        <v>122</v>
      </c>
      <c r="AX81" s="154"/>
      <c r="AY81" s="188" cm="1">
        <f t="array" aca="1" ref="AY81" ca="1">IF(TblConstr[[#This Row],[Hour]:[Hour]]&gt;12,OFFSET(TblConstr[[#This Row],[Hom]],-12,0),0)+OFFSET(TblConstr[[#This Row],[Tot Hom]],-1,0)-TblConstr[[#This Row],[Dest Hom]]</f>
        <v>50</v>
      </c>
      <c r="AZ81" s="189" cm="1">
        <f t="array" aca="1" ref="AZ81" ca="1">IF(TblConstr[[#This Row],[Hour]:[Hour]]&gt;12,OFFSET(TblConstr[[#This Row],[Alc]],-12,0),0)+OFFSET(TblConstr[[#This Row],[Tot Alc]],-1,0)-TblConstr[[#This Row],[Dest Alc]]</f>
        <v>50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50</v>
      </c>
      <c r="BM81" s="369" cm="1">
        <f t="array" aca="1" ref="BM81" ca="1">IF(TblConstr[[#This Row],[Hour]:[Hour]]&gt;12,OFFSET(TblConstr[[#This Row],[Tem]],-12,0),0)+OFFSET(TblConstr[[#This Row],[Tot Tem]],-1,0)-TblConstr[[#This Row],[Dest Tem]]</f>
        <v>50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50</v>
      </c>
      <c r="BP81" s="191" cm="1">
        <f t="array" aca="1" ref="BP81" ca="1">IF(TblConstr[[#This Row],[Hour]:[Hour]]&gt;12,OFFSET(TblConstr[[#This Row],[Sch]],-12,0),0)+OFFSET(TblConstr[[#This Row],[Tot Sch]],-1,0)-TblConstr[[#This Row],[Dest Sch]]</f>
        <v>50</v>
      </c>
      <c r="BQ81" s="192" cm="1">
        <f t="array" aca="1" ref="BQ81" ca="1">IF(TblConstr[[#This Row],[Hour]:[Hour]]&gt;12,OFFSET(TblConstr[[#This Row],[Doc]],-12,0),0)+OFFSET(TblConstr[[#This Row],[Tot Doc]],-1,0)-TblConstr[[#This Row],[Dest Doc]]</f>
        <v>0</v>
      </c>
      <c r="BR81" s="142"/>
      <c r="BS81" s="154"/>
      <c r="BT81" s="94">
        <f ca="1">TblConstr[[#This Row],[Land]]</f>
        <v>370</v>
      </c>
      <c r="BU81" s="159">
        <f ca="1">TblImps[[#This Row],[Time]]</f>
        <v>45818.208333333147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100</v>
      </c>
      <c r="DA81" s="94">
        <f t="shared" ca="1" si="24"/>
        <v>20</v>
      </c>
      <c r="DB81" s="45">
        <f t="shared" ca="1" si="25"/>
        <v>0</v>
      </c>
      <c r="DC81" s="94">
        <f t="shared" ca="1" si="26"/>
        <v>0</v>
      </c>
      <c r="DD81" s="94">
        <f t="shared" ca="1" si="27"/>
        <v>100</v>
      </c>
      <c r="DE81" s="45">
        <f t="shared" ca="1" si="28"/>
        <v>50</v>
      </c>
      <c r="DF81" s="94">
        <f t="shared" ca="1" si="29"/>
        <v>0</v>
      </c>
      <c r="DG81" s="94" cm="1">
        <f t="array" aca="1" ref="DG81" ca="1">INDEX(TblConstr[[Total Plain]:[Total Water]],ROW()-ROW(TblConstr[#Headers]),MATCH("Total "&amp;home_land,TblConstr[[#Headers],[Total Plain]:[Total Water]],0))+TblConstr[[#This Row],[Homes]]</f>
        <v>150</v>
      </c>
      <c r="DH81" s="45">
        <f t="shared" ca="1" si="22"/>
        <v>50</v>
      </c>
      <c r="DI81" s="45">
        <f t="shared" ca="1" si="19"/>
        <v>0</v>
      </c>
      <c r="DJ81" s="45">
        <f t="shared" ca="1" si="20"/>
        <v>0</v>
      </c>
    </row>
    <row r="82" spans="1:114" x14ac:dyDescent="0.2">
      <c r="A82" s="175">
        <f>TblRezone[[#This Row],[Hour]]</f>
        <v>79</v>
      </c>
      <c r="B82" s="176">
        <f ca="1">SUM(TblConstr[[#This Row],[Plain]:[Water]])</f>
        <v>20</v>
      </c>
      <c r="C82" s="177">
        <f ca="1">SUM(TblConstr[[#This Row],[Tot Hom]:[Tot Doc]])</f>
        <v>350</v>
      </c>
      <c r="D82" s="177">
        <f t="shared" si="21"/>
        <v>0</v>
      </c>
      <c r="E82" s="178"/>
      <c r="F82" s="61">
        <f ca="1">TblConstr[[#This Row],[Barren]]+TblConstr[[#This Row],[Buildings]]+TblConstr[[#This Row],[Incoming]]</f>
        <v>370</v>
      </c>
      <c r="G82" s="187">
        <f ca="1">OFFSET(TblConstr[[#This Row],[Plain]],-1,0)+TblConstr[[#This Row],[Ch_Plain]]</f>
        <v>20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45818.249999999811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1168783</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82" s="94">
        <f ca="1">ROUNDDOWN( MAX(1 - MIN(facs_constr_factor*TblConstr[[#This Row],[Facs -DB]],facs_constr_max) + tech_1_11*TblTech[[#This Row],[11-1]] + tech_6_3_2*TblTech[[#This Row],[6-3]] + tech_5_2_3*TblTech[[#This Row],[5-2]], 1-global_constr_cap) * TblConstr[[#This Row],[RCPA Lumber]],0)</f>
        <v>122</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82" s="94">
        <f ca="1">ROUNDDOWN( MAX(1 - MIN(facs_constr_factor*TblConstr[[#This Row],[Facs DB]],facs_constr_max) + tech_1_11*TblTech[[#This Row],[1-11]] + tech_6_3_2*TblTech[[#This Row],[6-3]] + tech_5_2_3*TblTech[[#This Row],[5-2]], 1-global_constr_cap) * ROUND((TblConstr[[#This Row],[Land]]-250)*0.285 + 87.5 + 0/4.25,0),0)</f>
        <v>122</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1000</v>
      </c>
      <c r="AW82" s="94">
        <f ca="1">ROUND((TblConstr[[#This Row],[Land]]-250 - IF(TblExplore[[#This Row],[Land Bonus]]&lt;&gt;0,20,0))*0.285 + 87.5 + 0/4.25,0)</f>
        <v>122</v>
      </c>
      <c r="AX82" s="154"/>
      <c r="AY82" s="188" cm="1">
        <f t="array" aca="1" ref="AY82" ca="1">IF(TblConstr[[#This Row],[Hour]:[Hour]]&gt;12,OFFSET(TblConstr[[#This Row],[Hom]],-12,0),0)+OFFSET(TblConstr[[#This Row],[Tot Hom]],-1,0)-TblConstr[[#This Row],[Dest Hom]]</f>
        <v>50</v>
      </c>
      <c r="AZ82" s="189" cm="1">
        <f t="array" aca="1" ref="AZ82" ca="1">IF(TblConstr[[#This Row],[Hour]:[Hour]]&gt;12,OFFSET(TblConstr[[#This Row],[Alc]],-12,0),0)+OFFSET(TblConstr[[#This Row],[Tot Alc]],-1,0)-TblConstr[[#This Row],[Dest Alc]]</f>
        <v>50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50</v>
      </c>
      <c r="BM82" s="369" cm="1">
        <f t="array" aca="1" ref="BM82" ca="1">IF(TblConstr[[#This Row],[Hour]:[Hour]]&gt;12,OFFSET(TblConstr[[#This Row],[Tem]],-12,0),0)+OFFSET(TblConstr[[#This Row],[Tot Tem]],-1,0)-TblConstr[[#This Row],[Dest Tem]]</f>
        <v>50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50</v>
      </c>
      <c r="BP82" s="191" cm="1">
        <f t="array" aca="1" ref="BP82" ca="1">IF(TblConstr[[#This Row],[Hour]:[Hour]]&gt;12,OFFSET(TblConstr[[#This Row],[Sch]],-12,0),0)+OFFSET(TblConstr[[#This Row],[Tot Sch]],-1,0)-TblConstr[[#This Row],[Dest Sch]]</f>
        <v>50</v>
      </c>
      <c r="BQ82" s="192" cm="1">
        <f t="array" aca="1" ref="BQ82" ca="1">IF(TblConstr[[#This Row],[Hour]:[Hour]]&gt;12,OFFSET(TblConstr[[#This Row],[Doc]],-12,0),0)+OFFSET(TblConstr[[#This Row],[Tot Doc]],-1,0)-TblConstr[[#This Row],[Dest Doc]]</f>
        <v>0</v>
      </c>
      <c r="BR82" s="142"/>
      <c r="BS82" s="154"/>
      <c r="BT82" s="94">
        <f ca="1">TblConstr[[#This Row],[Land]]</f>
        <v>370</v>
      </c>
      <c r="BU82" s="159">
        <f ca="1">TblImps[[#This Row],[Time]]</f>
        <v>45818.249999999811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100</v>
      </c>
      <c r="DA82" s="94">
        <f t="shared" ca="1" si="24"/>
        <v>20</v>
      </c>
      <c r="DB82" s="45">
        <f t="shared" ca="1" si="25"/>
        <v>0</v>
      </c>
      <c r="DC82" s="94">
        <f t="shared" ca="1" si="26"/>
        <v>0</v>
      </c>
      <c r="DD82" s="94">
        <f t="shared" ca="1" si="27"/>
        <v>100</v>
      </c>
      <c r="DE82" s="45">
        <f t="shared" ca="1" si="28"/>
        <v>50</v>
      </c>
      <c r="DF82" s="94">
        <f t="shared" ca="1" si="29"/>
        <v>0</v>
      </c>
      <c r="DG82" s="94" cm="1">
        <f t="array" aca="1" ref="DG82" ca="1">INDEX(TblConstr[[Total Plain]:[Total Water]],ROW()-ROW(TblConstr[#Headers]),MATCH("Total "&amp;home_land,TblConstr[[#Headers],[Total Plain]:[Total Water]],0))+TblConstr[[#This Row],[Homes]]</f>
        <v>150</v>
      </c>
      <c r="DH82" s="45">
        <f t="shared" ca="1" si="22"/>
        <v>50</v>
      </c>
      <c r="DI82" s="45">
        <f t="shared" ca="1" si="19"/>
        <v>0</v>
      </c>
      <c r="DJ82" s="45">
        <f t="shared" ca="1" si="20"/>
        <v>0</v>
      </c>
    </row>
    <row r="83" spans="1:114" x14ac:dyDescent="0.2">
      <c r="A83" s="175">
        <f>TblRezone[[#This Row],[Hour]]</f>
        <v>80</v>
      </c>
      <c r="B83" s="176">
        <f ca="1">SUM(TblConstr[[#This Row],[Plain]:[Water]])</f>
        <v>20</v>
      </c>
      <c r="C83" s="177">
        <f ca="1">SUM(TblConstr[[#This Row],[Tot Hom]:[Tot Doc]])</f>
        <v>350</v>
      </c>
      <c r="D83" s="177">
        <f t="shared" si="21"/>
        <v>0</v>
      </c>
      <c r="E83" s="178"/>
      <c r="F83" s="61">
        <f ca="1">TblConstr[[#This Row],[Barren]]+TblConstr[[#This Row],[Buildings]]+TblConstr[[#This Row],[Incoming]]</f>
        <v>370</v>
      </c>
      <c r="G83" s="187">
        <f ca="1">OFFSET(TblConstr[[#This Row],[Plain]],-1,0)+TblConstr[[#This Row],[Ch_Plain]]</f>
        <v>20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45818.291666666475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1178374</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83" s="94">
        <f ca="1">ROUNDDOWN( MAX(1 - MIN(facs_constr_factor*TblConstr[[#This Row],[Facs -DB]],facs_constr_max) + tech_1_11*TblTech[[#This Row],[11-1]] + tech_6_3_2*TblTech[[#This Row],[6-3]] + tech_5_2_3*TblTech[[#This Row],[5-2]], 1-global_constr_cap) * TblConstr[[#This Row],[RCPA Lumber]],0)</f>
        <v>122</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83" s="94">
        <f ca="1">ROUNDDOWN( MAX(1 - MIN(facs_constr_factor*TblConstr[[#This Row],[Facs DB]],facs_constr_max) + tech_1_11*TblTech[[#This Row],[1-11]] + tech_6_3_2*TblTech[[#This Row],[6-3]] + tech_5_2_3*TblTech[[#This Row],[5-2]], 1-global_constr_cap) * ROUND((TblConstr[[#This Row],[Land]]-250)*0.285 + 87.5 + 0/4.25,0),0)</f>
        <v>122</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1000</v>
      </c>
      <c r="AW83" s="94">
        <f ca="1">ROUND((TblConstr[[#This Row],[Land]]-250 - IF(TblExplore[[#This Row],[Land Bonus]]&lt;&gt;0,20,0))*0.285 + 87.5 + 0/4.25,0)</f>
        <v>122</v>
      </c>
      <c r="AX83" s="154"/>
      <c r="AY83" s="188" cm="1">
        <f t="array" aca="1" ref="AY83" ca="1">IF(TblConstr[[#This Row],[Hour]:[Hour]]&gt;12,OFFSET(TblConstr[[#This Row],[Hom]],-12,0),0)+OFFSET(TblConstr[[#This Row],[Tot Hom]],-1,0)-TblConstr[[#This Row],[Dest Hom]]</f>
        <v>50</v>
      </c>
      <c r="AZ83" s="189" cm="1">
        <f t="array" aca="1" ref="AZ83" ca="1">IF(TblConstr[[#This Row],[Hour]:[Hour]]&gt;12,OFFSET(TblConstr[[#This Row],[Alc]],-12,0),0)+OFFSET(TblConstr[[#This Row],[Tot Alc]],-1,0)-TblConstr[[#This Row],[Dest Alc]]</f>
        <v>50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50</v>
      </c>
      <c r="BM83" s="369" cm="1">
        <f t="array" aca="1" ref="BM83" ca="1">IF(TblConstr[[#This Row],[Hour]:[Hour]]&gt;12,OFFSET(TblConstr[[#This Row],[Tem]],-12,0),0)+OFFSET(TblConstr[[#This Row],[Tot Tem]],-1,0)-TblConstr[[#This Row],[Dest Tem]]</f>
        <v>50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50</v>
      </c>
      <c r="BP83" s="191" cm="1">
        <f t="array" aca="1" ref="BP83" ca="1">IF(TblConstr[[#This Row],[Hour]:[Hour]]&gt;12,OFFSET(TblConstr[[#This Row],[Sch]],-12,0),0)+OFFSET(TblConstr[[#This Row],[Tot Sch]],-1,0)-TblConstr[[#This Row],[Dest Sch]]</f>
        <v>50</v>
      </c>
      <c r="BQ83" s="192" cm="1">
        <f t="array" aca="1" ref="BQ83" ca="1">IF(TblConstr[[#This Row],[Hour]:[Hour]]&gt;12,OFFSET(TblConstr[[#This Row],[Doc]],-12,0),0)+OFFSET(TblConstr[[#This Row],[Tot Doc]],-1,0)-TblConstr[[#This Row],[Dest Doc]]</f>
        <v>0</v>
      </c>
      <c r="BR83" s="142"/>
      <c r="BS83" s="154"/>
      <c r="BT83" s="94">
        <f ca="1">TblConstr[[#This Row],[Land]]</f>
        <v>370</v>
      </c>
      <c r="BU83" s="159">
        <f ca="1">TblImps[[#This Row],[Time]]</f>
        <v>45818.291666666475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100</v>
      </c>
      <c r="DA83" s="94">
        <f t="shared" ca="1" si="24"/>
        <v>20</v>
      </c>
      <c r="DB83" s="45">
        <f t="shared" ca="1" si="25"/>
        <v>0</v>
      </c>
      <c r="DC83" s="94">
        <f t="shared" ca="1" si="26"/>
        <v>0</v>
      </c>
      <c r="DD83" s="94">
        <f t="shared" ca="1" si="27"/>
        <v>100</v>
      </c>
      <c r="DE83" s="45">
        <f t="shared" ca="1" si="28"/>
        <v>50</v>
      </c>
      <c r="DF83" s="94">
        <f t="shared" ca="1" si="29"/>
        <v>0</v>
      </c>
      <c r="DG83" s="94" cm="1">
        <f t="array" aca="1" ref="DG83" ca="1">INDEX(TblConstr[[Total Plain]:[Total Water]],ROW()-ROW(TblConstr[#Headers]),MATCH("Total "&amp;home_land,TblConstr[[#Headers],[Total Plain]:[Total Water]],0))+TblConstr[[#This Row],[Homes]]</f>
        <v>150</v>
      </c>
      <c r="DH83" s="45">
        <f t="shared" ca="1" si="22"/>
        <v>50</v>
      </c>
      <c r="DI83" s="45">
        <f t="shared" ca="1" si="19"/>
        <v>0</v>
      </c>
      <c r="DJ83" s="45">
        <f t="shared" ca="1" si="20"/>
        <v>0</v>
      </c>
    </row>
    <row r="84" spans="1:114" x14ac:dyDescent="0.2">
      <c r="A84" s="175">
        <f>TblRezone[[#This Row],[Hour]]</f>
        <v>81</v>
      </c>
      <c r="B84" s="176">
        <f ca="1">SUM(TblConstr[[#This Row],[Plain]:[Water]])</f>
        <v>20</v>
      </c>
      <c r="C84" s="177">
        <f ca="1">SUM(TblConstr[[#This Row],[Tot Hom]:[Tot Doc]])</f>
        <v>350</v>
      </c>
      <c r="D84" s="177">
        <f t="shared" si="21"/>
        <v>0</v>
      </c>
      <c r="E84" s="178"/>
      <c r="F84" s="61">
        <f ca="1">TblConstr[[#This Row],[Barren]]+TblConstr[[#This Row],[Buildings]]+TblConstr[[#This Row],[Incoming]]</f>
        <v>370</v>
      </c>
      <c r="G84" s="187">
        <f ca="1">OFFSET(TblConstr[[#This Row],[Plain]],-1,0)+TblConstr[[#This Row],[Ch_Plain]]</f>
        <v>20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45818.333333333139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1187892</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84" s="94">
        <f ca="1">ROUNDDOWN( MAX(1 - MIN(facs_constr_factor*TblConstr[[#This Row],[Facs -DB]],facs_constr_max) + tech_1_11*TblTech[[#This Row],[11-1]] + tech_6_3_2*TblTech[[#This Row],[6-3]] + tech_5_2_3*TblTech[[#This Row],[5-2]], 1-global_constr_cap) * TblConstr[[#This Row],[RCPA Lumber]],0)</f>
        <v>122</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84" s="94">
        <f ca="1">ROUNDDOWN( MAX(1 - MIN(facs_constr_factor*TblConstr[[#This Row],[Facs DB]],facs_constr_max) + tech_1_11*TblTech[[#This Row],[1-11]] + tech_6_3_2*TblTech[[#This Row],[6-3]] + tech_5_2_3*TblTech[[#This Row],[5-2]], 1-global_constr_cap) * ROUND((TblConstr[[#This Row],[Land]]-250)*0.285 + 87.5 + 0/4.25,0),0)</f>
        <v>122</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1000</v>
      </c>
      <c r="AW84" s="94">
        <f ca="1">ROUND((TblConstr[[#This Row],[Land]]-250 - IF(TblExplore[[#This Row],[Land Bonus]]&lt;&gt;0,20,0))*0.285 + 87.5 + 0/4.25,0)</f>
        <v>122</v>
      </c>
      <c r="AX84" s="154"/>
      <c r="AY84" s="188" cm="1">
        <f t="array" aca="1" ref="AY84" ca="1">IF(TblConstr[[#This Row],[Hour]:[Hour]]&gt;12,OFFSET(TblConstr[[#This Row],[Hom]],-12,0),0)+OFFSET(TblConstr[[#This Row],[Tot Hom]],-1,0)-TblConstr[[#This Row],[Dest Hom]]</f>
        <v>50</v>
      </c>
      <c r="AZ84" s="189" cm="1">
        <f t="array" aca="1" ref="AZ84" ca="1">IF(TblConstr[[#This Row],[Hour]:[Hour]]&gt;12,OFFSET(TblConstr[[#This Row],[Alc]],-12,0),0)+OFFSET(TblConstr[[#This Row],[Tot Alc]],-1,0)-TblConstr[[#This Row],[Dest Alc]]</f>
        <v>50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50</v>
      </c>
      <c r="BM84" s="369" cm="1">
        <f t="array" aca="1" ref="BM84" ca="1">IF(TblConstr[[#This Row],[Hour]:[Hour]]&gt;12,OFFSET(TblConstr[[#This Row],[Tem]],-12,0),0)+OFFSET(TblConstr[[#This Row],[Tot Tem]],-1,0)-TblConstr[[#This Row],[Dest Tem]]</f>
        <v>50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50</v>
      </c>
      <c r="BP84" s="191" cm="1">
        <f t="array" aca="1" ref="BP84" ca="1">IF(TblConstr[[#This Row],[Hour]:[Hour]]&gt;12,OFFSET(TblConstr[[#This Row],[Sch]],-12,0),0)+OFFSET(TblConstr[[#This Row],[Tot Sch]],-1,0)-TblConstr[[#This Row],[Dest Sch]]</f>
        <v>50</v>
      </c>
      <c r="BQ84" s="192" cm="1">
        <f t="array" aca="1" ref="BQ84" ca="1">IF(TblConstr[[#This Row],[Hour]:[Hour]]&gt;12,OFFSET(TblConstr[[#This Row],[Doc]],-12,0),0)+OFFSET(TblConstr[[#This Row],[Tot Doc]],-1,0)-TblConstr[[#This Row],[Dest Doc]]</f>
        <v>0</v>
      </c>
      <c r="BR84" s="142"/>
      <c r="BS84" s="154"/>
      <c r="BT84" s="94">
        <f ca="1">TblConstr[[#This Row],[Land]]</f>
        <v>370</v>
      </c>
      <c r="BU84" s="159">
        <f ca="1">TblImps[[#This Row],[Time]]</f>
        <v>45818.333333333139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100</v>
      </c>
      <c r="DA84" s="94">
        <f t="shared" ca="1" si="24"/>
        <v>20</v>
      </c>
      <c r="DB84" s="45">
        <f t="shared" ca="1" si="25"/>
        <v>0</v>
      </c>
      <c r="DC84" s="94">
        <f t="shared" ca="1" si="26"/>
        <v>0</v>
      </c>
      <c r="DD84" s="94">
        <f t="shared" ca="1" si="27"/>
        <v>100</v>
      </c>
      <c r="DE84" s="45">
        <f t="shared" ca="1" si="28"/>
        <v>50</v>
      </c>
      <c r="DF84" s="94">
        <f t="shared" ca="1" si="29"/>
        <v>0</v>
      </c>
      <c r="DG84" s="94" cm="1">
        <f t="array" aca="1" ref="DG84" ca="1">INDEX(TblConstr[[Total Plain]:[Total Water]],ROW()-ROW(TblConstr[#Headers]),MATCH("Total "&amp;home_land,TblConstr[[#Headers],[Total Plain]:[Total Water]],0))+TblConstr[[#This Row],[Homes]]</f>
        <v>150</v>
      </c>
      <c r="DH84" s="45">
        <f t="shared" ca="1" si="22"/>
        <v>50</v>
      </c>
      <c r="DI84" s="45">
        <f t="shared" ca="1" si="19"/>
        <v>0</v>
      </c>
      <c r="DJ84" s="45">
        <f t="shared" ca="1" si="20"/>
        <v>0</v>
      </c>
    </row>
    <row r="85" spans="1:114" x14ac:dyDescent="0.2">
      <c r="A85" s="175">
        <f>TblRezone[[#This Row],[Hour]]</f>
        <v>82</v>
      </c>
      <c r="B85" s="176">
        <f ca="1">SUM(TblConstr[[#This Row],[Plain]:[Water]])</f>
        <v>20</v>
      </c>
      <c r="C85" s="177">
        <f ca="1">SUM(TblConstr[[#This Row],[Tot Hom]:[Tot Doc]])</f>
        <v>350</v>
      </c>
      <c r="D85" s="177">
        <f t="shared" si="21"/>
        <v>0</v>
      </c>
      <c r="E85" s="178"/>
      <c r="F85" s="61">
        <f ca="1">TblConstr[[#This Row],[Barren]]+TblConstr[[#This Row],[Buildings]]+TblConstr[[#This Row],[Incoming]]</f>
        <v>370</v>
      </c>
      <c r="G85" s="187">
        <f ca="1">OFFSET(TblConstr[[#This Row],[Plain]],-1,0)+TblConstr[[#This Row],[Ch_Plain]]</f>
        <v>20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45818.374999999804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1197337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85" s="94">
        <f ca="1">ROUNDDOWN( MAX(1 - MIN(facs_constr_factor*TblConstr[[#This Row],[Facs -DB]],facs_constr_max) + tech_1_11*TblTech[[#This Row],[11-1]] + tech_6_3_2*TblTech[[#This Row],[6-3]] + tech_5_2_3*TblTech[[#This Row],[5-2]], 1-global_constr_cap) * TblConstr[[#This Row],[RCPA Lumber]],0)</f>
        <v>122</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85" s="94">
        <f ca="1">ROUNDDOWN( MAX(1 - MIN(facs_constr_factor*TblConstr[[#This Row],[Facs DB]],facs_constr_max) + tech_1_11*TblTech[[#This Row],[1-11]] + tech_6_3_2*TblTech[[#This Row],[6-3]] + tech_5_2_3*TblTech[[#This Row],[5-2]], 1-global_constr_cap) * ROUND((TblConstr[[#This Row],[Land]]-250)*0.285 + 87.5 + 0/4.25,0),0)</f>
        <v>122</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1000</v>
      </c>
      <c r="AW85" s="94">
        <f ca="1">ROUND((TblConstr[[#This Row],[Land]]-250 - IF(TblExplore[[#This Row],[Land Bonus]]&lt;&gt;0,20,0))*0.285 + 87.5 + 0/4.25,0)</f>
        <v>122</v>
      </c>
      <c r="AX85" s="154"/>
      <c r="AY85" s="188" cm="1">
        <f t="array" aca="1" ref="AY85" ca="1">IF(TblConstr[[#This Row],[Hour]:[Hour]]&gt;12,OFFSET(TblConstr[[#This Row],[Hom]],-12,0),0)+OFFSET(TblConstr[[#This Row],[Tot Hom]],-1,0)-TblConstr[[#This Row],[Dest Hom]]</f>
        <v>50</v>
      </c>
      <c r="AZ85" s="189" cm="1">
        <f t="array" aca="1" ref="AZ85" ca="1">IF(TblConstr[[#This Row],[Hour]:[Hour]]&gt;12,OFFSET(TblConstr[[#This Row],[Alc]],-12,0),0)+OFFSET(TblConstr[[#This Row],[Tot Alc]],-1,0)-TblConstr[[#This Row],[Dest Alc]]</f>
        <v>50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50</v>
      </c>
      <c r="BM85" s="369" cm="1">
        <f t="array" aca="1" ref="BM85" ca="1">IF(TblConstr[[#This Row],[Hour]:[Hour]]&gt;12,OFFSET(TblConstr[[#This Row],[Tem]],-12,0),0)+OFFSET(TblConstr[[#This Row],[Tot Tem]],-1,0)-TblConstr[[#This Row],[Dest Tem]]</f>
        <v>50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50</v>
      </c>
      <c r="BP85" s="191" cm="1">
        <f t="array" aca="1" ref="BP85" ca="1">IF(TblConstr[[#This Row],[Hour]:[Hour]]&gt;12,OFFSET(TblConstr[[#This Row],[Sch]],-12,0),0)+OFFSET(TblConstr[[#This Row],[Tot Sch]],-1,0)-TblConstr[[#This Row],[Dest Sch]]</f>
        <v>50</v>
      </c>
      <c r="BQ85" s="192" cm="1">
        <f t="array" aca="1" ref="BQ85" ca="1">IF(TblConstr[[#This Row],[Hour]:[Hour]]&gt;12,OFFSET(TblConstr[[#This Row],[Doc]],-12,0),0)+OFFSET(TblConstr[[#This Row],[Tot Doc]],-1,0)-TblConstr[[#This Row],[Dest Doc]]</f>
        <v>0</v>
      </c>
      <c r="BR85" s="142"/>
      <c r="BS85" s="154"/>
      <c r="BT85" s="94">
        <f ca="1">TblConstr[[#This Row],[Land]]</f>
        <v>370</v>
      </c>
      <c r="BU85" s="159">
        <f ca="1">TblImps[[#This Row],[Time]]</f>
        <v>45818.374999999804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100</v>
      </c>
      <c r="DA85" s="94">
        <f t="shared" ca="1" si="24"/>
        <v>20</v>
      </c>
      <c r="DB85" s="45">
        <f t="shared" ca="1" si="25"/>
        <v>0</v>
      </c>
      <c r="DC85" s="94">
        <f t="shared" ca="1" si="26"/>
        <v>0</v>
      </c>
      <c r="DD85" s="94">
        <f t="shared" ca="1" si="27"/>
        <v>100</v>
      </c>
      <c r="DE85" s="45">
        <f t="shared" ca="1" si="28"/>
        <v>50</v>
      </c>
      <c r="DF85" s="94">
        <f t="shared" ca="1" si="29"/>
        <v>0</v>
      </c>
      <c r="DG85" s="94" cm="1">
        <f t="array" aca="1" ref="DG85" ca="1">INDEX(TblConstr[[Total Plain]:[Total Water]],ROW()-ROW(TblConstr[#Headers]),MATCH("Total "&amp;home_land,TblConstr[[#Headers],[Total Plain]:[Total Water]],0))+TblConstr[[#This Row],[Homes]]</f>
        <v>150</v>
      </c>
      <c r="DH85" s="45">
        <f t="shared" ca="1" si="22"/>
        <v>50</v>
      </c>
      <c r="DI85" s="45">
        <f t="shared" ca="1" si="19"/>
        <v>0</v>
      </c>
      <c r="DJ85" s="45">
        <f t="shared" ca="1" si="20"/>
        <v>0</v>
      </c>
    </row>
    <row r="86" spans="1:114" x14ac:dyDescent="0.2">
      <c r="A86" s="175">
        <f>TblRezone[[#This Row],[Hour]]</f>
        <v>83</v>
      </c>
      <c r="B86" s="176">
        <f ca="1">SUM(TblConstr[[#This Row],[Plain]:[Water]])</f>
        <v>20</v>
      </c>
      <c r="C86" s="177">
        <f ca="1">SUM(TblConstr[[#This Row],[Tot Hom]:[Tot Doc]])</f>
        <v>350</v>
      </c>
      <c r="D86" s="177">
        <f t="shared" si="21"/>
        <v>0</v>
      </c>
      <c r="E86" s="178"/>
      <c r="F86" s="61">
        <f ca="1">TblConstr[[#This Row],[Barren]]+TblConstr[[#This Row],[Buildings]]+TblConstr[[#This Row],[Incoming]]</f>
        <v>370</v>
      </c>
      <c r="G86" s="187">
        <f ca="1">OFFSET(TblConstr[[#This Row],[Plain]],-1,0)+TblConstr[[#This Row],[Ch_Plain]]</f>
        <v>20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45818.416666666468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1206709</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86" s="94">
        <f ca="1">ROUNDDOWN( MAX(1 - MIN(facs_constr_factor*TblConstr[[#This Row],[Facs -DB]],facs_constr_max) + tech_1_11*TblTech[[#This Row],[11-1]] + tech_6_3_2*TblTech[[#This Row],[6-3]] + tech_5_2_3*TblTech[[#This Row],[5-2]], 1-global_constr_cap) * TblConstr[[#This Row],[RCPA Lumber]],0)</f>
        <v>122</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86" s="94">
        <f ca="1">ROUNDDOWN( MAX(1 - MIN(facs_constr_factor*TblConstr[[#This Row],[Facs DB]],facs_constr_max) + tech_1_11*TblTech[[#This Row],[1-11]] + tech_6_3_2*TblTech[[#This Row],[6-3]] + tech_5_2_3*TblTech[[#This Row],[5-2]], 1-global_constr_cap) * ROUND((TblConstr[[#This Row],[Land]]-250)*0.285 + 87.5 + 0/4.25,0),0)</f>
        <v>122</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1000</v>
      </c>
      <c r="AW86" s="94">
        <f ca="1">ROUND((TblConstr[[#This Row],[Land]]-250 - IF(TblExplore[[#This Row],[Land Bonus]]&lt;&gt;0,20,0))*0.285 + 87.5 + 0/4.25,0)</f>
        <v>122</v>
      </c>
      <c r="AX86" s="154"/>
      <c r="AY86" s="188" cm="1">
        <f t="array" aca="1" ref="AY86" ca="1">IF(TblConstr[[#This Row],[Hour]:[Hour]]&gt;12,OFFSET(TblConstr[[#This Row],[Hom]],-12,0),0)+OFFSET(TblConstr[[#This Row],[Tot Hom]],-1,0)-TblConstr[[#This Row],[Dest Hom]]</f>
        <v>50</v>
      </c>
      <c r="AZ86" s="189" cm="1">
        <f t="array" aca="1" ref="AZ86" ca="1">IF(TblConstr[[#This Row],[Hour]:[Hour]]&gt;12,OFFSET(TblConstr[[#This Row],[Alc]],-12,0),0)+OFFSET(TblConstr[[#This Row],[Tot Alc]],-1,0)-TblConstr[[#This Row],[Dest Alc]]</f>
        <v>50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50</v>
      </c>
      <c r="BM86" s="369" cm="1">
        <f t="array" aca="1" ref="BM86" ca="1">IF(TblConstr[[#This Row],[Hour]:[Hour]]&gt;12,OFFSET(TblConstr[[#This Row],[Tem]],-12,0),0)+OFFSET(TblConstr[[#This Row],[Tot Tem]],-1,0)-TblConstr[[#This Row],[Dest Tem]]</f>
        <v>50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50</v>
      </c>
      <c r="BP86" s="191" cm="1">
        <f t="array" aca="1" ref="BP86" ca="1">IF(TblConstr[[#This Row],[Hour]:[Hour]]&gt;12,OFFSET(TblConstr[[#This Row],[Sch]],-12,0),0)+OFFSET(TblConstr[[#This Row],[Tot Sch]],-1,0)-TblConstr[[#This Row],[Dest Sch]]</f>
        <v>50</v>
      </c>
      <c r="BQ86" s="192" cm="1">
        <f t="array" aca="1" ref="BQ86" ca="1">IF(TblConstr[[#This Row],[Hour]:[Hour]]&gt;12,OFFSET(TblConstr[[#This Row],[Doc]],-12,0),0)+OFFSET(TblConstr[[#This Row],[Tot Doc]],-1,0)-TblConstr[[#This Row],[Dest Doc]]</f>
        <v>0</v>
      </c>
      <c r="BR86" s="142"/>
      <c r="BS86" s="154"/>
      <c r="BT86" s="94">
        <f ca="1">TblConstr[[#This Row],[Land]]</f>
        <v>370</v>
      </c>
      <c r="BU86" s="159">
        <f ca="1">TblImps[[#This Row],[Time]]</f>
        <v>45818.416666666468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100</v>
      </c>
      <c r="DA86" s="94">
        <f t="shared" ca="1" si="24"/>
        <v>20</v>
      </c>
      <c r="DB86" s="45">
        <f t="shared" ca="1" si="25"/>
        <v>0</v>
      </c>
      <c r="DC86" s="94">
        <f t="shared" ca="1" si="26"/>
        <v>0</v>
      </c>
      <c r="DD86" s="94">
        <f t="shared" ca="1" si="27"/>
        <v>100</v>
      </c>
      <c r="DE86" s="45">
        <f t="shared" ca="1" si="28"/>
        <v>50</v>
      </c>
      <c r="DF86" s="94">
        <f t="shared" ca="1" si="29"/>
        <v>0</v>
      </c>
      <c r="DG86" s="94" cm="1">
        <f t="array" aca="1" ref="DG86" ca="1">INDEX(TblConstr[[Total Plain]:[Total Water]],ROW()-ROW(TblConstr[#Headers]),MATCH("Total "&amp;home_land,TblConstr[[#Headers],[Total Plain]:[Total Water]],0))+TblConstr[[#This Row],[Homes]]</f>
        <v>150</v>
      </c>
      <c r="DH86" s="45">
        <f t="shared" ca="1" si="22"/>
        <v>50</v>
      </c>
      <c r="DI86" s="45">
        <f t="shared" ca="1" si="19"/>
        <v>0</v>
      </c>
      <c r="DJ86" s="45">
        <f t="shared" ca="1" si="20"/>
        <v>0</v>
      </c>
    </row>
    <row r="87" spans="1:114" x14ac:dyDescent="0.2">
      <c r="A87" s="175">
        <f>TblRezone[[#This Row],[Hour]]</f>
        <v>84</v>
      </c>
      <c r="B87" s="176">
        <f ca="1">SUM(TblConstr[[#This Row],[Plain]:[Water]])</f>
        <v>20</v>
      </c>
      <c r="C87" s="177">
        <f ca="1">SUM(TblConstr[[#This Row],[Tot Hom]:[Tot Doc]])</f>
        <v>350</v>
      </c>
      <c r="D87" s="177">
        <f t="shared" si="21"/>
        <v>0</v>
      </c>
      <c r="E87" s="178"/>
      <c r="F87" s="61">
        <f ca="1">TblConstr[[#This Row],[Barren]]+TblConstr[[#This Row],[Buildings]]+TblConstr[[#This Row],[Incoming]]</f>
        <v>370</v>
      </c>
      <c r="G87" s="187">
        <f ca="1">OFFSET(TblConstr[[#This Row],[Plain]],-1,0)+TblConstr[[#This Row],[Ch_Plain]]</f>
        <v>20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45818.458333333132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1216011</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87" s="94">
        <f ca="1">ROUNDDOWN( MAX(1 - MIN(facs_constr_factor*TblConstr[[#This Row],[Facs -DB]],facs_constr_max) + tech_1_11*TblTech[[#This Row],[11-1]] + tech_6_3_2*TblTech[[#This Row],[6-3]] + tech_5_2_3*TblTech[[#This Row],[5-2]], 1-global_constr_cap) * TblConstr[[#This Row],[RCPA Lumber]],0)</f>
        <v>122</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87" s="94">
        <f ca="1">ROUNDDOWN( MAX(1 - MIN(facs_constr_factor*TblConstr[[#This Row],[Facs DB]],facs_constr_max) + tech_1_11*TblTech[[#This Row],[1-11]] + tech_6_3_2*TblTech[[#This Row],[6-3]] + tech_5_2_3*TblTech[[#This Row],[5-2]], 1-global_constr_cap) * ROUND((TblConstr[[#This Row],[Land]]-250)*0.285 + 87.5 + 0/4.25,0),0)</f>
        <v>122</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1000</v>
      </c>
      <c r="AW87" s="94">
        <f ca="1">ROUND((TblConstr[[#This Row],[Land]]-250 - IF(TblExplore[[#This Row],[Land Bonus]]&lt;&gt;0,20,0))*0.285 + 87.5 + 0/4.25,0)</f>
        <v>122</v>
      </c>
      <c r="AX87" s="154"/>
      <c r="AY87" s="188" cm="1">
        <f t="array" aca="1" ref="AY87" ca="1">IF(TblConstr[[#This Row],[Hour]:[Hour]]&gt;12,OFFSET(TblConstr[[#This Row],[Hom]],-12,0),0)+OFFSET(TblConstr[[#This Row],[Tot Hom]],-1,0)-TblConstr[[#This Row],[Dest Hom]]</f>
        <v>50</v>
      </c>
      <c r="AZ87" s="189" cm="1">
        <f t="array" aca="1" ref="AZ87" ca="1">IF(TblConstr[[#This Row],[Hour]:[Hour]]&gt;12,OFFSET(TblConstr[[#This Row],[Alc]],-12,0),0)+OFFSET(TblConstr[[#This Row],[Tot Alc]],-1,0)-TblConstr[[#This Row],[Dest Alc]]</f>
        <v>50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50</v>
      </c>
      <c r="BM87" s="369" cm="1">
        <f t="array" aca="1" ref="BM87" ca="1">IF(TblConstr[[#This Row],[Hour]:[Hour]]&gt;12,OFFSET(TblConstr[[#This Row],[Tem]],-12,0),0)+OFFSET(TblConstr[[#This Row],[Tot Tem]],-1,0)-TblConstr[[#This Row],[Dest Tem]]</f>
        <v>50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50</v>
      </c>
      <c r="BP87" s="191" cm="1">
        <f t="array" aca="1" ref="BP87" ca="1">IF(TblConstr[[#This Row],[Hour]:[Hour]]&gt;12,OFFSET(TblConstr[[#This Row],[Sch]],-12,0),0)+OFFSET(TblConstr[[#This Row],[Tot Sch]],-1,0)-TblConstr[[#This Row],[Dest Sch]]</f>
        <v>50</v>
      </c>
      <c r="BQ87" s="192" cm="1">
        <f t="array" aca="1" ref="BQ87" ca="1">IF(TblConstr[[#This Row],[Hour]:[Hour]]&gt;12,OFFSET(TblConstr[[#This Row],[Doc]],-12,0),0)+OFFSET(TblConstr[[#This Row],[Tot Doc]],-1,0)-TblConstr[[#This Row],[Dest Doc]]</f>
        <v>0</v>
      </c>
      <c r="BR87" s="142"/>
      <c r="BS87" s="154"/>
      <c r="BT87" s="94">
        <f ca="1">TblConstr[[#This Row],[Land]]</f>
        <v>370</v>
      </c>
      <c r="BU87" s="159">
        <f ca="1">TblImps[[#This Row],[Time]]</f>
        <v>45818.458333333132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100</v>
      </c>
      <c r="DA87" s="94">
        <f t="shared" ca="1" si="24"/>
        <v>20</v>
      </c>
      <c r="DB87" s="45">
        <f t="shared" ca="1" si="25"/>
        <v>0</v>
      </c>
      <c r="DC87" s="94">
        <f t="shared" ca="1" si="26"/>
        <v>0</v>
      </c>
      <c r="DD87" s="94">
        <f t="shared" ca="1" si="27"/>
        <v>100</v>
      </c>
      <c r="DE87" s="45">
        <f t="shared" ca="1" si="28"/>
        <v>50</v>
      </c>
      <c r="DF87" s="94">
        <f t="shared" ca="1" si="29"/>
        <v>0</v>
      </c>
      <c r="DG87" s="94" cm="1">
        <f t="array" aca="1" ref="DG87" ca="1">INDEX(TblConstr[[Total Plain]:[Total Water]],ROW()-ROW(TblConstr[#Headers]),MATCH("Total "&amp;home_land,TblConstr[[#Headers],[Total Plain]:[Total Water]],0))+TblConstr[[#This Row],[Homes]]</f>
        <v>150</v>
      </c>
      <c r="DH87" s="45">
        <f t="shared" ca="1" si="22"/>
        <v>50</v>
      </c>
      <c r="DI87" s="45">
        <f t="shared" ca="1" si="19"/>
        <v>0</v>
      </c>
      <c r="DJ87" s="45">
        <f t="shared" ca="1" si="20"/>
        <v>0</v>
      </c>
    </row>
    <row r="88" spans="1:114" x14ac:dyDescent="0.2">
      <c r="A88" s="175">
        <f>TblRezone[[#This Row],[Hour]]</f>
        <v>85</v>
      </c>
      <c r="B88" s="176">
        <f ca="1">SUM(TblConstr[[#This Row],[Plain]:[Water]])</f>
        <v>20</v>
      </c>
      <c r="C88" s="177">
        <f ca="1">SUM(TblConstr[[#This Row],[Tot Hom]:[Tot Doc]])</f>
        <v>350</v>
      </c>
      <c r="D88" s="177">
        <f t="shared" si="21"/>
        <v>0</v>
      </c>
      <c r="E88" s="178"/>
      <c r="F88" s="61">
        <f ca="1">TblConstr[[#This Row],[Barren]]+TblConstr[[#This Row],[Buildings]]+TblConstr[[#This Row],[Incoming]]</f>
        <v>370</v>
      </c>
      <c r="G88" s="187">
        <f ca="1">OFFSET(TblConstr[[#This Row],[Plain]],-1,0)+TblConstr[[#This Row],[Ch_Plain]]</f>
        <v>20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45818.499999999796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1225243</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88" s="94">
        <f ca="1">ROUNDDOWN( MAX(1 - MIN(facs_constr_factor*TblConstr[[#This Row],[Facs -DB]],facs_constr_max) + tech_1_11*TblTech[[#This Row],[11-1]] + tech_6_3_2*TblTech[[#This Row],[6-3]] + tech_5_2_3*TblTech[[#This Row],[5-2]], 1-global_constr_cap) * TblConstr[[#This Row],[RCPA Lumber]],0)</f>
        <v>122</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88" s="94">
        <f ca="1">ROUNDDOWN( MAX(1 - MIN(facs_constr_factor*TblConstr[[#This Row],[Facs DB]],facs_constr_max) + tech_1_11*TblTech[[#This Row],[1-11]] + tech_6_3_2*TblTech[[#This Row],[6-3]] + tech_5_2_3*TblTech[[#This Row],[5-2]], 1-global_constr_cap) * ROUND((TblConstr[[#This Row],[Land]]-250)*0.285 + 87.5 + 0/4.25,0),0)</f>
        <v>122</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1000</v>
      </c>
      <c r="AW88" s="94">
        <f ca="1">ROUND((TblConstr[[#This Row],[Land]]-250 - IF(TblExplore[[#This Row],[Land Bonus]]&lt;&gt;0,20,0))*0.285 + 87.5 + 0/4.25,0)</f>
        <v>122</v>
      </c>
      <c r="AX88" s="154"/>
      <c r="AY88" s="188" cm="1">
        <f t="array" aca="1" ref="AY88" ca="1">IF(TblConstr[[#This Row],[Hour]:[Hour]]&gt;12,OFFSET(TblConstr[[#This Row],[Hom]],-12,0),0)+OFFSET(TblConstr[[#This Row],[Tot Hom]],-1,0)-TblConstr[[#This Row],[Dest Hom]]</f>
        <v>50</v>
      </c>
      <c r="AZ88" s="189" cm="1">
        <f t="array" aca="1" ref="AZ88" ca="1">IF(TblConstr[[#This Row],[Hour]:[Hour]]&gt;12,OFFSET(TblConstr[[#This Row],[Alc]],-12,0),0)+OFFSET(TblConstr[[#This Row],[Tot Alc]],-1,0)-TblConstr[[#This Row],[Dest Alc]]</f>
        <v>50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50</v>
      </c>
      <c r="BM88" s="369" cm="1">
        <f t="array" aca="1" ref="BM88" ca="1">IF(TblConstr[[#This Row],[Hour]:[Hour]]&gt;12,OFFSET(TblConstr[[#This Row],[Tem]],-12,0),0)+OFFSET(TblConstr[[#This Row],[Tot Tem]],-1,0)-TblConstr[[#This Row],[Dest Tem]]</f>
        <v>50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50</v>
      </c>
      <c r="BP88" s="191" cm="1">
        <f t="array" aca="1" ref="BP88" ca="1">IF(TblConstr[[#This Row],[Hour]:[Hour]]&gt;12,OFFSET(TblConstr[[#This Row],[Sch]],-12,0),0)+OFFSET(TblConstr[[#This Row],[Tot Sch]],-1,0)-TblConstr[[#This Row],[Dest Sch]]</f>
        <v>50</v>
      </c>
      <c r="BQ88" s="192" cm="1">
        <f t="array" aca="1" ref="BQ88" ca="1">IF(TblConstr[[#This Row],[Hour]:[Hour]]&gt;12,OFFSET(TblConstr[[#This Row],[Doc]],-12,0),0)+OFFSET(TblConstr[[#This Row],[Tot Doc]],-1,0)-TblConstr[[#This Row],[Dest Doc]]</f>
        <v>0</v>
      </c>
      <c r="BR88" s="142"/>
      <c r="BS88" s="154"/>
      <c r="BT88" s="94">
        <f ca="1">TblConstr[[#This Row],[Land]]</f>
        <v>370</v>
      </c>
      <c r="BU88" s="159">
        <f ca="1">TblImps[[#This Row],[Time]]</f>
        <v>45818.499999999796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100</v>
      </c>
      <c r="DA88" s="94">
        <f t="shared" ca="1" si="24"/>
        <v>20</v>
      </c>
      <c r="DB88" s="45">
        <f t="shared" ca="1" si="25"/>
        <v>0</v>
      </c>
      <c r="DC88" s="94">
        <f t="shared" ca="1" si="26"/>
        <v>0</v>
      </c>
      <c r="DD88" s="94">
        <f t="shared" ca="1" si="27"/>
        <v>100</v>
      </c>
      <c r="DE88" s="45">
        <f t="shared" ca="1" si="28"/>
        <v>50</v>
      </c>
      <c r="DF88" s="94">
        <f t="shared" ca="1" si="29"/>
        <v>0</v>
      </c>
      <c r="DG88" s="94" cm="1">
        <f t="array" aca="1" ref="DG88" ca="1">INDEX(TblConstr[[Total Plain]:[Total Water]],ROW()-ROW(TblConstr[#Headers]),MATCH("Total "&amp;home_land,TblConstr[[#Headers],[Total Plain]:[Total Water]],0))+TblConstr[[#This Row],[Homes]]</f>
        <v>150</v>
      </c>
      <c r="DH88" s="45">
        <f t="shared" ca="1" si="22"/>
        <v>50</v>
      </c>
      <c r="DI88" s="45">
        <f t="shared" ca="1" si="19"/>
        <v>0</v>
      </c>
      <c r="DJ88" s="45">
        <f t="shared" ca="1" si="20"/>
        <v>0</v>
      </c>
    </row>
    <row r="89" spans="1:114" x14ac:dyDescent="0.2">
      <c r="A89" s="175">
        <f>TblRezone[[#This Row],[Hour]]</f>
        <v>86</v>
      </c>
      <c r="B89" s="176">
        <f ca="1">SUM(TblConstr[[#This Row],[Plain]:[Water]])</f>
        <v>20</v>
      </c>
      <c r="C89" s="177">
        <f ca="1">SUM(TblConstr[[#This Row],[Tot Hom]:[Tot Doc]])</f>
        <v>350</v>
      </c>
      <c r="D89" s="177">
        <f t="shared" si="21"/>
        <v>0</v>
      </c>
      <c r="E89" s="178"/>
      <c r="F89" s="61">
        <f ca="1">TblConstr[[#This Row],[Barren]]+TblConstr[[#This Row],[Buildings]]+TblConstr[[#This Row],[Incoming]]</f>
        <v>370</v>
      </c>
      <c r="G89" s="187">
        <f ca="1">OFFSET(TblConstr[[#This Row],[Plain]],-1,0)+TblConstr[[#This Row],[Ch_Plain]]</f>
        <v>20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45818.541666666461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1234405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89" s="94">
        <f ca="1">ROUNDDOWN( MAX(1 - MIN(facs_constr_factor*TblConstr[[#This Row],[Facs -DB]],facs_constr_max) + tech_1_11*TblTech[[#This Row],[11-1]] + tech_6_3_2*TblTech[[#This Row],[6-3]] + tech_5_2_3*TblTech[[#This Row],[5-2]], 1-global_constr_cap) * TblConstr[[#This Row],[RCPA Lumber]],0)</f>
        <v>122</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89" s="94">
        <f ca="1">ROUNDDOWN( MAX(1 - MIN(facs_constr_factor*TblConstr[[#This Row],[Facs DB]],facs_constr_max) + tech_1_11*TblTech[[#This Row],[1-11]] + tech_6_3_2*TblTech[[#This Row],[6-3]] + tech_5_2_3*TblTech[[#This Row],[5-2]], 1-global_constr_cap) * ROUND((TblConstr[[#This Row],[Land]]-250)*0.285 + 87.5 + 0/4.25,0),0)</f>
        <v>122</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1000</v>
      </c>
      <c r="AW89" s="94">
        <f ca="1">ROUND((TblConstr[[#This Row],[Land]]-250 - IF(TblExplore[[#This Row],[Land Bonus]]&lt;&gt;0,20,0))*0.285 + 87.5 + 0/4.25,0)</f>
        <v>122</v>
      </c>
      <c r="AX89" s="154"/>
      <c r="AY89" s="188" cm="1">
        <f t="array" aca="1" ref="AY89" ca="1">IF(TblConstr[[#This Row],[Hour]:[Hour]]&gt;12,OFFSET(TblConstr[[#This Row],[Hom]],-12,0),0)+OFFSET(TblConstr[[#This Row],[Tot Hom]],-1,0)-TblConstr[[#This Row],[Dest Hom]]</f>
        <v>50</v>
      </c>
      <c r="AZ89" s="189" cm="1">
        <f t="array" aca="1" ref="AZ89" ca="1">IF(TblConstr[[#This Row],[Hour]:[Hour]]&gt;12,OFFSET(TblConstr[[#This Row],[Alc]],-12,0),0)+OFFSET(TblConstr[[#This Row],[Tot Alc]],-1,0)-TblConstr[[#This Row],[Dest Alc]]</f>
        <v>50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50</v>
      </c>
      <c r="BM89" s="369" cm="1">
        <f t="array" aca="1" ref="BM89" ca="1">IF(TblConstr[[#This Row],[Hour]:[Hour]]&gt;12,OFFSET(TblConstr[[#This Row],[Tem]],-12,0),0)+OFFSET(TblConstr[[#This Row],[Tot Tem]],-1,0)-TblConstr[[#This Row],[Dest Tem]]</f>
        <v>50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50</v>
      </c>
      <c r="BP89" s="191" cm="1">
        <f t="array" aca="1" ref="BP89" ca="1">IF(TblConstr[[#This Row],[Hour]:[Hour]]&gt;12,OFFSET(TblConstr[[#This Row],[Sch]],-12,0),0)+OFFSET(TblConstr[[#This Row],[Tot Sch]],-1,0)-TblConstr[[#This Row],[Dest Sch]]</f>
        <v>50</v>
      </c>
      <c r="BQ89" s="192" cm="1">
        <f t="array" aca="1" ref="BQ89" ca="1">IF(TblConstr[[#This Row],[Hour]:[Hour]]&gt;12,OFFSET(TblConstr[[#This Row],[Doc]],-12,0),0)+OFFSET(TblConstr[[#This Row],[Tot Doc]],-1,0)-TblConstr[[#This Row],[Dest Doc]]</f>
        <v>0</v>
      </c>
      <c r="BR89" s="142"/>
      <c r="BS89" s="154"/>
      <c r="BT89" s="94">
        <f ca="1">TblConstr[[#This Row],[Land]]</f>
        <v>370</v>
      </c>
      <c r="BU89" s="159">
        <f ca="1">TblImps[[#This Row],[Time]]</f>
        <v>45818.541666666461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100</v>
      </c>
      <c r="DA89" s="94">
        <f t="shared" ca="1" si="24"/>
        <v>20</v>
      </c>
      <c r="DB89" s="45">
        <f t="shared" ca="1" si="25"/>
        <v>0</v>
      </c>
      <c r="DC89" s="94">
        <f t="shared" ca="1" si="26"/>
        <v>0</v>
      </c>
      <c r="DD89" s="94">
        <f t="shared" ca="1" si="27"/>
        <v>100</v>
      </c>
      <c r="DE89" s="45">
        <f t="shared" ca="1" si="28"/>
        <v>50</v>
      </c>
      <c r="DF89" s="94">
        <f t="shared" ca="1" si="29"/>
        <v>0</v>
      </c>
      <c r="DG89" s="94" cm="1">
        <f t="array" aca="1" ref="DG89" ca="1">INDEX(TblConstr[[Total Plain]:[Total Water]],ROW()-ROW(TblConstr[#Headers]),MATCH("Total "&amp;home_land,TblConstr[[#Headers],[Total Plain]:[Total Water]],0))+TblConstr[[#This Row],[Homes]]</f>
        <v>150</v>
      </c>
      <c r="DH89" s="45">
        <f t="shared" ca="1" si="22"/>
        <v>50</v>
      </c>
      <c r="DI89" s="45">
        <f t="shared" ca="1" si="19"/>
        <v>0</v>
      </c>
      <c r="DJ89" s="45">
        <f t="shared" ca="1" si="20"/>
        <v>0</v>
      </c>
    </row>
    <row r="90" spans="1:114" x14ac:dyDescent="0.2">
      <c r="A90" s="175">
        <f>TblRezone[[#This Row],[Hour]]</f>
        <v>87</v>
      </c>
      <c r="B90" s="176">
        <f ca="1">SUM(TblConstr[[#This Row],[Plain]:[Water]])</f>
        <v>20</v>
      </c>
      <c r="C90" s="177">
        <f ca="1">SUM(TblConstr[[#This Row],[Tot Hom]:[Tot Doc]])</f>
        <v>350</v>
      </c>
      <c r="D90" s="177">
        <f t="shared" si="21"/>
        <v>0</v>
      </c>
      <c r="E90" s="178"/>
      <c r="F90" s="61">
        <f ca="1">TblConstr[[#This Row],[Barren]]+TblConstr[[#This Row],[Buildings]]+TblConstr[[#This Row],[Incoming]]</f>
        <v>370</v>
      </c>
      <c r="G90" s="187">
        <f ca="1">OFFSET(TblConstr[[#This Row],[Plain]],-1,0)+TblConstr[[#This Row],[Ch_Plain]]</f>
        <v>20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45818.583333333125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1243496</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90" s="94">
        <f ca="1">ROUNDDOWN( MAX(1 - MIN(facs_constr_factor*TblConstr[[#This Row],[Facs -DB]],facs_constr_max) + tech_1_11*TblTech[[#This Row],[11-1]] + tech_6_3_2*TblTech[[#This Row],[6-3]] + tech_5_2_3*TblTech[[#This Row],[5-2]], 1-global_constr_cap) * TblConstr[[#This Row],[RCPA Lumber]],0)</f>
        <v>122</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90" s="94">
        <f ca="1">ROUNDDOWN( MAX(1 - MIN(facs_constr_factor*TblConstr[[#This Row],[Facs DB]],facs_constr_max) + tech_1_11*TblTech[[#This Row],[1-11]] + tech_6_3_2*TblTech[[#This Row],[6-3]] + tech_5_2_3*TblTech[[#This Row],[5-2]], 1-global_constr_cap) * ROUND((TblConstr[[#This Row],[Land]]-250)*0.285 + 87.5 + 0/4.25,0),0)</f>
        <v>122</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1000</v>
      </c>
      <c r="AW90" s="94">
        <f ca="1">ROUND((TblConstr[[#This Row],[Land]]-250 - IF(TblExplore[[#This Row],[Land Bonus]]&lt;&gt;0,20,0))*0.285 + 87.5 + 0/4.25,0)</f>
        <v>122</v>
      </c>
      <c r="AX90" s="154"/>
      <c r="AY90" s="188" cm="1">
        <f t="array" aca="1" ref="AY90" ca="1">IF(TblConstr[[#This Row],[Hour]:[Hour]]&gt;12,OFFSET(TblConstr[[#This Row],[Hom]],-12,0),0)+OFFSET(TblConstr[[#This Row],[Tot Hom]],-1,0)-TblConstr[[#This Row],[Dest Hom]]</f>
        <v>50</v>
      </c>
      <c r="AZ90" s="189" cm="1">
        <f t="array" aca="1" ref="AZ90" ca="1">IF(TblConstr[[#This Row],[Hour]:[Hour]]&gt;12,OFFSET(TblConstr[[#This Row],[Alc]],-12,0),0)+OFFSET(TblConstr[[#This Row],[Tot Alc]],-1,0)-TblConstr[[#This Row],[Dest Alc]]</f>
        <v>50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50</v>
      </c>
      <c r="BM90" s="369" cm="1">
        <f t="array" aca="1" ref="BM90" ca="1">IF(TblConstr[[#This Row],[Hour]:[Hour]]&gt;12,OFFSET(TblConstr[[#This Row],[Tem]],-12,0),0)+OFFSET(TblConstr[[#This Row],[Tot Tem]],-1,0)-TblConstr[[#This Row],[Dest Tem]]</f>
        <v>50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50</v>
      </c>
      <c r="BP90" s="191" cm="1">
        <f t="array" aca="1" ref="BP90" ca="1">IF(TblConstr[[#This Row],[Hour]:[Hour]]&gt;12,OFFSET(TblConstr[[#This Row],[Sch]],-12,0),0)+OFFSET(TblConstr[[#This Row],[Tot Sch]],-1,0)-TblConstr[[#This Row],[Dest Sch]]</f>
        <v>50</v>
      </c>
      <c r="BQ90" s="192" cm="1">
        <f t="array" aca="1" ref="BQ90" ca="1">IF(TblConstr[[#This Row],[Hour]:[Hour]]&gt;12,OFFSET(TblConstr[[#This Row],[Doc]],-12,0),0)+OFFSET(TblConstr[[#This Row],[Tot Doc]],-1,0)-TblConstr[[#This Row],[Dest Doc]]</f>
        <v>0</v>
      </c>
      <c r="BR90" s="142"/>
      <c r="BS90" s="154"/>
      <c r="BT90" s="94">
        <f ca="1">TblConstr[[#This Row],[Land]]</f>
        <v>370</v>
      </c>
      <c r="BU90" s="159">
        <f ca="1">TblImps[[#This Row],[Time]]</f>
        <v>45818.583333333125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100</v>
      </c>
      <c r="DA90" s="94">
        <f t="shared" ca="1" si="24"/>
        <v>20</v>
      </c>
      <c r="DB90" s="45">
        <f t="shared" ca="1" si="25"/>
        <v>0</v>
      </c>
      <c r="DC90" s="94">
        <f t="shared" ca="1" si="26"/>
        <v>0</v>
      </c>
      <c r="DD90" s="94">
        <f t="shared" ca="1" si="27"/>
        <v>100</v>
      </c>
      <c r="DE90" s="45">
        <f t="shared" ca="1" si="28"/>
        <v>50</v>
      </c>
      <c r="DF90" s="94">
        <f t="shared" ca="1" si="29"/>
        <v>0</v>
      </c>
      <c r="DG90" s="94" cm="1">
        <f t="array" aca="1" ref="DG90" ca="1">INDEX(TblConstr[[Total Plain]:[Total Water]],ROW()-ROW(TblConstr[#Headers]),MATCH("Total "&amp;home_land,TblConstr[[#Headers],[Total Plain]:[Total Water]],0))+TblConstr[[#This Row],[Homes]]</f>
        <v>150</v>
      </c>
      <c r="DH90" s="45">
        <f t="shared" ca="1" si="22"/>
        <v>50</v>
      </c>
      <c r="DI90" s="45">
        <f t="shared" ca="1" si="19"/>
        <v>0</v>
      </c>
      <c r="DJ90" s="45">
        <f t="shared" ca="1" si="20"/>
        <v>0</v>
      </c>
    </row>
    <row r="91" spans="1:114" x14ac:dyDescent="0.2">
      <c r="A91" s="175">
        <f>TblRezone[[#This Row],[Hour]]</f>
        <v>88</v>
      </c>
      <c r="B91" s="176">
        <f ca="1">SUM(TblConstr[[#This Row],[Plain]:[Water]])</f>
        <v>20</v>
      </c>
      <c r="C91" s="177">
        <f ca="1">SUM(TblConstr[[#This Row],[Tot Hom]:[Tot Doc]])</f>
        <v>350</v>
      </c>
      <c r="D91" s="177">
        <f t="shared" si="21"/>
        <v>0</v>
      </c>
      <c r="E91" s="178"/>
      <c r="F91" s="61">
        <f ca="1">TblConstr[[#This Row],[Barren]]+TblConstr[[#This Row],[Buildings]]+TblConstr[[#This Row],[Incoming]]</f>
        <v>370</v>
      </c>
      <c r="G91" s="187">
        <f ca="1">OFFSET(TblConstr[[#This Row],[Plain]],-1,0)+TblConstr[[#This Row],[Ch_Plain]]</f>
        <v>20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45818.624999999789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1252520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91" s="94">
        <f ca="1">ROUNDDOWN( MAX(1 - MIN(facs_constr_factor*TblConstr[[#This Row],[Facs -DB]],facs_constr_max) + tech_1_11*TblTech[[#This Row],[11-1]] + tech_6_3_2*TblTech[[#This Row],[6-3]] + tech_5_2_3*TblTech[[#This Row],[5-2]], 1-global_constr_cap) * TblConstr[[#This Row],[RCPA Lumber]],0)</f>
        <v>122</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91" s="94">
        <f ca="1">ROUNDDOWN( MAX(1 - MIN(facs_constr_factor*TblConstr[[#This Row],[Facs DB]],facs_constr_max) + tech_1_11*TblTech[[#This Row],[1-11]] + tech_6_3_2*TblTech[[#This Row],[6-3]] + tech_5_2_3*TblTech[[#This Row],[5-2]], 1-global_constr_cap) * ROUND((TblConstr[[#This Row],[Land]]-250)*0.285 + 87.5 + 0/4.25,0),0)</f>
        <v>122</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1000</v>
      </c>
      <c r="AW91" s="94">
        <f ca="1">ROUND((TblConstr[[#This Row],[Land]]-250 - IF(TblExplore[[#This Row],[Land Bonus]]&lt;&gt;0,20,0))*0.285 + 87.5 + 0/4.25,0)</f>
        <v>122</v>
      </c>
      <c r="AX91" s="154"/>
      <c r="AY91" s="188" cm="1">
        <f t="array" aca="1" ref="AY91" ca="1">IF(TblConstr[[#This Row],[Hour]:[Hour]]&gt;12,OFFSET(TblConstr[[#This Row],[Hom]],-12,0),0)+OFFSET(TblConstr[[#This Row],[Tot Hom]],-1,0)-TblConstr[[#This Row],[Dest Hom]]</f>
        <v>50</v>
      </c>
      <c r="AZ91" s="189" cm="1">
        <f t="array" aca="1" ref="AZ91" ca="1">IF(TblConstr[[#This Row],[Hour]:[Hour]]&gt;12,OFFSET(TblConstr[[#This Row],[Alc]],-12,0),0)+OFFSET(TblConstr[[#This Row],[Tot Alc]],-1,0)-TblConstr[[#This Row],[Dest Alc]]</f>
        <v>50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50</v>
      </c>
      <c r="BM91" s="369" cm="1">
        <f t="array" aca="1" ref="BM91" ca="1">IF(TblConstr[[#This Row],[Hour]:[Hour]]&gt;12,OFFSET(TblConstr[[#This Row],[Tem]],-12,0),0)+OFFSET(TblConstr[[#This Row],[Tot Tem]],-1,0)-TblConstr[[#This Row],[Dest Tem]]</f>
        <v>50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50</v>
      </c>
      <c r="BP91" s="191" cm="1">
        <f t="array" aca="1" ref="BP91" ca="1">IF(TblConstr[[#This Row],[Hour]:[Hour]]&gt;12,OFFSET(TblConstr[[#This Row],[Sch]],-12,0),0)+OFFSET(TblConstr[[#This Row],[Tot Sch]],-1,0)-TblConstr[[#This Row],[Dest Sch]]</f>
        <v>50</v>
      </c>
      <c r="BQ91" s="192" cm="1">
        <f t="array" aca="1" ref="BQ91" ca="1">IF(TblConstr[[#This Row],[Hour]:[Hour]]&gt;12,OFFSET(TblConstr[[#This Row],[Doc]],-12,0),0)+OFFSET(TblConstr[[#This Row],[Tot Doc]],-1,0)-TblConstr[[#This Row],[Dest Doc]]</f>
        <v>0</v>
      </c>
      <c r="BR91" s="142"/>
      <c r="BS91" s="154"/>
      <c r="BT91" s="94">
        <f ca="1">TblConstr[[#This Row],[Land]]</f>
        <v>370</v>
      </c>
      <c r="BU91" s="159">
        <f ca="1">TblImps[[#This Row],[Time]]</f>
        <v>45818.624999999789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100</v>
      </c>
      <c r="DA91" s="94">
        <f t="shared" ca="1" si="24"/>
        <v>20</v>
      </c>
      <c r="DB91" s="45">
        <f t="shared" ca="1" si="25"/>
        <v>0</v>
      </c>
      <c r="DC91" s="94">
        <f t="shared" ca="1" si="26"/>
        <v>0</v>
      </c>
      <c r="DD91" s="94">
        <f t="shared" ca="1" si="27"/>
        <v>100</v>
      </c>
      <c r="DE91" s="45">
        <f t="shared" ca="1" si="28"/>
        <v>50</v>
      </c>
      <c r="DF91" s="94">
        <f t="shared" ca="1" si="29"/>
        <v>0</v>
      </c>
      <c r="DG91" s="94" cm="1">
        <f t="array" aca="1" ref="DG91" ca="1">INDEX(TblConstr[[Total Plain]:[Total Water]],ROW()-ROW(TblConstr[#Headers]),MATCH("Total "&amp;home_land,TblConstr[[#Headers],[Total Plain]:[Total Water]],0))+TblConstr[[#This Row],[Homes]]</f>
        <v>150</v>
      </c>
      <c r="DH91" s="45">
        <f t="shared" ca="1" si="22"/>
        <v>50</v>
      </c>
      <c r="DI91" s="45">
        <f t="shared" ca="1" si="19"/>
        <v>0</v>
      </c>
      <c r="DJ91" s="45">
        <f t="shared" ca="1" si="20"/>
        <v>0</v>
      </c>
    </row>
    <row r="92" spans="1:114" x14ac:dyDescent="0.2">
      <c r="A92" s="175">
        <f>TblRezone[[#This Row],[Hour]]</f>
        <v>89</v>
      </c>
      <c r="B92" s="176">
        <f ca="1">SUM(TblConstr[[#This Row],[Plain]:[Water]])</f>
        <v>20</v>
      </c>
      <c r="C92" s="177">
        <f ca="1">SUM(TblConstr[[#This Row],[Tot Hom]:[Tot Doc]])</f>
        <v>350</v>
      </c>
      <c r="D92" s="177">
        <f t="shared" si="21"/>
        <v>0</v>
      </c>
      <c r="E92" s="178"/>
      <c r="F92" s="61">
        <f ca="1">TblConstr[[#This Row],[Barren]]+TblConstr[[#This Row],[Buildings]]+TblConstr[[#This Row],[Incoming]]</f>
        <v>370</v>
      </c>
      <c r="G92" s="187">
        <f ca="1">OFFSET(TblConstr[[#This Row],[Plain]],-1,0)+TblConstr[[#This Row],[Ch_Plain]]</f>
        <v>20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45818.666666666453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1261476</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92" s="94">
        <f ca="1">ROUNDDOWN( MAX(1 - MIN(facs_constr_factor*TblConstr[[#This Row],[Facs -DB]],facs_constr_max) + tech_1_11*TblTech[[#This Row],[11-1]] + tech_6_3_2*TblTech[[#This Row],[6-3]] + tech_5_2_3*TblTech[[#This Row],[5-2]], 1-global_constr_cap) * TblConstr[[#This Row],[RCPA Lumber]],0)</f>
        <v>122</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92" s="94">
        <f ca="1">ROUNDDOWN( MAX(1 - MIN(facs_constr_factor*TblConstr[[#This Row],[Facs DB]],facs_constr_max) + tech_1_11*TblTech[[#This Row],[1-11]] + tech_6_3_2*TblTech[[#This Row],[6-3]] + tech_5_2_3*TblTech[[#This Row],[5-2]], 1-global_constr_cap) * ROUND((TblConstr[[#This Row],[Land]]-250)*0.285 + 87.5 + 0/4.25,0),0)</f>
        <v>122</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1000</v>
      </c>
      <c r="AW92" s="94">
        <f ca="1">ROUND((TblConstr[[#This Row],[Land]]-250 - IF(TblExplore[[#This Row],[Land Bonus]]&lt;&gt;0,20,0))*0.285 + 87.5 + 0/4.25,0)</f>
        <v>122</v>
      </c>
      <c r="AX92" s="154"/>
      <c r="AY92" s="188" cm="1">
        <f t="array" aca="1" ref="AY92" ca="1">IF(TblConstr[[#This Row],[Hour]:[Hour]]&gt;12,OFFSET(TblConstr[[#This Row],[Hom]],-12,0),0)+OFFSET(TblConstr[[#This Row],[Tot Hom]],-1,0)-TblConstr[[#This Row],[Dest Hom]]</f>
        <v>50</v>
      </c>
      <c r="AZ92" s="189" cm="1">
        <f t="array" aca="1" ref="AZ92" ca="1">IF(TblConstr[[#This Row],[Hour]:[Hour]]&gt;12,OFFSET(TblConstr[[#This Row],[Alc]],-12,0),0)+OFFSET(TblConstr[[#This Row],[Tot Alc]],-1,0)-TblConstr[[#This Row],[Dest Alc]]</f>
        <v>50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50</v>
      </c>
      <c r="BM92" s="369" cm="1">
        <f t="array" aca="1" ref="BM92" ca="1">IF(TblConstr[[#This Row],[Hour]:[Hour]]&gt;12,OFFSET(TblConstr[[#This Row],[Tem]],-12,0),0)+OFFSET(TblConstr[[#This Row],[Tot Tem]],-1,0)-TblConstr[[#This Row],[Dest Tem]]</f>
        <v>50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50</v>
      </c>
      <c r="BP92" s="191" cm="1">
        <f t="array" aca="1" ref="BP92" ca="1">IF(TblConstr[[#This Row],[Hour]:[Hour]]&gt;12,OFFSET(TblConstr[[#This Row],[Sch]],-12,0),0)+OFFSET(TblConstr[[#This Row],[Tot Sch]],-1,0)-TblConstr[[#This Row],[Dest Sch]]</f>
        <v>50</v>
      </c>
      <c r="BQ92" s="192" cm="1">
        <f t="array" aca="1" ref="BQ92" ca="1">IF(TblConstr[[#This Row],[Hour]:[Hour]]&gt;12,OFFSET(TblConstr[[#This Row],[Doc]],-12,0),0)+OFFSET(TblConstr[[#This Row],[Tot Doc]],-1,0)-TblConstr[[#This Row],[Dest Doc]]</f>
        <v>0</v>
      </c>
      <c r="BR92" s="142"/>
      <c r="BS92" s="154"/>
      <c r="BT92" s="94">
        <f ca="1">TblConstr[[#This Row],[Land]]</f>
        <v>370</v>
      </c>
      <c r="BU92" s="159">
        <f ca="1">TblImps[[#This Row],[Time]]</f>
        <v>45818.666666666453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100</v>
      </c>
      <c r="DA92" s="94">
        <f t="shared" ca="1" si="24"/>
        <v>20</v>
      </c>
      <c r="DB92" s="45">
        <f t="shared" ca="1" si="25"/>
        <v>0</v>
      </c>
      <c r="DC92" s="94">
        <f t="shared" ca="1" si="26"/>
        <v>0</v>
      </c>
      <c r="DD92" s="94">
        <f t="shared" ca="1" si="27"/>
        <v>100</v>
      </c>
      <c r="DE92" s="45">
        <f t="shared" ca="1" si="28"/>
        <v>50</v>
      </c>
      <c r="DF92" s="94">
        <f t="shared" ca="1" si="29"/>
        <v>0</v>
      </c>
      <c r="DG92" s="94" cm="1">
        <f t="array" aca="1" ref="DG92" ca="1">INDEX(TblConstr[[Total Plain]:[Total Water]],ROW()-ROW(TblConstr[#Headers]),MATCH("Total "&amp;home_land,TblConstr[[#Headers],[Total Plain]:[Total Water]],0))+TblConstr[[#This Row],[Homes]]</f>
        <v>150</v>
      </c>
      <c r="DH92" s="45">
        <f t="shared" ca="1" si="22"/>
        <v>50</v>
      </c>
      <c r="DI92" s="45">
        <f t="shared" ca="1" si="19"/>
        <v>0</v>
      </c>
      <c r="DJ92" s="45">
        <f t="shared" ca="1" si="20"/>
        <v>0</v>
      </c>
    </row>
    <row r="93" spans="1:114" x14ac:dyDescent="0.2">
      <c r="A93" s="175">
        <f>TblRezone[[#This Row],[Hour]]</f>
        <v>90</v>
      </c>
      <c r="B93" s="176">
        <f ca="1">SUM(TblConstr[[#This Row],[Plain]:[Water]])</f>
        <v>20</v>
      </c>
      <c r="C93" s="177">
        <f ca="1">SUM(TblConstr[[#This Row],[Tot Hom]:[Tot Doc]])</f>
        <v>350</v>
      </c>
      <c r="D93" s="177">
        <f t="shared" si="21"/>
        <v>0</v>
      </c>
      <c r="E93" s="178"/>
      <c r="F93" s="61">
        <f ca="1">TblConstr[[#This Row],[Barren]]+TblConstr[[#This Row],[Buildings]]+TblConstr[[#This Row],[Incoming]]</f>
        <v>370</v>
      </c>
      <c r="G93" s="187">
        <f ca="1">OFFSET(TblConstr[[#This Row],[Plain]],-1,0)+TblConstr[[#This Row],[Ch_Plain]]</f>
        <v>20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45818.708333333117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1270365</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93" s="94">
        <f ca="1">ROUNDDOWN( MAX(1 - MIN(facs_constr_factor*TblConstr[[#This Row],[Facs -DB]],facs_constr_max) + tech_1_11*TblTech[[#This Row],[11-1]] + tech_6_3_2*TblTech[[#This Row],[6-3]] + tech_5_2_3*TblTech[[#This Row],[5-2]], 1-global_constr_cap) * TblConstr[[#This Row],[RCPA Lumber]],0)</f>
        <v>122</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93" s="94">
        <f ca="1">ROUNDDOWN( MAX(1 - MIN(facs_constr_factor*TblConstr[[#This Row],[Facs DB]],facs_constr_max) + tech_1_11*TblTech[[#This Row],[1-11]] + tech_6_3_2*TblTech[[#This Row],[6-3]] + tech_5_2_3*TblTech[[#This Row],[5-2]], 1-global_constr_cap) * ROUND((TblConstr[[#This Row],[Land]]-250)*0.285 + 87.5 + 0/4.25,0),0)</f>
        <v>122</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1000</v>
      </c>
      <c r="AW93" s="94">
        <f ca="1">ROUND((TblConstr[[#This Row],[Land]]-250 - IF(TblExplore[[#This Row],[Land Bonus]]&lt;&gt;0,20,0))*0.285 + 87.5 + 0/4.25,0)</f>
        <v>122</v>
      </c>
      <c r="AX93" s="154"/>
      <c r="AY93" s="188" cm="1">
        <f t="array" aca="1" ref="AY93" ca="1">IF(TblConstr[[#This Row],[Hour]:[Hour]]&gt;12,OFFSET(TblConstr[[#This Row],[Hom]],-12,0),0)+OFFSET(TblConstr[[#This Row],[Tot Hom]],-1,0)-TblConstr[[#This Row],[Dest Hom]]</f>
        <v>50</v>
      </c>
      <c r="AZ93" s="189" cm="1">
        <f t="array" aca="1" ref="AZ93" ca="1">IF(TblConstr[[#This Row],[Hour]:[Hour]]&gt;12,OFFSET(TblConstr[[#This Row],[Alc]],-12,0),0)+OFFSET(TblConstr[[#This Row],[Tot Alc]],-1,0)-TblConstr[[#This Row],[Dest Alc]]</f>
        <v>50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50</v>
      </c>
      <c r="BM93" s="369" cm="1">
        <f t="array" aca="1" ref="BM93" ca="1">IF(TblConstr[[#This Row],[Hour]:[Hour]]&gt;12,OFFSET(TblConstr[[#This Row],[Tem]],-12,0),0)+OFFSET(TblConstr[[#This Row],[Tot Tem]],-1,0)-TblConstr[[#This Row],[Dest Tem]]</f>
        <v>50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50</v>
      </c>
      <c r="BP93" s="191" cm="1">
        <f t="array" aca="1" ref="BP93" ca="1">IF(TblConstr[[#This Row],[Hour]:[Hour]]&gt;12,OFFSET(TblConstr[[#This Row],[Sch]],-12,0),0)+OFFSET(TblConstr[[#This Row],[Tot Sch]],-1,0)-TblConstr[[#This Row],[Dest Sch]]</f>
        <v>50</v>
      </c>
      <c r="BQ93" s="192" cm="1">
        <f t="array" aca="1" ref="BQ93" ca="1">IF(TblConstr[[#This Row],[Hour]:[Hour]]&gt;12,OFFSET(TblConstr[[#This Row],[Doc]],-12,0),0)+OFFSET(TblConstr[[#This Row],[Tot Doc]],-1,0)-TblConstr[[#This Row],[Dest Doc]]</f>
        <v>0</v>
      </c>
      <c r="BR93" s="142"/>
      <c r="BS93" s="154"/>
      <c r="BT93" s="94">
        <f ca="1">TblConstr[[#This Row],[Land]]</f>
        <v>370</v>
      </c>
      <c r="BU93" s="159">
        <f ca="1">TblImps[[#This Row],[Time]]</f>
        <v>45818.708333333117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100</v>
      </c>
      <c r="DA93" s="94">
        <f t="shared" ca="1" si="24"/>
        <v>20</v>
      </c>
      <c r="DB93" s="45">
        <f t="shared" ca="1" si="25"/>
        <v>0</v>
      </c>
      <c r="DC93" s="94">
        <f t="shared" ca="1" si="26"/>
        <v>0</v>
      </c>
      <c r="DD93" s="94">
        <f t="shared" ca="1" si="27"/>
        <v>100</v>
      </c>
      <c r="DE93" s="45">
        <f t="shared" ca="1" si="28"/>
        <v>50</v>
      </c>
      <c r="DF93" s="94">
        <f t="shared" ca="1" si="29"/>
        <v>0</v>
      </c>
      <c r="DG93" s="94" cm="1">
        <f t="array" aca="1" ref="DG93" ca="1">INDEX(TblConstr[[Total Plain]:[Total Water]],ROW()-ROW(TblConstr[#Headers]),MATCH("Total "&amp;home_land,TblConstr[[#Headers],[Total Plain]:[Total Water]],0))+TblConstr[[#This Row],[Homes]]</f>
        <v>150</v>
      </c>
      <c r="DH93" s="45">
        <f t="shared" ca="1" si="22"/>
        <v>50</v>
      </c>
      <c r="DI93" s="45">
        <f t="shared" ca="1" si="19"/>
        <v>0</v>
      </c>
      <c r="DJ93" s="45">
        <f t="shared" ca="1" si="20"/>
        <v>0</v>
      </c>
    </row>
    <row r="94" spans="1:114" x14ac:dyDescent="0.2">
      <c r="A94" s="175">
        <f>TblRezone[[#This Row],[Hour]]</f>
        <v>91</v>
      </c>
      <c r="B94" s="176">
        <f ca="1">SUM(TblConstr[[#This Row],[Plain]:[Water]])</f>
        <v>20</v>
      </c>
      <c r="C94" s="177">
        <f ca="1">SUM(TblConstr[[#This Row],[Tot Hom]:[Tot Doc]])</f>
        <v>350</v>
      </c>
      <c r="D94" s="177">
        <f t="shared" si="21"/>
        <v>0</v>
      </c>
      <c r="E94" s="178"/>
      <c r="F94" s="61">
        <f ca="1">TblConstr[[#This Row],[Barren]]+TblConstr[[#This Row],[Buildings]]+TblConstr[[#This Row],[Incoming]]</f>
        <v>370</v>
      </c>
      <c r="G94" s="187">
        <f ca="1">OFFSET(TblConstr[[#This Row],[Plain]],-1,0)+TblConstr[[#This Row],[Ch_Plain]]</f>
        <v>20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45818.749999999782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1279186</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94" s="94">
        <f ca="1">ROUNDDOWN( MAX(1 - MIN(facs_constr_factor*TblConstr[[#This Row],[Facs -DB]],facs_constr_max) + tech_1_11*TblTech[[#This Row],[11-1]] + tech_6_3_2*TblTech[[#This Row],[6-3]] + tech_5_2_3*TblTech[[#This Row],[5-2]], 1-global_constr_cap) * TblConstr[[#This Row],[RCPA Lumber]],0)</f>
        <v>122</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94" s="94">
        <f ca="1">ROUNDDOWN( MAX(1 - MIN(facs_constr_factor*TblConstr[[#This Row],[Facs DB]],facs_constr_max) + tech_1_11*TblTech[[#This Row],[1-11]] + tech_6_3_2*TblTech[[#This Row],[6-3]] + tech_5_2_3*TblTech[[#This Row],[5-2]], 1-global_constr_cap) * ROUND((TblConstr[[#This Row],[Land]]-250)*0.285 + 87.5 + 0/4.25,0),0)</f>
        <v>122</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1000</v>
      </c>
      <c r="AW94" s="94">
        <f ca="1">ROUND((TblConstr[[#This Row],[Land]]-250 - IF(TblExplore[[#This Row],[Land Bonus]]&lt;&gt;0,20,0))*0.285 + 87.5 + 0/4.25,0)</f>
        <v>122</v>
      </c>
      <c r="AX94" s="154"/>
      <c r="AY94" s="188" cm="1">
        <f t="array" aca="1" ref="AY94" ca="1">IF(TblConstr[[#This Row],[Hour]:[Hour]]&gt;12,OFFSET(TblConstr[[#This Row],[Hom]],-12,0),0)+OFFSET(TblConstr[[#This Row],[Tot Hom]],-1,0)-TblConstr[[#This Row],[Dest Hom]]</f>
        <v>50</v>
      </c>
      <c r="AZ94" s="189" cm="1">
        <f t="array" aca="1" ref="AZ94" ca="1">IF(TblConstr[[#This Row],[Hour]:[Hour]]&gt;12,OFFSET(TblConstr[[#This Row],[Alc]],-12,0),0)+OFFSET(TblConstr[[#This Row],[Tot Alc]],-1,0)-TblConstr[[#This Row],[Dest Alc]]</f>
        <v>50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50</v>
      </c>
      <c r="BM94" s="369" cm="1">
        <f t="array" aca="1" ref="BM94" ca="1">IF(TblConstr[[#This Row],[Hour]:[Hour]]&gt;12,OFFSET(TblConstr[[#This Row],[Tem]],-12,0),0)+OFFSET(TblConstr[[#This Row],[Tot Tem]],-1,0)-TblConstr[[#This Row],[Dest Tem]]</f>
        <v>50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50</v>
      </c>
      <c r="BP94" s="191" cm="1">
        <f t="array" aca="1" ref="BP94" ca="1">IF(TblConstr[[#This Row],[Hour]:[Hour]]&gt;12,OFFSET(TblConstr[[#This Row],[Sch]],-12,0),0)+OFFSET(TblConstr[[#This Row],[Tot Sch]],-1,0)-TblConstr[[#This Row],[Dest Sch]]</f>
        <v>50</v>
      </c>
      <c r="BQ94" s="192" cm="1">
        <f t="array" aca="1" ref="BQ94" ca="1">IF(TblConstr[[#This Row],[Hour]:[Hour]]&gt;12,OFFSET(TblConstr[[#This Row],[Doc]],-12,0),0)+OFFSET(TblConstr[[#This Row],[Tot Doc]],-1,0)-TblConstr[[#This Row],[Dest Doc]]</f>
        <v>0</v>
      </c>
      <c r="BR94" s="142"/>
      <c r="BS94" s="154"/>
      <c r="BT94" s="94">
        <f ca="1">TblConstr[[#This Row],[Land]]</f>
        <v>370</v>
      </c>
      <c r="BU94" s="159">
        <f ca="1">TblImps[[#This Row],[Time]]</f>
        <v>45818.749999999782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100</v>
      </c>
      <c r="DA94" s="94">
        <f t="shared" ca="1" si="24"/>
        <v>20</v>
      </c>
      <c r="DB94" s="45">
        <f t="shared" ca="1" si="25"/>
        <v>0</v>
      </c>
      <c r="DC94" s="94">
        <f t="shared" ca="1" si="26"/>
        <v>0</v>
      </c>
      <c r="DD94" s="94">
        <f t="shared" ca="1" si="27"/>
        <v>100</v>
      </c>
      <c r="DE94" s="45">
        <f t="shared" ca="1" si="28"/>
        <v>50</v>
      </c>
      <c r="DF94" s="94">
        <f t="shared" ca="1" si="29"/>
        <v>0</v>
      </c>
      <c r="DG94" s="94" cm="1">
        <f t="array" aca="1" ref="DG94" ca="1">INDEX(TblConstr[[Total Plain]:[Total Water]],ROW()-ROW(TblConstr[#Headers]),MATCH("Total "&amp;home_land,TblConstr[[#Headers],[Total Plain]:[Total Water]],0))+TblConstr[[#This Row],[Homes]]</f>
        <v>150</v>
      </c>
      <c r="DH94" s="45">
        <f t="shared" ca="1" si="22"/>
        <v>50</v>
      </c>
      <c r="DI94" s="45">
        <f t="shared" ca="1" si="19"/>
        <v>0</v>
      </c>
      <c r="DJ94" s="45">
        <f t="shared" ca="1" si="20"/>
        <v>0</v>
      </c>
    </row>
    <row r="95" spans="1:114" x14ac:dyDescent="0.2">
      <c r="A95" s="175">
        <f>TblRezone[[#This Row],[Hour]]</f>
        <v>92</v>
      </c>
      <c r="B95" s="176">
        <f ca="1">SUM(TblConstr[[#This Row],[Plain]:[Water]])</f>
        <v>20</v>
      </c>
      <c r="C95" s="177">
        <f ca="1">SUM(TblConstr[[#This Row],[Tot Hom]:[Tot Doc]])</f>
        <v>350</v>
      </c>
      <c r="D95" s="177">
        <f t="shared" si="21"/>
        <v>0</v>
      </c>
      <c r="E95" s="178"/>
      <c r="F95" s="61">
        <f ca="1">TblConstr[[#This Row],[Barren]]+TblConstr[[#This Row],[Buildings]]+TblConstr[[#This Row],[Incoming]]</f>
        <v>370</v>
      </c>
      <c r="G95" s="187">
        <f ca="1">OFFSET(TblConstr[[#This Row],[Plain]],-1,0)+TblConstr[[#This Row],[Ch_Plain]]</f>
        <v>20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45818.791666666446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1287943</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95" s="94">
        <f ca="1">ROUNDDOWN( MAX(1 - MIN(facs_constr_factor*TblConstr[[#This Row],[Facs -DB]],facs_constr_max) + tech_1_11*TblTech[[#This Row],[11-1]] + tech_6_3_2*TblTech[[#This Row],[6-3]] + tech_5_2_3*TblTech[[#This Row],[5-2]], 1-global_constr_cap) * TblConstr[[#This Row],[RCPA Lumber]],0)</f>
        <v>122</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95" s="94">
        <f ca="1">ROUNDDOWN( MAX(1 - MIN(facs_constr_factor*TblConstr[[#This Row],[Facs DB]],facs_constr_max) + tech_1_11*TblTech[[#This Row],[1-11]] + tech_6_3_2*TblTech[[#This Row],[6-3]] + tech_5_2_3*TblTech[[#This Row],[5-2]], 1-global_constr_cap) * ROUND((TblConstr[[#This Row],[Land]]-250)*0.285 + 87.5 + 0/4.25,0),0)</f>
        <v>122</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1000</v>
      </c>
      <c r="AW95" s="94">
        <f ca="1">ROUND((TblConstr[[#This Row],[Land]]-250 - IF(TblExplore[[#This Row],[Land Bonus]]&lt;&gt;0,20,0))*0.285 + 87.5 + 0/4.25,0)</f>
        <v>122</v>
      </c>
      <c r="AX95" s="154"/>
      <c r="AY95" s="188" cm="1">
        <f t="array" aca="1" ref="AY95" ca="1">IF(TblConstr[[#This Row],[Hour]:[Hour]]&gt;12,OFFSET(TblConstr[[#This Row],[Hom]],-12,0),0)+OFFSET(TblConstr[[#This Row],[Tot Hom]],-1,0)-TblConstr[[#This Row],[Dest Hom]]</f>
        <v>50</v>
      </c>
      <c r="AZ95" s="189" cm="1">
        <f t="array" aca="1" ref="AZ95" ca="1">IF(TblConstr[[#This Row],[Hour]:[Hour]]&gt;12,OFFSET(TblConstr[[#This Row],[Alc]],-12,0),0)+OFFSET(TblConstr[[#This Row],[Tot Alc]],-1,0)-TblConstr[[#This Row],[Dest Alc]]</f>
        <v>50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50</v>
      </c>
      <c r="BM95" s="369" cm="1">
        <f t="array" aca="1" ref="BM95" ca="1">IF(TblConstr[[#This Row],[Hour]:[Hour]]&gt;12,OFFSET(TblConstr[[#This Row],[Tem]],-12,0),0)+OFFSET(TblConstr[[#This Row],[Tot Tem]],-1,0)-TblConstr[[#This Row],[Dest Tem]]</f>
        <v>50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50</v>
      </c>
      <c r="BP95" s="191" cm="1">
        <f t="array" aca="1" ref="BP95" ca="1">IF(TblConstr[[#This Row],[Hour]:[Hour]]&gt;12,OFFSET(TblConstr[[#This Row],[Sch]],-12,0),0)+OFFSET(TblConstr[[#This Row],[Tot Sch]],-1,0)-TblConstr[[#This Row],[Dest Sch]]</f>
        <v>50</v>
      </c>
      <c r="BQ95" s="192" cm="1">
        <f t="array" aca="1" ref="BQ95" ca="1">IF(TblConstr[[#This Row],[Hour]:[Hour]]&gt;12,OFFSET(TblConstr[[#This Row],[Doc]],-12,0),0)+OFFSET(TblConstr[[#This Row],[Tot Doc]],-1,0)-TblConstr[[#This Row],[Dest Doc]]</f>
        <v>0</v>
      </c>
      <c r="BR95" s="142"/>
      <c r="BS95" s="154"/>
      <c r="BT95" s="94">
        <f ca="1">TblConstr[[#This Row],[Land]]</f>
        <v>370</v>
      </c>
      <c r="BU95" s="159">
        <f ca="1">TblImps[[#This Row],[Time]]</f>
        <v>45818.791666666446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100</v>
      </c>
      <c r="DA95" s="94">
        <f t="shared" ca="1" si="24"/>
        <v>20</v>
      </c>
      <c r="DB95" s="45">
        <f t="shared" ca="1" si="25"/>
        <v>0</v>
      </c>
      <c r="DC95" s="94">
        <f t="shared" ca="1" si="26"/>
        <v>0</v>
      </c>
      <c r="DD95" s="94">
        <f t="shared" ca="1" si="27"/>
        <v>100</v>
      </c>
      <c r="DE95" s="45">
        <f t="shared" ca="1" si="28"/>
        <v>50</v>
      </c>
      <c r="DF95" s="94">
        <f t="shared" ca="1" si="29"/>
        <v>0</v>
      </c>
      <c r="DG95" s="94" cm="1">
        <f t="array" aca="1" ref="DG95" ca="1">INDEX(TblConstr[[Total Plain]:[Total Water]],ROW()-ROW(TblConstr[#Headers]),MATCH("Total "&amp;home_land,TblConstr[[#Headers],[Total Plain]:[Total Water]],0))+TblConstr[[#This Row],[Homes]]</f>
        <v>150</v>
      </c>
      <c r="DH95" s="45">
        <f t="shared" ca="1" si="22"/>
        <v>50</v>
      </c>
      <c r="DI95" s="45">
        <f t="shared" ca="1" si="19"/>
        <v>0</v>
      </c>
      <c r="DJ95" s="45">
        <f t="shared" ca="1" si="20"/>
        <v>0</v>
      </c>
    </row>
    <row r="96" spans="1:114" x14ac:dyDescent="0.2">
      <c r="A96" s="175">
        <f>TblRezone[[#This Row],[Hour]]</f>
        <v>93</v>
      </c>
      <c r="B96" s="176">
        <f ca="1">SUM(TblConstr[[#This Row],[Plain]:[Water]])</f>
        <v>20</v>
      </c>
      <c r="C96" s="177">
        <f ca="1">SUM(TblConstr[[#This Row],[Tot Hom]:[Tot Doc]])</f>
        <v>350</v>
      </c>
      <c r="D96" s="177">
        <f t="shared" si="21"/>
        <v>0</v>
      </c>
      <c r="E96" s="178"/>
      <c r="F96" s="61">
        <f ca="1">TblConstr[[#This Row],[Barren]]+TblConstr[[#This Row],[Buildings]]+TblConstr[[#This Row],[Incoming]]</f>
        <v>370</v>
      </c>
      <c r="G96" s="187">
        <f ca="1">OFFSET(TblConstr[[#This Row],[Plain]],-1,0)+TblConstr[[#This Row],[Ch_Plain]]</f>
        <v>20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45818.83333333311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1296635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96" s="94">
        <f ca="1">ROUNDDOWN( MAX(1 - MIN(facs_constr_factor*TblConstr[[#This Row],[Facs -DB]],facs_constr_max) + tech_1_11*TblTech[[#This Row],[11-1]] + tech_6_3_2*TblTech[[#This Row],[6-3]] + tech_5_2_3*TblTech[[#This Row],[5-2]], 1-global_constr_cap) * TblConstr[[#This Row],[RCPA Lumber]],0)</f>
        <v>122</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96" s="94">
        <f ca="1">ROUNDDOWN( MAX(1 - MIN(facs_constr_factor*TblConstr[[#This Row],[Facs DB]],facs_constr_max) + tech_1_11*TblTech[[#This Row],[1-11]] + tech_6_3_2*TblTech[[#This Row],[6-3]] + tech_5_2_3*TblTech[[#This Row],[5-2]], 1-global_constr_cap) * ROUND((TblConstr[[#This Row],[Land]]-250)*0.285 + 87.5 + 0/4.25,0),0)</f>
        <v>122</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1000</v>
      </c>
      <c r="AW96" s="94">
        <f ca="1">ROUND((TblConstr[[#This Row],[Land]]-250 - IF(TblExplore[[#This Row],[Land Bonus]]&lt;&gt;0,20,0))*0.285 + 87.5 + 0/4.25,0)</f>
        <v>122</v>
      </c>
      <c r="AX96" s="154"/>
      <c r="AY96" s="188" cm="1">
        <f t="array" aca="1" ref="AY96" ca="1">IF(TblConstr[[#This Row],[Hour]:[Hour]]&gt;12,OFFSET(TblConstr[[#This Row],[Hom]],-12,0),0)+OFFSET(TblConstr[[#This Row],[Tot Hom]],-1,0)-TblConstr[[#This Row],[Dest Hom]]</f>
        <v>50</v>
      </c>
      <c r="AZ96" s="189" cm="1">
        <f t="array" aca="1" ref="AZ96" ca="1">IF(TblConstr[[#This Row],[Hour]:[Hour]]&gt;12,OFFSET(TblConstr[[#This Row],[Alc]],-12,0),0)+OFFSET(TblConstr[[#This Row],[Tot Alc]],-1,0)-TblConstr[[#This Row],[Dest Alc]]</f>
        <v>50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50</v>
      </c>
      <c r="BM96" s="369" cm="1">
        <f t="array" aca="1" ref="BM96" ca="1">IF(TblConstr[[#This Row],[Hour]:[Hour]]&gt;12,OFFSET(TblConstr[[#This Row],[Tem]],-12,0),0)+OFFSET(TblConstr[[#This Row],[Tot Tem]],-1,0)-TblConstr[[#This Row],[Dest Tem]]</f>
        <v>50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50</v>
      </c>
      <c r="BP96" s="191" cm="1">
        <f t="array" aca="1" ref="BP96" ca="1">IF(TblConstr[[#This Row],[Hour]:[Hour]]&gt;12,OFFSET(TblConstr[[#This Row],[Sch]],-12,0),0)+OFFSET(TblConstr[[#This Row],[Tot Sch]],-1,0)-TblConstr[[#This Row],[Dest Sch]]</f>
        <v>50</v>
      </c>
      <c r="BQ96" s="192" cm="1">
        <f t="array" aca="1" ref="BQ96" ca="1">IF(TblConstr[[#This Row],[Hour]:[Hour]]&gt;12,OFFSET(TblConstr[[#This Row],[Doc]],-12,0),0)+OFFSET(TblConstr[[#This Row],[Tot Doc]],-1,0)-TblConstr[[#This Row],[Dest Doc]]</f>
        <v>0</v>
      </c>
      <c r="BR96" s="142"/>
      <c r="BS96" s="154"/>
      <c r="BT96" s="94">
        <f ca="1">TblConstr[[#This Row],[Land]]</f>
        <v>370</v>
      </c>
      <c r="BU96" s="159">
        <f ca="1">TblImps[[#This Row],[Time]]</f>
        <v>45818.83333333311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100</v>
      </c>
      <c r="DA96" s="94">
        <f t="shared" ca="1" si="24"/>
        <v>20</v>
      </c>
      <c r="DB96" s="45">
        <f t="shared" ca="1" si="25"/>
        <v>0</v>
      </c>
      <c r="DC96" s="94">
        <f t="shared" ca="1" si="26"/>
        <v>0</v>
      </c>
      <c r="DD96" s="94">
        <f t="shared" ca="1" si="27"/>
        <v>100</v>
      </c>
      <c r="DE96" s="45">
        <f t="shared" ca="1" si="28"/>
        <v>50</v>
      </c>
      <c r="DF96" s="94">
        <f t="shared" ca="1" si="29"/>
        <v>0</v>
      </c>
      <c r="DG96" s="94" cm="1">
        <f t="array" aca="1" ref="DG96" ca="1">INDEX(TblConstr[[Total Plain]:[Total Water]],ROW()-ROW(TblConstr[#Headers]),MATCH("Total "&amp;home_land,TblConstr[[#Headers],[Total Plain]:[Total Water]],0))+TblConstr[[#This Row],[Homes]]</f>
        <v>150</v>
      </c>
      <c r="DH96" s="45">
        <f t="shared" ca="1" si="22"/>
        <v>50</v>
      </c>
      <c r="DI96" s="45">
        <f t="shared" ca="1" si="19"/>
        <v>0</v>
      </c>
      <c r="DJ96" s="45">
        <f t="shared" ca="1" si="20"/>
        <v>0</v>
      </c>
    </row>
    <row r="97" spans="1:114" x14ac:dyDescent="0.2">
      <c r="A97" s="175">
        <f>TblRezone[[#This Row],[Hour]]</f>
        <v>94</v>
      </c>
      <c r="B97" s="176">
        <f ca="1">SUM(TblConstr[[#This Row],[Plain]:[Water]])</f>
        <v>20</v>
      </c>
      <c r="C97" s="177">
        <f ca="1">SUM(TblConstr[[#This Row],[Tot Hom]:[Tot Doc]])</f>
        <v>350</v>
      </c>
      <c r="D97" s="177">
        <f t="shared" si="21"/>
        <v>0</v>
      </c>
      <c r="E97" s="178"/>
      <c r="F97" s="61">
        <f ca="1">TblConstr[[#This Row],[Barren]]+TblConstr[[#This Row],[Buildings]]+TblConstr[[#This Row],[Incoming]]</f>
        <v>370</v>
      </c>
      <c r="G97" s="187">
        <f ca="1">OFFSET(TblConstr[[#This Row],[Plain]],-1,0)+TblConstr[[#This Row],[Ch_Plain]]</f>
        <v>20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45818.874999999774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1305262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97" s="94">
        <f ca="1">ROUNDDOWN( MAX(1 - MIN(facs_constr_factor*TblConstr[[#This Row],[Facs -DB]],facs_constr_max) + tech_1_11*TblTech[[#This Row],[11-1]] + tech_6_3_2*TblTech[[#This Row],[6-3]] + tech_5_2_3*TblTech[[#This Row],[5-2]], 1-global_constr_cap) * TblConstr[[#This Row],[RCPA Lumber]],0)</f>
        <v>122</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97" s="94">
        <f ca="1">ROUNDDOWN( MAX(1 - MIN(facs_constr_factor*TblConstr[[#This Row],[Facs DB]],facs_constr_max) + tech_1_11*TblTech[[#This Row],[1-11]] + tech_6_3_2*TblTech[[#This Row],[6-3]] + tech_5_2_3*TblTech[[#This Row],[5-2]], 1-global_constr_cap) * ROUND((TblConstr[[#This Row],[Land]]-250)*0.285 + 87.5 + 0/4.25,0),0)</f>
        <v>122</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1000</v>
      </c>
      <c r="AW97" s="94">
        <f ca="1">ROUND((TblConstr[[#This Row],[Land]]-250 - IF(TblExplore[[#This Row],[Land Bonus]]&lt;&gt;0,20,0))*0.285 + 87.5 + 0/4.25,0)</f>
        <v>122</v>
      </c>
      <c r="AX97" s="154"/>
      <c r="AY97" s="188" cm="1">
        <f t="array" aca="1" ref="AY97" ca="1">IF(TblConstr[[#This Row],[Hour]:[Hour]]&gt;12,OFFSET(TblConstr[[#This Row],[Hom]],-12,0),0)+OFFSET(TblConstr[[#This Row],[Tot Hom]],-1,0)-TblConstr[[#This Row],[Dest Hom]]</f>
        <v>50</v>
      </c>
      <c r="AZ97" s="189" cm="1">
        <f t="array" aca="1" ref="AZ97" ca="1">IF(TblConstr[[#This Row],[Hour]:[Hour]]&gt;12,OFFSET(TblConstr[[#This Row],[Alc]],-12,0),0)+OFFSET(TblConstr[[#This Row],[Tot Alc]],-1,0)-TblConstr[[#This Row],[Dest Alc]]</f>
        <v>50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50</v>
      </c>
      <c r="BM97" s="369" cm="1">
        <f t="array" aca="1" ref="BM97" ca="1">IF(TblConstr[[#This Row],[Hour]:[Hour]]&gt;12,OFFSET(TblConstr[[#This Row],[Tem]],-12,0),0)+OFFSET(TblConstr[[#This Row],[Tot Tem]],-1,0)-TblConstr[[#This Row],[Dest Tem]]</f>
        <v>50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50</v>
      </c>
      <c r="BP97" s="191" cm="1">
        <f t="array" aca="1" ref="BP97" ca="1">IF(TblConstr[[#This Row],[Hour]:[Hour]]&gt;12,OFFSET(TblConstr[[#This Row],[Sch]],-12,0),0)+OFFSET(TblConstr[[#This Row],[Tot Sch]],-1,0)-TblConstr[[#This Row],[Dest Sch]]</f>
        <v>50</v>
      </c>
      <c r="BQ97" s="192" cm="1">
        <f t="array" aca="1" ref="BQ97" ca="1">IF(TblConstr[[#This Row],[Hour]:[Hour]]&gt;12,OFFSET(TblConstr[[#This Row],[Doc]],-12,0),0)+OFFSET(TblConstr[[#This Row],[Tot Doc]],-1,0)-TblConstr[[#This Row],[Dest Doc]]</f>
        <v>0</v>
      </c>
      <c r="BR97" s="142"/>
      <c r="BS97" s="154"/>
      <c r="BT97" s="94">
        <f ca="1">TblConstr[[#This Row],[Land]]</f>
        <v>370</v>
      </c>
      <c r="BU97" s="159">
        <f ca="1">TblImps[[#This Row],[Time]]</f>
        <v>45818.874999999774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100</v>
      </c>
      <c r="DA97" s="94">
        <f t="shared" ca="1" si="24"/>
        <v>20</v>
      </c>
      <c r="DB97" s="45">
        <f t="shared" ca="1" si="25"/>
        <v>0</v>
      </c>
      <c r="DC97" s="94">
        <f t="shared" ca="1" si="26"/>
        <v>0</v>
      </c>
      <c r="DD97" s="94">
        <f t="shared" ca="1" si="27"/>
        <v>100</v>
      </c>
      <c r="DE97" s="45">
        <f t="shared" ca="1" si="28"/>
        <v>50</v>
      </c>
      <c r="DF97" s="94">
        <f t="shared" ca="1" si="29"/>
        <v>0</v>
      </c>
      <c r="DG97" s="94" cm="1">
        <f t="array" aca="1" ref="DG97" ca="1">INDEX(TblConstr[[Total Plain]:[Total Water]],ROW()-ROW(TblConstr[#Headers]),MATCH("Total "&amp;home_land,TblConstr[[#Headers],[Total Plain]:[Total Water]],0))+TblConstr[[#This Row],[Homes]]</f>
        <v>150</v>
      </c>
      <c r="DH97" s="45">
        <f t="shared" ca="1" si="22"/>
        <v>50</v>
      </c>
      <c r="DI97" s="45">
        <f t="shared" ca="1" si="19"/>
        <v>0</v>
      </c>
      <c r="DJ97" s="45">
        <f t="shared" ca="1" si="20"/>
        <v>0</v>
      </c>
    </row>
    <row r="98" spans="1:114" x14ac:dyDescent="0.2">
      <c r="A98" s="175">
        <f>TblRezone[[#This Row],[Hour]]</f>
        <v>95</v>
      </c>
      <c r="B98" s="176">
        <f ca="1">SUM(TblConstr[[#This Row],[Plain]:[Water]])</f>
        <v>20</v>
      </c>
      <c r="C98" s="177">
        <f ca="1">SUM(TblConstr[[#This Row],[Tot Hom]:[Tot Doc]])</f>
        <v>350</v>
      </c>
      <c r="D98" s="177">
        <f t="shared" si="21"/>
        <v>0</v>
      </c>
      <c r="E98" s="178"/>
      <c r="F98" s="61">
        <f ca="1">TblConstr[[#This Row],[Barren]]+TblConstr[[#This Row],[Buildings]]+TblConstr[[#This Row],[Incoming]]</f>
        <v>370</v>
      </c>
      <c r="G98" s="187">
        <f ca="1">OFFSET(TblConstr[[#This Row],[Plain]],-1,0)+TblConstr[[#This Row],[Ch_Plain]]</f>
        <v>20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45818.916666666439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1313824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98" s="94">
        <f ca="1">ROUNDDOWN( MAX(1 - MIN(facs_constr_factor*TblConstr[[#This Row],[Facs -DB]],facs_constr_max) + tech_1_11*TblTech[[#This Row],[11-1]] + tech_6_3_2*TblTech[[#This Row],[6-3]] + tech_5_2_3*TblTech[[#This Row],[5-2]], 1-global_constr_cap) * TblConstr[[#This Row],[RCPA Lumber]],0)</f>
        <v>122</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98" s="94">
        <f ca="1">ROUNDDOWN( MAX(1 - MIN(facs_constr_factor*TblConstr[[#This Row],[Facs DB]],facs_constr_max) + tech_1_11*TblTech[[#This Row],[1-11]] + tech_6_3_2*TblTech[[#This Row],[6-3]] + tech_5_2_3*TblTech[[#This Row],[5-2]], 1-global_constr_cap) * ROUND((TblConstr[[#This Row],[Land]]-250)*0.285 + 87.5 + 0/4.25,0),0)</f>
        <v>122</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1000</v>
      </c>
      <c r="AW98" s="94">
        <f ca="1">ROUND((TblConstr[[#This Row],[Land]]-250 - IF(TblExplore[[#This Row],[Land Bonus]]&lt;&gt;0,20,0))*0.285 + 87.5 + 0/4.25,0)</f>
        <v>122</v>
      </c>
      <c r="AX98" s="154"/>
      <c r="AY98" s="188" cm="1">
        <f t="array" aca="1" ref="AY98" ca="1">IF(TblConstr[[#This Row],[Hour]:[Hour]]&gt;12,OFFSET(TblConstr[[#This Row],[Hom]],-12,0),0)+OFFSET(TblConstr[[#This Row],[Tot Hom]],-1,0)-TblConstr[[#This Row],[Dest Hom]]</f>
        <v>50</v>
      </c>
      <c r="AZ98" s="189" cm="1">
        <f t="array" aca="1" ref="AZ98" ca="1">IF(TblConstr[[#This Row],[Hour]:[Hour]]&gt;12,OFFSET(TblConstr[[#This Row],[Alc]],-12,0),0)+OFFSET(TblConstr[[#This Row],[Tot Alc]],-1,0)-TblConstr[[#This Row],[Dest Alc]]</f>
        <v>50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50</v>
      </c>
      <c r="BM98" s="369" cm="1">
        <f t="array" aca="1" ref="BM98" ca="1">IF(TblConstr[[#This Row],[Hour]:[Hour]]&gt;12,OFFSET(TblConstr[[#This Row],[Tem]],-12,0),0)+OFFSET(TblConstr[[#This Row],[Tot Tem]],-1,0)-TblConstr[[#This Row],[Dest Tem]]</f>
        <v>50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50</v>
      </c>
      <c r="BP98" s="191" cm="1">
        <f t="array" aca="1" ref="BP98" ca="1">IF(TblConstr[[#This Row],[Hour]:[Hour]]&gt;12,OFFSET(TblConstr[[#This Row],[Sch]],-12,0),0)+OFFSET(TblConstr[[#This Row],[Tot Sch]],-1,0)-TblConstr[[#This Row],[Dest Sch]]</f>
        <v>50</v>
      </c>
      <c r="BQ98" s="192" cm="1">
        <f t="array" aca="1" ref="BQ98" ca="1">IF(TblConstr[[#This Row],[Hour]:[Hour]]&gt;12,OFFSET(TblConstr[[#This Row],[Doc]],-12,0),0)+OFFSET(TblConstr[[#This Row],[Tot Doc]],-1,0)-TblConstr[[#This Row],[Dest Doc]]</f>
        <v>0</v>
      </c>
      <c r="BR98" s="142"/>
      <c r="BS98" s="154"/>
      <c r="BT98" s="94">
        <f ca="1">TblConstr[[#This Row],[Land]]</f>
        <v>370</v>
      </c>
      <c r="BU98" s="159">
        <f ca="1">TblImps[[#This Row],[Time]]</f>
        <v>45818.916666666439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100</v>
      </c>
      <c r="DA98" s="94">
        <f t="shared" ca="1" si="24"/>
        <v>20</v>
      </c>
      <c r="DB98" s="45">
        <f t="shared" ca="1" si="25"/>
        <v>0</v>
      </c>
      <c r="DC98" s="94">
        <f t="shared" ca="1" si="26"/>
        <v>0</v>
      </c>
      <c r="DD98" s="94">
        <f t="shared" ca="1" si="27"/>
        <v>100</v>
      </c>
      <c r="DE98" s="45">
        <f t="shared" ca="1" si="28"/>
        <v>50</v>
      </c>
      <c r="DF98" s="94">
        <f t="shared" ca="1" si="29"/>
        <v>0</v>
      </c>
      <c r="DG98" s="94" cm="1">
        <f t="array" aca="1" ref="DG98" ca="1">INDEX(TblConstr[[Total Plain]:[Total Water]],ROW()-ROW(TblConstr[#Headers]),MATCH("Total "&amp;home_land,TblConstr[[#Headers],[Total Plain]:[Total Water]],0))+TblConstr[[#This Row],[Homes]]</f>
        <v>150</v>
      </c>
      <c r="DH98" s="45">
        <f t="shared" ca="1" si="22"/>
        <v>50</v>
      </c>
      <c r="DI98" s="45">
        <f t="shared" ca="1" si="19"/>
        <v>0</v>
      </c>
      <c r="DJ98" s="45">
        <f t="shared" ca="1" si="20"/>
        <v>0</v>
      </c>
    </row>
    <row r="99" spans="1:114" x14ac:dyDescent="0.2">
      <c r="A99" s="175">
        <f>TblRezone[[#This Row],[Hour]]</f>
        <v>96</v>
      </c>
      <c r="B99" s="176">
        <f ca="1">SUM(TblConstr[[#This Row],[Plain]:[Water]])</f>
        <v>20</v>
      </c>
      <c r="C99" s="177">
        <f ca="1">SUM(TblConstr[[#This Row],[Tot Hom]:[Tot Doc]])</f>
        <v>350</v>
      </c>
      <c r="D99" s="177">
        <f t="shared" si="21"/>
        <v>0</v>
      </c>
      <c r="E99" s="178"/>
      <c r="F99" s="61">
        <f ca="1">TblConstr[[#This Row],[Barren]]+TblConstr[[#This Row],[Buildings]]+TblConstr[[#This Row],[Incoming]]</f>
        <v>370</v>
      </c>
      <c r="G99" s="187">
        <f ca="1">OFFSET(TblConstr[[#This Row],[Plain]],-1,0)+TblConstr[[#This Row],[Ch_Plain]]</f>
        <v>20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45818.958333333103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1322324</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99" s="94">
        <f ca="1">ROUNDDOWN( MAX(1 - MIN(facs_constr_factor*TblConstr[[#This Row],[Facs -DB]],facs_constr_max) + tech_1_11*TblTech[[#This Row],[11-1]] + tech_6_3_2*TblTech[[#This Row],[6-3]] + tech_5_2_3*TblTech[[#This Row],[5-2]], 1-global_constr_cap) * TblConstr[[#This Row],[RCPA Lumber]],0)</f>
        <v>122</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99" s="94">
        <f ca="1">ROUNDDOWN( MAX(1 - MIN(facs_constr_factor*TblConstr[[#This Row],[Facs DB]],facs_constr_max) + tech_1_11*TblTech[[#This Row],[1-11]] + tech_6_3_2*TblTech[[#This Row],[6-3]] + tech_5_2_3*TblTech[[#This Row],[5-2]], 1-global_constr_cap) * ROUND((TblConstr[[#This Row],[Land]]-250)*0.285 + 87.5 + 0/4.25,0),0)</f>
        <v>122</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1000</v>
      </c>
      <c r="AW99" s="94">
        <f ca="1">ROUND((TblConstr[[#This Row],[Land]]-250 - IF(TblExplore[[#This Row],[Land Bonus]]&lt;&gt;0,20,0))*0.285 + 87.5 + 0/4.25,0)</f>
        <v>122</v>
      </c>
      <c r="AX99" s="154"/>
      <c r="AY99" s="188" cm="1">
        <f t="array" aca="1" ref="AY99" ca="1">IF(TblConstr[[#This Row],[Hour]:[Hour]]&gt;12,OFFSET(TblConstr[[#This Row],[Hom]],-12,0),0)+OFFSET(TblConstr[[#This Row],[Tot Hom]],-1,0)-TblConstr[[#This Row],[Dest Hom]]</f>
        <v>50</v>
      </c>
      <c r="AZ99" s="189" cm="1">
        <f t="array" aca="1" ref="AZ99" ca="1">IF(TblConstr[[#This Row],[Hour]:[Hour]]&gt;12,OFFSET(TblConstr[[#This Row],[Alc]],-12,0),0)+OFFSET(TblConstr[[#This Row],[Tot Alc]],-1,0)-TblConstr[[#This Row],[Dest Alc]]</f>
        <v>50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50</v>
      </c>
      <c r="BM99" s="369" cm="1">
        <f t="array" aca="1" ref="BM99" ca="1">IF(TblConstr[[#This Row],[Hour]:[Hour]]&gt;12,OFFSET(TblConstr[[#This Row],[Tem]],-12,0),0)+OFFSET(TblConstr[[#This Row],[Tot Tem]],-1,0)-TblConstr[[#This Row],[Dest Tem]]</f>
        <v>50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50</v>
      </c>
      <c r="BP99" s="191" cm="1">
        <f t="array" aca="1" ref="BP99" ca="1">IF(TblConstr[[#This Row],[Hour]:[Hour]]&gt;12,OFFSET(TblConstr[[#This Row],[Sch]],-12,0),0)+OFFSET(TblConstr[[#This Row],[Tot Sch]],-1,0)-TblConstr[[#This Row],[Dest Sch]]</f>
        <v>50</v>
      </c>
      <c r="BQ99" s="192" cm="1">
        <f t="array" aca="1" ref="BQ99" ca="1">IF(TblConstr[[#This Row],[Hour]:[Hour]]&gt;12,OFFSET(TblConstr[[#This Row],[Doc]],-12,0),0)+OFFSET(TblConstr[[#This Row],[Tot Doc]],-1,0)-TblConstr[[#This Row],[Dest Doc]]</f>
        <v>0</v>
      </c>
      <c r="BR99" s="142"/>
      <c r="BS99" s="154"/>
      <c r="BT99" s="94">
        <f ca="1">TblConstr[[#This Row],[Land]]</f>
        <v>370</v>
      </c>
      <c r="BU99" s="159">
        <f ca="1">TblImps[[#This Row],[Time]]</f>
        <v>45818.958333333103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100</v>
      </c>
      <c r="DA99" s="94">
        <f t="shared" ca="1" si="24"/>
        <v>20</v>
      </c>
      <c r="DB99" s="45">
        <f t="shared" ca="1" si="25"/>
        <v>0</v>
      </c>
      <c r="DC99" s="94">
        <f t="shared" ca="1" si="26"/>
        <v>0</v>
      </c>
      <c r="DD99" s="94">
        <f t="shared" ca="1" si="27"/>
        <v>100</v>
      </c>
      <c r="DE99" s="45">
        <f t="shared" ca="1" si="28"/>
        <v>50</v>
      </c>
      <c r="DF99" s="94">
        <f t="shared" ca="1" si="29"/>
        <v>0</v>
      </c>
      <c r="DG99" s="94" cm="1">
        <f t="array" aca="1" ref="DG99" ca="1">INDEX(TblConstr[[Total Plain]:[Total Water]],ROW()-ROW(TblConstr[#Headers]),MATCH("Total "&amp;home_land,TblConstr[[#Headers],[Total Plain]:[Total Water]],0))+TblConstr[[#This Row],[Homes]]</f>
        <v>150</v>
      </c>
      <c r="DH99" s="45">
        <f t="shared" ca="1" si="22"/>
        <v>50</v>
      </c>
      <c r="DI99" s="45">
        <f t="shared" ca="1" si="19"/>
        <v>0</v>
      </c>
      <c r="DJ99" s="45">
        <f t="shared" ca="1" si="20"/>
        <v>0</v>
      </c>
    </row>
    <row r="100" spans="1:114" x14ac:dyDescent="0.2">
      <c r="A100" s="175">
        <f>TblRezone[[#This Row],[Hour]]</f>
        <v>97</v>
      </c>
      <c r="B100" s="176">
        <f ca="1">SUM(TblConstr[[#This Row],[Plain]:[Water]])</f>
        <v>20</v>
      </c>
      <c r="C100" s="177">
        <f ca="1">SUM(TblConstr[[#This Row],[Tot Hom]:[Tot Doc]])</f>
        <v>350</v>
      </c>
      <c r="D100" s="177">
        <f t="shared" si="21"/>
        <v>0</v>
      </c>
      <c r="E100" s="178"/>
      <c r="F100" s="61">
        <f ca="1">TblConstr[[#This Row],[Barren]]+TblConstr[[#This Row],[Buildings]]+TblConstr[[#This Row],[Incoming]]</f>
        <v>370</v>
      </c>
      <c r="G100" s="187">
        <f ca="1">OFFSET(TblConstr[[#This Row],[Plain]],-1,0)+TblConstr[[#This Row],[Ch_Plain]]</f>
        <v>20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45818.999999999767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1330762</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00" s="94">
        <f ca="1">ROUNDDOWN( MAX(1 - MIN(facs_constr_factor*TblConstr[[#This Row],[Facs -DB]],facs_constr_max) + tech_1_11*TblTech[[#This Row],[11-1]] + tech_6_3_2*TblTech[[#This Row],[6-3]] + tech_5_2_3*TblTech[[#This Row],[5-2]], 1-global_constr_cap) * TblConstr[[#This Row],[RCPA Lumber]],0)</f>
        <v>122</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00" s="94">
        <f ca="1">ROUNDDOWN( MAX(1 - MIN(facs_constr_factor*TblConstr[[#This Row],[Facs DB]],facs_constr_max) + tech_1_11*TblTech[[#This Row],[1-11]] + tech_6_3_2*TblTech[[#This Row],[6-3]] + tech_5_2_3*TblTech[[#This Row],[5-2]], 1-global_constr_cap) * ROUND((TblConstr[[#This Row],[Land]]-250)*0.285 + 87.5 + 0/4.25,0),0)</f>
        <v>122</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1000</v>
      </c>
      <c r="AW100" s="94">
        <f ca="1">ROUND((TblConstr[[#This Row],[Land]]-250 - IF(TblExplore[[#This Row],[Land Bonus]]&lt;&gt;0,20,0))*0.285 + 87.5 + 0/4.25,0)</f>
        <v>122</v>
      </c>
      <c r="AX100" s="154"/>
      <c r="AY100" s="188" cm="1">
        <f t="array" aca="1" ref="AY100" ca="1">IF(TblConstr[[#This Row],[Hour]:[Hour]]&gt;12,OFFSET(TblConstr[[#This Row],[Hom]],-12,0),0)+OFFSET(TblConstr[[#This Row],[Tot Hom]],-1,0)-TblConstr[[#This Row],[Dest Hom]]</f>
        <v>50</v>
      </c>
      <c r="AZ100" s="189" cm="1">
        <f t="array" aca="1" ref="AZ100" ca="1">IF(TblConstr[[#This Row],[Hour]:[Hour]]&gt;12,OFFSET(TblConstr[[#This Row],[Alc]],-12,0),0)+OFFSET(TblConstr[[#This Row],[Tot Alc]],-1,0)-TblConstr[[#This Row],[Dest Alc]]</f>
        <v>50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50</v>
      </c>
      <c r="BM100" s="369" cm="1">
        <f t="array" aca="1" ref="BM100" ca="1">IF(TblConstr[[#This Row],[Hour]:[Hour]]&gt;12,OFFSET(TblConstr[[#This Row],[Tem]],-12,0),0)+OFFSET(TblConstr[[#This Row],[Tot Tem]],-1,0)-TblConstr[[#This Row],[Dest Tem]]</f>
        <v>50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50</v>
      </c>
      <c r="BP100" s="191" cm="1">
        <f t="array" aca="1" ref="BP100" ca="1">IF(TblConstr[[#This Row],[Hour]:[Hour]]&gt;12,OFFSET(TblConstr[[#This Row],[Sch]],-12,0),0)+OFFSET(TblConstr[[#This Row],[Tot Sch]],-1,0)-TblConstr[[#This Row],[Dest Sch]]</f>
        <v>50</v>
      </c>
      <c r="BQ100" s="192" cm="1">
        <f t="array" aca="1" ref="BQ100" ca="1">IF(TblConstr[[#This Row],[Hour]:[Hour]]&gt;12,OFFSET(TblConstr[[#This Row],[Doc]],-12,0),0)+OFFSET(TblConstr[[#This Row],[Tot Doc]],-1,0)-TblConstr[[#This Row],[Dest Doc]]</f>
        <v>0</v>
      </c>
      <c r="BR100" s="142"/>
      <c r="BS100" s="154"/>
      <c r="BT100" s="94">
        <f ca="1">TblConstr[[#This Row],[Land]]</f>
        <v>370</v>
      </c>
      <c r="BU100" s="159">
        <f ca="1">TblImps[[#This Row],[Time]]</f>
        <v>45818.999999999767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100</v>
      </c>
      <c r="DA100" s="94">
        <f t="shared" ca="1" si="24"/>
        <v>20</v>
      </c>
      <c r="DB100" s="45">
        <f t="shared" ca="1" si="25"/>
        <v>0</v>
      </c>
      <c r="DC100" s="94">
        <f t="shared" ca="1" si="26"/>
        <v>0</v>
      </c>
      <c r="DD100" s="94">
        <f t="shared" ca="1" si="27"/>
        <v>100</v>
      </c>
      <c r="DE100" s="45">
        <f t="shared" ca="1" si="28"/>
        <v>50</v>
      </c>
      <c r="DF100" s="94">
        <f t="shared" ca="1" si="29"/>
        <v>0</v>
      </c>
      <c r="DG100" s="94" cm="1">
        <f t="array" aca="1" ref="DG100" ca="1">INDEX(TblConstr[[Total Plain]:[Total Water]],ROW()-ROW(TblConstr[#Headers]),MATCH("Total "&amp;home_land,TblConstr[[#Headers],[Total Plain]:[Total Water]],0))+TblConstr[[#This Row],[Homes]]</f>
        <v>150</v>
      </c>
      <c r="DH100" s="45">
        <f t="shared" ca="1" si="22"/>
        <v>50</v>
      </c>
      <c r="DI100" s="45">
        <f t="shared" ca="1" si="19"/>
        <v>0</v>
      </c>
      <c r="DJ100" s="45">
        <f t="shared" ca="1" si="20"/>
        <v>0</v>
      </c>
    </row>
    <row r="101" spans="1:114" x14ac:dyDescent="0.2">
      <c r="A101" s="175">
        <f>TblRezone[[#This Row],[Hour]]</f>
        <v>98</v>
      </c>
      <c r="B101" s="176">
        <f ca="1">SUM(TblConstr[[#This Row],[Plain]:[Water]])</f>
        <v>20</v>
      </c>
      <c r="C101" s="177">
        <f ca="1">SUM(TblConstr[[#This Row],[Tot Hom]:[Tot Doc]])</f>
        <v>350</v>
      </c>
      <c r="D101" s="177">
        <f t="shared" si="21"/>
        <v>0</v>
      </c>
      <c r="E101" s="178"/>
      <c r="F101" s="61">
        <f ca="1">TblConstr[[#This Row],[Barren]]+TblConstr[[#This Row],[Buildings]]+TblConstr[[#This Row],[Incoming]]</f>
        <v>370</v>
      </c>
      <c r="G101" s="187">
        <f ca="1">OFFSET(TblConstr[[#This Row],[Plain]],-1,0)+TblConstr[[#This Row],[Ch_Plain]]</f>
        <v>20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45819.041666666431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1339138</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01" s="94">
        <f ca="1">ROUNDDOWN( MAX(1 - MIN(facs_constr_factor*TblConstr[[#This Row],[Facs -DB]],facs_constr_max) + tech_1_11*TblTech[[#This Row],[11-1]] + tech_6_3_2*TblTech[[#This Row],[6-3]] + tech_5_2_3*TblTech[[#This Row],[5-2]], 1-global_constr_cap) * TblConstr[[#This Row],[RCPA Lumber]],0)</f>
        <v>122</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01" s="94">
        <f ca="1">ROUNDDOWN( MAX(1 - MIN(facs_constr_factor*TblConstr[[#This Row],[Facs DB]],facs_constr_max) + tech_1_11*TblTech[[#This Row],[1-11]] + tech_6_3_2*TblTech[[#This Row],[6-3]] + tech_5_2_3*TblTech[[#This Row],[5-2]], 1-global_constr_cap) * ROUND((TblConstr[[#This Row],[Land]]-250)*0.285 + 87.5 + 0/4.25,0),0)</f>
        <v>122</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1000</v>
      </c>
      <c r="AW101" s="94">
        <f ca="1">ROUND((TblConstr[[#This Row],[Land]]-250 - IF(TblExplore[[#This Row],[Land Bonus]]&lt;&gt;0,20,0))*0.285 + 87.5 + 0/4.25,0)</f>
        <v>122</v>
      </c>
      <c r="AX101" s="154"/>
      <c r="AY101" s="188" cm="1">
        <f t="array" aca="1" ref="AY101" ca="1">IF(TblConstr[[#This Row],[Hour]:[Hour]]&gt;12,OFFSET(TblConstr[[#This Row],[Hom]],-12,0),0)+OFFSET(TblConstr[[#This Row],[Tot Hom]],-1,0)-TblConstr[[#This Row],[Dest Hom]]</f>
        <v>50</v>
      </c>
      <c r="AZ101" s="189" cm="1">
        <f t="array" aca="1" ref="AZ101" ca="1">IF(TblConstr[[#This Row],[Hour]:[Hour]]&gt;12,OFFSET(TblConstr[[#This Row],[Alc]],-12,0),0)+OFFSET(TblConstr[[#This Row],[Tot Alc]],-1,0)-TblConstr[[#This Row],[Dest Alc]]</f>
        <v>50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50</v>
      </c>
      <c r="BM101" s="369" cm="1">
        <f t="array" aca="1" ref="BM101" ca="1">IF(TblConstr[[#This Row],[Hour]:[Hour]]&gt;12,OFFSET(TblConstr[[#This Row],[Tem]],-12,0),0)+OFFSET(TblConstr[[#This Row],[Tot Tem]],-1,0)-TblConstr[[#This Row],[Dest Tem]]</f>
        <v>50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50</v>
      </c>
      <c r="BP101" s="191" cm="1">
        <f t="array" aca="1" ref="BP101" ca="1">IF(TblConstr[[#This Row],[Hour]:[Hour]]&gt;12,OFFSET(TblConstr[[#This Row],[Sch]],-12,0),0)+OFFSET(TblConstr[[#This Row],[Tot Sch]],-1,0)-TblConstr[[#This Row],[Dest Sch]]</f>
        <v>50</v>
      </c>
      <c r="BQ101" s="192" cm="1">
        <f t="array" aca="1" ref="BQ101" ca="1">IF(TblConstr[[#This Row],[Hour]:[Hour]]&gt;12,OFFSET(TblConstr[[#This Row],[Doc]],-12,0),0)+OFFSET(TblConstr[[#This Row],[Tot Doc]],-1,0)-TblConstr[[#This Row],[Dest Doc]]</f>
        <v>0</v>
      </c>
      <c r="BR101" s="142"/>
      <c r="BS101" s="154"/>
      <c r="BT101" s="94">
        <f ca="1">TblConstr[[#This Row],[Land]]</f>
        <v>370</v>
      </c>
      <c r="BU101" s="159">
        <f ca="1">TblImps[[#This Row],[Time]]</f>
        <v>45819.041666666431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100</v>
      </c>
      <c r="DA101" s="94">
        <f t="shared" ca="1" si="24"/>
        <v>20</v>
      </c>
      <c r="DB101" s="45">
        <f t="shared" ca="1" si="25"/>
        <v>0</v>
      </c>
      <c r="DC101" s="94">
        <f t="shared" ca="1" si="26"/>
        <v>0</v>
      </c>
      <c r="DD101" s="94">
        <f t="shared" ca="1" si="27"/>
        <v>100</v>
      </c>
      <c r="DE101" s="45">
        <f t="shared" ca="1" si="28"/>
        <v>50</v>
      </c>
      <c r="DF101" s="94">
        <f t="shared" ca="1" si="29"/>
        <v>0</v>
      </c>
      <c r="DG101" s="94" cm="1">
        <f t="array" aca="1" ref="DG101" ca="1">INDEX(TblConstr[[Total Plain]:[Total Water]],ROW()-ROW(TblConstr[#Headers]),MATCH("Total "&amp;home_land,TblConstr[[#Headers],[Total Plain]:[Total Water]],0))+TblConstr[[#This Row],[Homes]]</f>
        <v>150</v>
      </c>
      <c r="DH101" s="45">
        <f t="shared" ca="1" si="22"/>
        <v>50</v>
      </c>
      <c r="DI101" s="45">
        <f t="shared" ca="1" si="19"/>
        <v>0</v>
      </c>
      <c r="DJ101" s="45">
        <f t="shared" ca="1" si="20"/>
        <v>0</v>
      </c>
    </row>
    <row r="102" spans="1:114" x14ac:dyDescent="0.2">
      <c r="A102" s="175">
        <f>TblRezone[[#This Row],[Hour]]</f>
        <v>99</v>
      </c>
      <c r="B102" s="176">
        <f ca="1">SUM(TblConstr[[#This Row],[Plain]:[Water]])</f>
        <v>20</v>
      </c>
      <c r="C102" s="177">
        <f ca="1">SUM(TblConstr[[#This Row],[Tot Hom]:[Tot Doc]])</f>
        <v>350</v>
      </c>
      <c r="D102" s="177">
        <f t="shared" si="21"/>
        <v>0</v>
      </c>
      <c r="E102" s="178"/>
      <c r="F102" s="61">
        <f ca="1">TblConstr[[#This Row],[Barren]]+TblConstr[[#This Row],[Buildings]]+TblConstr[[#This Row],[Incoming]]</f>
        <v>370</v>
      </c>
      <c r="G102" s="187">
        <f ca="1">OFFSET(TblConstr[[#This Row],[Plain]],-1,0)+TblConstr[[#This Row],[Ch_Plain]]</f>
        <v>20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45819.083333333096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1347452</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02" s="94">
        <f ca="1">ROUNDDOWN( MAX(1 - MIN(facs_constr_factor*TblConstr[[#This Row],[Facs -DB]],facs_constr_max) + tech_1_11*TblTech[[#This Row],[11-1]] + tech_6_3_2*TblTech[[#This Row],[6-3]] + tech_5_2_3*TblTech[[#This Row],[5-2]], 1-global_constr_cap) * TblConstr[[#This Row],[RCPA Lumber]],0)</f>
        <v>122</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02" s="94">
        <f ca="1">ROUNDDOWN( MAX(1 - MIN(facs_constr_factor*TblConstr[[#This Row],[Facs DB]],facs_constr_max) + tech_1_11*TblTech[[#This Row],[1-11]] + tech_6_3_2*TblTech[[#This Row],[6-3]] + tech_5_2_3*TblTech[[#This Row],[5-2]], 1-global_constr_cap) * ROUND((TblConstr[[#This Row],[Land]]-250)*0.285 + 87.5 + 0/4.25,0),0)</f>
        <v>122</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1000</v>
      </c>
      <c r="AW102" s="94">
        <f ca="1">ROUND((TblConstr[[#This Row],[Land]]-250 - IF(TblExplore[[#This Row],[Land Bonus]]&lt;&gt;0,20,0))*0.285 + 87.5 + 0/4.25,0)</f>
        <v>122</v>
      </c>
      <c r="AX102" s="154"/>
      <c r="AY102" s="188" cm="1">
        <f t="array" aca="1" ref="AY102" ca="1">IF(TblConstr[[#This Row],[Hour]:[Hour]]&gt;12,OFFSET(TblConstr[[#This Row],[Hom]],-12,0),0)+OFFSET(TblConstr[[#This Row],[Tot Hom]],-1,0)-TblConstr[[#This Row],[Dest Hom]]</f>
        <v>50</v>
      </c>
      <c r="AZ102" s="189" cm="1">
        <f t="array" aca="1" ref="AZ102" ca="1">IF(TblConstr[[#This Row],[Hour]:[Hour]]&gt;12,OFFSET(TblConstr[[#This Row],[Alc]],-12,0),0)+OFFSET(TblConstr[[#This Row],[Tot Alc]],-1,0)-TblConstr[[#This Row],[Dest Alc]]</f>
        <v>50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50</v>
      </c>
      <c r="BM102" s="369" cm="1">
        <f t="array" aca="1" ref="BM102" ca="1">IF(TblConstr[[#This Row],[Hour]:[Hour]]&gt;12,OFFSET(TblConstr[[#This Row],[Tem]],-12,0),0)+OFFSET(TblConstr[[#This Row],[Tot Tem]],-1,0)-TblConstr[[#This Row],[Dest Tem]]</f>
        <v>50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50</v>
      </c>
      <c r="BP102" s="191" cm="1">
        <f t="array" aca="1" ref="BP102" ca="1">IF(TblConstr[[#This Row],[Hour]:[Hour]]&gt;12,OFFSET(TblConstr[[#This Row],[Sch]],-12,0),0)+OFFSET(TblConstr[[#This Row],[Tot Sch]],-1,0)-TblConstr[[#This Row],[Dest Sch]]</f>
        <v>50</v>
      </c>
      <c r="BQ102" s="192" cm="1">
        <f t="array" aca="1" ref="BQ102" ca="1">IF(TblConstr[[#This Row],[Hour]:[Hour]]&gt;12,OFFSET(TblConstr[[#This Row],[Doc]],-12,0),0)+OFFSET(TblConstr[[#This Row],[Tot Doc]],-1,0)-TblConstr[[#This Row],[Dest Doc]]</f>
        <v>0</v>
      </c>
      <c r="BR102" s="142"/>
      <c r="BS102" s="154"/>
      <c r="BT102" s="94">
        <f ca="1">TblConstr[[#This Row],[Land]]</f>
        <v>370</v>
      </c>
      <c r="BU102" s="159">
        <f ca="1">TblImps[[#This Row],[Time]]</f>
        <v>45819.083333333096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100</v>
      </c>
      <c r="DA102" s="94">
        <f t="shared" ca="1" si="24"/>
        <v>20</v>
      </c>
      <c r="DB102" s="45">
        <f t="shared" ca="1" si="25"/>
        <v>0</v>
      </c>
      <c r="DC102" s="94">
        <f t="shared" ca="1" si="26"/>
        <v>0</v>
      </c>
      <c r="DD102" s="94">
        <f t="shared" ca="1" si="27"/>
        <v>100</v>
      </c>
      <c r="DE102" s="45">
        <f t="shared" ca="1" si="28"/>
        <v>50</v>
      </c>
      <c r="DF102" s="94">
        <f t="shared" ca="1" si="29"/>
        <v>0</v>
      </c>
      <c r="DG102" s="94" cm="1">
        <f t="array" aca="1" ref="DG102" ca="1">INDEX(TblConstr[[Total Plain]:[Total Water]],ROW()-ROW(TblConstr[#Headers]),MATCH("Total "&amp;home_land,TblConstr[[#Headers],[Total Plain]:[Total Water]],0))+TblConstr[[#This Row],[Homes]]</f>
        <v>150</v>
      </c>
      <c r="DH102" s="45">
        <f t="shared" ca="1" si="22"/>
        <v>50</v>
      </c>
      <c r="DI102" s="45">
        <f t="shared" ca="1" si="19"/>
        <v>0</v>
      </c>
      <c r="DJ102" s="45">
        <f t="shared" ca="1" si="20"/>
        <v>0</v>
      </c>
    </row>
    <row r="103" spans="1:114" x14ac:dyDescent="0.2">
      <c r="A103" s="175">
        <f>TblRezone[[#This Row],[Hour]]</f>
        <v>100</v>
      </c>
      <c r="B103" s="176">
        <f ca="1">SUM(TblConstr[[#This Row],[Plain]:[Water]])</f>
        <v>20</v>
      </c>
      <c r="C103" s="177">
        <f ca="1">SUM(TblConstr[[#This Row],[Tot Hom]:[Tot Doc]])</f>
        <v>350</v>
      </c>
      <c r="D103" s="177">
        <f t="shared" si="21"/>
        <v>0</v>
      </c>
      <c r="E103" s="178"/>
      <c r="F103" s="61">
        <f ca="1">TblConstr[[#This Row],[Barren]]+TblConstr[[#This Row],[Buildings]]+TblConstr[[#This Row],[Incoming]]</f>
        <v>370</v>
      </c>
      <c r="G103" s="187">
        <f ca="1">OFFSET(TblConstr[[#This Row],[Plain]],-1,0)+TblConstr[[#This Row],[Ch_Plain]]</f>
        <v>20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45819.12499999976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1355706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03" s="94">
        <f ca="1">ROUNDDOWN( MAX(1 - MIN(facs_constr_factor*TblConstr[[#This Row],[Facs -DB]],facs_constr_max) + tech_1_11*TblTech[[#This Row],[11-1]] + tech_6_3_2*TblTech[[#This Row],[6-3]] + tech_5_2_3*TblTech[[#This Row],[5-2]], 1-global_constr_cap) * TblConstr[[#This Row],[RCPA Lumber]],0)</f>
        <v>122</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03" s="94">
        <f ca="1">ROUNDDOWN( MAX(1 - MIN(facs_constr_factor*TblConstr[[#This Row],[Facs DB]],facs_constr_max) + tech_1_11*TblTech[[#This Row],[1-11]] + tech_6_3_2*TblTech[[#This Row],[6-3]] + tech_5_2_3*TblTech[[#This Row],[5-2]], 1-global_constr_cap) * ROUND((TblConstr[[#This Row],[Land]]-250)*0.285 + 87.5 + 0/4.25,0),0)</f>
        <v>122</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1000</v>
      </c>
      <c r="AW103" s="94">
        <f ca="1">ROUND((TblConstr[[#This Row],[Land]]-250 - IF(TblExplore[[#This Row],[Land Bonus]]&lt;&gt;0,20,0))*0.285 + 87.5 + 0/4.25,0)</f>
        <v>122</v>
      </c>
      <c r="AX103" s="154"/>
      <c r="AY103" s="188" cm="1">
        <f t="array" aca="1" ref="AY103" ca="1">IF(TblConstr[[#This Row],[Hour]:[Hour]]&gt;12,OFFSET(TblConstr[[#This Row],[Hom]],-12,0),0)+OFFSET(TblConstr[[#This Row],[Tot Hom]],-1,0)-TblConstr[[#This Row],[Dest Hom]]</f>
        <v>50</v>
      </c>
      <c r="AZ103" s="189" cm="1">
        <f t="array" aca="1" ref="AZ103" ca="1">IF(TblConstr[[#This Row],[Hour]:[Hour]]&gt;12,OFFSET(TblConstr[[#This Row],[Alc]],-12,0),0)+OFFSET(TblConstr[[#This Row],[Tot Alc]],-1,0)-TblConstr[[#This Row],[Dest Alc]]</f>
        <v>50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50</v>
      </c>
      <c r="BM103" s="369" cm="1">
        <f t="array" aca="1" ref="BM103" ca="1">IF(TblConstr[[#This Row],[Hour]:[Hour]]&gt;12,OFFSET(TblConstr[[#This Row],[Tem]],-12,0),0)+OFFSET(TblConstr[[#This Row],[Tot Tem]],-1,0)-TblConstr[[#This Row],[Dest Tem]]</f>
        <v>50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50</v>
      </c>
      <c r="BP103" s="191" cm="1">
        <f t="array" aca="1" ref="BP103" ca="1">IF(TblConstr[[#This Row],[Hour]:[Hour]]&gt;12,OFFSET(TblConstr[[#This Row],[Sch]],-12,0),0)+OFFSET(TblConstr[[#This Row],[Tot Sch]],-1,0)-TblConstr[[#This Row],[Dest Sch]]</f>
        <v>50</v>
      </c>
      <c r="BQ103" s="192" cm="1">
        <f t="array" aca="1" ref="BQ103" ca="1">IF(TblConstr[[#This Row],[Hour]:[Hour]]&gt;12,OFFSET(TblConstr[[#This Row],[Doc]],-12,0),0)+OFFSET(TblConstr[[#This Row],[Tot Doc]],-1,0)-TblConstr[[#This Row],[Dest Doc]]</f>
        <v>0</v>
      </c>
      <c r="BR103" s="142"/>
      <c r="BS103" s="154"/>
      <c r="BT103" s="94">
        <f ca="1">TblConstr[[#This Row],[Land]]</f>
        <v>370</v>
      </c>
      <c r="BU103" s="159">
        <f ca="1">TblImps[[#This Row],[Time]]</f>
        <v>45819.12499999976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100</v>
      </c>
      <c r="DA103" s="94">
        <f t="shared" ca="1" si="24"/>
        <v>20</v>
      </c>
      <c r="DB103" s="45">
        <f t="shared" ca="1" si="25"/>
        <v>0</v>
      </c>
      <c r="DC103" s="94">
        <f t="shared" ca="1" si="26"/>
        <v>0</v>
      </c>
      <c r="DD103" s="94">
        <f t="shared" ca="1" si="27"/>
        <v>100</v>
      </c>
      <c r="DE103" s="45">
        <f t="shared" ca="1" si="28"/>
        <v>50</v>
      </c>
      <c r="DF103" s="94">
        <f t="shared" ca="1" si="29"/>
        <v>0</v>
      </c>
      <c r="DG103" s="94" cm="1">
        <f t="array" aca="1" ref="DG103" ca="1">INDEX(TblConstr[[Total Plain]:[Total Water]],ROW()-ROW(TblConstr[#Headers]),MATCH("Total "&amp;home_land,TblConstr[[#Headers],[Total Plain]:[Total Water]],0))+TblConstr[[#This Row],[Homes]]</f>
        <v>150</v>
      </c>
      <c r="DH103" s="45">
        <f t="shared" ca="1" si="22"/>
        <v>50</v>
      </c>
      <c r="DI103" s="45">
        <f t="shared" ca="1" si="19"/>
        <v>0</v>
      </c>
      <c r="DJ103" s="45">
        <f t="shared" ca="1" si="20"/>
        <v>0</v>
      </c>
    </row>
    <row r="104" spans="1:114" x14ac:dyDescent="0.2">
      <c r="A104" s="175">
        <f>TblRezone[[#This Row],[Hour]]</f>
        <v>101</v>
      </c>
      <c r="B104" s="176">
        <f ca="1">SUM(TblConstr[[#This Row],[Plain]:[Water]])</f>
        <v>20</v>
      </c>
      <c r="C104" s="177">
        <f ca="1">SUM(TblConstr[[#This Row],[Tot Hom]:[Tot Doc]])</f>
        <v>350</v>
      </c>
      <c r="D104" s="177">
        <f t="shared" si="21"/>
        <v>0</v>
      </c>
      <c r="E104" s="178"/>
      <c r="F104" s="61">
        <f ca="1">TblConstr[[#This Row],[Barren]]+TblConstr[[#This Row],[Buildings]]+TblConstr[[#This Row],[Incoming]]</f>
        <v>370</v>
      </c>
      <c r="G104" s="187">
        <f ca="1">OFFSET(TblConstr[[#This Row],[Plain]],-1,0)+TblConstr[[#This Row],[Ch_Plain]]</f>
        <v>20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45819.166666666424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1363901</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04" s="94">
        <f ca="1">ROUNDDOWN( MAX(1 - MIN(facs_constr_factor*TblConstr[[#This Row],[Facs -DB]],facs_constr_max) + tech_1_11*TblTech[[#This Row],[11-1]] + tech_6_3_2*TblTech[[#This Row],[6-3]] + tech_5_2_3*TblTech[[#This Row],[5-2]], 1-global_constr_cap) * TblConstr[[#This Row],[RCPA Lumber]],0)</f>
        <v>122</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04" s="94">
        <f ca="1">ROUNDDOWN( MAX(1 - MIN(facs_constr_factor*TblConstr[[#This Row],[Facs DB]],facs_constr_max) + tech_1_11*TblTech[[#This Row],[1-11]] + tech_6_3_2*TblTech[[#This Row],[6-3]] + tech_5_2_3*TblTech[[#This Row],[5-2]], 1-global_constr_cap) * ROUND((TblConstr[[#This Row],[Land]]-250)*0.285 + 87.5 + 0/4.25,0),0)</f>
        <v>122</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1000</v>
      </c>
      <c r="AW104" s="94">
        <f ca="1">ROUND((TblConstr[[#This Row],[Land]]-250 - IF(TblExplore[[#This Row],[Land Bonus]]&lt;&gt;0,20,0))*0.285 + 87.5 + 0/4.25,0)</f>
        <v>122</v>
      </c>
      <c r="AX104" s="154"/>
      <c r="AY104" s="188" cm="1">
        <f t="array" aca="1" ref="AY104" ca="1">IF(TblConstr[[#This Row],[Hour]:[Hour]]&gt;12,OFFSET(TblConstr[[#This Row],[Hom]],-12,0),0)+OFFSET(TblConstr[[#This Row],[Tot Hom]],-1,0)-TblConstr[[#This Row],[Dest Hom]]</f>
        <v>50</v>
      </c>
      <c r="AZ104" s="189" cm="1">
        <f t="array" aca="1" ref="AZ104" ca="1">IF(TblConstr[[#This Row],[Hour]:[Hour]]&gt;12,OFFSET(TblConstr[[#This Row],[Alc]],-12,0),0)+OFFSET(TblConstr[[#This Row],[Tot Alc]],-1,0)-TblConstr[[#This Row],[Dest Alc]]</f>
        <v>50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50</v>
      </c>
      <c r="BM104" s="369" cm="1">
        <f t="array" aca="1" ref="BM104" ca="1">IF(TblConstr[[#This Row],[Hour]:[Hour]]&gt;12,OFFSET(TblConstr[[#This Row],[Tem]],-12,0),0)+OFFSET(TblConstr[[#This Row],[Tot Tem]],-1,0)-TblConstr[[#This Row],[Dest Tem]]</f>
        <v>50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50</v>
      </c>
      <c r="BP104" s="191" cm="1">
        <f t="array" aca="1" ref="BP104" ca="1">IF(TblConstr[[#This Row],[Hour]:[Hour]]&gt;12,OFFSET(TblConstr[[#This Row],[Sch]],-12,0),0)+OFFSET(TblConstr[[#This Row],[Tot Sch]],-1,0)-TblConstr[[#This Row],[Dest Sch]]</f>
        <v>50</v>
      </c>
      <c r="BQ104" s="192" cm="1">
        <f t="array" aca="1" ref="BQ104" ca="1">IF(TblConstr[[#This Row],[Hour]:[Hour]]&gt;12,OFFSET(TblConstr[[#This Row],[Doc]],-12,0),0)+OFFSET(TblConstr[[#This Row],[Tot Doc]],-1,0)-TblConstr[[#This Row],[Dest Doc]]</f>
        <v>0</v>
      </c>
      <c r="BR104" s="142"/>
      <c r="BS104" s="154"/>
      <c r="BT104" s="94">
        <f ca="1">TblConstr[[#This Row],[Land]]</f>
        <v>370</v>
      </c>
      <c r="BU104" s="159">
        <f ca="1">TblImps[[#This Row],[Time]]</f>
        <v>45819.166666666424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100</v>
      </c>
      <c r="DA104" s="94">
        <f t="shared" ca="1" si="24"/>
        <v>20</v>
      </c>
      <c r="DB104" s="45">
        <f t="shared" ca="1" si="25"/>
        <v>0</v>
      </c>
      <c r="DC104" s="94">
        <f t="shared" ca="1" si="26"/>
        <v>0</v>
      </c>
      <c r="DD104" s="94">
        <f t="shared" ca="1" si="27"/>
        <v>100</v>
      </c>
      <c r="DE104" s="45">
        <f t="shared" ca="1" si="28"/>
        <v>50</v>
      </c>
      <c r="DF104" s="94">
        <f t="shared" ca="1" si="29"/>
        <v>0</v>
      </c>
      <c r="DG104" s="94" cm="1">
        <f t="array" aca="1" ref="DG104" ca="1">INDEX(TblConstr[[Total Plain]:[Total Water]],ROW()-ROW(TblConstr[#Headers]),MATCH("Total "&amp;home_land,TblConstr[[#Headers],[Total Plain]:[Total Water]],0))+TblConstr[[#This Row],[Homes]]</f>
        <v>150</v>
      </c>
      <c r="DH104" s="45">
        <f t="shared" ca="1" si="22"/>
        <v>50</v>
      </c>
      <c r="DI104" s="45">
        <f t="shared" ca="1" si="19"/>
        <v>0</v>
      </c>
      <c r="DJ104" s="45">
        <f t="shared" ca="1" si="20"/>
        <v>0</v>
      </c>
    </row>
    <row r="105" spans="1:114" x14ac:dyDescent="0.2">
      <c r="A105" s="175">
        <f>TblRezone[[#This Row],[Hour]]</f>
        <v>102</v>
      </c>
      <c r="B105" s="176">
        <f ca="1">SUM(TblConstr[[#This Row],[Plain]:[Water]])</f>
        <v>20</v>
      </c>
      <c r="C105" s="177">
        <f ca="1">SUM(TblConstr[[#This Row],[Tot Hom]:[Tot Doc]])</f>
        <v>350</v>
      </c>
      <c r="D105" s="177">
        <f t="shared" si="21"/>
        <v>0</v>
      </c>
      <c r="E105" s="178"/>
      <c r="F105" s="61">
        <f ca="1">TblConstr[[#This Row],[Barren]]+TblConstr[[#This Row],[Buildings]]+TblConstr[[#This Row],[Incoming]]</f>
        <v>370</v>
      </c>
      <c r="G105" s="187">
        <f ca="1">OFFSET(TblConstr[[#This Row],[Plain]],-1,0)+TblConstr[[#This Row],[Ch_Plain]]</f>
        <v>20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45819.208333333088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1372037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05" s="94">
        <f ca="1">ROUNDDOWN( MAX(1 - MIN(facs_constr_factor*TblConstr[[#This Row],[Facs -DB]],facs_constr_max) + tech_1_11*TblTech[[#This Row],[11-1]] + tech_6_3_2*TblTech[[#This Row],[6-3]] + tech_5_2_3*TblTech[[#This Row],[5-2]], 1-global_constr_cap) * TblConstr[[#This Row],[RCPA Lumber]],0)</f>
        <v>122</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05" s="94">
        <f ca="1">ROUNDDOWN( MAX(1 - MIN(facs_constr_factor*TblConstr[[#This Row],[Facs DB]],facs_constr_max) + tech_1_11*TblTech[[#This Row],[1-11]] + tech_6_3_2*TblTech[[#This Row],[6-3]] + tech_5_2_3*TblTech[[#This Row],[5-2]], 1-global_constr_cap) * ROUND((TblConstr[[#This Row],[Land]]-250)*0.285 + 87.5 + 0/4.25,0),0)</f>
        <v>122</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1000</v>
      </c>
      <c r="AW105" s="94">
        <f ca="1">ROUND((TblConstr[[#This Row],[Land]]-250 - IF(TblExplore[[#This Row],[Land Bonus]]&lt;&gt;0,20,0))*0.285 + 87.5 + 0/4.25,0)</f>
        <v>122</v>
      </c>
      <c r="AX105" s="154"/>
      <c r="AY105" s="188" cm="1">
        <f t="array" aca="1" ref="AY105" ca="1">IF(TblConstr[[#This Row],[Hour]:[Hour]]&gt;12,OFFSET(TblConstr[[#This Row],[Hom]],-12,0),0)+OFFSET(TblConstr[[#This Row],[Tot Hom]],-1,0)-TblConstr[[#This Row],[Dest Hom]]</f>
        <v>50</v>
      </c>
      <c r="AZ105" s="189" cm="1">
        <f t="array" aca="1" ref="AZ105" ca="1">IF(TblConstr[[#This Row],[Hour]:[Hour]]&gt;12,OFFSET(TblConstr[[#This Row],[Alc]],-12,0),0)+OFFSET(TblConstr[[#This Row],[Tot Alc]],-1,0)-TblConstr[[#This Row],[Dest Alc]]</f>
        <v>50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50</v>
      </c>
      <c r="BM105" s="369" cm="1">
        <f t="array" aca="1" ref="BM105" ca="1">IF(TblConstr[[#This Row],[Hour]:[Hour]]&gt;12,OFFSET(TblConstr[[#This Row],[Tem]],-12,0),0)+OFFSET(TblConstr[[#This Row],[Tot Tem]],-1,0)-TblConstr[[#This Row],[Dest Tem]]</f>
        <v>50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50</v>
      </c>
      <c r="BP105" s="191" cm="1">
        <f t="array" aca="1" ref="BP105" ca="1">IF(TblConstr[[#This Row],[Hour]:[Hour]]&gt;12,OFFSET(TblConstr[[#This Row],[Sch]],-12,0),0)+OFFSET(TblConstr[[#This Row],[Tot Sch]],-1,0)-TblConstr[[#This Row],[Dest Sch]]</f>
        <v>50</v>
      </c>
      <c r="BQ105" s="192" cm="1">
        <f t="array" aca="1" ref="BQ105" ca="1">IF(TblConstr[[#This Row],[Hour]:[Hour]]&gt;12,OFFSET(TblConstr[[#This Row],[Doc]],-12,0),0)+OFFSET(TblConstr[[#This Row],[Tot Doc]],-1,0)-TblConstr[[#This Row],[Dest Doc]]</f>
        <v>0</v>
      </c>
      <c r="BR105" s="142"/>
      <c r="BS105" s="154"/>
      <c r="BT105" s="94">
        <f ca="1">TblConstr[[#This Row],[Land]]</f>
        <v>370</v>
      </c>
      <c r="BU105" s="159">
        <f ca="1">TblImps[[#This Row],[Time]]</f>
        <v>45819.208333333088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100</v>
      </c>
      <c r="DA105" s="94">
        <f t="shared" ca="1" si="24"/>
        <v>20</v>
      </c>
      <c r="DB105" s="45">
        <f t="shared" ca="1" si="25"/>
        <v>0</v>
      </c>
      <c r="DC105" s="94">
        <f t="shared" ca="1" si="26"/>
        <v>0</v>
      </c>
      <c r="DD105" s="94">
        <f t="shared" ca="1" si="27"/>
        <v>100</v>
      </c>
      <c r="DE105" s="45">
        <f t="shared" ca="1" si="28"/>
        <v>50</v>
      </c>
      <c r="DF105" s="94">
        <f t="shared" ca="1" si="29"/>
        <v>0</v>
      </c>
      <c r="DG105" s="94" cm="1">
        <f t="array" aca="1" ref="DG105" ca="1">INDEX(TblConstr[[Total Plain]:[Total Water]],ROW()-ROW(TblConstr[#Headers]),MATCH("Total "&amp;home_land,TblConstr[[#Headers],[Total Plain]:[Total Water]],0))+TblConstr[[#This Row],[Homes]]</f>
        <v>150</v>
      </c>
      <c r="DH105" s="45">
        <f t="shared" ca="1" si="22"/>
        <v>50</v>
      </c>
      <c r="DI105" s="45">
        <f t="shared" ca="1" si="19"/>
        <v>0</v>
      </c>
      <c r="DJ105" s="45">
        <f t="shared" ca="1" si="20"/>
        <v>0</v>
      </c>
    </row>
    <row r="106" spans="1:114" x14ac:dyDescent="0.2">
      <c r="A106" s="175">
        <f>TblRezone[[#This Row],[Hour]]</f>
        <v>103</v>
      </c>
      <c r="B106" s="176">
        <f ca="1">SUM(TblConstr[[#This Row],[Plain]:[Water]])</f>
        <v>20</v>
      </c>
      <c r="C106" s="177">
        <f ca="1">SUM(TblConstr[[#This Row],[Tot Hom]:[Tot Doc]])</f>
        <v>350</v>
      </c>
      <c r="D106" s="177">
        <f t="shared" si="21"/>
        <v>0</v>
      </c>
      <c r="E106" s="178"/>
      <c r="F106" s="61">
        <f ca="1">TblConstr[[#This Row],[Barren]]+TblConstr[[#This Row],[Buildings]]+TblConstr[[#This Row],[Incoming]]</f>
        <v>370</v>
      </c>
      <c r="G106" s="187">
        <f ca="1">OFFSET(TblConstr[[#This Row],[Plain]],-1,0)+TblConstr[[#This Row],[Ch_Plain]]</f>
        <v>20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45819.249999999753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1380113</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06" s="94">
        <f ca="1">ROUNDDOWN( MAX(1 - MIN(facs_constr_factor*TblConstr[[#This Row],[Facs -DB]],facs_constr_max) + tech_1_11*TblTech[[#This Row],[11-1]] + tech_6_3_2*TblTech[[#This Row],[6-3]] + tech_5_2_3*TblTech[[#This Row],[5-2]], 1-global_constr_cap) * TblConstr[[#This Row],[RCPA Lumber]],0)</f>
        <v>122</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06" s="94">
        <f ca="1">ROUNDDOWN( MAX(1 - MIN(facs_constr_factor*TblConstr[[#This Row],[Facs DB]],facs_constr_max) + tech_1_11*TblTech[[#This Row],[1-11]] + tech_6_3_2*TblTech[[#This Row],[6-3]] + tech_5_2_3*TblTech[[#This Row],[5-2]], 1-global_constr_cap) * ROUND((TblConstr[[#This Row],[Land]]-250)*0.285 + 87.5 + 0/4.25,0),0)</f>
        <v>122</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1000</v>
      </c>
      <c r="AW106" s="94">
        <f ca="1">ROUND((TblConstr[[#This Row],[Land]]-250 - IF(TblExplore[[#This Row],[Land Bonus]]&lt;&gt;0,20,0))*0.285 + 87.5 + 0/4.25,0)</f>
        <v>122</v>
      </c>
      <c r="AX106" s="154"/>
      <c r="AY106" s="188" cm="1">
        <f t="array" aca="1" ref="AY106" ca="1">IF(TblConstr[[#This Row],[Hour]:[Hour]]&gt;12,OFFSET(TblConstr[[#This Row],[Hom]],-12,0),0)+OFFSET(TblConstr[[#This Row],[Tot Hom]],-1,0)-TblConstr[[#This Row],[Dest Hom]]</f>
        <v>50</v>
      </c>
      <c r="AZ106" s="189" cm="1">
        <f t="array" aca="1" ref="AZ106" ca="1">IF(TblConstr[[#This Row],[Hour]:[Hour]]&gt;12,OFFSET(TblConstr[[#This Row],[Alc]],-12,0),0)+OFFSET(TblConstr[[#This Row],[Tot Alc]],-1,0)-TblConstr[[#This Row],[Dest Alc]]</f>
        <v>50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50</v>
      </c>
      <c r="BM106" s="369" cm="1">
        <f t="array" aca="1" ref="BM106" ca="1">IF(TblConstr[[#This Row],[Hour]:[Hour]]&gt;12,OFFSET(TblConstr[[#This Row],[Tem]],-12,0),0)+OFFSET(TblConstr[[#This Row],[Tot Tem]],-1,0)-TblConstr[[#This Row],[Dest Tem]]</f>
        <v>50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50</v>
      </c>
      <c r="BP106" s="191" cm="1">
        <f t="array" aca="1" ref="BP106" ca="1">IF(TblConstr[[#This Row],[Hour]:[Hour]]&gt;12,OFFSET(TblConstr[[#This Row],[Sch]],-12,0),0)+OFFSET(TblConstr[[#This Row],[Tot Sch]],-1,0)-TblConstr[[#This Row],[Dest Sch]]</f>
        <v>50</v>
      </c>
      <c r="BQ106" s="192" cm="1">
        <f t="array" aca="1" ref="BQ106" ca="1">IF(TblConstr[[#This Row],[Hour]:[Hour]]&gt;12,OFFSET(TblConstr[[#This Row],[Doc]],-12,0),0)+OFFSET(TblConstr[[#This Row],[Tot Doc]],-1,0)-TblConstr[[#This Row],[Dest Doc]]</f>
        <v>0</v>
      </c>
      <c r="BR106" s="142"/>
      <c r="BS106" s="154"/>
      <c r="BT106" s="94">
        <f ca="1">TblConstr[[#This Row],[Land]]</f>
        <v>370</v>
      </c>
      <c r="BU106" s="159">
        <f ca="1">TblImps[[#This Row],[Time]]</f>
        <v>45819.249999999753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100</v>
      </c>
      <c r="DA106" s="94">
        <f t="shared" ca="1" si="24"/>
        <v>20</v>
      </c>
      <c r="DB106" s="45">
        <f t="shared" ca="1" si="25"/>
        <v>0</v>
      </c>
      <c r="DC106" s="94">
        <f t="shared" ca="1" si="26"/>
        <v>0</v>
      </c>
      <c r="DD106" s="94">
        <f t="shared" ca="1" si="27"/>
        <v>100</v>
      </c>
      <c r="DE106" s="45">
        <f t="shared" ca="1" si="28"/>
        <v>50</v>
      </c>
      <c r="DF106" s="94">
        <f t="shared" ca="1" si="29"/>
        <v>0</v>
      </c>
      <c r="DG106" s="94" cm="1">
        <f t="array" aca="1" ref="DG106" ca="1">INDEX(TblConstr[[Total Plain]:[Total Water]],ROW()-ROW(TblConstr[#Headers]),MATCH("Total "&amp;home_land,TblConstr[[#Headers],[Total Plain]:[Total Water]],0))+TblConstr[[#This Row],[Homes]]</f>
        <v>150</v>
      </c>
      <c r="DH106" s="45">
        <f t="shared" ca="1" si="22"/>
        <v>50</v>
      </c>
      <c r="DI106" s="45">
        <f t="shared" ca="1" si="19"/>
        <v>0</v>
      </c>
      <c r="DJ106" s="45">
        <f t="shared" ca="1" si="20"/>
        <v>0</v>
      </c>
    </row>
    <row r="107" spans="1:114" x14ac:dyDescent="0.2">
      <c r="A107" s="175">
        <f>TblRezone[[#This Row],[Hour]]</f>
        <v>104</v>
      </c>
      <c r="B107" s="176">
        <f ca="1">SUM(TblConstr[[#This Row],[Plain]:[Water]])</f>
        <v>20</v>
      </c>
      <c r="C107" s="177">
        <f ca="1">SUM(TblConstr[[#This Row],[Tot Hom]:[Tot Doc]])</f>
        <v>350</v>
      </c>
      <c r="D107" s="177">
        <f t="shared" si="21"/>
        <v>0</v>
      </c>
      <c r="E107" s="178"/>
      <c r="F107" s="61">
        <f ca="1">TblConstr[[#This Row],[Barren]]+TblConstr[[#This Row],[Buildings]]+TblConstr[[#This Row],[Incoming]]</f>
        <v>370</v>
      </c>
      <c r="G107" s="187">
        <f ca="1">OFFSET(TblConstr[[#This Row],[Plain]],-1,0)+TblConstr[[#This Row],[Ch_Plain]]</f>
        <v>20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45819.291666666417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1388130</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07" s="94">
        <f ca="1">ROUNDDOWN( MAX(1 - MIN(facs_constr_factor*TblConstr[[#This Row],[Facs -DB]],facs_constr_max) + tech_1_11*TblTech[[#This Row],[11-1]] + tech_6_3_2*TblTech[[#This Row],[6-3]] + tech_5_2_3*TblTech[[#This Row],[5-2]], 1-global_constr_cap) * TblConstr[[#This Row],[RCPA Lumber]],0)</f>
        <v>122</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07" s="94">
        <f ca="1">ROUNDDOWN( MAX(1 - MIN(facs_constr_factor*TblConstr[[#This Row],[Facs DB]],facs_constr_max) + tech_1_11*TblTech[[#This Row],[1-11]] + tech_6_3_2*TblTech[[#This Row],[6-3]] + tech_5_2_3*TblTech[[#This Row],[5-2]], 1-global_constr_cap) * ROUND((TblConstr[[#This Row],[Land]]-250)*0.285 + 87.5 + 0/4.25,0),0)</f>
        <v>122</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1000</v>
      </c>
      <c r="AW107" s="94">
        <f ca="1">ROUND((TblConstr[[#This Row],[Land]]-250 - IF(TblExplore[[#This Row],[Land Bonus]]&lt;&gt;0,20,0))*0.285 + 87.5 + 0/4.25,0)</f>
        <v>122</v>
      </c>
      <c r="AX107" s="154"/>
      <c r="AY107" s="188" cm="1">
        <f t="array" aca="1" ref="AY107" ca="1">IF(TblConstr[[#This Row],[Hour]:[Hour]]&gt;12,OFFSET(TblConstr[[#This Row],[Hom]],-12,0),0)+OFFSET(TblConstr[[#This Row],[Tot Hom]],-1,0)-TblConstr[[#This Row],[Dest Hom]]</f>
        <v>50</v>
      </c>
      <c r="AZ107" s="189" cm="1">
        <f t="array" aca="1" ref="AZ107" ca="1">IF(TblConstr[[#This Row],[Hour]:[Hour]]&gt;12,OFFSET(TblConstr[[#This Row],[Alc]],-12,0),0)+OFFSET(TblConstr[[#This Row],[Tot Alc]],-1,0)-TblConstr[[#This Row],[Dest Alc]]</f>
        <v>50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50</v>
      </c>
      <c r="BM107" s="369" cm="1">
        <f t="array" aca="1" ref="BM107" ca="1">IF(TblConstr[[#This Row],[Hour]:[Hour]]&gt;12,OFFSET(TblConstr[[#This Row],[Tem]],-12,0),0)+OFFSET(TblConstr[[#This Row],[Tot Tem]],-1,0)-TblConstr[[#This Row],[Dest Tem]]</f>
        <v>50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50</v>
      </c>
      <c r="BP107" s="191" cm="1">
        <f t="array" aca="1" ref="BP107" ca="1">IF(TblConstr[[#This Row],[Hour]:[Hour]]&gt;12,OFFSET(TblConstr[[#This Row],[Sch]],-12,0),0)+OFFSET(TblConstr[[#This Row],[Tot Sch]],-1,0)-TblConstr[[#This Row],[Dest Sch]]</f>
        <v>50</v>
      </c>
      <c r="BQ107" s="192" cm="1">
        <f t="array" aca="1" ref="BQ107" ca="1">IF(TblConstr[[#This Row],[Hour]:[Hour]]&gt;12,OFFSET(TblConstr[[#This Row],[Doc]],-12,0),0)+OFFSET(TblConstr[[#This Row],[Tot Doc]],-1,0)-TblConstr[[#This Row],[Dest Doc]]</f>
        <v>0</v>
      </c>
      <c r="BR107" s="142"/>
      <c r="BS107" s="154"/>
      <c r="BT107" s="94">
        <f ca="1">TblConstr[[#This Row],[Land]]</f>
        <v>370</v>
      </c>
      <c r="BU107" s="159">
        <f ca="1">TblImps[[#This Row],[Time]]</f>
        <v>45819.291666666417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100</v>
      </c>
      <c r="DA107" s="94">
        <f t="shared" ca="1" si="24"/>
        <v>20</v>
      </c>
      <c r="DB107" s="45">
        <f t="shared" ca="1" si="25"/>
        <v>0</v>
      </c>
      <c r="DC107" s="94">
        <f t="shared" ca="1" si="26"/>
        <v>0</v>
      </c>
      <c r="DD107" s="94">
        <f t="shared" ca="1" si="27"/>
        <v>100</v>
      </c>
      <c r="DE107" s="45">
        <f t="shared" ca="1" si="28"/>
        <v>50</v>
      </c>
      <c r="DF107" s="94">
        <f t="shared" ca="1" si="29"/>
        <v>0</v>
      </c>
      <c r="DG107" s="94" cm="1">
        <f t="array" aca="1" ref="DG107" ca="1">INDEX(TblConstr[[Total Plain]:[Total Water]],ROW()-ROW(TblConstr[#Headers]),MATCH("Total "&amp;home_land,TblConstr[[#Headers],[Total Plain]:[Total Water]],0))+TblConstr[[#This Row],[Homes]]</f>
        <v>150</v>
      </c>
      <c r="DH107" s="45">
        <f t="shared" ca="1" si="22"/>
        <v>50</v>
      </c>
      <c r="DI107" s="45">
        <f t="shared" ca="1" si="19"/>
        <v>0</v>
      </c>
      <c r="DJ107" s="45">
        <f t="shared" ca="1" si="20"/>
        <v>0</v>
      </c>
    </row>
    <row r="108" spans="1:114" x14ac:dyDescent="0.2">
      <c r="A108" s="175">
        <f>TblRezone[[#This Row],[Hour]]</f>
        <v>105</v>
      </c>
      <c r="B108" s="176">
        <f ca="1">SUM(TblConstr[[#This Row],[Plain]:[Water]])</f>
        <v>20</v>
      </c>
      <c r="C108" s="177">
        <f ca="1">SUM(TblConstr[[#This Row],[Tot Hom]:[Tot Doc]])</f>
        <v>350</v>
      </c>
      <c r="D108" s="177">
        <f t="shared" si="21"/>
        <v>0</v>
      </c>
      <c r="E108" s="178"/>
      <c r="F108" s="61">
        <f ca="1">TblConstr[[#This Row],[Barren]]+TblConstr[[#This Row],[Buildings]]+TblConstr[[#This Row],[Incoming]]</f>
        <v>370</v>
      </c>
      <c r="G108" s="187">
        <f ca="1">OFFSET(TblConstr[[#This Row],[Plain]],-1,0)+TblConstr[[#This Row],[Ch_Plain]]</f>
        <v>20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45819.333333333081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1396090</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08" s="94">
        <f ca="1">ROUNDDOWN( MAX(1 - MIN(facs_constr_factor*TblConstr[[#This Row],[Facs -DB]],facs_constr_max) + tech_1_11*TblTech[[#This Row],[11-1]] + tech_6_3_2*TblTech[[#This Row],[6-3]] + tech_5_2_3*TblTech[[#This Row],[5-2]], 1-global_constr_cap) * TblConstr[[#This Row],[RCPA Lumber]],0)</f>
        <v>122</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08" s="94">
        <f ca="1">ROUNDDOWN( MAX(1 - MIN(facs_constr_factor*TblConstr[[#This Row],[Facs DB]],facs_constr_max) + tech_1_11*TblTech[[#This Row],[1-11]] + tech_6_3_2*TblTech[[#This Row],[6-3]] + tech_5_2_3*TblTech[[#This Row],[5-2]], 1-global_constr_cap) * ROUND((TblConstr[[#This Row],[Land]]-250)*0.285 + 87.5 + 0/4.25,0),0)</f>
        <v>122</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1000</v>
      </c>
      <c r="AW108" s="94">
        <f ca="1">ROUND((TblConstr[[#This Row],[Land]]-250 - IF(TblExplore[[#This Row],[Land Bonus]]&lt;&gt;0,20,0))*0.285 + 87.5 + 0/4.25,0)</f>
        <v>122</v>
      </c>
      <c r="AX108" s="154"/>
      <c r="AY108" s="188" cm="1">
        <f t="array" aca="1" ref="AY108" ca="1">IF(TblConstr[[#This Row],[Hour]:[Hour]]&gt;12,OFFSET(TblConstr[[#This Row],[Hom]],-12,0),0)+OFFSET(TblConstr[[#This Row],[Tot Hom]],-1,0)-TblConstr[[#This Row],[Dest Hom]]</f>
        <v>50</v>
      </c>
      <c r="AZ108" s="189" cm="1">
        <f t="array" aca="1" ref="AZ108" ca="1">IF(TblConstr[[#This Row],[Hour]:[Hour]]&gt;12,OFFSET(TblConstr[[#This Row],[Alc]],-12,0),0)+OFFSET(TblConstr[[#This Row],[Tot Alc]],-1,0)-TblConstr[[#This Row],[Dest Alc]]</f>
        <v>50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50</v>
      </c>
      <c r="BM108" s="369" cm="1">
        <f t="array" aca="1" ref="BM108" ca="1">IF(TblConstr[[#This Row],[Hour]:[Hour]]&gt;12,OFFSET(TblConstr[[#This Row],[Tem]],-12,0),0)+OFFSET(TblConstr[[#This Row],[Tot Tem]],-1,0)-TblConstr[[#This Row],[Dest Tem]]</f>
        <v>50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50</v>
      </c>
      <c r="BP108" s="191" cm="1">
        <f t="array" aca="1" ref="BP108" ca="1">IF(TblConstr[[#This Row],[Hour]:[Hour]]&gt;12,OFFSET(TblConstr[[#This Row],[Sch]],-12,0),0)+OFFSET(TblConstr[[#This Row],[Tot Sch]],-1,0)-TblConstr[[#This Row],[Dest Sch]]</f>
        <v>50</v>
      </c>
      <c r="BQ108" s="192" cm="1">
        <f t="array" aca="1" ref="BQ108" ca="1">IF(TblConstr[[#This Row],[Hour]:[Hour]]&gt;12,OFFSET(TblConstr[[#This Row],[Doc]],-12,0),0)+OFFSET(TblConstr[[#This Row],[Tot Doc]],-1,0)-TblConstr[[#This Row],[Dest Doc]]</f>
        <v>0</v>
      </c>
      <c r="BR108" s="142"/>
      <c r="BS108" s="154"/>
      <c r="BT108" s="94">
        <f ca="1">TblConstr[[#This Row],[Land]]</f>
        <v>370</v>
      </c>
      <c r="BU108" s="159">
        <f ca="1">TblImps[[#This Row],[Time]]</f>
        <v>45819.333333333081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100</v>
      </c>
      <c r="DA108" s="94">
        <f t="shared" ca="1" si="24"/>
        <v>20</v>
      </c>
      <c r="DB108" s="45">
        <f t="shared" ca="1" si="25"/>
        <v>0</v>
      </c>
      <c r="DC108" s="94">
        <f t="shared" ca="1" si="26"/>
        <v>0</v>
      </c>
      <c r="DD108" s="94">
        <f t="shared" ca="1" si="27"/>
        <v>100</v>
      </c>
      <c r="DE108" s="45">
        <f t="shared" ca="1" si="28"/>
        <v>50</v>
      </c>
      <c r="DF108" s="94">
        <f t="shared" ca="1" si="29"/>
        <v>0</v>
      </c>
      <c r="DG108" s="94" cm="1">
        <f t="array" aca="1" ref="DG108" ca="1">INDEX(TblConstr[[Total Plain]:[Total Water]],ROW()-ROW(TblConstr[#Headers]),MATCH("Total "&amp;home_land,TblConstr[[#Headers],[Total Plain]:[Total Water]],0))+TblConstr[[#This Row],[Homes]]</f>
        <v>150</v>
      </c>
      <c r="DH108" s="45">
        <f t="shared" ca="1" si="22"/>
        <v>50</v>
      </c>
      <c r="DI108" s="45">
        <f t="shared" ca="1" si="19"/>
        <v>0</v>
      </c>
      <c r="DJ108" s="45">
        <f t="shared" ca="1" si="20"/>
        <v>0</v>
      </c>
    </row>
    <row r="109" spans="1:114" x14ac:dyDescent="0.2">
      <c r="A109" s="175">
        <f>TblRezone[[#This Row],[Hour]]</f>
        <v>106</v>
      </c>
      <c r="B109" s="176">
        <f ca="1">SUM(TblConstr[[#This Row],[Plain]:[Water]])</f>
        <v>20</v>
      </c>
      <c r="C109" s="177">
        <f ca="1">SUM(TblConstr[[#This Row],[Tot Hom]:[Tot Doc]])</f>
        <v>350</v>
      </c>
      <c r="D109" s="177">
        <f t="shared" si="21"/>
        <v>0</v>
      </c>
      <c r="E109" s="178"/>
      <c r="F109" s="61">
        <f ca="1">TblConstr[[#This Row],[Barren]]+TblConstr[[#This Row],[Buildings]]+TblConstr[[#This Row],[Incoming]]</f>
        <v>370</v>
      </c>
      <c r="G109" s="187">
        <f ca="1">OFFSET(TblConstr[[#This Row],[Plain]],-1,0)+TblConstr[[#This Row],[Ch_Plain]]</f>
        <v>20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45819.374999999745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1403993</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09" s="94">
        <f ca="1">ROUNDDOWN( MAX(1 - MIN(facs_constr_factor*TblConstr[[#This Row],[Facs -DB]],facs_constr_max) + tech_1_11*TblTech[[#This Row],[11-1]] + tech_6_3_2*TblTech[[#This Row],[6-3]] + tech_5_2_3*TblTech[[#This Row],[5-2]], 1-global_constr_cap) * TblConstr[[#This Row],[RCPA Lumber]],0)</f>
        <v>122</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09" s="94">
        <f ca="1">ROUNDDOWN( MAX(1 - MIN(facs_constr_factor*TblConstr[[#This Row],[Facs DB]],facs_constr_max) + tech_1_11*TblTech[[#This Row],[1-11]] + tech_6_3_2*TblTech[[#This Row],[6-3]] + tech_5_2_3*TblTech[[#This Row],[5-2]], 1-global_constr_cap) * ROUND((TblConstr[[#This Row],[Land]]-250)*0.285 + 87.5 + 0/4.25,0),0)</f>
        <v>122</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1000</v>
      </c>
      <c r="AW109" s="94">
        <f ca="1">ROUND((TblConstr[[#This Row],[Land]]-250 - IF(TblExplore[[#This Row],[Land Bonus]]&lt;&gt;0,20,0))*0.285 + 87.5 + 0/4.25,0)</f>
        <v>122</v>
      </c>
      <c r="AX109" s="154"/>
      <c r="AY109" s="188" cm="1">
        <f t="array" aca="1" ref="AY109" ca="1">IF(TblConstr[[#This Row],[Hour]:[Hour]]&gt;12,OFFSET(TblConstr[[#This Row],[Hom]],-12,0),0)+OFFSET(TblConstr[[#This Row],[Tot Hom]],-1,0)-TblConstr[[#This Row],[Dest Hom]]</f>
        <v>50</v>
      </c>
      <c r="AZ109" s="189" cm="1">
        <f t="array" aca="1" ref="AZ109" ca="1">IF(TblConstr[[#This Row],[Hour]:[Hour]]&gt;12,OFFSET(TblConstr[[#This Row],[Alc]],-12,0),0)+OFFSET(TblConstr[[#This Row],[Tot Alc]],-1,0)-TblConstr[[#This Row],[Dest Alc]]</f>
        <v>50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50</v>
      </c>
      <c r="BM109" s="369" cm="1">
        <f t="array" aca="1" ref="BM109" ca="1">IF(TblConstr[[#This Row],[Hour]:[Hour]]&gt;12,OFFSET(TblConstr[[#This Row],[Tem]],-12,0),0)+OFFSET(TblConstr[[#This Row],[Tot Tem]],-1,0)-TblConstr[[#This Row],[Dest Tem]]</f>
        <v>50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50</v>
      </c>
      <c r="BP109" s="191" cm="1">
        <f t="array" aca="1" ref="BP109" ca="1">IF(TblConstr[[#This Row],[Hour]:[Hour]]&gt;12,OFFSET(TblConstr[[#This Row],[Sch]],-12,0),0)+OFFSET(TblConstr[[#This Row],[Tot Sch]],-1,0)-TblConstr[[#This Row],[Dest Sch]]</f>
        <v>50</v>
      </c>
      <c r="BQ109" s="192" cm="1">
        <f t="array" aca="1" ref="BQ109" ca="1">IF(TblConstr[[#This Row],[Hour]:[Hour]]&gt;12,OFFSET(TblConstr[[#This Row],[Doc]],-12,0),0)+OFFSET(TblConstr[[#This Row],[Tot Doc]],-1,0)-TblConstr[[#This Row],[Dest Doc]]</f>
        <v>0</v>
      </c>
      <c r="BR109" s="142"/>
      <c r="BS109" s="154"/>
      <c r="BT109" s="94">
        <f ca="1">TblConstr[[#This Row],[Land]]</f>
        <v>370</v>
      </c>
      <c r="BU109" s="159">
        <f ca="1">TblImps[[#This Row],[Time]]</f>
        <v>45819.374999999745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100</v>
      </c>
      <c r="DA109" s="94">
        <f t="shared" ca="1" si="24"/>
        <v>20</v>
      </c>
      <c r="DB109" s="45">
        <f t="shared" ca="1" si="25"/>
        <v>0</v>
      </c>
      <c r="DC109" s="94">
        <f t="shared" ca="1" si="26"/>
        <v>0</v>
      </c>
      <c r="DD109" s="94">
        <f t="shared" ca="1" si="27"/>
        <v>100</v>
      </c>
      <c r="DE109" s="45">
        <f t="shared" ca="1" si="28"/>
        <v>50</v>
      </c>
      <c r="DF109" s="94">
        <f t="shared" ca="1" si="29"/>
        <v>0</v>
      </c>
      <c r="DG109" s="94" cm="1">
        <f t="array" aca="1" ref="DG109" ca="1">INDEX(TblConstr[[Total Plain]:[Total Water]],ROW()-ROW(TblConstr[#Headers]),MATCH("Total "&amp;home_land,TblConstr[[#Headers],[Total Plain]:[Total Water]],0))+TblConstr[[#This Row],[Homes]]</f>
        <v>150</v>
      </c>
      <c r="DH109" s="45">
        <f t="shared" ca="1" si="22"/>
        <v>50</v>
      </c>
      <c r="DI109" s="45">
        <f t="shared" ca="1" si="19"/>
        <v>0</v>
      </c>
      <c r="DJ109" s="45">
        <f t="shared" ca="1" si="20"/>
        <v>0</v>
      </c>
    </row>
    <row r="110" spans="1:114" x14ac:dyDescent="0.2">
      <c r="A110" s="175">
        <f>TblRezone[[#This Row],[Hour]]</f>
        <v>107</v>
      </c>
      <c r="B110" s="176">
        <f ca="1">SUM(TblConstr[[#This Row],[Plain]:[Water]])</f>
        <v>20</v>
      </c>
      <c r="C110" s="177">
        <f ca="1">SUM(TblConstr[[#This Row],[Tot Hom]:[Tot Doc]])</f>
        <v>350</v>
      </c>
      <c r="D110" s="177">
        <f t="shared" si="21"/>
        <v>0</v>
      </c>
      <c r="E110" s="178"/>
      <c r="F110" s="61">
        <f ca="1">TblConstr[[#This Row],[Barren]]+TblConstr[[#This Row],[Buildings]]+TblConstr[[#This Row],[Incoming]]</f>
        <v>370</v>
      </c>
      <c r="G110" s="187">
        <f ca="1">OFFSET(TblConstr[[#This Row],[Plain]],-1,0)+TblConstr[[#This Row],[Ch_Plain]]</f>
        <v>20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45819.41666666641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1411840</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10" s="94">
        <f ca="1">ROUNDDOWN( MAX(1 - MIN(facs_constr_factor*TblConstr[[#This Row],[Facs -DB]],facs_constr_max) + tech_1_11*TblTech[[#This Row],[11-1]] + tech_6_3_2*TblTech[[#This Row],[6-3]] + tech_5_2_3*TblTech[[#This Row],[5-2]], 1-global_constr_cap) * TblConstr[[#This Row],[RCPA Lumber]],0)</f>
        <v>122</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10" s="94">
        <f ca="1">ROUNDDOWN( MAX(1 - MIN(facs_constr_factor*TblConstr[[#This Row],[Facs DB]],facs_constr_max) + tech_1_11*TblTech[[#This Row],[1-11]] + tech_6_3_2*TblTech[[#This Row],[6-3]] + tech_5_2_3*TblTech[[#This Row],[5-2]], 1-global_constr_cap) * ROUND((TblConstr[[#This Row],[Land]]-250)*0.285 + 87.5 + 0/4.25,0),0)</f>
        <v>122</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1000</v>
      </c>
      <c r="AW110" s="94">
        <f ca="1">ROUND((TblConstr[[#This Row],[Land]]-250 - IF(TblExplore[[#This Row],[Land Bonus]]&lt;&gt;0,20,0))*0.285 + 87.5 + 0/4.25,0)</f>
        <v>122</v>
      </c>
      <c r="AX110" s="154"/>
      <c r="AY110" s="188" cm="1">
        <f t="array" aca="1" ref="AY110" ca="1">IF(TblConstr[[#This Row],[Hour]:[Hour]]&gt;12,OFFSET(TblConstr[[#This Row],[Hom]],-12,0),0)+OFFSET(TblConstr[[#This Row],[Tot Hom]],-1,0)-TblConstr[[#This Row],[Dest Hom]]</f>
        <v>50</v>
      </c>
      <c r="AZ110" s="189" cm="1">
        <f t="array" aca="1" ref="AZ110" ca="1">IF(TblConstr[[#This Row],[Hour]:[Hour]]&gt;12,OFFSET(TblConstr[[#This Row],[Alc]],-12,0),0)+OFFSET(TblConstr[[#This Row],[Tot Alc]],-1,0)-TblConstr[[#This Row],[Dest Alc]]</f>
        <v>50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50</v>
      </c>
      <c r="BM110" s="369" cm="1">
        <f t="array" aca="1" ref="BM110" ca="1">IF(TblConstr[[#This Row],[Hour]:[Hour]]&gt;12,OFFSET(TblConstr[[#This Row],[Tem]],-12,0),0)+OFFSET(TblConstr[[#This Row],[Tot Tem]],-1,0)-TblConstr[[#This Row],[Dest Tem]]</f>
        <v>50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50</v>
      </c>
      <c r="BP110" s="191" cm="1">
        <f t="array" aca="1" ref="BP110" ca="1">IF(TblConstr[[#This Row],[Hour]:[Hour]]&gt;12,OFFSET(TblConstr[[#This Row],[Sch]],-12,0),0)+OFFSET(TblConstr[[#This Row],[Tot Sch]],-1,0)-TblConstr[[#This Row],[Dest Sch]]</f>
        <v>50</v>
      </c>
      <c r="BQ110" s="192" cm="1">
        <f t="array" aca="1" ref="BQ110" ca="1">IF(TblConstr[[#This Row],[Hour]:[Hour]]&gt;12,OFFSET(TblConstr[[#This Row],[Doc]],-12,0),0)+OFFSET(TblConstr[[#This Row],[Tot Doc]],-1,0)-TblConstr[[#This Row],[Dest Doc]]</f>
        <v>0</v>
      </c>
      <c r="BR110" s="142"/>
      <c r="BS110" s="154"/>
      <c r="BT110" s="94">
        <f ca="1">TblConstr[[#This Row],[Land]]</f>
        <v>370</v>
      </c>
      <c r="BU110" s="159">
        <f ca="1">TblImps[[#This Row],[Time]]</f>
        <v>45819.41666666641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100</v>
      </c>
      <c r="DA110" s="94">
        <f t="shared" ca="1" si="24"/>
        <v>20</v>
      </c>
      <c r="DB110" s="45">
        <f t="shared" ca="1" si="25"/>
        <v>0</v>
      </c>
      <c r="DC110" s="94">
        <f t="shared" ca="1" si="26"/>
        <v>0</v>
      </c>
      <c r="DD110" s="94">
        <f t="shared" ca="1" si="27"/>
        <v>100</v>
      </c>
      <c r="DE110" s="45">
        <f t="shared" ca="1" si="28"/>
        <v>50</v>
      </c>
      <c r="DF110" s="94">
        <f t="shared" ca="1" si="29"/>
        <v>0</v>
      </c>
      <c r="DG110" s="94" cm="1">
        <f t="array" aca="1" ref="DG110" ca="1">INDEX(TblConstr[[Total Plain]:[Total Water]],ROW()-ROW(TblConstr[#Headers]),MATCH("Total "&amp;home_land,TblConstr[[#Headers],[Total Plain]:[Total Water]],0))+TblConstr[[#This Row],[Homes]]</f>
        <v>150</v>
      </c>
      <c r="DH110" s="45">
        <f t="shared" ca="1" si="22"/>
        <v>50</v>
      </c>
      <c r="DI110" s="45">
        <f t="shared" ca="1" si="19"/>
        <v>0</v>
      </c>
      <c r="DJ110" s="45">
        <f t="shared" ca="1" si="20"/>
        <v>0</v>
      </c>
    </row>
    <row r="111" spans="1:114" x14ac:dyDescent="0.2">
      <c r="A111" s="175">
        <f>TblRezone[[#This Row],[Hour]]</f>
        <v>108</v>
      </c>
      <c r="B111" s="176">
        <f ca="1">SUM(TblConstr[[#This Row],[Plain]:[Water]])</f>
        <v>20</v>
      </c>
      <c r="C111" s="177">
        <f ca="1">SUM(TblConstr[[#This Row],[Tot Hom]:[Tot Doc]])</f>
        <v>350</v>
      </c>
      <c r="D111" s="177">
        <f t="shared" si="21"/>
        <v>0</v>
      </c>
      <c r="E111" s="178"/>
      <c r="F111" s="61">
        <f ca="1">TblConstr[[#This Row],[Barren]]+TblConstr[[#This Row],[Buildings]]+TblConstr[[#This Row],[Incoming]]</f>
        <v>370</v>
      </c>
      <c r="G111" s="187">
        <f ca="1">OFFSET(TblConstr[[#This Row],[Plain]],-1,0)+TblConstr[[#This Row],[Ch_Plain]]</f>
        <v>20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45819.458333333074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1419630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11" s="94">
        <f ca="1">ROUNDDOWN( MAX(1 - MIN(facs_constr_factor*TblConstr[[#This Row],[Facs -DB]],facs_constr_max) + tech_1_11*TblTech[[#This Row],[11-1]] + tech_6_3_2*TblTech[[#This Row],[6-3]] + tech_5_2_3*TblTech[[#This Row],[5-2]], 1-global_constr_cap) * TblConstr[[#This Row],[RCPA Lumber]],0)</f>
        <v>122</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11" s="94">
        <f ca="1">ROUNDDOWN( MAX(1 - MIN(facs_constr_factor*TblConstr[[#This Row],[Facs DB]],facs_constr_max) + tech_1_11*TblTech[[#This Row],[1-11]] + tech_6_3_2*TblTech[[#This Row],[6-3]] + tech_5_2_3*TblTech[[#This Row],[5-2]], 1-global_constr_cap) * ROUND((TblConstr[[#This Row],[Land]]-250)*0.285 + 87.5 + 0/4.25,0),0)</f>
        <v>122</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1000</v>
      </c>
      <c r="AW111" s="94">
        <f ca="1">ROUND((TblConstr[[#This Row],[Land]]-250 - IF(TblExplore[[#This Row],[Land Bonus]]&lt;&gt;0,20,0))*0.285 + 87.5 + 0/4.25,0)</f>
        <v>122</v>
      </c>
      <c r="AX111" s="154"/>
      <c r="AY111" s="188" cm="1">
        <f t="array" aca="1" ref="AY111" ca="1">IF(TblConstr[[#This Row],[Hour]:[Hour]]&gt;12,OFFSET(TblConstr[[#This Row],[Hom]],-12,0),0)+OFFSET(TblConstr[[#This Row],[Tot Hom]],-1,0)-TblConstr[[#This Row],[Dest Hom]]</f>
        <v>50</v>
      </c>
      <c r="AZ111" s="189" cm="1">
        <f t="array" aca="1" ref="AZ111" ca="1">IF(TblConstr[[#This Row],[Hour]:[Hour]]&gt;12,OFFSET(TblConstr[[#This Row],[Alc]],-12,0),0)+OFFSET(TblConstr[[#This Row],[Tot Alc]],-1,0)-TblConstr[[#This Row],[Dest Alc]]</f>
        <v>50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50</v>
      </c>
      <c r="BM111" s="369" cm="1">
        <f t="array" aca="1" ref="BM111" ca="1">IF(TblConstr[[#This Row],[Hour]:[Hour]]&gt;12,OFFSET(TblConstr[[#This Row],[Tem]],-12,0),0)+OFFSET(TblConstr[[#This Row],[Tot Tem]],-1,0)-TblConstr[[#This Row],[Dest Tem]]</f>
        <v>50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50</v>
      </c>
      <c r="BP111" s="191" cm="1">
        <f t="array" aca="1" ref="BP111" ca="1">IF(TblConstr[[#This Row],[Hour]:[Hour]]&gt;12,OFFSET(TblConstr[[#This Row],[Sch]],-12,0),0)+OFFSET(TblConstr[[#This Row],[Tot Sch]],-1,0)-TblConstr[[#This Row],[Dest Sch]]</f>
        <v>50</v>
      </c>
      <c r="BQ111" s="192" cm="1">
        <f t="array" aca="1" ref="BQ111" ca="1">IF(TblConstr[[#This Row],[Hour]:[Hour]]&gt;12,OFFSET(TblConstr[[#This Row],[Doc]],-12,0),0)+OFFSET(TblConstr[[#This Row],[Tot Doc]],-1,0)-TblConstr[[#This Row],[Dest Doc]]</f>
        <v>0</v>
      </c>
      <c r="BR111" s="142"/>
      <c r="BS111" s="154"/>
      <c r="BT111" s="94">
        <f ca="1">TblConstr[[#This Row],[Land]]</f>
        <v>370</v>
      </c>
      <c r="BU111" s="159">
        <f ca="1">TblImps[[#This Row],[Time]]</f>
        <v>45819.458333333074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100</v>
      </c>
      <c r="DA111" s="94">
        <f t="shared" ca="1" si="24"/>
        <v>20</v>
      </c>
      <c r="DB111" s="45">
        <f t="shared" ca="1" si="25"/>
        <v>0</v>
      </c>
      <c r="DC111" s="94">
        <f t="shared" ca="1" si="26"/>
        <v>0</v>
      </c>
      <c r="DD111" s="94">
        <f t="shared" ca="1" si="27"/>
        <v>100</v>
      </c>
      <c r="DE111" s="45">
        <f t="shared" ca="1" si="28"/>
        <v>50</v>
      </c>
      <c r="DF111" s="94">
        <f t="shared" ca="1" si="29"/>
        <v>0</v>
      </c>
      <c r="DG111" s="94" cm="1">
        <f t="array" aca="1" ref="DG111" ca="1">INDEX(TblConstr[[Total Plain]:[Total Water]],ROW()-ROW(TblConstr[#Headers]),MATCH("Total "&amp;home_land,TblConstr[[#Headers],[Total Plain]:[Total Water]],0))+TblConstr[[#This Row],[Homes]]</f>
        <v>150</v>
      </c>
      <c r="DH111" s="45">
        <f t="shared" ca="1" si="22"/>
        <v>50</v>
      </c>
      <c r="DI111" s="45">
        <f t="shared" ca="1" si="19"/>
        <v>0</v>
      </c>
      <c r="DJ111" s="45">
        <f t="shared" ca="1" si="20"/>
        <v>0</v>
      </c>
    </row>
    <row r="112" spans="1:114" x14ac:dyDescent="0.2">
      <c r="A112" s="175">
        <f>TblRezone[[#This Row],[Hour]]</f>
        <v>109</v>
      </c>
      <c r="B112" s="176">
        <f ca="1">SUM(TblConstr[[#This Row],[Plain]:[Water]])</f>
        <v>20</v>
      </c>
      <c r="C112" s="177">
        <f ca="1">SUM(TblConstr[[#This Row],[Tot Hom]:[Tot Doc]])</f>
        <v>350</v>
      </c>
      <c r="D112" s="177">
        <f t="shared" si="21"/>
        <v>0</v>
      </c>
      <c r="E112" s="178"/>
      <c r="F112" s="61">
        <f ca="1">TblConstr[[#This Row],[Barren]]+TblConstr[[#This Row],[Buildings]]+TblConstr[[#This Row],[Incoming]]</f>
        <v>370</v>
      </c>
      <c r="G112" s="187">
        <f ca="1">OFFSET(TblConstr[[#This Row],[Plain]],-1,0)+TblConstr[[#This Row],[Ch_Plain]]</f>
        <v>20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45819.499999999738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1427363</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12" s="94">
        <f ca="1">ROUNDDOWN( MAX(1 - MIN(facs_constr_factor*TblConstr[[#This Row],[Facs -DB]],facs_constr_max) + tech_1_11*TblTech[[#This Row],[11-1]] + tech_6_3_2*TblTech[[#This Row],[6-3]] + tech_5_2_3*TblTech[[#This Row],[5-2]], 1-global_constr_cap) * TblConstr[[#This Row],[RCPA Lumber]],0)</f>
        <v>122</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12" s="94">
        <f ca="1">ROUNDDOWN( MAX(1 - MIN(facs_constr_factor*TblConstr[[#This Row],[Facs DB]],facs_constr_max) + tech_1_11*TblTech[[#This Row],[1-11]] + tech_6_3_2*TblTech[[#This Row],[6-3]] + tech_5_2_3*TblTech[[#This Row],[5-2]], 1-global_constr_cap) * ROUND((TblConstr[[#This Row],[Land]]-250)*0.285 + 87.5 + 0/4.25,0),0)</f>
        <v>122</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1000</v>
      </c>
      <c r="AW112" s="94">
        <f ca="1">ROUND((TblConstr[[#This Row],[Land]]-250 - IF(TblExplore[[#This Row],[Land Bonus]]&lt;&gt;0,20,0))*0.285 + 87.5 + 0/4.25,0)</f>
        <v>122</v>
      </c>
      <c r="AX112" s="154"/>
      <c r="AY112" s="188" cm="1">
        <f t="array" aca="1" ref="AY112" ca="1">IF(TblConstr[[#This Row],[Hour]:[Hour]]&gt;12,OFFSET(TblConstr[[#This Row],[Hom]],-12,0),0)+OFFSET(TblConstr[[#This Row],[Tot Hom]],-1,0)-TblConstr[[#This Row],[Dest Hom]]</f>
        <v>50</v>
      </c>
      <c r="AZ112" s="189" cm="1">
        <f t="array" aca="1" ref="AZ112" ca="1">IF(TblConstr[[#This Row],[Hour]:[Hour]]&gt;12,OFFSET(TblConstr[[#This Row],[Alc]],-12,0),0)+OFFSET(TblConstr[[#This Row],[Tot Alc]],-1,0)-TblConstr[[#This Row],[Dest Alc]]</f>
        <v>50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50</v>
      </c>
      <c r="BM112" s="369" cm="1">
        <f t="array" aca="1" ref="BM112" ca="1">IF(TblConstr[[#This Row],[Hour]:[Hour]]&gt;12,OFFSET(TblConstr[[#This Row],[Tem]],-12,0),0)+OFFSET(TblConstr[[#This Row],[Tot Tem]],-1,0)-TblConstr[[#This Row],[Dest Tem]]</f>
        <v>50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50</v>
      </c>
      <c r="BP112" s="191" cm="1">
        <f t="array" aca="1" ref="BP112" ca="1">IF(TblConstr[[#This Row],[Hour]:[Hour]]&gt;12,OFFSET(TblConstr[[#This Row],[Sch]],-12,0),0)+OFFSET(TblConstr[[#This Row],[Tot Sch]],-1,0)-TblConstr[[#This Row],[Dest Sch]]</f>
        <v>50</v>
      </c>
      <c r="BQ112" s="192" cm="1">
        <f t="array" aca="1" ref="BQ112" ca="1">IF(TblConstr[[#This Row],[Hour]:[Hour]]&gt;12,OFFSET(TblConstr[[#This Row],[Doc]],-12,0),0)+OFFSET(TblConstr[[#This Row],[Tot Doc]],-1,0)-TblConstr[[#This Row],[Dest Doc]]</f>
        <v>0</v>
      </c>
      <c r="BR112" s="142"/>
      <c r="BS112" s="154"/>
      <c r="BT112" s="94">
        <f ca="1">TblConstr[[#This Row],[Land]]</f>
        <v>370</v>
      </c>
      <c r="BU112" s="159">
        <f ca="1">TblImps[[#This Row],[Time]]</f>
        <v>45819.499999999738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100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100</v>
      </c>
      <c r="DE112" s="45">
        <f t="shared" ref="DE112:DE131" ca="1" si="35">L112+SUM(AE101:AE112)+BO112</f>
        <v>50</v>
      </c>
      <c r="DF112" s="94">
        <f t="shared" ref="DF112:DF131" ca="1" si="36">M112+SUM(AG101:AG112)+BQ112</f>
        <v>0</v>
      </c>
      <c r="DG112" s="94" cm="1">
        <f t="array" aca="1" ref="DG112" ca="1">INDEX(TblConstr[[Total Plain]:[Total Water]],ROW()-ROW(TblConstr[#Headers]),MATCH("Total "&amp;home_land,TblConstr[[#Headers],[Total Plain]:[Total Water]],0))+TblConstr[[#This Row],[Homes]]</f>
        <v>150</v>
      </c>
      <c r="DH112" s="45">
        <f t="shared" ca="1" si="22"/>
        <v>50</v>
      </c>
      <c r="DI112" s="45">
        <f t="shared" ca="1" si="19"/>
        <v>0</v>
      </c>
      <c r="DJ112" s="45">
        <f t="shared" ca="1" si="20"/>
        <v>0</v>
      </c>
    </row>
    <row r="113" spans="1:114" x14ac:dyDescent="0.2">
      <c r="A113" s="175">
        <f>TblRezone[[#This Row],[Hour]]</f>
        <v>110</v>
      </c>
      <c r="B113" s="176">
        <f ca="1">SUM(TblConstr[[#This Row],[Plain]:[Water]])</f>
        <v>20</v>
      </c>
      <c r="C113" s="177">
        <f ca="1">SUM(TblConstr[[#This Row],[Tot Hom]:[Tot Doc]])</f>
        <v>350</v>
      </c>
      <c r="D113" s="177">
        <f t="shared" si="21"/>
        <v>0</v>
      </c>
      <c r="E113" s="178"/>
      <c r="F113" s="61">
        <f ca="1">TblConstr[[#This Row],[Barren]]+TblConstr[[#This Row],[Buildings]]+TblConstr[[#This Row],[Incoming]]</f>
        <v>370</v>
      </c>
      <c r="G113" s="187">
        <f ca="1">OFFSET(TblConstr[[#This Row],[Plain]],-1,0)+TblConstr[[#This Row],[Ch_Plain]]</f>
        <v>20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45819.541666666402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1435042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13" s="94">
        <f ca="1">ROUNDDOWN( MAX(1 - MIN(facs_constr_factor*TblConstr[[#This Row],[Facs -DB]],facs_constr_max) + tech_1_11*TblTech[[#This Row],[11-1]] + tech_6_3_2*TblTech[[#This Row],[6-3]] + tech_5_2_3*TblTech[[#This Row],[5-2]], 1-global_constr_cap) * TblConstr[[#This Row],[RCPA Lumber]],0)</f>
        <v>122</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13" s="94">
        <f ca="1">ROUNDDOWN( MAX(1 - MIN(facs_constr_factor*TblConstr[[#This Row],[Facs DB]],facs_constr_max) + tech_1_11*TblTech[[#This Row],[1-11]] + tech_6_3_2*TblTech[[#This Row],[6-3]] + tech_5_2_3*TblTech[[#This Row],[5-2]], 1-global_constr_cap) * ROUND((TblConstr[[#This Row],[Land]]-250)*0.285 + 87.5 + 0/4.25,0),0)</f>
        <v>122</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1000</v>
      </c>
      <c r="AW113" s="94">
        <f ca="1">ROUND((TblConstr[[#This Row],[Land]]-250 - IF(TblExplore[[#This Row],[Land Bonus]]&lt;&gt;0,20,0))*0.285 + 87.5 + 0/4.25,0)</f>
        <v>122</v>
      </c>
      <c r="AX113" s="154"/>
      <c r="AY113" s="188" cm="1">
        <f t="array" aca="1" ref="AY113" ca="1">IF(TblConstr[[#This Row],[Hour]:[Hour]]&gt;12,OFFSET(TblConstr[[#This Row],[Hom]],-12,0),0)+OFFSET(TblConstr[[#This Row],[Tot Hom]],-1,0)-TblConstr[[#This Row],[Dest Hom]]</f>
        <v>50</v>
      </c>
      <c r="AZ113" s="189" cm="1">
        <f t="array" aca="1" ref="AZ113" ca="1">IF(TblConstr[[#This Row],[Hour]:[Hour]]&gt;12,OFFSET(TblConstr[[#This Row],[Alc]],-12,0),0)+OFFSET(TblConstr[[#This Row],[Tot Alc]],-1,0)-TblConstr[[#This Row],[Dest Alc]]</f>
        <v>50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50</v>
      </c>
      <c r="BM113" s="369" cm="1">
        <f t="array" aca="1" ref="BM113" ca="1">IF(TblConstr[[#This Row],[Hour]:[Hour]]&gt;12,OFFSET(TblConstr[[#This Row],[Tem]],-12,0),0)+OFFSET(TblConstr[[#This Row],[Tot Tem]],-1,0)-TblConstr[[#This Row],[Dest Tem]]</f>
        <v>50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50</v>
      </c>
      <c r="BP113" s="191" cm="1">
        <f t="array" aca="1" ref="BP113" ca="1">IF(TblConstr[[#This Row],[Hour]:[Hour]]&gt;12,OFFSET(TblConstr[[#This Row],[Sch]],-12,0),0)+OFFSET(TblConstr[[#This Row],[Tot Sch]],-1,0)-TblConstr[[#This Row],[Dest Sch]]</f>
        <v>50</v>
      </c>
      <c r="BQ113" s="192" cm="1">
        <f t="array" aca="1" ref="BQ113" ca="1">IF(TblConstr[[#This Row],[Hour]:[Hour]]&gt;12,OFFSET(TblConstr[[#This Row],[Doc]],-12,0),0)+OFFSET(TblConstr[[#This Row],[Tot Doc]],-1,0)-TblConstr[[#This Row],[Dest Doc]]</f>
        <v>0</v>
      </c>
      <c r="BR113" s="142"/>
      <c r="BS113" s="154"/>
      <c r="BT113" s="94">
        <f ca="1">TblConstr[[#This Row],[Land]]</f>
        <v>370</v>
      </c>
      <c r="BU113" s="159">
        <f ca="1">TblImps[[#This Row],[Time]]</f>
        <v>45819.541666666402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100</v>
      </c>
      <c r="DA113" s="94">
        <f t="shared" ca="1" si="31"/>
        <v>20</v>
      </c>
      <c r="DB113" s="45">
        <f t="shared" ca="1" si="32"/>
        <v>0</v>
      </c>
      <c r="DC113" s="94">
        <f t="shared" ca="1" si="33"/>
        <v>0</v>
      </c>
      <c r="DD113" s="94">
        <f t="shared" ca="1" si="34"/>
        <v>100</v>
      </c>
      <c r="DE113" s="45">
        <f t="shared" ca="1" si="35"/>
        <v>50</v>
      </c>
      <c r="DF113" s="94">
        <f t="shared" ca="1" si="36"/>
        <v>0</v>
      </c>
      <c r="DG113" s="94" cm="1">
        <f t="array" aca="1" ref="DG113" ca="1">INDEX(TblConstr[[Total Plain]:[Total Water]],ROW()-ROW(TblConstr[#Headers]),MATCH("Total "&amp;home_land,TblConstr[[#Headers],[Total Plain]:[Total Water]],0))+TblConstr[[#This Row],[Homes]]</f>
        <v>150</v>
      </c>
      <c r="DH113" s="45">
        <f t="shared" ca="1" si="22"/>
        <v>50</v>
      </c>
      <c r="DI113" s="45">
        <f t="shared" ca="1" si="19"/>
        <v>0</v>
      </c>
      <c r="DJ113" s="45">
        <f t="shared" ca="1" si="20"/>
        <v>0</v>
      </c>
    </row>
    <row r="114" spans="1:114" x14ac:dyDescent="0.2">
      <c r="A114" s="175">
        <f>TblRezone[[#This Row],[Hour]]</f>
        <v>111</v>
      </c>
      <c r="B114" s="176">
        <f ca="1">SUM(TblConstr[[#This Row],[Plain]:[Water]])</f>
        <v>20</v>
      </c>
      <c r="C114" s="177">
        <f ca="1">SUM(TblConstr[[#This Row],[Tot Hom]:[Tot Doc]])</f>
        <v>350</v>
      </c>
      <c r="D114" s="177">
        <f t="shared" si="21"/>
        <v>0</v>
      </c>
      <c r="E114" s="178"/>
      <c r="F114" s="61">
        <f ca="1">TblConstr[[#This Row],[Barren]]+TblConstr[[#This Row],[Buildings]]+TblConstr[[#This Row],[Incoming]]</f>
        <v>370</v>
      </c>
      <c r="G114" s="187">
        <f ca="1">OFFSET(TblConstr[[#This Row],[Plain]],-1,0)+TblConstr[[#This Row],[Ch_Plain]]</f>
        <v>20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45819.583333333067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1442667</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14" s="94">
        <f ca="1">ROUNDDOWN( MAX(1 - MIN(facs_constr_factor*TblConstr[[#This Row],[Facs -DB]],facs_constr_max) + tech_1_11*TblTech[[#This Row],[11-1]] + tech_6_3_2*TblTech[[#This Row],[6-3]] + tech_5_2_3*TblTech[[#This Row],[5-2]], 1-global_constr_cap) * TblConstr[[#This Row],[RCPA Lumber]],0)</f>
        <v>122</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14" s="94">
        <f ca="1">ROUNDDOWN( MAX(1 - MIN(facs_constr_factor*TblConstr[[#This Row],[Facs DB]],facs_constr_max) + tech_1_11*TblTech[[#This Row],[1-11]] + tech_6_3_2*TblTech[[#This Row],[6-3]] + tech_5_2_3*TblTech[[#This Row],[5-2]], 1-global_constr_cap) * ROUND((TblConstr[[#This Row],[Land]]-250)*0.285 + 87.5 + 0/4.25,0),0)</f>
        <v>122</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1000</v>
      </c>
      <c r="AW114" s="94">
        <f ca="1">ROUND((TblConstr[[#This Row],[Land]]-250 - IF(TblExplore[[#This Row],[Land Bonus]]&lt;&gt;0,20,0))*0.285 + 87.5 + 0/4.25,0)</f>
        <v>122</v>
      </c>
      <c r="AX114" s="154"/>
      <c r="AY114" s="188" cm="1">
        <f t="array" aca="1" ref="AY114" ca="1">IF(TblConstr[[#This Row],[Hour]:[Hour]]&gt;12,OFFSET(TblConstr[[#This Row],[Hom]],-12,0),0)+OFFSET(TblConstr[[#This Row],[Tot Hom]],-1,0)-TblConstr[[#This Row],[Dest Hom]]</f>
        <v>50</v>
      </c>
      <c r="AZ114" s="189" cm="1">
        <f t="array" aca="1" ref="AZ114" ca="1">IF(TblConstr[[#This Row],[Hour]:[Hour]]&gt;12,OFFSET(TblConstr[[#This Row],[Alc]],-12,0),0)+OFFSET(TblConstr[[#This Row],[Tot Alc]],-1,0)-TblConstr[[#This Row],[Dest Alc]]</f>
        <v>50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50</v>
      </c>
      <c r="BM114" s="369" cm="1">
        <f t="array" aca="1" ref="BM114" ca="1">IF(TblConstr[[#This Row],[Hour]:[Hour]]&gt;12,OFFSET(TblConstr[[#This Row],[Tem]],-12,0),0)+OFFSET(TblConstr[[#This Row],[Tot Tem]],-1,0)-TblConstr[[#This Row],[Dest Tem]]</f>
        <v>50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50</v>
      </c>
      <c r="BP114" s="191" cm="1">
        <f t="array" aca="1" ref="BP114" ca="1">IF(TblConstr[[#This Row],[Hour]:[Hour]]&gt;12,OFFSET(TblConstr[[#This Row],[Sch]],-12,0),0)+OFFSET(TblConstr[[#This Row],[Tot Sch]],-1,0)-TblConstr[[#This Row],[Dest Sch]]</f>
        <v>50</v>
      </c>
      <c r="BQ114" s="192" cm="1">
        <f t="array" aca="1" ref="BQ114" ca="1">IF(TblConstr[[#This Row],[Hour]:[Hour]]&gt;12,OFFSET(TblConstr[[#This Row],[Doc]],-12,0),0)+OFFSET(TblConstr[[#This Row],[Tot Doc]],-1,0)-TblConstr[[#This Row],[Dest Doc]]</f>
        <v>0</v>
      </c>
      <c r="BR114" s="142"/>
      <c r="BS114" s="154"/>
      <c r="BT114" s="94">
        <f ca="1">TblConstr[[#This Row],[Land]]</f>
        <v>370</v>
      </c>
      <c r="BU114" s="159">
        <f ca="1">TblImps[[#This Row],[Time]]</f>
        <v>45819.583333333067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100</v>
      </c>
      <c r="DA114" s="94">
        <f t="shared" ca="1" si="31"/>
        <v>20</v>
      </c>
      <c r="DB114" s="45">
        <f t="shared" ca="1" si="32"/>
        <v>0</v>
      </c>
      <c r="DC114" s="94">
        <f t="shared" ca="1" si="33"/>
        <v>0</v>
      </c>
      <c r="DD114" s="94">
        <f t="shared" ca="1" si="34"/>
        <v>100</v>
      </c>
      <c r="DE114" s="45">
        <f t="shared" ca="1" si="35"/>
        <v>50</v>
      </c>
      <c r="DF114" s="94">
        <f t="shared" ca="1" si="36"/>
        <v>0</v>
      </c>
      <c r="DG114" s="94" cm="1">
        <f t="array" aca="1" ref="DG114" ca="1">INDEX(TblConstr[[Total Plain]:[Total Water]],ROW()-ROW(TblConstr[#Headers]),MATCH("Total "&amp;home_land,TblConstr[[#Headers],[Total Plain]:[Total Water]],0))+TblConstr[[#This Row],[Homes]]</f>
        <v>150</v>
      </c>
      <c r="DH114" s="45">
        <f t="shared" ca="1" si="22"/>
        <v>50</v>
      </c>
      <c r="DI114" s="45">
        <f t="shared" ca="1" si="19"/>
        <v>0</v>
      </c>
      <c r="DJ114" s="45">
        <f t="shared" ca="1" si="20"/>
        <v>0</v>
      </c>
    </row>
    <row r="115" spans="1:114" x14ac:dyDescent="0.2">
      <c r="A115" s="175">
        <f>TblRezone[[#This Row],[Hour]]</f>
        <v>112</v>
      </c>
      <c r="B115" s="176">
        <f ca="1">SUM(TblConstr[[#This Row],[Plain]:[Water]])</f>
        <v>20</v>
      </c>
      <c r="C115" s="177">
        <f ca="1">SUM(TblConstr[[#This Row],[Tot Hom]:[Tot Doc]])</f>
        <v>350</v>
      </c>
      <c r="D115" s="177">
        <f t="shared" si="21"/>
        <v>0</v>
      </c>
      <c r="E115" s="178"/>
      <c r="F115" s="61">
        <f ca="1">TblConstr[[#This Row],[Barren]]+TblConstr[[#This Row],[Buildings]]+TblConstr[[#This Row],[Incoming]]</f>
        <v>370</v>
      </c>
      <c r="G115" s="187">
        <f ca="1">OFFSET(TblConstr[[#This Row],[Plain]],-1,0)+TblConstr[[#This Row],[Ch_Plain]]</f>
        <v>20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45819.624999999731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1450238</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15" s="94">
        <f ca="1">ROUNDDOWN( MAX(1 - MIN(facs_constr_factor*TblConstr[[#This Row],[Facs -DB]],facs_constr_max) + tech_1_11*TblTech[[#This Row],[11-1]] + tech_6_3_2*TblTech[[#This Row],[6-3]] + tech_5_2_3*TblTech[[#This Row],[5-2]], 1-global_constr_cap) * TblConstr[[#This Row],[RCPA Lumber]],0)</f>
        <v>122</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15" s="94">
        <f ca="1">ROUNDDOWN( MAX(1 - MIN(facs_constr_factor*TblConstr[[#This Row],[Facs DB]],facs_constr_max) + tech_1_11*TblTech[[#This Row],[1-11]] + tech_6_3_2*TblTech[[#This Row],[6-3]] + tech_5_2_3*TblTech[[#This Row],[5-2]], 1-global_constr_cap) * ROUND((TblConstr[[#This Row],[Land]]-250)*0.285 + 87.5 + 0/4.25,0),0)</f>
        <v>122</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1000</v>
      </c>
      <c r="AW115" s="94">
        <f ca="1">ROUND((TblConstr[[#This Row],[Land]]-250 - IF(TblExplore[[#This Row],[Land Bonus]]&lt;&gt;0,20,0))*0.285 + 87.5 + 0/4.25,0)</f>
        <v>122</v>
      </c>
      <c r="AX115" s="154"/>
      <c r="AY115" s="188" cm="1">
        <f t="array" aca="1" ref="AY115" ca="1">IF(TblConstr[[#This Row],[Hour]:[Hour]]&gt;12,OFFSET(TblConstr[[#This Row],[Hom]],-12,0),0)+OFFSET(TblConstr[[#This Row],[Tot Hom]],-1,0)-TblConstr[[#This Row],[Dest Hom]]</f>
        <v>50</v>
      </c>
      <c r="AZ115" s="189" cm="1">
        <f t="array" aca="1" ref="AZ115" ca="1">IF(TblConstr[[#This Row],[Hour]:[Hour]]&gt;12,OFFSET(TblConstr[[#This Row],[Alc]],-12,0),0)+OFFSET(TblConstr[[#This Row],[Tot Alc]],-1,0)-TblConstr[[#This Row],[Dest Alc]]</f>
        <v>50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50</v>
      </c>
      <c r="BM115" s="369" cm="1">
        <f t="array" aca="1" ref="BM115" ca="1">IF(TblConstr[[#This Row],[Hour]:[Hour]]&gt;12,OFFSET(TblConstr[[#This Row],[Tem]],-12,0),0)+OFFSET(TblConstr[[#This Row],[Tot Tem]],-1,0)-TblConstr[[#This Row],[Dest Tem]]</f>
        <v>50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50</v>
      </c>
      <c r="BP115" s="191" cm="1">
        <f t="array" aca="1" ref="BP115" ca="1">IF(TblConstr[[#This Row],[Hour]:[Hour]]&gt;12,OFFSET(TblConstr[[#This Row],[Sch]],-12,0),0)+OFFSET(TblConstr[[#This Row],[Tot Sch]],-1,0)-TblConstr[[#This Row],[Dest Sch]]</f>
        <v>50</v>
      </c>
      <c r="BQ115" s="192" cm="1">
        <f t="array" aca="1" ref="BQ115" ca="1">IF(TblConstr[[#This Row],[Hour]:[Hour]]&gt;12,OFFSET(TblConstr[[#This Row],[Doc]],-12,0),0)+OFFSET(TblConstr[[#This Row],[Tot Doc]],-1,0)-TblConstr[[#This Row],[Dest Doc]]</f>
        <v>0</v>
      </c>
      <c r="BR115" s="142"/>
      <c r="BS115" s="154"/>
      <c r="BT115" s="94">
        <f ca="1">TblConstr[[#This Row],[Land]]</f>
        <v>370</v>
      </c>
      <c r="BU115" s="159">
        <f ca="1">TblImps[[#This Row],[Time]]</f>
        <v>45819.624999999731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100</v>
      </c>
      <c r="DA115" s="94">
        <f t="shared" ca="1" si="31"/>
        <v>20</v>
      </c>
      <c r="DB115" s="45">
        <f t="shared" ca="1" si="32"/>
        <v>0</v>
      </c>
      <c r="DC115" s="94">
        <f t="shared" ca="1" si="33"/>
        <v>0</v>
      </c>
      <c r="DD115" s="94">
        <f t="shared" ca="1" si="34"/>
        <v>100</v>
      </c>
      <c r="DE115" s="45">
        <f t="shared" ca="1" si="35"/>
        <v>50</v>
      </c>
      <c r="DF115" s="94">
        <f t="shared" ca="1" si="36"/>
        <v>0</v>
      </c>
      <c r="DG115" s="94" cm="1">
        <f t="array" aca="1" ref="DG115" ca="1">INDEX(TblConstr[[Total Plain]:[Total Water]],ROW()-ROW(TblConstr[#Headers]),MATCH("Total "&amp;home_land,TblConstr[[#Headers],[Total Plain]:[Total Water]],0))+TblConstr[[#This Row],[Homes]]</f>
        <v>150</v>
      </c>
      <c r="DH115" s="45">
        <f t="shared" ca="1" si="22"/>
        <v>50</v>
      </c>
      <c r="DI115" s="45">
        <f t="shared" ca="1" si="19"/>
        <v>0</v>
      </c>
      <c r="DJ115" s="45">
        <f t="shared" ca="1" si="20"/>
        <v>0</v>
      </c>
    </row>
    <row r="116" spans="1:114" x14ac:dyDescent="0.2">
      <c r="A116" s="175">
        <f>TblRezone[[#This Row],[Hour]]</f>
        <v>113</v>
      </c>
      <c r="B116" s="176">
        <f ca="1">SUM(TblConstr[[#This Row],[Plain]:[Water]])</f>
        <v>20</v>
      </c>
      <c r="C116" s="177">
        <f ca="1">SUM(TblConstr[[#This Row],[Tot Hom]:[Tot Doc]])</f>
        <v>350</v>
      </c>
      <c r="D116" s="177">
        <f t="shared" si="21"/>
        <v>0</v>
      </c>
      <c r="E116" s="178"/>
      <c r="F116" s="61">
        <f ca="1">TblConstr[[#This Row],[Barren]]+TblConstr[[#This Row],[Buildings]]+TblConstr[[#This Row],[Incoming]]</f>
        <v>370</v>
      </c>
      <c r="G116" s="187">
        <f ca="1">OFFSET(TblConstr[[#This Row],[Plain]],-1,0)+TblConstr[[#This Row],[Ch_Plain]]</f>
        <v>20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45819.666666666395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1457755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16" s="94">
        <f ca="1">ROUNDDOWN( MAX(1 - MIN(facs_constr_factor*TblConstr[[#This Row],[Facs -DB]],facs_constr_max) + tech_1_11*TblTech[[#This Row],[11-1]] + tech_6_3_2*TblTech[[#This Row],[6-3]] + tech_5_2_3*TblTech[[#This Row],[5-2]], 1-global_constr_cap) * TblConstr[[#This Row],[RCPA Lumber]],0)</f>
        <v>122</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16" s="94">
        <f ca="1">ROUNDDOWN( MAX(1 - MIN(facs_constr_factor*TblConstr[[#This Row],[Facs DB]],facs_constr_max) + tech_1_11*TblTech[[#This Row],[1-11]] + tech_6_3_2*TblTech[[#This Row],[6-3]] + tech_5_2_3*TblTech[[#This Row],[5-2]], 1-global_constr_cap) * ROUND((TblConstr[[#This Row],[Land]]-250)*0.285 + 87.5 + 0/4.25,0),0)</f>
        <v>122</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1000</v>
      </c>
      <c r="AW116" s="94">
        <f ca="1">ROUND((TblConstr[[#This Row],[Land]]-250 - IF(TblExplore[[#This Row],[Land Bonus]]&lt;&gt;0,20,0))*0.285 + 87.5 + 0/4.25,0)</f>
        <v>122</v>
      </c>
      <c r="AX116" s="154"/>
      <c r="AY116" s="188" cm="1">
        <f t="array" aca="1" ref="AY116" ca="1">IF(TblConstr[[#This Row],[Hour]:[Hour]]&gt;12,OFFSET(TblConstr[[#This Row],[Hom]],-12,0),0)+OFFSET(TblConstr[[#This Row],[Tot Hom]],-1,0)-TblConstr[[#This Row],[Dest Hom]]</f>
        <v>50</v>
      </c>
      <c r="AZ116" s="189" cm="1">
        <f t="array" aca="1" ref="AZ116" ca="1">IF(TblConstr[[#This Row],[Hour]:[Hour]]&gt;12,OFFSET(TblConstr[[#This Row],[Alc]],-12,0),0)+OFFSET(TblConstr[[#This Row],[Tot Alc]],-1,0)-TblConstr[[#This Row],[Dest Alc]]</f>
        <v>50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50</v>
      </c>
      <c r="BM116" s="369" cm="1">
        <f t="array" aca="1" ref="BM116" ca="1">IF(TblConstr[[#This Row],[Hour]:[Hour]]&gt;12,OFFSET(TblConstr[[#This Row],[Tem]],-12,0),0)+OFFSET(TblConstr[[#This Row],[Tot Tem]],-1,0)-TblConstr[[#This Row],[Dest Tem]]</f>
        <v>50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50</v>
      </c>
      <c r="BP116" s="191" cm="1">
        <f t="array" aca="1" ref="BP116" ca="1">IF(TblConstr[[#This Row],[Hour]:[Hour]]&gt;12,OFFSET(TblConstr[[#This Row],[Sch]],-12,0),0)+OFFSET(TblConstr[[#This Row],[Tot Sch]],-1,0)-TblConstr[[#This Row],[Dest Sch]]</f>
        <v>50</v>
      </c>
      <c r="BQ116" s="192" cm="1">
        <f t="array" aca="1" ref="BQ116" ca="1">IF(TblConstr[[#This Row],[Hour]:[Hour]]&gt;12,OFFSET(TblConstr[[#This Row],[Doc]],-12,0),0)+OFFSET(TblConstr[[#This Row],[Tot Doc]],-1,0)-TblConstr[[#This Row],[Dest Doc]]</f>
        <v>0</v>
      </c>
      <c r="BR116" s="142"/>
      <c r="BS116" s="154"/>
      <c r="BT116" s="94">
        <f ca="1">TblConstr[[#This Row],[Land]]</f>
        <v>370</v>
      </c>
      <c r="BU116" s="159">
        <f ca="1">TblImps[[#This Row],[Time]]</f>
        <v>45819.666666666395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100</v>
      </c>
      <c r="DA116" s="94">
        <f t="shared" ca="1" si="31"/>
        <v>20</v>
      </c>
      <c r="DB116" s="45">
        <f t="shared" ca="1" si="32"/>
        <v>0</v>
      </c>
      <c r="DC116" s="94">
        <f t="shared" ca="1" si="33"/>
        <v>0</v>
      </c>
      <c r="DD116" s="94">
        <f t="shared" ca="1" si="34"/>
        <v>100</v>
      </c>
      <c r="DE116" s="45">
        <f t="shared" ca="1" si="35"/>
        <v>50</v>
      </c>
      <c r="DF116" s="94">
        <f t="shared" ca="1" si="36"/>
        <v>0</v>
      </c>
      <c r="DG116" s="94" cm="1">
        <f t="array" aca="1" ref="DG116" ca="1">INDEX(TblConstr[[Total Plain]:[Total Water]],ROW()-ROW(TblConstr[#Headers]),MATCH("Total "&amp;home_land,TblConstr[[#Headers],[Total Plain]:[Total Water]],0))+TblConstr[[#This Row],[Homes]]</f>
        <v>150</v>
      </c>
      <c r="DH116" s="45">
        <f t="shared" ca="1" si="22"/>
        <v>50</v>
      </c>
      <c r="DI116" s="45">
        <f t="shared" ca="1" si="19"/>
        <v>0</v>
      </c>
      <c r="DJ116" s="45">
        <f t="shared" ca="1" si="20"/>
        <v>0</v>
      </c>
    </row>
    <row r="117" spans="1:114" x14ac:dyDescent="0.2">
      <c r="A117" s="175">
        <f>TblRezone[[#This Row],[Hour]]</f>
        <v>114</v>
      </c>
      <c r="B117" s="176">
        <f ca="1">SUM(TblConstr[[#This Row],[Plain]:[Water]])</f>
        <v>20</v>
      </c>
      <c r="C117" s="177">
        <f ca="1">SUM(TblConstr[[#This Row],[Tot Hom]:[Tot Doc]])</f>
        <v>350</v>
      </c>
      <c r="D117" s="177">
        <f t="shared" si="21"/>
        <v>0</v>
      </c>
      <c r="E117" s="178"/>
      <c r="F117" s="61">
        <f ca="1">TblConstr[[#This Row],[Barren]]+TblConstr[[#This Row],[Buildings]]+TblConstr[[#This Row],[Incoming]]</f>
        <v>370</v>
      </c>
      <c r="G117" s="187">
        <f ca="1">OFFSET(TblConstr[[#This Row],[Plain]],-1,0)+TblConstr[[#This Row],[Ch_Plain]]</f>
        <v>20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45819.708333333059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1465218</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17" s="94">
        <f ca="1">ROUNDDOWN( MAX(1 - MIN(facs_constr_factor*TblConstr[[#This Row],[Facs -DB]],facs_constr_max) + tech_1_11*TblTech[[#This Row],[11-1]] + tech_6_3_2*TblTech[[#This Row],[6-3]] + tech_5_2_3*TblTech[[#This Row],[5-2]], 1-global_constr_cap) * TblConstr[[#This Row],[RCPA Lumber]],0)</f>
        <v>122</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17" s="94">
        <f ca="1">ROUNDDOWN( MAX(1 - MIN(facs_constr_factor*TblConstr[[#This Row],[Facs DB]],facs_constr_max) + tech_1_11*TblTech[[#This Row],[1-11]] + tech_6_3_2*TblTech[[#This Row],[6-3]] + tech_5_2_3*TblTech[[#This Row],[5-2]], 1-global_constr_cap) * ROUND((TblConstr[[#This Row],[Land]]-250)*0.285 + 87.5 + 0/4.25,0),0)</f>
        <v>122</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1000</v>
      </c>
      <c r="AW117" s="94">
        <f ca="1">ROUND((TblConstr[[#This Row],[Land]]-250 - IF(TblExplore[[#This Row],[Land Bonus]]&lt;&gt;0,20,0))*0.285 + 87.5 + 0/4.25,0)</f>
        <v>122</v>
      </c>
      <c r="AX117" s="154"/>
      <c r="AY117" s="188" cm="1">
        <f t="array" aca="1" ref="AY117" ca="1">IF(TblConstr[[#This Row],[Hour]:[Hour]]&gt;12,OFFSET(TblConstr[[#This Row],[Hom]],-12,0),0)+OFFSET(TblConstr[[#This Row],[Tot Hom]],-1,0)-TblConstr[[#This Row],[Dest Hom]]</f>
        <v>50</v>
      </c>
      <c r="AZ117" s="189" cm="1">
        <f t="array" aca="1" ref="AZ117" ca="1">IF(TblConstr[[#This Row],[Hour]:[Hour]]&gt;12,OFFSET(TblConstr[[#This Row],[Alc]],-12,0),0)+OFFSET(TblConstr[[#This Row],[Tot Alc]],-1,0)-TblConstr[[#This Row],[Dest Alc]]</f>
        <v>50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50</v>
      </c>
      <c r="BM117" s="369" cm="1">
        <f t="array" aca="1" ref="BM117" ca="1">IF(TblConstr[[#This Row],[Hour]:[Hour]]&gt;12,OFFSET(TblConstr[[#This Row],[Tem]],-12,0),0)+OFFSET(TblConstr[[#This Row],[Tot Tem]],-1,0)-TblConstr[[#This Row],[Dest Tem]]</f>
        <v>50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50</v>
      </c>
      <c r="BP117" s="191" cm="1">
        <f t="array" aca="1" ref="BP117" ca="1">IF(TblConstr[[#This Row],[Hour]:[Hour]]&gt;12,OFFSET(TblConstr[[#This Row],[Sch]],-12,0),0)+OFFSET(TblConstr[[#This Row],[Tot Sch]],-1,0)-TblConstr[[#This Row],[Dest Sch]]</f>
        <v>50</v>
      </c>
      <c r="BQ117" s="192" cm="1">
        <f t="array" aca="1" ref="BQ117" ca="1">IF(TblConstr[[#This Row],[Hour]:[Hour]]&gt;12,OFFSET(TblConstr[[#This Row],[Doc]],-12,0),0)+OFFSET(TblConstr[[#This Row],[Tot Doc]],-1,0)-TblConstr[[#This Row],[Dest Doc]]</f>
        <v>0</v>
      </c>
      <c r="BR117" s="142"/>
      <c r="BS117" s="154"/>
      <c r="BT117" s="94">
        <f ca="1">TblConstr[[#This Row],[Land]]</f>
        <v>370</v>
      </c>
      <c r="BU117" s="159">
        <f ca="1">TblImps[[#This Row],[Time]]</f>
        <v>45819.708333333059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100</v>
      </c>
      <c r="DA117" s="94">
        <f t="shared" ca="1" si="31"/>
        <v>20</v>
      </c>
      <c r="DB117" s="45">
        <f t="shared" ca="1" si="32"/>
        <v>0</v>
      </c>
      <c r="DC117" s="94">
        <f t="shared" ca="1" si="33"/>
        <v>0</v>
      </c>
      <c r="DD117" s="94">
        <f t="shared" ca="1" si="34"/>
        <v>100</v>
      </c>
      <c r="DE117" s="45">
        <f t="shared" ca="1" si="35"/>
        <v>50</v>
      </c>
      <c r="DF117" s="94">
        <f t="shared" ca="1" si="36"/>
        <v>0</v>
      </c>
      <c r="DG117" s="94" cm="1">
        <f t="array" aca="1" ref="DG117" ca="1">INDEX(TblConstr[[Total Plain]:[Total Water]],ROW()-ROW(TblConstr[#Headers]),MATCH("Total "&amp;home_land,TblConstr[[#Headers],[Total Plain]:[Total Water]],0))+TblConstr[[#This Row],[Homes]]</f>
        <v>150</v>
      </c>
      <c r="DH117" s="45">
        <f t="shared" ca="1" si="22"/>
        <v>50</v>
      </c>
      <c r="DI117" s="45">
        <f t="shared" ca="1" si="19"/>
        <v>0</v>
      </c>
      <c r="DJ117" s="45">
        <f t="shared" ca="1" si="20"/>
        <v>0</v>
      </c>
    </row>
    <row r="118" spans="1:114" x14ac:dyDescent="0.2">
      <c r="A118" s="175">
        <f>TblRezone[[#This Row],[Hour]]</f>
        <v>115</v>
      </c>
      <c r="B118" s="176">
        <f ca="1">SUM(TblConstr[[#This Row],[Plain]:[Water]])</f>
        <v>20</v>
      </c>
      <c r="C118" s="177">
        <f ca="1">SUM(TblConstr[[#This Row],[Tot Hom]:[Tot Doc]])</f>
        <v>350</v>
      </c>
      <c r="D118" s="177">
        <f t="shared" si="21"/>
        <v>0</v>
      </c>
      <c r="E118" s="178"/>
      <c r="F118" s="61">
        <f ca="1">TblConstr[[#This Row],[Barren]]+TblConstr[[#This Row],[Buildings]]+TblConstr[[#This Row],[Incoming]]</f>
        <v>370</v>
      </c>
      <c r="G118" s="187">
        <f ca="1">OFFSET(TblConstr[[#This Row],[Plain]],-1,0)+TblConstr[[#This Row],[Ch_Plain]]</f>
        <v>20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45819.749999999724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1472630</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18" s="94">
        <f ca="1">ROUNDDOWN( MAX(1 - MIN(facs_constr_factor*TblConstr[[#This Row],[Facs -DB]],facs_constr_max) + tech_1_11*TblTech[[#This Row],[11-1]] + tech_6_3_2*TblTech[[#This Row],[6-3]] + tech_5_2_3*TblTech[[#This Row],[5-2]], 1-global_constr_cap) * TblConstr[[#This Row],[RCPA Lumber]],0)</f>
        <v>122</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18" s="94">
        <f ca="1">ROUNDDOWN( MAX(1 - MIN(facs_constr_factor*TblConstr[[#This Row],[Facs DB]],facs_constr_max) + tech_1_11*TblTech[[#This Row],[1-11]] + tech_6_3_2*TblTech[[#This Row],[6-3]] + tech_5_2_3*TblTech[[#This Row],[5-2]], 1-global_constr_cap) * ROUND((TblConstr[[#This Row],[Land]]-250)*0.285 + 87.5 + 0/4.25,0),0)</f>
        <v>122</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1000</v>
      </c>
      <c r="AW118" s="94">
        <f ca="1">ROUND((TblConstr[[#This Row],[Land]]-250 - IF(TblExplore[[#This Row],[Land Bonus]]&lt;&gt;0,20,0))*0.285 + 87.5 + 0/4.25,0)</f>
        <v>122</v>
      </c>
      <c r="AX118" s="154"/>
      <c r="AY118" s="188" cm="1">
        <f t="array" aca="1" ref="AY118" ca="1">IF(TblConstr[[#This Row],[Hour]:[Hour]]&gt;12,OFFSET(TblConstr[[#This Row],[Hom]],-12,0),0)+OFFSET(TblConstr[[#This Row],[Tot Hom]],-1,0)-TblConstr[[#This Row],[Dest Hom]]</f>
        <v>50</v>
      </c>
      <c r="AZ118" s="189" cm="1">
        <f t="array" aca="1" ref="AZ118" ca="1">IF(TblConstr[[#This Row],[Hour]:[Hour]]&gt;12,OFFSET(TblConstr[[#This Row],[Alc]],-12,0),0)+OFFSET(TblConstr[[#This Row],[Tot Alc]],-1,0)-TblConstr[[#This Row],[Dest Alc]]</f>
        <v>50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50</v>
      </c>
      <c r="BM118" s="369" cm="1">
        <f t="array" aca="1" ref="BM118" ca="1">IF(TblConstr[[#This Row],[Hour]:[Hour]]&gt;12,OFFSET(TblConstr[[#This Row],[Tem]],-12,0),0)+OFFSET(TblConstr[[#This Row],[Tot Tem]],-1,0)-TblConstr[[#This Row],[Dest Tem]]</f>
        <v>50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50</v>
      </c>
      <c r="BP118" s="191" cm="1">
        <f t="array" aca="1" ref="BP118" ca="1">IF(TblConstr[[#This Row],[Hour]:[Hour]]&gt;12,OFFSET(TblConstr[[#This Row],[Sch]],-12,0),0)+OFFSET(TblConstr[[#This Row],[Tot Sch]],-1,0)-TblConstr[[#This Row],[Dest Sch]]</f>
        <v>50</v>
      </c>
      <c r="BQ118" s="192" cm="1">
        <f t="array" aca="1" ref="BQ118" ca="1">IF(TblConstr[[#This Row],[Hour]:[Hour]]&gt;12,OFFSET(TblConstr[[#This Row],[Doc]],-12,0),0)+OFFSET(TblConstr[[#This Row],[Tot Doc]],-1,0)-TblConstr[[#This Row],[Dest Doc]]</f>
        <v>0</v>
      </c>
      <c r="BR118" s="142"/>
      <c r="BS118" s="154"/>
      <c r="BT118" s="94">
        <f ca="1">TblConstr[[#This Row],[Land]]</f>
        <v>370</v>
      </c>
      <c r="BU118" s="159">
        <f ca="1">TblImps[[#This Row],[Time]]</f>
        <v>45819.749999999724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100</v>
      </c>
      <c r="DA118" s="94">
        <f t="shared" ca="1" si="31"/>
        <v>20</v>
      </c>
      <c r="DB118" s="45">
        <f t="shared" ca="1" si="32"/>
        <v>0</v>
      </c>
      <c r="DC118" s="94">
        <f t="shared" ca="1" si="33"/>
        <v>0</v>
      </c>
      <c r="DD118" s="94">
        <f t="shared" ca="1" si="34"/>
        <v>100</v>
      </c>
      <c r="DE118" s="45">
        <f t="shared" ca="1" si="35"/>
        <v>50</v>
      </c>
      <c r="DF118" s="94">
        <f t="shared" ca="1" si="36"/>
        <v>0</v>
      </c>
      <c r="DG118" s="94" cm="1">
        <f t="array" aca="1" ref="DG118" ca="1">INDEX(TblConstr[[Total Plain]:[Total Water]],ROW()-ROW(TblConstr[#Headers]),MATCH("Total "&amp;home_land,TblConstr[[#Headers],[Total Plain]:[Total Water]],0))+TblConstr[[#This Row],[Homes]]</f>
        <v>150</v>
      </c>
      <c r="DH118" s="45">
        <f t="shared" ca="1" si="22"/>
        <v>50</v>
      </c>
      <c r="DI118" s="45">
        <f t="shared" ca="1" si="19"/>
        <v>0</v>
      </c>
      <c r="DJ118" s="45">
        <f t="shared" ca="1" si="20"/>
        <v>0</v>
      </c>
    </row>
    <row r="119" spans="1:114" x14ac:dyDescent="0.2">
      <c r="A119" s="175">
        <f>TblRezone[[#This Row],[Hour]]</f>
        <v>116</v>
      </c>
      <c r="B119" s="176">
        <f ca="1">SUM(TblConstr[[#This Row],[Plain]:[Water]])</f>
        <v>20</v>
      </c>
      <c r="C119" s="177">
        <f ca="1">SUM(TblConstr[[#This Row],[Tot Hom]:[Tot Doc]])</f>
        <v>350</v>
      </c>
      <c r="D119" s="177">
        <f t="shared" si="21"/>
        <v>0</v>
      </c>
      <c r="E119" s="178"/>
      <c r="F119" s="61">
        <f ca="1">TblConstr[[#This Row],[Barren]]+TblConstr[[#This Row],[Buildings]]+TblConstr[[#This Row],[Incoming]]</f>
        <v>370</v>
      </c>
      <c r="G119" s="187">
        <f ca="1">OFFSET(TblConstr[[#This Row],[Plain]],-1,0)+TblConstr[[#This Row],[Ch_Plain]]</f>
        <v>20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45819.791666666388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1479991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19" s="94">
        <f ca="1">ROUNDDOWN( MAX(1 - MIN(facs_constr_factor*TblConstr[[#This Row],[Facs -DB]],facs_constr_max) + tech_1_11*TblTech[[#This Row],[11-1]] + tech_6_3_2*TblTech[[#This Row],[6-3]] + tech_5_2_3*TblTech[[#This Row],[5-2]], 1-global_constr_cap) * TblConstr[[#This Row],[RCPA Lumber]],0)</f>
        <v>122</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19" s="94">
        <f ca="1">ROUNDDOWN( MAX(1 - MIN(facs_constr_factor*TblConstr[[#This Row],[Facs DB]],facs_constr_max) + tech_1_11*TblTech[[#This Row],[1-11]] + tech_6_3_2*TblTech[[#This Row],[6-3]] + tech_5_2_3*TblTech[[#This Row],[5-2]], 1-global_constr_cap) * ROUND((TblConstr[[#This Row],[Land]]-250)*0.285 + 87.5 + 0/4.25,0),0)</f>
        <v>122</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1000</v>
      </c>
      <c r="AW119" s="94">
        <f ca="1">ROUND((TblConstr[[#This Row],[Land]]-250 - IF(TblExplore[[#This Row],[Land Bonus]]&lt;&gt;0,20,0))*0.285 + 87.5 + 0/4.25,0)</f>
        <v>122</v>
      </c>
      <c r="AX119" s="154"/>
      <c r="AY119" s="188" cm="1">
        <f t="array" aca="1" ref="AY119" ca="1">IF(TblConstr[[#This Row],[Hour]:[Hour]]&gt;12,OFFSET(TblConstr[[#This Row],[Hom]],-12,0),0)+OFFSET(TblConstr[[#This Row],[Tot Hom]],-1,0)-TblConstr[[#This Row],[Dest Hom]]</f>
        <v>50</v>
      </c>
      <c r="AZ119" s="189" cm="1">
        <f t="array" aca="1" ref="AZ119" ca="1">IF(TblConstr[[#This Row],[Hour]:[Hour]]&gt;12,OFFSET(TblConstr[[#This Row],[Alc]],-12,0),0)+OFFSET(TblConstr[[#This Row],[Tot Alc]],-1,0)-TblConstr[[#This Row],[Dest Alc]]</f>
        <v>50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50</v>
      </c>
      <c r="BM119" s="369" cm="1">
        <f t="array" aca="1" ref="BM119" ca="1">IF(TblConstr[[#This Row],[Hour]:[Hour]]&gt;12,OFFSET(TblConstr[[#This Row],[Tem]],-12,0),0)+OFFSET(TblConstr[[#This Row],[Tot Tem]],-1,0)-TblConstr[[#This Row],[Dest Tem]]</f>
        <v>50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50</v>
      </c>
      <c r="BP119" s="191" cm="1">
        <f t="array" aca="1" ref="BP119" ca="1">IF(TblConstr[[#This Row],[Hour]:[Hour]]&gt;12,OFFSET(TblConstr[[#This Row],[Sch]],-12,0),0)+OFFSET(TblConstr[[#This Row],[Tot Sch]],-1,0)-TblConstr[[#This Row],[Dest Sch]]</f>
        <v>50</v>
      </c>
      <c r="BQ119" s="192" cm="1">
        <f t="array" aca="1" ref="BQ119" ca="1">IF(TblConstr[[#This Row],[Hour]:[Hour]]&gt;12,OFFSET(TblConstr[[#This Row],[Doc]],-12,0),0)+OFFSET(TblConstr[[#This Row],[Tot Doc]],-1,0)-TblConstr[[#This Row],[Dest Doc]]</f>
        <v>0</v>
      </c>
      <c r="BR119" s="142"/>
      <c r="BS119" s="154"/>
      <c r="BT119" s="94">
        <f ca="1">TblConstr[[#This Row],[Land]]</f>
        <v>370</v>
      </c>
      <c r="BU119" s="159">
        <f ca="1">TblImps[[#This Row],[Time]]</f>
        <v>45819.791666666388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100</v>
      </c>
      <c r="DA119" s="94">
        <f t="shared" ca="1" si="31"/>
        <v>20</v>
      </c>
      <c r="DB119" s="45">
        <f t="shared" ca="1" si="32"/>
        <v>0</v>
      </c>
      <c r="DC119" s="94">
        <f t="shared" ca="1" si="33"/>
        <v>0</v>
      </c>
      <c r="DD119" s="94">
        <f t="shared" ca="1" si="34"/>
        <v>100</v>
      </c>
      <c r="DE119" s="45">
        <f t="shared" ca="1" si="35"/>
        <v>50</v>
      </c>
      <c r="DF119" s="94">
        <f t="shared" ca="1" si="36"/>
        <v>0</v>
      </c>
      <c r="DG119" s="94" cm="1">
        <f t="array" aca="1" ref="DG119" ca="1">INDEX(TblConstr[[Total Plain]:[Total Water]],ROW()-ROW(TblConstr[#Headers]),MATCH("Total "&amp;home_land,TblConstr[[#Headers],[Total Plain]:[Total Water]],0))+TblConstr[[#This Row],[Homes]]</f>
        <v>150</v>
      </c>
      <c r="DH119" s="45">
        <f t="shared" ca="1" si="22"/>
        <v>50</v>
      </c>
      <c r="DI119" s="45">
        <f t="shared" ca="1" si="19"/>
        <v>0</v>
      </c>
      <c r="DJ119" s="45">
        <f t="shared" ca="1" si="20"/>
        <v>0</v>
      </c>
    </row>
    <row r="120" spans="1:114" x14ac:dyDescent="0.2">
      <c r="A120" s="175">
        <f>TblRezone[[#This Row],[Hour]]</f>
        <v>117</v>
      </c>
      <c r="B120" s="176">
        <f ca="1">SUM(TblConstr[[#This Row],[Plain]:[Water]])</f>
        <v>20</v>
      </c>
      <c r="C120" s="177">
        <f ca="1">SUM(TblConstr[[#This Row],[Tot Hom]:[Tot Doc]])</f>
        <v>350</v>
      </c>
      <c r="D120" s="177">
        <f t="shared" si="21"/>
        <v>0</v>
      </c>
      <c r="E120" s="178"/>
      <c r="F120" s="61">
        <f ca="1">TblConstr[[#This Row],[Barren]]+TblConstr[[#This Row],[Buildings]]+TblConstr[[#This Row],[Incoming]]</f>
        <v>370</v>
      </c>
      <c r="G120" s="187">
        <f ca="1">OFFSET(TblConstr[[#This Row],[Plain]],-1,0)+TblConstr[[#This Row],[Ch_Plain]]</f>
        <v>20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45819.833333333052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1487300</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20" s="94">
        <f ca="1">ROUNDDOWN( MAX(1 - MIN(facs_constr_factor*TblConstr[[#This Row],[Facs -DB]],facs_constr_max) + tech_1_11*TblTech[[#This Row],[11-1]] + tech_6_3_2*TblTech[[#This Row],[6-3]] + tech_5_2_3*TblTech[[#This Row],[5-2]], 1-global_constr_cap) * TblConstr[[#This Row],[RCPA Lumber]],0)</f>
        <v>122</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20" s="94">
        <f ca="1">ROUNDDOWN( MAX(1 - MIN(facs_constr_factor*TblConstr[[#This Row],[Facs DB]],facs_constr_max) + tech_1_11*TblTech[[#This Row],[1-11]] + tech_6_3_2*TblTech[[#This Row],[6-3]] + tech_5_2_3*TblTech[[#This Row],[5-2]], 1-global_constr_cap) * ROUND((TblConstr[[#This Row],[Land]]-250)*0.285 + 87.5 + 0/4.25,0),0)</f>
        <v>122</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1000</v>
      </c>
      <c r="AW120" s="94">
        <f ca="1">ROUND((TblConstr[[#This Row],[Land]]-250 - IF(TblExplore[[#This Row],[Land Bonus]]&lt;&gt;0,20,0))*0.285 + 87.5 + 0/4.25,0)</f>
        <v>122</v>
      </c>
      <c r="AX120" s="154"/>
      <c r="AY120" s="188" cm="1">
        <f t="array" aca="1" ref="AY120" ca="1">IF(TblConstr[[#This Row],[Hour]:[Hour]]&gt;12,OFFSET(TblConstr[[#This Row],[Hom]],-12,0),0)+OFFSET(TblConstr[[#This Row],[Tot Hom]],-1,0)-TblConstr[[#This Row],[Dest Hom]]</f>
        <v>50</v>
      </c>
      <c r="AZ120" s="189" cm="1">
        <f t="array" aca="1" ref="AZ120" ca="1">IF(TblConstr[[#This Row],[Hour]:[Hour]]&gt;12,OFFSET(TblConstr[[#This Row],[Alc]],-12,0),0)+OFFSET(TblConstr[[#This Row],[Tot Alc]],-1,0)-TblConstr[[#This Row],[Dest Alc]]</f>
        <v>50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50</v>
      </c>
      <c r="BM120" s="369" cm="1">
        <f t="array" aca="1" ref="BM120" ca="1">IF(TblConstr[[#This Row],[Hour]:[Hour]]&gt;12,OFFSET(TblConstr[[#This Row],[Tem]],-12,0),0)+OFFSET(TblConstr[[#This Row],[Tot Tem]],-1,0)-TblConstr[[#This Row],[Dest Tem]]</f>
        <v>50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50</v>
      </c>
      <c r="BP120" s="191" cm="1">
        <f t="array" aca="1" ref="BP120" ca="1">IF(TblConstr[[#This Row],[Hour]:[Hour]]&gt;12,OFFSET(TblConstr[[#This Row],[Sch]],-12,0),0)+OFFSET(TblConstr[[#This Row],[Tot Sch]],-1,0)-TblConstr[[#This Row],[Dest Sch]]</f>
        <v>50</v>
      </c>
      <c r="BQ120" s="192" cm="1">
        <f t="array" aca="1" ref="BQ120" ca="1">IF(TblConstr[[#This Row],[Hour]:[Hour]]&gt;12,OFFSET(TblConstr[[#This Row],[Doc]],-12,0),0)+OFFSET(TblConstr[[#This Row],[Tot Doc]],-1,0)-TblConstr[[#This Row],[Dest Doc]]</f>
        <v>0</v>
      </c>
      <c r="BR120" s="142"/>
      <c r="BS120" s="154"/>
      <c r="BT120" s="94">
        <f ca="1">TblConstr[[#This Row],[Land]]</f>
        <v>370</v>
      </c>
      <c r="BU120" s="159">
        <f ca="1">TblImps[[#This Row],[Time]]</f>
        <v>45819.833333333052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100</v>
      </c>
      <c r="DA120" s="94">
        <f t="shared" ca="1" si="31"/>
        <v>20</v>
      </c>
      <c r="DB120" s="45">
        <f t="shared" ca="1" si="32"/>
        <v>0</v>
      </c>
      <c r="DC120" s="94">
        <f t="shared" ca="1" si="33"/>
        <v>0</v>
      </c>
      <c r="DD120" s="94">
        <f t="shared" ca="1" si="34"/>
        <v>100</v>
      </c>
      <c r="DE120" s="45">
        <f t="shared" ca="1" si="35"/>
        <v>50</v>
      </c>
      <c r="DF120" s="94">
        <f t="shared" ca="1" si="36"/>
        <v>0</v>
      </c>
      <c r="DG120" s="94" cm="1">
        <f t="array" aca="1" ref="DG120" ca="1">INDEX(TblConstr[[Total Plain]:[Total Water]],ROW()-ROW(TblConstr[#Headers]),MATCH("Total "&amp;home_land,TblConstr[[#Headers],[Total Plain]:[Total Water]],0))+TblConstr[[#This Row],[Homes]]</f>
        <v>150</v>
      </c>
      <c r="DH120" s="45">
        <f t="shared" ca="1" si="22"/>
        <v>50</v>
      </c>
      <c r="DI120" s="45">
        <f t="shared" ca="1" si="19"/>
        <v>0</v>
      </c>
      <c r="DJ120" s="45">
        <f t="shared" ca="1" si="20"/>
        <v>0</v>
      </c>
    </row>
    <row r="121" spans="1:114" x14ac:dyDescent="0.2">
      <c r="A121" s="175">
        <f>TblRezone[[#This Row],[Hour]]</f>
        <v>118</v>
      </c>
      <c r="B121" s="176">
        <f ca="1">SUM(TblConstr[[#This Row],[Plain]:[Water]])</f>
        <v>20</v>
      </c>
      <c r="C121" s="177">
        <f ca="1">SUM(TblConstr[[#This Row],[Tot Hom]:[Tot Doc]])</f>
        <v>350</v>
      </c>
      <c r="D121" s="177">
        <f t="shared" si="21"/>
        <v>0</v>
      </c>
      <c r="E121" s="178"/>
      <c r="F121" s="61">
        <f ca="1">TblConstr[[#This Row],[Barren]]+TblConstr[[#This Row],[Buildings]]+TblConstr[[#This Row],[Incoming]]</f>
        <v>370</v>
      </c>
      <c r="G121" s="187">
        <f ca="1">OFFSET(TblConstr[[#This Row],[Plain]],-1,0)+TblConstr[[#This Row],[Ch_Plain]]</f>
        <v>20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45819.874999999716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1494558</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21" s="94">
        <f ca="1">ROUNDDOWN( MAX(1 - MIN(facs_constr_factor*TblConstr[[#This Row],[Facs -DB]],facs_constr_max) + tech_1_11*TblTech[[#This Row],[11-1]] + tech_6_3_2*TblTech[[#This Row],[6-3]] + tech_5_2_3*TblTech[[#This Row],[5-2]], 1-global_constr_cap) * TblConstr[[#This Row],[RCPA Lumber]],0)</f>
        <v>122</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21" s="94">
        <f ca="1">ROUNDDOWN( MAX(1 - MIN(facs_constr_factor*TblConstr[[#This Row],[Facs DB]],facs_constr_max) + tech_1_11*TblTech[[#This Row],[1-11]] + tech_6_3_2*TblTech[[#This Row],[6-3]] + tech_5_2_3*TblTech[[#This Row],[5-2]], 1-global_constr_cap) * ROUND((TblConstr[[#This Row],[Land]]-250)*0.285 + 87.5 + 0/4.25,0),0)</f>
        <v>122</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1000</v>
      </c>
      <c r="AW121" s="94">
        <f ca="1">ROUND((TblConstr[[#This Row],[Land]]-250 - IF(TblExplore[[#This Row],[Land Bonus]]&lt;&gt;0,20,0))*0.285 + 87.5 + 0/4.25,0)</f>
        <v>122</v>
      </c>
      <c r="AX121" s="154"/>
      <c r="AY121" s="188" cm="1">
        <f t="array" aca="1" ref="AY121" ca="1">IF(TblConstr[[#This Row],[Hour]:[Hour]]&gt;12,OFFSET(TblConstr[[#This Row],[Hom]],-12,0),0)+OFFSET(TblConstr[[#This Row],[Tot Hom]],-1,0)-TblConstr[[#This Row],[Dest Hom]]</f>
        <v>50</v>
      </c>
      <c r="AZ121" s="189" cm="1">
        <f t="array" aca="1" ref="AZ121" ca="1">IF(TblConstr[[#This Row],[Hour]:[Hour]]&gt;12,OFFSET(TblConstr[[#This Row],[Alc]],-12,0),0)+OFFSET(TblConstr[[#This Row],[Tot Alc]],-1,0)-TblConstr[[#This Row],[Dest Alc]]</f>
        <v>50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50</v>
      </c>
      <c r="BM121" s="369" cm="1">
        <f t="array" aca="1" ref="BM121" ca="1">IF(TblConstr[[#This Row],[Hour]:[Hour]]&gt;12,OFFSET(TblConstr[[#This Row],[Tem]],-12,0),0)+OFFSET(TblConstr[[#This Row],[Tot Tem]],-1,0)-TblConstr[[#This Row],[Dest Tem]]</f>
        <v>50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50</v>
      </c>
      <c r="BP121" s="191" cm="1">
        <f t="array" aca="1" ref="BP121" ca="1">IF(TblConstr[[#This Row],[Hour]:[Hour]]&gt;12,OFFSET(TblConstr[[#This Row],[Sch]],-12,0),0)+OFFSET(TblConstr[[#This Row],[Tot Sch]],-1,0)-TblConstr[[#This Row],[Dest Sch]]</f>
        <v>50</v>
      </c>
      <c r="BQ121" s="192" cm="1">
        <f t="array" aca="1" ref="BQ121" ca="1">IF(TblConstr[[#This Row],[Hour]:[Hour]]&gt;12,OFFSET(TblConstr[[#This Row],[Doc]],-12,0),0)+OFFSET(TblConstr[[#This Row],[Tot Doc]],-1,0)-TblConstr[[#This Row],[Dest Doc]]</f>
        <v>0</v>
      </c>
      <c r="BR121" s="142"/>
      <c r="BS121" s="154"/>
      <c r="BT121" s="94">
        <f ca="1">TblConstr[[#This Row],[Land]]</f>
        <v>370</v>
      </c>
      <c r="BU121" s="159">
        <f ca="1">TblImps[[#This Row],[Time]]</f>
        <v>45819.874999999716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100</v>
      </c>
      <c r="DA121" s="94">
        <f t="shared" ca="1" si="31"/>
        <v>20</v>
      </c>
      <c r="DB121" s="45">
        <f t="shared" ca="1" si="32"/>
        <v>0</v>
      </c>
      <c r="DC121" s="94">
        <f t="shared" ca="1" si="33"/>
        <v>0</v>
      </c>
      <c r="DD121" s="94">
        <f t="shared" ca="1" si="34"/>
        <v>100</v>
      </c>
      <c r="DE121" s="45">
        <f t="shared" ca="1" si="35"/>
        <v>50</v>
      </c>
      <c r="DF121" s="94">
        <f t="shared" ca="1" si="36"/>
        <v>0</v>
      </c>
      <c r="DG121" s="94" cm="1">
        <f t="array" aca="1" ref="DG121" ca="1">INDEX(TblConstr[[Total Plain]:[Total Water]],ROW()-ROW(TblConstr[#Headers]),MATCH("Total "&amp;home_land,TblConstr[[#Headers],[Total Plain]:[Total Water]],0))+TblConstr[[#This Row],[Homes]]</f>
        <v>150</v>
      </c>
      <c r="DH121" s="45">
        <f t="shared" ca="1" si="22"/>
        <v>50</v>
      </c>
      <c r="DI121" s="45">
        <f t="shared" ca="1" si="19"/>
        <v>0</v>
      </c>
      <c r="DJ121" s="45">
        <f t="shared" ca="1" si="20"/>
        <v>0</v>
      </c>
    </row>
    <row r="122" spans="1:114" x14ac:dyDescent="0.2">
      <c r="A122" s="175">
        <f>TblRezone[[#This Row],[Hour]]</f>
        <v>119</v>
      </c>
      <c r="B122" s="176">
        <f ca="1">SUM(TblConstr[[#This Row],[Plain]:[Water]])</f>
        <v>20</v>
      </c>
      <c r="C122" s="177">
        <f ca="1">SUM(TblConstr[[#This Row],[Tot Hom]:[Tot Doc]])</f>
        <v>350</v>
      </c>
      <c r="D122" s="177">
        <f t="shared" si="21"/>
        <v>0</v>
      </c>
      <c r="E122" s="178"/>
      <c r="F122" s="61">
        <f ca="1">TblConstr[[#This Row],[Barren]]+TblConstr[[#This Row],[Buildings]]+TblConstr[[#This Row],[Incoming]]</f>
        <v>370</v>
      </c>
      <c r="G122" s="187">
        <f ca="1">OFFSET(TblConstr[[#This Row],[Plain]],-1,0)+TblConstr[[#This Row],[Ch_Plain]]</f>
        <v>20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45819.91666666638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1501765</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22" s="94">
        <f ca="1">ROUNDDOWN( MAX(1 - MIN(facs_constr_factor*TblConstr[[#This Row],[Facs -DB]],facs_constr_max) + tech_1_11*TblTech[[#This Row],[11-1]] + tech_6_3_2*TblTech[[#This Row],[6-3]] + tech_5_2_3*TblTech[[#This Row],[5-2]], 1-global_constr_cap) * TblConstr[[#This Row],[RCPA Lumber]],0)</f>
        <v>122</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22" s="94">
        <f ca="1">ROUNDDOWN( MAX(1 - MIN(facs_constr_factor*TblConstr[[#This Row],[Facs DB]],facs_constr_max) + tech_1_11*TblTech[[#This Row],[1-11]] + tech_6_3_2*TblTech[[#This Row],[6-3]] + tech_5_2_3*TblTech[[#This Row],[5-2]], 1-global_constr_cap) * ROUND((TblConstr[[#This Row],[Land]]-250)*0.285 + 87.5 + 0/4.25,0),0)</f>
        <v>122</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1000</v>
      </c>
      <c r="AW122" s="94">
        <f ca="1">ROUND((TblConstr[[#This Row],[Land]]-250 - IF(TblExplore[[#This Row],[Land Bonus]]&lt;&gt;0,20,0))*0.285 + 87.5 + 0/4.25,0)</f>
        <v>122</v>
      </c>
      <c r="AX122" s="154"/>
      <c r="AY122" s="188" cm="1">
        <f t="array" aca="1" ref="AY122" ca="1">IF(TblConstr[[#This Row],[Hour]:[Hour]]&gt;12,OFFSET(TblConstr[[#This Row],[Hom]],-12,0),0)+OFFSET(TblConstr[[#This Row],[Tot Hom]],-1,0)-TblConstr[[#This Row],[Dest Hom]]</f>
        <v>50</v>
      </c>
      <c r="AZ122" s="189" cm="1">
        <f t="array" aca="1" ref="AZ122" ca="1">IF(TblConstr[[#This Row],[Hour]:[Hour]]&gt;12,OFFSET(TblConstr[[#This Row],[Alc]],-12,0),0)+OFFSET(TblConstr[[#This Row],[Tot Alc]],-1,0)-TblConstr[[#This Row],[Dest Alc]]</f>
        <v>50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50</v>
      </c>
      <c r="BM122" s="369" cm="1">
        <f t="array" aca="1" ref="BM122" ca="1">IF(TblConstr[[#This Row],[Hour]:[Hour]]&gt;12,OFFSET(TblConstr[[#This Row],[Tem]],-12,0),0)+OFFSET(TblConstr[[#This Row],[Tot Tem]],-1,0)-TblConstr[[#This Row],[Dest Tem]]</f>
        <v>50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50</v>
      </c>
      <c r="BP122" s="191" cm="1">
        <f t="array" aca="1" ref="BP122" ca="1">IF(TblConstr[[#This Row],[Hour]:[Hour]]&gt;12,OFFSET(TblConstr[[#This Row],[Sch]],-12,0),0)+OFFSET(TblConstr[[#This Row],[Tot Sch]],-1,0)-TblConstr[[#This Row],[Dest Sch]]</f>
        <v>50</v>
      </c>
      <c r="BQ122" s="192" cm="1">
        <f t="array" aca="1" ref="BQ122" ca="1">IF(TblConstr[[#This Row],[Hour]:[Hour]]&gt;12,OFFSET(TblConstr[[#This Row],[Doc]],-12,0),0)+OFFSET(TblConstr[[#This Row],[Tot Doc]],-1,0)-TblConstr[[#This Row],[Dest Doc]]</f>
        <v>0</v>
      </c>
      <c r="BR122" s="142"/>
      <c r="BS122" s="154"/>
      <c r="BT122" s="94">
        <f ca="1">TblConstr[[#This Row],[Land]]</f>
        <v>370</v>
      </c>
      <c r="BU122" s="159">
        <f ca="1">TblImps[[#This Row],[Time]]</f>
        <v>45819.91666666638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100</v>
      </c>
      <c r="DA122" s="94">
        <f t="shared" ca="1" si="31"/>
        <v>20</v>
      </c>
      <c r="DB122" s="45">
        <f t="shared" ca="1" si="32"/>
        <v>0</v>
      </c>
      <c r="DC122" s="94">
        <f t="shared" ca="1" si="33"/>
        <v>0</v>
      </c>
      <c r="DD122" s="94">
        <f t="shared" ca="1" si="34"/>
        <v>100</v>
      </c>
      <c r="DE122" s="45">
        <f t="shared" ca="1" si="35"/>
        <v>50</v>
      </c>
      <c r="DF122" s="94">
        <f t="shared" ca="1" si="36"/>
        <v>0</v>
      </c>
      <c r="DG122" s="94" cm="1">
        <f t="array" aca="1" ref="DG122" ca="1">INDEX(TblConstr[[Total Plain]:[Total Water]],ROW()-ROW(TblConstr[#Headers]),MATCH("Total "&amp;home_land,TblConstr[[#Headers],[Total Plain]:[Total Water]],0))+TblConstr[[#This Row],[Homes]]</f>
        <v>150</v>
      </c>
      <c r="DH122" s="45">
        <f t="shared" ca="1" si="22"/>
        <v>50</v>
      </c>
      <c r="DI122" s="45">
        <f t="shared" ca="1" si="19"/>
        <v>0</v>
      </c>
      <c r="DJ122" s="45">
        <f t="shared" ca="1" si="20"/>
        <v>0</v>
      </c>
    </row>
    <row r="123" spans="1:114" x14ac:dyDescent="0.2">
      <c r="A123" s="175">
        <f>TblRezone[[#This Row],[Hour]]</f>
        <v>120</v>
      </c>
      <c r="B123" s="176">
        <f ca="1">SUM(TblConstr[[#This Row],[Plain]:[Water]])</f>
        <v>20</v>
      </c>
      <c r="C123" s="177">
        <f ca="1">SUM(TblConstr[[#This Row],[Tot Hom]:[Tot Doc]])</f>
        <v>350</v>
      </c>
      <c r="D123" s="177">
        <f t="shared" si="21"/>
        <v>0</v>
      </c>
      <c r="E123" s="178"/>
      <c r="F123" s="61">
        <f ca="1">TblConstr[[#This Row],[Barren]]+TblConstr[[#This Row],[Buildings]]+TblConstr[[#This Row],[Incoming]]</f>
        <v>370</v>
      </c>
      <c r="G123" s="187">
        <f ca="1">OFFSET(TblConstr[[#This Row],[Plain]],-1,0)+TblConstr[[#This Row],[Ch_Plain]]</f>
        <v>20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45819.958333333045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1508923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23" s="94">
        <f ca="1">ROUNDDOWN( MAX(1 - MIN(facs_constr_factor*TblConstr[[#This Row],[Facs -DB]],facs_constr_max) + tech_1_11*TblTech[[#This Row],[11-1]] + tech_6_3_2*TblTech[[#This Row],[6-3]] + tech_5_2_3*TblTech[[#This Row],[5-2]], 1-global_constr_cap) * TblConstr[[#This Row],[RCPA Lumber]],0)</f>
        <v>122</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23" s="94">
        <f ca="1">ROUNDDOWN( MAX(1 - MIN(facs_constr_factor*TblConstr[[#This Row],[Facs DB]],facs_constr_max) + tech_1_11*TblTech[[#This Row],[1-11]] + tech_6_3_2*TblTech[[#This Row],[6-3]] + tech_5_2_3*TblTech[[#This Row],[5-2]], 1-global_constr_cap) * ROUND((TblConstr[[#This Row],[Land]]-250)*0.285 + 87.5 + 0/4.25,0),0)</f>
        <v>122</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1000</v>
      </c>
      <c r="AW123" s="94">
        <f ca="1">ROUND((TblConstr[[#This Row],[Land]]-250 - IF(TblExplore[[#This Row],[Land Bonus]]&lt;&gt;0,20,0))*0.285 + 87.5 + 0/4.25,0)</f>
        <v>122</v>
      </c>
      <c r="AX123" s="154"/>
      <c r="AY123" s="188" cm="1">
        <f t="array" aca="1" ref="AY123" ca="1">IF(TblConstr[[#This Row],[Hour]:[Hour]]&gt;12,OFFSET(TblConstr[[#This Row],[Hom]],-12,0),0)+OFFSET(TblConstr[[#This Row],[Tot Hom]],-1,0)-TblConstr[[#This Row],[Dest Hom]]</f>
        <v>50</v>
      </c>
      <c r="AZ123" s="189" cm="1">
        <f t="array" aca="1" ref="AZ123" ca="1">IF(TblConstr[[#This Row],[Hour]:[Hour]]&gt;12,OFFSET(TblConstr[[#This Row],[Alc]],-12,0),0)+OFFSET(TblConstr[[#This Row],[Tot Alc]],-1,0)-TblConstr[[#This Row],[Dest Alc]]</f>
        <v>50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50</v>
      </c>
      <c r="BM123" s="369" cm="1">
        <f t="array" aca="1" ref="BM123" ca="1">IF(TblConstr[[#This Row],[Hour]:[Hour]]&gt;12,OFFSET(TblConstr[[#This Row],[Tem]],-12,0),0)+OFFSET(TblConstr[[#This Row],[Tot Tem]],-1,0)-TblConstr[[#This Row],[Dest Tem]]</f>
        <v>50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50</v>
      </c>
      <c r="BP123" s="191" cm="1">
        <f t="array" aca="1" ref="BP123" ca="1">IF(TblConstr[[#This Row],[Hour]:[Hour]]&gt;12,OFFSET(TblConstr[[#This Row],[Sch]],-12,0),0)+OFFSET(TblConstr[[#This Row],[Tot Sch]],-1,0)-TblConstr[[#This Row],[Dest Sch]]</f>
        <v>50</v>
      </c>
      <c r="BQ123" s="192" cm="1">
        <f t="array" aca="1" ref="BQ123" ca="1">IF(TblConstr[[#This Row],[Hour]:[Hour]]&gt;12,OFFSET(TblConstr[[#This Row],[Doc]],-12,0),0)+OFFSET(TblConstr[[#This Row],[Tot Doc]],-1,0)-TblConstr[[#This Row],[Dest Doc]]</f>
        <v>0</v>
      </c>
      <c r="BR123" s="142"/>
      <c r="BS123" s="154"/>
      <c r="BT123" s="94">
        <f ca="1">TblConstr[[#This Row],[Land]]</f>
        <v>370</v>
      </c>
      <c r="BU123" s="159">
        <f ca="1">TblImps[[#This Row],[Time]]</f>
        <v>45819.958333333045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100</v>
      </c>
      <c r="DA123" s="94">
        <f t="shared" ca="1" si="31"/>
        <v>20</v>
      </c>
      <c r="DB123" s="45">
        <f t="shared" ca="1" si="32"/>
        <v>0</v>
      </c>
      <c r="DC123" s="94">
        <f t="shared" ca="1" si="33"/>
        <v>0</v>
      </c>
      <c r="DD123" s="94">
        <f t="shared" ca="1" si="34"/>
        <v>100</v>
      </c>
      <c r="DE123" s="45">
        <f t="shared" ca="1" si="35"/>
        <v>50</v>
      </c>
      <c r="DF123" s="94">
        <f t="shared" ca="1" si="36"/>
        <v>0</v>
      </c>
      <c r="DG123" s="94" cm="1">
        <f t="array" aca="1" ref="DG123" ca="1">INDEX(TblConstr[[Total Plain]:[Total Water]],ROW()-ROW(TblConstr[#Headers]),MATCH("Total "&amp;home_land,TblConstr[[#Headers],[Total Plain]:[Total Water]],0))+TblConstr[[#This Row],[Homes]]</f>
        <v>150</v>
      </c>
      <c r="DH123" s="45">
        <f t="shared" ca="1" si="22"/>
        <v>50</v>
      </c>
      <c r="DI123" s="45">
        <f t="shared" ca="1" si="19"/>
        <v>0</v>
      </c>
      <c r="DJ123" s="45">
        <f t="shared" ca="1" si="20"/>
        <v>0</v>
      </c>
    </row>
    <row r="124" spans="1:114" x14ac:dyDescent="0.2">
      <c r="A124" s="175">
        <f>TblRezone[[#This Row],[Hour]]</f>
        <v>121</v>
      </c>
      <c r="B124" s="176">
        <f ca="1">SUM(TblConstr[[#This Row],[Plain]:[Water]])</f>
        <v>20</v>
      </c>
      <c r="C124" s="177">
        <f ca="1">SUM(TblConstr[[#This Row],[Tot Hom]:[Tot Doc]])</f>
        <v>350</v>
      </c>
      <c r="D124" s="177">
        <f t="shared" si="21"/>
        <v>0</v>
      </c>
      <c r="E124" s="178"/>
      <c r="F124" s="61">
        <f ca="1">TblConstr[[#This Row],[Barren]]+TblConstr[[#This Row],[Buildings]]+TblConstr[[#This Row],[Incoming]]</f>
        <v>370</v>
      </c>
      <c r="G124" s="187">
        <f ca="1">OFFSET(TblConstr[[#This Row],[Plain]],-1,0)+TblConstr[[#This Row],[Ch_Plain]]</f>
        <v>20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45819.999999999709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1516033</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24" s="94">
        <f ca="1">ROUNDDOWN( MAX(1 - MIN(facs_constr_factor*TblConstr[[#This Row],[Facs -DB]],facs_constr_max) + tech_1_11*TblTech[[#This Row],[11-1]] + tech_6_3_2*TblTech[[#This Row],[6-3]] + tech_5_2_3*TblTech[[#This Row],[5-2]], 1-global_constr_cap) * TblConstr[[#This Row],[RCPA Lumber]],0)</f>
        <v>122</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24" s="94">
        <f ca="1">ROUNDDOWN( MAX(1 - MIN(facs_constr_factor*TblConstr[[#This Row],[Facs DB]],facs_constr_max) + tech_1_11*TblTech[[#This Row],[1-11]] + tech_6_3_2*TblTech[[#This Row],[6-3]] + tech_5_2_3*TblTech[[#This Row],[5-2]], 1-global_constr_cap) * ROUND((TblConstr[[#This Row],[Land]]-250)*0.285 + 87.5 + 0/4.25,0),0)</f>
        <v>122</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1000</v>
      </c>
      <c r="AW124" s="94">
        <f ca="1">ROUND((TblConstr[[#This Row],[Land]]-250 - IF(TblExplore[[#This Row],[Land Bonus]]&lt;&gt;0,20,0))*0.285 + 87.5 + 0/4.25,0)</f>
        <v>122</v>
      </c>
      <c r="AX124" s="154"/>
      <c r="AY124" s="188" cm="1">
        <f t="array" aca="1" ref="AY124" ca="1">IF(TblConstr[[#This Row],[Hour]:[Hour]]&gt;12,OFFSET(TblConstr[[#This Row],[Hom]],-12,0),0)+OFFSET(TblConstr[[#This Row],[Tot Hom]],-1,0)-TblConstr[[#This Row],[Dest Hom]]</f>
        <v>50</v>
      </c>
      <c r="AZ124" s="189" cm="1">
        <f t="array" aca="1" ref="AZ124" ca="1">IF(TblConstr[[#This Row],[Hour]:[Hour]]&gt;12,OFFSET(TblConstr[[#This Row],[Alc]],-12,0),0)+OFFSET(TblConstr[[#This Row],[Tot Alc]],-1,0)-TblConstr[[#This Row],[Dest Alc]]</f>
        <v>50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50</v>
      </c>
      <c r="BM124" s="369" cm="1">
        <f t="array" aca="1" ref="BM124" ca="1">IF(TblConstr[[#This Row],[Hour]:[Hour]]&gt;12,OFFSET(TblConstr[[#This Row],[Tem]],-12,0),0)+OFFSET(TblConstr[[#This Row],[Tot Tem]],-1,0)-TblConstr[[#This Row],[Dest Tem]]</f>
        <v>50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50</v>
      </c>
      <c r="BP124" s="191" cm="1">
        <f t="array" aca="1" ref="BP124" ca="1">IF(TblConstr[[#This Row],[Hour]:[Hour]]&gt;12,OFFSET(TblConstr[[#This Row],[Sch]],-12,0),0)+OFFSET(TblConstr[[#This Row],[Tot Sch]],-1,0)-TblConstr[[#This Row],[Dest Sch]]</f>
        <v>50</v>
      </c>
      <c r="BQ124" s="192" cm="1">
        <f t="array" aca="1" ref="BQ124" ca="1">IF(TblConstr[[#This Row],[Hour]:[Hour]]&gt;12,OFFSET(TblConstr[[#This Row],[Doc]],-12,0),0)+OFFSET(TblConstr[[#This Row],[Tot Doc]],-1,0)-TblConstr[[#This Row],[Dest Doc]]</f>
        <v>0</v>
      </c>
      <c r="BR124" s="142"/>
      <c r="BS124" s="154"/>
      <c r="BT124" s="94">
        <f ca="1">TblConstr[[#This Row],[Land]]</f>
        <v>370</v>
      </c>
      <c r="BU124" s="159">
        <f ca="1">TblImps[[#This Row],[Time]]</f>
        <v>45819.999999999709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100</v>
      </c>
      <c r="DA124" s="94">
        <f t="shared" ca="1" si="31"/>
        <v>20</v>
      </c>
      <c r="DB124" s="45">
        <f t="shared" ca="1" si="32"/>
        <v>0</v>
      </c>
      <c r="DC124" s="94">
        <f t="shared" ca="1" si="33"/>
        <v>0</v>
      </c>
      <c r="DD124" s="94">
        <f t="shared" ca="1" si="34"/>
        <v>100</v>
      </c>
      <c r="DE124" s="45">
        <f t="shared" ca="1" si="35"/>
        <v>50</v>
      </c>
      <c r="DF124" s="94">
        <f t="shared" ca="1" si="36"/>
        <v>0</v>
      </c>
      <c r="DG124" s="94" cm="1">
        <f t="array" aca="1" ref="DG124" ca="1">INDEX(TblConstr[[Total Plain]:[Total Water]],ROW()-ROW(TblConstr[#Headers]),MATCH("Total "&amp;home_land,TblConstr[[#Headers],[Total Plain]:[Total Water]],0))+TblConstr[[#This Row],[Homes]]</f>
        <v>150</v>
      </c>
      <c r="DH124" s="45">
        <f t="shared" ca="1" si="22"/>
        <v>50</v>
      </c>
      <c r="DI124" s="45">
        <f t="shared" ca="1" si="19"/>
        <v>0</v>
      </c>
      <c r="DJ124" s="45">
        <f t="shared" ca="1" si="20"/>
        <v>0</v>
      </c>
    </row>
    <row r="125" spans="1:114" x14ac:dyDescent="0.2">
      <c r="A125" s="175">
        <f>TblRezone[[#This Row],[Hour]]</f>
        <v>122</v>
      </c>
      <c r="B125" s="176">
        <f ca="1">SUM(TblConstr[[#This Row],[Plain]:[Water]])</f>
        <v>20</v>
      </c>
      <c r="C125" s="177">
        <f ca="1">SUM(TblConstr[[#This Row],[Tot Hom]:[Tot Doc]])</f>
        <v>350</v>
      </c>
      <c r="D125" s="177">
        <f t="shared" si="21"/>
        <v>0</v>
      </c>
      <c r="E125" s="178"/>
      <c r="F125" s="61">
        <f ca="1">TblConstr[[#This Row],[Barren]]+TblConstr[[#This Row],[Buildings]]+TblConstr[[#This Row],[Incoming]]</f>
        <v>370</v>
      </c>
      <c r="G125" s="187">
        <f ca="1">OFFSET(TblConstr[[#This Row],[Plain]],-1,0)+TblConstr[[#This Row],[Ch_Plain]]</f>
        <v>20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45820.041666666373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1523094</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25" s="94">
        <f ca="1">ROUNDDOWN( MAX(1 - MIN(facs_constr_factor*TblConstr[[#This Row],[Facs -DB]],facs_constr_max) + tech_1_11*TblTech[[#This Row],[11-1]] + tech_6_3_2*TblTech[[#This Row],[6-3]] + tech_5_2_3*TblTech[[#This Row],[5-2]], 1-global_constr_cap) * TblConstr[[#This Row],[RCPA Lumber]],0)</f>
        <v>122</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25" s="94">
        <f ca="1">ROUNDDOWN( MAX(1 - MIN(facs_constr_factor*TblConstr[[#This Row],[Facs DB]],facs_constr_max) + tech_1_11*TblTech[[#This Row],[1-11]] + tech_6_3_2*TblTech[[#This Row],[6-3]] + tech_5_2_3*TblTech[[#This Row],[5-2]], 1-global_constr_cap) * ROUND((TblConstr[[#This Row],[Land]]-250)*0.285 + 87.5 + 0/4.25,0),0)</f>
        <v>122</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1000</v>
      </c>
      <c r="AW125" s="94">
        <f ca="1">ROUND((TblConstr[[#This Row],[Land]]-250 - IF(TblExplore[[#This Row],[Land Bonus]]&lt;&gt;0,20,0))*0.285 + 87.5 + 0/4.25,0)</f>
        <v>122</v>
      </c>
      <c r="AX125" s="154"/>
      <c r="AY125" s="188" cm="1">
        <f t="array" aca="1" ref="AY125" ca="1">IF(TblConstr[[#This Row],[Hour]:[Hour]]&gt;12,OFFSET(TblConstr[[#This Row],[Hom]],-12,0),0)+OFFSET(TblConstr[[#This Row],[Tot Hom]],-1,0)-TblConstr[[#This Row],[Dest Hom]]</f>
        <v>50</v>
      </c>
      <c r="AZ125" s="189" cm="1">
        <f t="array" aca="1" ref="AZ125" ca="1">IF(TblConstr[[#This Row],[Hour]:[Hour]]&gt;12,OFFSET(TblConstr[[#This Row],[Alc]],-12,0),0)+OFFSET(TblConstr[[#This Row],[Tot Alc]],-1,0)-TblConstr[[#This Row],[Dest Alc]]</f>
        <v>50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50</v>
      </c>
      <c r="BM125" s="369" cm="1">
        <f t="array" aca="1" ref="BM125" ca="1">IF(TblConstr[[#This Row],[Hour]:[Hour]]&gt;12,OFFSET(TblConstr[[#This Row],[Tem]],-12,0),0)+OFFSET(TblConstr[[#This Row],[Tot Tem]],-1,0)-TblConstr[[#This Row],[Dest Tem]]</f>
        <v>50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50</v>
      </c>
      <c r="BP125" s="191" cm="1">
        <f t="array" aca="1" ref="BP125" ca="1">IF(TblConstr[[#This Row],[Hour]:[Hour]]&gt;12,OFFSET(TblConstr[[#This Row],[Sch]],-12,0),0)+OFFSET(TblConstr[[#This Row],[Tot Sch]],-1,0)-TblConstr[[#This Row],[Dest Sch]]</f>
        <v>50</v>
      </c>
      <c r="BQ125" s="192" cm="1">
        <f t="array" aca="1" ref="BQ125" ca="1">IF(TblConstr[[#This Row],[Hour]:[Hour]]&gt;12,OFFSET(TblConstr[[#This Row],[Doc]],-12,0),0)+OFFSET(TblConstr[[#This Row],[Tot Doc]],-1,0)-TblConstr[[#This Row],[Dest Doc]]</f>
        <v>0</v>
      </c>
      <c r="BR125" s="142"/>
      <c r="BS125" s="154"/>
      <c r="BT125" s="94">
        <f ca="1">TblConstr[[#This Row],[Land]]</f>
        <v>370</v>
      </c>
      <c r="BU125" s="159">
        <f ca="1">TblImps[[#This Row],[Time]]</f>
        <v>45820.041666666373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100</v>
      </c>
      <c r="DA125" s="94">
        <f t="shared" ca="1" si="31"/>
        <v>20</v>
      </c>
      <c r="DB125" s="45">
        <f t="shared" ca="1" si="32"/>
        <v>0</v>
      </c>
      <c r="DC125" s="94">
        <f t="shared" ca="1" si="33"/>
        <v>0</v>
      </c>
      <c r="DD125" s="94">
        <f t="shared" ca="1" si="34"/>
        <v>100</v>
      </c>
      <c r="DE125" s="45">
        <f t="shared" ca="1" si="35"/>
        <v>50</v>
      </c>
      <c r="DF125" s="94">
        <f t="shared" ca="1" si="36"/>
        <v>0</v>
      </c>
      <c r="DG125" s="94" cm="1">
        <f t="array" aca="1" ref="DG125" ca="1">INDEX(TblConstr[[Total Plain]:[Total Water]],ROW()-ROW(TblConstr[#Headers]),MATCH("Total "&amp;home_land,TblConstr[[#Headers],[Total Plain]:[Total Water]],0))+TblConstr[[#This Row],[Homes]]</f>
        <v>150</v>
      </c>
      <c r="DH125" s="45">
        <f t="shared" ca="1" si="22"/>
        <v>50</v>
      </c>
      <c r="DI125" s="45">
        <f t="shared" ca="1" si="19"/>
        <v>0</v>
      </c>
      <c r="DJ125" s="45">
        <f t="shared" ca="1" si="20"/>
        <v>0</v>
      </c>
    </row>
    <row r="126" spans="1:114" x14ac:dyDescent="0.2">
      <c r="A126" s="175">
        <f>TblRezone[[#This Row],[Hour]]</f>
        <v>123</v>
      </c>
      <c r="B126" s="176">
        <f ca="1">SUM(TblConstr[[#This Row],[Plain]:[Water]])</f>
        <v>20</v>
      </c>
      <c r="C126" s="177">
        <f ca="1">SUM(TblConstr[[#This Row],[Tot Hom]:[Tot Doc]])</f>
        <v>350</v>
      </c>
      <c r="D126" s="177">
        <f t="shared" si="21"/>
        <v>0</v>
      </c>
      <c r="E126" s="178"/>
      <c r="F126" s="61">
        <f ca="1">TblConstr[[#This Row],[Barren]]+TblConstr[[#This Row],[Buildings]]+TblConstr[[#This Row],[Incoming]]</f>
        <v>370</v>
      </c>
      <c r="G126" s="187">
        <f ca="1">OFFSET(TblConstr[[#This Row],[Plain]],-1,0)+TblConstr[[#This Row],[Ch_Plain]]</f>
        <v>20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45820.083333333037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1530106</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26" s="94">
        <f ca="1">ROUNDDOWN( MAX(1 - MIN(facs_constr_factor*TblConstr[[#This Row],[Facs -DB]],facs_constr_max) + tech_1_11*TblTech[[#This Row],[11-1]] + tech_6_3_2*TblTech[[#This Row],[6-3]] + tech_5_2_3*TblTech[[#This Row],[5-2]], 1-global_constr_cap) * TblConstr[[#This Row],[RCPA Lumber]],0)</f>
        <v>122</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26" s="94">
        <f ca="1">ROUNDDOWN( MAX(1 - MIN(facs_constr_factor*TblConstr[[#This Row],[Facs DB]],facs_constr_max) + tech_1_11*TblTech[[#This Row],[1-11]] + tech_6_3_2*TblTech[[#This Row],[6-3]] + tech_5_2_3*TblTech[[#This Row],[5-2]], 1-global_constr_cap) * ROUND((TblConstr[[#This Row],[Land]]-250)*0.285 + 87.5 + 0/4.25,0),0)</f>
        <v>122</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1000</v>
      </c>
      <c r="AW126" s="94">
        <f ca="1">ROUND((TblConstr[[#This Row],[Land]]-250 - IF(TblExplore[[#This Row],[Land Bonus]]&lt;&gt;0,20,0))*0.285 + 87.5 + 0/4.25,0)</f>
        <v>122</v>
      </c>
      <c r="AX126" s="154"/>
      <c r="AY126" s="188" cm="1">
        <f t="array" aca="1" ref="AY126" ca="1">IF(TblConstr[[#This Row],[Hour]:[Hour]]&gt;12,OFFSET(TblConstr[[#This Row],[Hom]],-12,0),0)+OFFSET(TblConstr[[#This Row],[Tot Hom]],-1,0)-TblConstr[[#This Row],[Dest Hom]]</f>
        <v>50</v>
      </c>
      <c r="AZ126" s="189" cm="1">
        <f t="array" aca="1" ref="AZ126" ca="1">IF(TblConstr[[#This Row],[Hour]:[Hour]]&gt;12,OFFSET(TblConstr[[#This Row],[Alc]],-12,0),0)+OFFSET(TblConstr[[#This Row],[Tot Alc]],-1,0)-TblConstr[[#This Row],[Dest Alc]]</f>
        <v>50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50</v>
      </c>
      <c r="BM126" s="369" cm="1">
        <f t="array" aca="1" ref="BM126" ca="1">IF(TblConstr[[#This Row],[Hour]:[Hour]]&gt;12,OFFSET(TblConstr[[#This Row],[Tem]],-12,0),0)+OFFSET(TblConstr[[#This Row],[Tot Tem]],-1,0)-TblConstr[[#This Row],[Dest Tem]]</f>
        <v>50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50</v>
      </c>
      <c r="BP126" s="191" cm="1">
        <f t="array" aca="1" ref="BP126" ca="1">IF(TblConstr[[#This Row],[Hour]:[Hour]]&gt;12,OFFSET(TblConstr[[#This Row],[Sch]],-12,0),0)+OFFSET(TblConstr[[#This Row],[Tot Sch]],-1,0)-TblConstr[[#This Row],[Dest Sch]]</f>
        <v>50</v>
      </c>
      <c r="BQ126" s="192" cm="1">
        <f t="array" aca="1" ref="BQ126" ca="1">IF(TblConstr[[#This Row],[Hour]:[Hour]]&gt;12,OFFSET(TblConstr[[#This Row],[Doc]],-12,0),0)+OFFSET(TblConstr[[#This Row],[Tot Doc]],-1,0)-TblConstr[[#This Row],[Dest Doc]]</f>
        <v>0</v>
      </c>
      <c r="BR126" s="142"/>
      <c r="BS126" s="154"/>
      <c r="BT126" s="94">
        <f ca="1">TblConstr[[#This Row],[Land]]</f>
        <v>370</v>
      </c>
      <c r="BU126" s="159">
        <f ca="1">TblImps[[#This Row],[Time]]</f>
        <v>45820.083333333037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100</v>
      </c>
      <c r="DA126" s="94">
        <f t="shared" ca="1" si="31"/>
        <v>20</v>
      </c>
      <c r="DB126" s="45">
        <f t="shared" ca="1" si="32"/>
        <v>0</v>
      </c>
      <c r="DC126" s="94">
        <f t="shared" ca="1" si="33"/>
        <v>0</v>
      </c>
      <c r="DD126" s="94">
        <f t="shared" ca="1" si="34"/>
        <v>100</v>
      </c>
      <c r="DE126" s="45">
        <f t="shared" ca="1" si="35"/>
        <v>50</v>
      </c>
      <c r="DF126" s="94">
        <f t="shared" ca="1" si="36"/>
        <v>0</v>
      </c>
      <c r="DG126" s="94" cm="1">
        <f t="array" aca="1" ref="DG126" ca="1">INDEX(TblConstr[[Total Plain]:[Total Water]],ROW()-ROW(TblConstr[#Headers]),MATCH("Total "&amp;home_land,TblConstr[[#Headers],[Total Plain]:[Total Water]],0))+TblConstr[[#This Row],[Homes]]</f>
        <v>150</v>
      </c>
      <c r="DH126" s="45">
        <f t="shared" ca="1" si="22"/>
        <v>50</v>
      </c>
      <c r="DI126" s="45">
        <f t="shared" ca="1" si="19"/>
        <v>0</v>
      </c>
      <c r="DJ126" s="45">
        <f t="shared" ca="1" si="20"/>
        <v>0</v>
      </c>
    </row>
    <row r="127" spans="1:114" x14ac:dyDescent="0.2">
      <c r="A127" s="175">
        <f>TblRezone[[#This Row],[Hour]]</f>
        <v>124</v>
      </c>
      <c r="B127" s="176">
        <f ca="1">SUM(TblConstr[[#This Row],[Plain]:[Water]])</f>
        <v>20</v>
      </c>
      <c r="C127" s="177">
        <f ca="1">SUM(TblConstr[[#This Row],[Tot Hom]:[Tot Doc]])</f>
        <v>350</v>
      </c>
      <c r="D127" s="177">
        <f t="shared" si="21"/>
        <v>0</v>
      </c>
      <c r="E127" s="178"/>
      <c r="F127" s="61">
        <f ca="1">TblConstr[[#This Row],[Barren]]+TblConstr[[#This Row],[Buildings]]+TblConstr[[#This Row],[Incoming]]</f>
        <v>370</v>
      </c>
      <c r="G127" s="187">
        <f ca="1">OFFSET(TblConstr[[#This Row],[Plain]],-1,0)+TblConstr[[#This Row],[Ch_Plain]]</f>
        <v>20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45820.124999999702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1537070</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27" s="94">
        <f ca="1">ROUNDDOWN( MAX(1 - MIN(facs_constr_factor*TblConstr[[#This Row],[Facs -DB]],facs_constr_max) + tech_1_11*TblTech[[#This Row],[11-1]] + tech_6_3_2*TblTech[[#This Row],[6-3]] + tech_5_2_3*TblTech[[#This Row],[5-2]], 1-global_constr_cap) * TblConstr[[#This Row],[RCPA Lumber]],0)</f>
        <v>122</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27" s="94">
        <f ca="1">ROUNDDOWN( MAX(1 - MIN(facs_constr_factor*TblConstr[[#This Row],[Facs DB]],facs_constr_max) + tech_1_11*TblTech[[#This Row],[1-11]] + tech_6_3_2*TblTech[[#This Row],[6-3]] + tech_5_2_3*TblTech[[#This Row],[5-2]], 1-global_constr_cap) * ROUND((TblConstr[[#This Row],[Land]]-250)*0.285 + 87.5 + 0/4.25,0),0)</f>
        <v>122</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1000</v>
      </c>
      <c r="AW127" s="94">
        <f ca="1">ROUND((TblConstr[[#This Row],[Land]]-250 - IF(TblExplore[[#This Row],[Land Bonus]]&lt;&gt;0,20,0))*0.285 + 87.5 + 0/4.25,0)</f>
        <v>122</v>
      </c>
      <c r="AX127" s="154"/>
      <c r="AY127" s="188" cm="1">
        <f t="array" aca="1" ref="AY127" ca="1">IF(TblConstr[[#This Row],[Hour]:[Hour]]&gt;12,OFFSET(TblConstr[[#This Row],[Hom]],-12,0),0)+OFFSET(TblConstr[[#This Row],[Tot Hom]],-1,0)-TblConstr[[#This Row],[Dest Hom]]</f>
        <v>50</v>
      </c>
      <c r="AZ127" s="189" cm="1">
        <f t="array" aca="1" ref="AZ127" ca="1">IF(TblConstr[[#This Row],[Hour]:[Hour]]&gt;12,OFFSET(TblConstr[[#This Row],[Alc]],-12,0),0)+OFFSET(TblConstr[[#This Row],[Tot Alc]],-1,0)-TblConstr[[#This Row],[Dest Alc]]</f>
        <v>50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50</v>
      </c>
      <c r="BM127" s="369" cm="1">
        <f t="array" aca="1" ref="BM127" ca="1">IF(TblConstr[[#This Row],[Hour]:[Hour]]&gt;12,OFFSET(TblConstr[[#This Row],[Tem]],-12,0),0)+OFFSET(TblConstr[[#This Row],[Tot Tem]],-1,0)-TblConstr[[#This Row],[Dest Tem]]</f>
        <v>50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50</v>
      </c>
      <c r="BP127" s="191" cm="1">
        <f t="array" aca="1" ref="BP127" ca="1">IF(TblConstr[[#This Row],[Hour]:[Hour]]&gt;12,OFFSET(TblConstr[[#This Row],[Sch]],-12,0),0)+OFFSET(TblConstr[[#This Row],[Tot Sch]],-1,0)-TblConstr[[#This Row],[Dest Sch]]</f>
        <v>50</v>
      </c>
      <c r="BQ127" s="192" cm="1">
        <f t="array" aca="1" ref="BQ127" ca="1">IF(TblConstr[[#This Row],[Hour]:[Hour]]&gt;12,OFFSET(TblConstr[[#This Row],[Doc]],-12,0),0)+OFFSET(TblConstr[[#This Row],[Tot Doc]],-1,0)-TblConstr[[#This Row],[Dest Doc]]</f>
        <v>0</v>
      </c>
      <c r="BR127" s="142"/>
      <c r="BS127" s="154"/>
      <c r="BT127" s="94">
        <f ca="1">TblConstr[[#This Row],[Land]]</f>
        <v>370</v>
      </c>
      <c r="BU127" s="159">
        <f ca="1">TblImps[[#This Row],[Time]]</f>
        <v>45820.124999999702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100</v>
      </c>
      <c r="DA127" s="94">
        <f t="shared" ca="1" si="31"/>
        <v>20</v>
      </c>
      <c r="DB127" s="45">
        <f t="shared" ca="1" si="32"/>
        <v>0</v>
      </c>
      <c r="DC127" s="94">
        <f t="shared" ca="1" si="33"/>
        <v>0</v>
      </c>
      <c r="DD127" s="94">
        <f t="shared" ca="1" si="34"/>
        <v>100</v>
      </c>
      <c r="DE127" s="45">
        <f t="shared" ca="1" si="35"/>
        <v>50</v>
      </c>
      <c r="DF127" s="94">
        <f t="shared" ca="1" si="36"/>
        <v>0</v>
      </c>
      <c r="DG127" s="94" cm="1">
        <f t="array" aca="1" ref="DG127" ca="1">INDEX(TblConstr[[Total Plain]:[Total Water]],ROW()-ROW(TblConstr[#Headers]),MATCH("Total "&amp;home_land,TblConstr[[#Headers],[Total Plain]:[Total Water]],0))+TblConstr[[#This Row],[Homes]]</f>
        <v>150</v>
      </c>
      <c r="DH127" s="45">
        <f t="shared" ca="1" si="22"/>
        <v>50</v>
      </c>
      <c r="DI127" s="45">
        <f t="shared" ca="1" si="19"/>
        <v>0</v>
      </c>
      <c r="DJ127" s="45">
        <f t="shared" ca="1" si="20"/>
        <v>0</v>
      </c>
    </row>
    <row r="128" spans="1:114" x14ac:dyDescent="0.2">
      <c r="A128" s="175">
        <f>TblRezone[[#This Row],[Hour]]</f>
        <v>125</v>
      </c>
      <c r="B128" s="176">
        <f ca="1">SUM(TblConstr[[#This Row],[Plain]:[Water]])</f>
        <v>20</v>
      </c>
      <c r="C128" s="177">
        <f ca="1">SUM(TblConstr[[#This Row],[Tot Hom]:[Tot Doc]])</f>
        <v>350</v>
      </c>
      <c r="D128" s="177">
        <f t="shared" si="21"/>
        <v>0</v>
      </c>
      <c r="E128" s="178"/>
      <c r="F128" s="61">
        <f ca="1">TblConstr[[#This Row],[Barren]]+TblConstr[[#This Row],[Buildings]]+TblConstr[[#This Row],[Incoming]]</f>
        <v>370</v>
      </c>
      <c r="G128" s="187">
        <f ca="1">OFFSET(TblConstr[[#This Row],[Plain]],-1,0)+TblConstr[[#This Row],[Ch_Plain]]</f>
        <v>20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45820.166666666366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1543988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28" s="94">
        <f ca="1">ROUNDDOWN( MAX(1 - MIN(facs_constr_factor*TblConstr[[#This Row],[Facs -DB]],facs_constr_max) + tech_1_11*TblTech[[#This Row],[11-1]] + tech_6_3_2*TblTech[[#This Row],[6-3]] + tech_5_2_3*TblTech[[#This Row],[5-2]], 1-global_constr_cap) * TblConstr[[#This Row],[RCPA Lumber]],0)</f>
        <v>122</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28" s="94">
        <f ca="1">ROUNDDOWN( MAX(1 - MIN(facs_constr_factor*TblConstr[[#This Row],[Facs DB]],facs_constr_max) + tech_1_11*TblTech[[#This Row],[1-11]] + tech_6_3_2*TblTech[[#This Row],[6-3]] + tech_5_2_3*TblTech[[#This Row],[5-2]], 1-global_constr_cap) * ROUND((TblConstr[[#This Row],[Land]]-250)*0.285 + 87.5 + 0/4.25,0),0)</f>
        <v>122</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1000</v>
      </c>
      <c r="AW128" s="94">
        <f ca="1">ROUND((TblConstr[[#This Row],[Land]]-250 - IF(TblExplore[[#This Row],[Land Bonus]]&lt;&gt;0,20,0))*0.285 + 87.5 + 0/4.25,0)</f>
        <v>122</v>
      </c>
      <c r="AX128" s="154"/>
      <c r="AY128" s="188" cm="1">
        <f t="array" aca="1" ref="AY128" ca="1">IF(TblConstr[[#This Row],[Hour]:[Hour]]&gt;12,OFFSET(TblConstr[[#This Row],[Hom]],-12,0),0)+OFFSET(TblConstr[[#This Row],[Tot Hom]],-1,0)-TblConstr[[#This Row],[Dest Hom]]</f>
        <v>50</v>
      </c>
      <c r="AZ128" s="189" cm="1">
        <f t="array" aca="1" ref="AZ128" ca="1">IF(TblConstr[[#This Row],[Hour]:[Hour]]&gt;12,OFFSET(TblConstr[[#This Row],[Alc]],-12,0),0)+OFFSET(TblConstr[[#This Row],[Tot Alc]],-1,0)-TblConstr[[#This Row],[Dest Alc]]</f>
        <v>50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50</v>
      </c>
      <c r="BM128" s="369" cm="1">
        <f t="array" aca="1" ref="BM128" ca="1">IF(TblConstr[[#This Row],[Hour]:[Hour]]&gt;12,OFFSET(TblConstr[[#This Row],[Tem]],-12,0),0)+OFFSET(TblConstr[[#This Row],[Tot Tem]],-1,0)-TblConstr[[#This Row],[Dest Tem]]</f>
        <v>50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50</v>
      </c>
      <c r="BP128" s="191" cm="1">
        <f t="array" aca="1" ref="BP128" ca="1">IF(TblConstr[[#This Row],[Hour]:[Hour]]&gt;12,OFFSET(TblConstr[[#This Row],[Sch]],-12,0),0)+OFFSET(TblConstr[[#This Row],[Tot Sch]],-1,0)-TblConstr[[#This Row],[Dest Sch]]</f>
        <v>50</v>
      </c>
      <c r="BQ128" s="192" cm="1">
        <f t="array" aca="1" ref="BQ128" ca="1">IF(TblConstr[[#This Row],[Hour]:[Hour]]&gt;12,OFFSET(TblConstr[[#This Row],[Doc]],-12,0),0)+OFFSET(TblConstr[[#This Row],[Tot Doc]],-1,0)-TblConstr[[#This Row],[Dest Doc]]</f>
        <v>0</v>
      </c>
      <c r="BR128" s="142"/>
      <c r="BS128" s="154"/>
      <c r="BT128" s="94">
        <f ca="1">TblConstr[[#This Row],[Land]]</f>
        <v>370</v>
      </c>
      <c r="BU128" s="159">
        <f ca="1">TblImps[[#This Row],[Time]]</f>
        <v>45820.166666666366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100</v>
      </c>
      <c r="DA128" s="94">
        <f t="shared" ca="1" si="31"/>
        <v>20</v>
      </c>
      <c r="DB128" s="45">
        <f t="shared" ca="1" si="32"/>
        <v>0</v>
      </c>
      <c r="DC128" s="94">
        <f t="shared" ca="1" si="33"/>
        <v>0</v>
      </c>
      <c r="DD128" s="94">
        <f t="shared" ca="1" si="34"/>
        <v>100</v>
      </c>
      <c r="DE128" s="45">
        <f t="shared" ca="1" si="35"/>
        <v>50</v>
      </c>
      <c r="DF128" s="94">
        <f t="shared" ca="1" si="36"/>
        <v>0</v>
      </c>
      <c r="DG128" s="94" cm="1">
        <f t="array" aca="1" ref="DG128" ca="1">INDEX(TblConstr[[Total Plain]:[Total Water]],ROW()-ROW(TblConstr[#Headers]),MATCH("Total "&amp;home_land,TblConstr[[#Headers],[Total Plain]:[Total Water]],0))+TblConstr[[#This Row],[Homes]]</f>
        <v>150</v>
      </c>
      <c r="DH128" s="45">
        <f t="shared" ca="1" si="22"/>
        <v>50</v>
      </c>
      <c r="DI128" s="45">
        <f t="shared" ca="1" si="19"/>
        <v>0</v>
      </c>
      <c r="DJ128" s="45">
        <f t="shared" ca="1" si="20"/>
        <v>0</v>
      </c>
    </row>
    <row r="129" spans="1:114" x14ac:dyDescent="0.2">
      <c r="A129" s="175">
        <f>TblRezone[[#This Row],[Hour]]</f>
        <v>126</v>
      </c>
      <c r="B129" s="176">
        <f ca="1">SUM(TblConstr[[#This Row],[Plain]:[Water]])</f>
        <v>20</v>
      </c>
      <c r="C129" s="177">
        <f ca="1">SUM(TblConstr[[#This Row],[Tot Hom]:[Tot Doc]])</f>
        <v>350</v>
      </c>
      <c r="D129" s="177">
        <f t="shared" si="21"/>
        <v>0</v>
      </c>
      <c r="E129" s="178"/>
      <c r="F129" s="61">
        <f ca="1">TblConstr[[#This Row],[Barren]]+TblConstr[[#This Row],[Buildings]]+TblConstr[[#This Row],[Incoming]]</f>
        <v>370</v>
      </c>
      <c r="G129" s="187">
        <f ca="1">OFFSET(TblConstr[[#This Row],[Plain]],-1,0)+TblConstr[[#This Row],[Ch_Plain]]</f>
        <v>20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45820.20833333303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1550860</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29" s="94">
        <f ca="1">ROUNDDOWN( MAX(1 - MIN(facs_constr_factor*TblConstr[[#This Row],[Facs -DB]],facs_constr_max) + tech_1_11*TblTech[[#This Row],[11-1]] + tech_6_3_2*TblTech[[#This Row],[6-3]] + tech_5_2_3*TblTech[[#This Row],[5-2]], 1-global_constr_cap) * TblConstr[[#This Row],[RCPA Lumber]],0)</f>
        <v>122</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29" s="94">
        <f ca="1">ROUNDDOWN( MAX(1 - MIN(facs_constr_factor*TblConstr[[#This Row],[Facs DB]],facs_constr_max) + tech_1_11*TblTech[[#This Row],[1-11]] + tech_6_3_2*TblTech[[#This Row],[6-3]] + tech_5_2_3*TblTech[[#This Row],[5-2]], 1-global_constr_cap) * ROUND((TblConstr[[#This Row],[Land]]-250)*0.285 + 87.5 + 0/4.25,0),0)</f>
        <v>122</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1000</v>
      </c>
      <c r="AW129" s="94">
        <f ca="1">ROUND((TblConstr[[#This Row],[Land]]-250 - IF(TblExplore[[#This Row],[Land Bonus]]&lt;&gt;0,20,0))*0.285 + 87.5 + 0/4.25,0)</f>
        <v>122</v>
      </c>
      <c r="AX129" s="154"/>
      <c r="AY129" s="188" cm="1">
        <f t="array" aca="1" ref="AY129" ca="1">IF(TblConstr[[#This Row],[Hour]:[Hour]]&gt;12,OFFSET(TblConstr[[#This Row],[Hom]],-12,0),0)+OFFSET(TblConstr[[#This Row],[Tot Hom]],-1,0)-TblConstr[[#This Row],[Dest Hom]]</f>
        <v>50</v>
      </c>
      <c r="AZ129" s="189" cm="1">
        <f t="array" aca="1" ref="AZ129" ca="1">IF(TblConstr[[#This Row],[Hour]:[Hour]]&gt;12,OFFSET(TblConstr[[#This Row],[Alc]],-12,0),0)+OFFSET(TblConstr[[#This Row],[Tot Alc]],-1,0)-TblConstr[[#This Row],[Dest Alc]]</f>
        <v>50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50</v>
      </c>
      <c r="BM129" s="369" cm="1">
        <f t="array" aca="1" ref="BM129" ca="1">IF(TblConstr[[#This Row],[Hour]:[Hour]]&gt;12,OFFSET(TblConstr[[#This Row],[Tem]],-12,0),0)+OFFSET(TblConstr[[#This Row],[Tot Tem]],-1,0)-TblConstr[[#This Row],[Dest Tem]]</f>
        <v>50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50</v>
      </c>
      <c r="BP129" s="191" cm="1">
        <f t="array" aca="1" ref="BP129" ca="1">IF(TblConstr[[#This Row],[Hour]:[Hour]]&gt;12,OFFSET(TblConstr[[#This Row],[Sch]],-12,0),0)+OFFSET(TblConstr[[#This Row],[Tot Sch]],-1,0)-TblConstr[[#This Row],[Dest Sch]]</f>
        <v>50</v>
      </c>
      <c r="BQ129" s="192" cm="1">
        <f t="array" aca="1" ref="BQ129" ca="1">IF(TblConstr[[#This Row],[Hour]:[Hour]]&gt;12,OFFSET(TblConstr[[#This Row],[Doc]],-12,0),0)+OFFSET(TblConstr[[#This Row],[Tot Doc]],-1,0)-TblConstr[[#This Row],[Dest Doc]]</f>
        <v>0</v>
      </c>
      <c r="BR129" s="142"/>
      <c r="BS129" s="154"/>
      <c r="BT129" s="94">
        <f ca="1">TblConstr[[#This Row],[Land]]</f>
        <v>370</v>
      </c>
      <c r="BU129" s="159">
        <f ca="1">TblImps[[#This Row],[Time]]</f>
        <v>45820.20833333303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100</v>
      </c>
      <c r="DA129" s="94">
        <f t="shared" ca="1" si="31"/>
        <v>20</v>
      </c>
      <c r="DB129" s="45">
        <f t="shared" ca="1" si="32"/>
        <v>0</v>
      </c>
      <c r="DC129" s="94">
        <f t="shared" ca="1" si="33"/>
        <v>0</v>
      </c>
      <c r="DD129" s="94">
        <f t="shared" ca="1" si="34"/>
        <v>100</v>
      </c>
      <c r="DE129" s="45">
        <f t="shared" ca="1" si="35"/>
        <v>50</v>
      </c>
      <c r="DF129" s="94">
        <f t="shared" ca="1" si="36"/>
        <v>0</v>
      </c>
      <c r="DG129" s="94" cm="1">
        <f t="array" aca="1" ref="DG129" ca="1">INDEX(TblConstr[[Total Plain]:[Total Water]],ROW()-ROW(TblConstr[#Headers]),MATCH("Total "&amp;home_land,TblConstr[[#Headers],[Total Plain]:[Total Water]],0))+TblConstr[[#This Row],[Homes]]</f>
        <v>150</v>
      </c>
      <c r="DH129" s="45">
        <f t="shared" ca="1" si="22"/>
        <v>50</v>
      </c>
      <c r="DI129" s="45">
        <f t="shared" ca="1" si="19"/>
        <v>0</v>
      </c>
      <c r="DJ129" s="45">
        <f t="shared" ca="1" si="20"/>
        <v>0</v>
      </c>
    </row>
    <row r="130" spans="1:114" x14ac:dyDescent="0.2">
      <c r="A130" s="175">
        <f>TblRezone[[#This Row],[Hour]]</f>
        <v>127</v>
      </c>
      <c r="B130" s="176">
        <f ca="1">SUM(TblConstr[[#This Row],[Plain]:[Water]])</f>
        <v>20</v>
      </c>
      <c r="C130" s="177">
        <f ca="1">SUM(TblConstr[[#This Row],[Tot Hom]:[Tot Doc]])</f>
        <v>350</v>
      </c>
      <c r="D130" s="177">
        <f t="shared" si="21"/>
        <v>0</v>
      </c>
      <c r="E130" s="178"/>
      <c r="F130" s="61">
        <f ca="1">TblConstr[[#This Row],[Barren]]+TblConstr[[#This Row],[Buildings]]+TblConstr[[#This Row],[Incoming]]</f>
        <v>370</v>
      </c>
      <c r="G130" s="187">
        <f ca="1">OFFSET(TblConstr[[#This Row],[Plain]],-1,0)+TblConstr[[#This Row],[Ch_Plain]]</f>
        <v>20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45820.249999999694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1557686</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30" s="94">
        <f ca="1">ROUNDDOWN( MAX(1 - MIN(facs_constr_factor*TblConstr[[#This Row],[Facs -DB]],facs_constr_max) + tech_1_11*TblTech[[#This Row],[11-1]] + tech_6_3_2*TblTech[[#This Row],[6-3]] + tech_5_2_3*TblTech[[#This Row],[5-2]], 1-global_constr_cap) * TblConstr[[#This Row],[RCPA Lumber]],0)</f>
        <v>122</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30" s="94">
        <f ca="1">ROUNDDOWN( MAX(1 - MIN(facs_constr_factor*TblConstr[[#This Row],[Facs DB]],facs_constr_max) + tech_1_11*TblTech[[#This Row],[1-11]] + tech_6_3_2*TblTech[[#This Row],[6-3]] + tech_5_2_3*TblTech[[#This Row],[5-2]], 1-global_constr_cap) * ROUND((TblConstr[[#This Row],[Land]]-250)*0.285 + 87.5 + 0/4.25,0),0)</f>
        <v>122</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1000</v>
      </c>
      <c r="AW130" s="94">
        <f ca="1">ROUND((TblConstr[[#This Row],[Land]]-250 - IF(TblExplore[[#This Row],[Land Bonus]]&lt;&gt;0,20,0))*0.285 + 87.5 + 0/4.25,0)</f>
        <v>122</v>
      </c>
      <c r="AX130" s="154"/>
      <c r="AY130" s="188" cm="1">
        <f t="array" aca="1" ref="AY130" ca="1">IF(TblConstr[[#This Row],[Hour]:[Hour]]&gt;12,OFFSET(TblConstr[[#This Row],[Hom]],-12,0),0)+OFFSET(TblConstr[[#This Row],[Tot Hom]],-1,0)-TblConstr[[#This Row],[Dest Hom]]</f>
        <v>50</v>
      </c>
      <c r="AZ130" s="189" cm="1">
        <f t="array" aca="1" ref="AZ130" ca="1">IF(TblConstr[[#This Row],[Hour]:[Hour]]&gt;12,OFFSET(TblConstr[[#This Row],[Alc]],-12,0),0)+OFFSET(TblConstr[[#This Row],[Tot Alc]],-1,0)-TblConstr[[#This Row],[Dest Alc]]</f>
        <v>50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50</v>
      </c>
      <c r="BM130" s="369" cm="1">
        <f t="array" aca="1" ref="BM130" ca="1">IF(TblConstr[[#This Row],[Hour]:[Hour]]&gt;12,OFFSET(TblConstr[[#This Row],[Tem]],-12,0),0)+OFFSET(TblConstr[[#This Row],[Tot Tem]],-1,0)-TblConstr[[#This Row],[Dest Tem]]</f>
        <v>50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50</v>
      </c>
      <c r="BP130" s="191" cm="1">
        <f t="array" aca="1" ref="BP130" ca="1">IF(TblConstr[[#This Row],[Hour]:[Hour]]&gt;12,OFFSET(TblConstr[[#This Row],[Sch]],-12,0),0)+OFFSET(TblConstr[[#This Row],[Tot Sch]],-1,0)-TblConstr[[#This Row],[Dest Sch]]</f>
        <v>50</v>
      </c>
      <c r="BQ130" s="192" cm="1">
        <f t="array" aca="1" ref="BQ130" ca="1">IF(TblConstr[[#This Row],[Hour]:[Hour]]&gt;12,OFFSET(TblConstr[[#This Row],[Doc]],-12,0),0)+OFFSET(TblConstr[[#This Row],[Tot Doc]],-1,0)-TblConstr[[#This Row],[Dest Doc]]</f>
        <v>0</v>
      </c>
      <c r="BR130" s="142"/>
      <c r="BS130" s="154"/>
      <c r="BT130" s="94">
        <f ca="1">TblConstr[[#This Row],[Land]]</f>
        <v>370</v>
      </c>
      <c r="BU130" s="159">
        <f ca="1">TblImps[[#This Row],[Time]]</f>
        <v>45820.249999999694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100</v>
      </c>
      <c r="DA130" s="94">
        <f t="shared" ca="1" si="31"/>
        <v>20</v>
      </c>
      <c r="DB130" s="45">
        <f t="shared" ca="1" si="32"/>
        <v>0</v>
      </c>
      <c r="DC130" s="94">
        <f t="shared" ca="1" si="33"/>
        <v>0</v>
      </c>
      <c r="DD130" s="94">
        <f t="shared" ca="1" si="34"/>
        <v>100</v>
      </c>
      <c r="DE130" s="45">
        <f t="shared" ca="1" si="35"/>
        <v>50</v>
      </c>
      <c r="DF130" s="94">
        <f t="shared" ca="1" si="36"/>
        <v>0</v>
      </c>
      <c r="DG130" s="94" cm="1">
        <f t="array" aca="1" ref="DG130" ca="1">INDEX(TblConstr[[Total Plain]:[Total Water]],ROW()-ROW(TblConstr[#Headers]),MATCH("Total "&amp;home_land,TblConstr[[#Headers],[Total Plain]:[Total Water]],0))+TblConstr[[#This Row],[Homes]]</f>
        <v>150</v>
      </c>
      <c r="DH130" s="45">
        <f t="shared" ca="1" si="22"/>
        <v>50</v>
      </c>
      <c r="DI130" s="45">
        <f t="shared" ca="1" si="19"/>
        <v>0</v>
      </c>
      <c r="DJ130" s="45">
        <f t="shared" ca="1" si="20"/>
        <v>0</v>
      </c>
    </row>
    <row r="131" spans="1:114" x14ac:dyDescent="0.2">
      <c r="A131" s="175">
        <f>TblRezone[[#This Row],[Hour]]</f>
        <v>128</v>
      </c>
      <c r="B131" s="176">
        <f ca="1">SUM(TblConstr[[#This Row],[Plain]:[Water]])</f>
        <v>20</v>
      </c>
      <c r="C131" s="177">
        <f ca="1">SUM(TblConstr[[#This Row],[Tot Hom]:[Tot Doc]])</f>
        <v>350</v>
      </c>
      <c r="D131" s="177">
        <f t="shared" si="21"/>
        <v>0</v>
      </c>
      <c r="E131" s="178"/>
      <c r="F131" s="61">
        <f ca="1">TblConstr[[#This Row],[Barren]]+TblConstr[[#This Row],[Buildings]]+TblConstr[[#This Row],[Incoming]]</f>
        <v>370</v>
      </c>
      <c r="G131" s="187">
        <f ca="1">OFFSET(TblConstr[[#This Row],[Plain]],-1,0)+TblConstr[[#This Row],[Ch_Plain]]</f>
        <v>20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45820.291666666359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1564466</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31" s="94">
        <f ca="1">ROUNDDOWN( MAX(1 - MIN(facs_constr_factor*TblConstr[[#This Row],[Facs -DB]],facs_constr_max) + tech_1_11*TblTech[[#This Row],[11-1]] + tech_6_3_2*TblTech[[#This Row],[6-3]] + tech_5_2_3*TblTech[[#This Row],[5-2]], 1-global_constr_cap) * TblConstr[[#This Row],[RCPA Lumber]],0)</f>
        <v>122</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31" s="94">
        <f ca="1">ROUNDDOWN( MAX(1 - MIN(facs_constr_factor*TblConstr[[#This Row],[Facs DB]],facs_constr_max) + tech_1_11*TblTech[[#This Row],[1-11]] + tech_6_3_2*TblTech[[#This Row],[6-3]] + tech_5_2_3*TblTech[[#This Row],[5-2]], 1-global_constr_cap) * ROUND((TblConstr[[#This Row],[Land]]-250)*0.285 + 87.5 + 0/4.25,0),0)</f>
        <v>122</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1000</v>
      </c>
      <c r="AW131" s="94">
        <f ca="1">ROUND((TblConstr[[#This Row],[Land]]-250 - IF(TblExplore[[#This Row],[Land Bonus]]&lt;&gt;0,20,0))*0.285 + 87.5 + 0/4.25,0)</f>
        <v>122</v>
      </c>
      <c r="AX131" s="154"/>
      <c r="AY131" s="188" cm="1">
        <f t="array" aca="1" ref="AY131" ca="1">IF(TblConstr[[#This Row],[Hour]:[Hour]]&gt;12,OFFSET(TblConstr[[#This Row],[Hom]],-12,0),0)+OFFSET(TblConstr[[#This Row],[Tot Hom]],-1,0)-TblConstr[[#This Row],[Dest Hom]]</f>
        <v>50</v>
      </c>
      <c r="AZ131" s="189" cm="1">
        <f t="array" aca="1" ref="AZ131" ca="1">IF(TblConstr[[#This Row],[Hour]:[Hour]]&gt;12,OFFSET(TblConstr[[#This Row],[Alc]],-12,0),0)+OFFSET(TblConstr[[#This Row],[Tot Alc]],-1,0)-TblConstr[[#This Row],[Dest Alc]]</f>
        <v>50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50</v>
      </c>
      <c r="BM131" s="369" cm="1">
        <f t="array" aca="1" ref="BM131" ca="1">IF(TblConstr[[#This Row],[Hour]:[Hour]]&gt;12,OFFSET(TblConstr[[#This Row],[Tem]],-12,0),0)+OFFSET(TblConstr[[#This Row],[Tot Tem]],-1,0)-TblConstr[[#This Row],[Dest Tem]]</f>
        <v>50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50</v>
      </c>
      <c r="BP131" s="191" cm="1">
        <f t="array" aca="1" ref="BP131" ca="1">IF(TblConstr[[#This Row],[Hour]:[Hour]]&gt;12,OFFSET(TblConstr[[#This Row],[Sch]],-12,0),0)+OFFSET(TblConstr[[#This Row],[Tot Sch]],-1,0)-TblConstr[[#This Row],[Dest Sch]]</f>
        <v>50</v>
      </c>
      <c r="BQ131" s="192" cm="1">
        <f t="array" aca="1" ref="BQ131" ca="1">IF(TblConstr[[#This Row],[Hour]:[Hour]]&gt;12,OFFSET(TblConstr[[#This Row],[Doc]],-12,0),0)+OFFSET(TblConstr[[#This Row],[Tot Doc]],-1,0)-TblConstr[[#This Row],[Dest Doc]]</f>
        <v>0</v>
      </c>
      <c r="BR131" s="142"/>
      <c r="BS131" s="154"/>
      <c r="BT131" s="94">
        <f ca="1">TblConstr[[#This Row],[Land]]</f>
        <v>370</v>
      </c>
      <c r="BU131" s="159">
        <f ca="1">TblImps[[#This Row],[Time]]</f>
        <v>45820.291666666359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100</v>
      </c>
      <c r="DA131" s="94">
        <f t="shared" ca="1" si="31"/>
        <v>20</v>
      </c>
      <c r="DB131" s="45">
        <f t="shared" ca="1" si="32"/>
        <v>0</v>
      </c>
      <c r="DC131" s="94">
        <f t="shared" ca="1" si="33"/>
        <v>0</v>
      </c>
      <c r="DD131" s="94">
        <f t="shared" ca="1" si="34"/>
        <v>100</v>
      </c>
      <c r="DE131" s="45">
        <f t="shared" ca="1" si="35"/>
        <v>50</v>
      </c>
      <c r="DF131" s="94">
        <f t="shared" ca="1" si="36"/>
        <v>0</v>
      </c>
      <c r="DG131" s="94" cm="1">
        <f t="array" aca="1" ref="DG131" ca="1">INDEX(TblConstr[[Total Plain]:[Total Water]],ROW()-ROW(TblConstr[#Headers]),MATCH("Total "&amp;home_land,TblConstr[[#Headers],[Total Plain]:[Total Water]],0))+TblConstr[[#This Row],[Homes]]</f>
        <v>150</v>
      </c>
      <c r="DH131" s="45">
        <f t="shared" ca="1" si="22"/>
        <v>50</v>
      </c>
      <c r="DI131" s="45">
        <f t="shared" ca="1" si="19"/>
        <v>0</v>
      </c>
      <c r="DJ131" s="45">
        <f t="shared" ca="1" si="20"/>
        <v>0</v>
      </c>
    </row>
    <row r="132" spans="1:114" x14ac:dyDescent="0.2">
      <c r="A132" s="175">
        <f>TblRezone[[#This Row],[Hour]]</f>
        <v>129</v>
      </c>
      <c r="B132" s="176">
        <f ca="1">SUM(TblConstr[[#This Row],[Plain]:[Water]])</f>
        <v>20</v>
      </c>
      <c r="C132" s="177">
        <f ca="1">SUM(TblConstr[[#This Row],[Tot Hom]:[Tot Doc]])</f>
        <v>350</v>
      </c>
      <c r="D132" s="177">
        <f>SUM(O121:AG132)</f>
        <v>0</v>
      </c>
      <c r="E132" s="178"/>
      <c r="F132" s="61">
        <f ca="1">TblConstr[[#This Row],[Barren]]+TblConstr[[#This Row],[Buildings]]+TblConstr[[#This Row],[Incoming]]</f>
        <v>370</v>
      </c>
      <c r="G132" s="187">
        <f ca="1">OFFSET(TblConstr[[#This Row],[Plain]],-1,0)+TblConstr[[#This Row],[Ch_Plain]]</f>
        <v>20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45820.333333333023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1571200</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32" s="94">
        <f ca="1">ROUNDDOWN( MAX(1 - MIN(facs_constr_factor*TblConstr[[#This Row],[Facs -DB]],facs_constr_max) + tech_1_11*TblTech[[#This Row],[11-1]] + tech_6_3_2*TblTech[[#This Row],[6-3]] + tech_5_2_3*TblTech[[#This Row],[5-2]], 1-global_constr_cap) * TblConstr[[#This Row],[RCPA Lumber]],0)</f>
        <v>122</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32" s="94">
        <f ca="1">ROUNDDOWN( MAX(1 - MIN(facs_constr_factor*TblConstr[[#This Row],[Facs DB]],facs_constr_max) + tech_1_11*TblTech[[#This Row],[1-11]] + tech_6_3_2*TblTech[[#This Row],[6-3]] + tech_5_2_3*TblTech[[#This Row],[5-2]], 1-global_constr_cap) * ROUND((TblConstr[[#This Row],[Land]]-250)*0.285 + 87.5 + 0/4.25,0),0)</f>
        <v>122</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1000</v>
      </c>
      <c r="AW132" s="94">
        <f ca="1">ROUND((TblConstr[[#This Row],[Land]]-250 - IF(TblExplore[[#This Row],[Land Bonus]]&lt;&gt;0,20,0))*0.285 + 87.5 + 0/4.25,0)</f>
        <v>122</v>
      </c>
      <c r="AX132" s="154"/>
      <c r="AY132" s="188" cm="1">
        <f t="array" aca="1" ref="AY132" ca="1">IF(TblConstr[[#This Row],[Hour]:[Hour]]&gt;12,OFFSET(TblConstr[[#This Row],[Hom]],-12,0),0)+OFFSET(TblConstr[[#This Row],[Tot Hom]],-1,0)-TblConstr[[#This Row],[Dest Hom]]</f>
        <v>50</v>
      </c>
      <c r="AZ132" s="189" cm="1">
        <f t="array" aca="1" ref="AZ132" ca="1">IF(TblConstr[[#This Row],[Hour]:[Hour]]&gt;12,OFFSET(TblConstr[[#This Row],[Alc]],-12,0),0)+OFFSET(TblConstr[[#This Row],[Tot Alc]],-1,0)-TblConstr[[#This Row],[Dest Alc]]</f>
        <v>50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50</v>
      </c>
      <c r="BM132" s="369" cm="1">
        <f t="array" aca="1" ref="BM132" ca="1">IF(TblConstr[[#This Row],[Hour]:[Hour]]&gt;12,OFFSET(TblConstr[[#This Row],[Tem]],-12,0),0)+OFFSET(TblConstr[[#This Row],[Tot Tem]],-1,0)-TblConstr[[#This Row],[Dest Tem]]</f>
        <v>50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50</v>
      </c>
      <c r="BP132" s="191" cm="1">
        <f t="array" aca="1" ref="BP132" ca="1">IF(TblConstr[[#This Row],[Hour]:[Hour]]&gt;12,OFFSET(TblConstr[[#This Row],[Sch]],-12,0),0)+OFFSET(TblConstr[[#This Row],[Tot Sch]],-1,0)-TblConstr[[#This Row],[Dest Sch]]</f>
        <v>50</v>
      </c>
      <c r="BQ132" s="192" cm="1">
        <f t="array" aca="1" ref="BQ132" ca="1">IF(TblConstr[[#This Row],[Hour]:[Hour]]&gt;12,OFFSET(TblConstr[[#This Row],[Doc]],-12,0),0)+OFFSET(TblConstr[[#This Row],[Tot Doc]],-1,0)-TblConstr[[#This Row],[Dest Doc]]</f>
        <v>0</v>
      </c>
      <c r="BR132" s="142"/>
      <c r="BS132" s="154"/>
      <c r="BT132" s="94">
        <f ca="1">TblConstr[[#This Row],[Land]]</f>
        <v>370</v>
      </c>
      <c r="BU132" s="159">
        <f ca="1">TblImps[[#This Row],[Time]]</f>
        <v>45820.333333333023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100</v>
      </c>
      <c r="DA132" s="94">
        <f ca="1">H132+SUM(T121:U132)+SUM(BD132:BE132)</f>
        <v>20</v>
      </c>
      <c r="DB132" s="45">
        <f ca="1">I132+SUM(V121:W132)+SUM(BF132:BG132)</f>
        <v>0</v>
      </c>
      <c r="DC132" s="94">
        <f ca="1">J132+SUM(X121:Y132)+SUM(BH132:BI132)</f>
        <v>0</v>
      </c>
      <c r="DD132" s="94">
        <f ca="1">K132+SUM(AB121:AD132)+SUM(BL132:BN132)</f>
        <v>100</v>
      </c>
      <c r="DE132" s="45">
        <f ca="1">L132+SUM(AE121:AE132)+BO132</f>
        <v>50</v>
      </c>
      <c r="DF132" s="94">
        <f ca="1">M132+SUM(AG121:AG132)+BQ132</f>
        <v>0</v>
      </c>
      <c r="DG132" s="94" cm="1">
        <f t="array" aca="1" ref="DG132" ca="1">INDEX(TblConstr[[Total Plain]:[Total Water]],ROW()-ROW(TblConstr[#Headers]),MATCH("Total "&amp;home_land,TblConstr[[#Headers],[Total Plain]:[Total Water]],0))+TblConstr[[#This Row],[Homes]]</f>
        <v>150</v>
      </c>
      <c r="DH132" s="45">
        <f ca="1">SUM(O121:O132)+AY132</f>
        <v>50</v>
      </c>
      <c r="DI132" s="45">
        <f ca="1">MAX(BA132-BA131,0)</f>
        <v>0</v>
      </c>
      <c r="DJ132" s="45">
        <f ca="1">MAX(BQ132-BQ131,0)</f>
        <v>0</v>
      </c>
    </row>
    <row r="133" spans="1:114" x14ac:dyDescent="0.2">
      <c r="A133" s="175">
        <f>TblRezone[[#This Row],[Hour]]</f>
        <v>130</v>
      </c>
      <c r="B133" s="176">
        <f ca="1">SUM(TblConstr[[#This Row],[Plain]:[Water]])</f>
        <v>20</v>
      </c>
      <c r="C133" s="177">
        <f ca="1">SUM(TblConstr[[#This Row],[Tot Hom]:[Tot Doc]])</f>
        <v>350</v>
      </c>
      <c r="D133" s="177">
        <f>SUM(O122:AG133)</f>
        <v>0</v>
      </c>
      <c r="E133" s="178"/>
      <c r="F133" s="61">
        <f ca="1">TblConstr[[#This Row],[Barren]]+TblConstr[[#This Row],[Buildings]]+TblConstr[[#This Row],[Incoming]]</f>
        <v>370</v>
      </c>
      <c r="G133" s="187">
        <f ca="1">OFFSET(TblConstr[[#This Row],[Plain]],-1,0)+TblConstr[[#This Row],[Ch_Plain]]</f>
        <v>20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45820.374999999687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1577888</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33" s="94">
        <f ca="1">ROUNDDOWN( MAX(1 - MIN(facs_constr_factor*TblConstr[[#This Row],[Facs -DB]],facs_constr_max) + tech_1_11*TblTech[[#This Row],[11-1]] + tech_6_3_2*TblTech[[#This Row],[6-3]] + tech_5_2_3*TblTech[[#This Row],[5-2]], 1-global_constr_cap) * TblConstr[[#This Row],[RCPA Lumber]],0)</f>
        <v>122</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33" s="94">
        <f ca="1">ROUNDDOWN( MAX(1 - MIN(facs_constr_factor*TblConstr[[#This Row],[Facs DB]],facs_constr_max) + tech_1_11*TblTech[[#This Row],[1-11]] + tech_6_3_2*TblTech[[#This Row],[6-3]] + tech_5_2_3*TblTech[[#This Row],[5-2]], 1-global_constr_cap) * ROUND((TblConstr[[#This Row],[Land]]-250)*0.285 + 87.5 + 0/4.25,0),0)</f>
        <v>122</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1000</v>
      </c>
      <c r="AW133" s="94">
        <f ca="1">ROUND((TblConstr[[#This Row],[Land]]-250 - IF(TblExplore[[#This Row],[Land Bonus]]&lt;&gt;0,20,0))*0.285 + 87.5 + 0/4.25,0)</f>
        <v>122</v>
      </c>
      <c r="AX133" s="154"/>
      <c r="AY133" s="188" cm="1">
        <f t="array" aca="1" ref="AY133" ca="1">IF(TblConstr[[#This Row],[Hour]:[Hour]]&gt;12,OFFSET(TblConstr[[#This Row],[Hom]],-12,0),0)+OFFSET(TblConstr[[#This Row],[Tot Hom]],-1,0)-TblConstr[[#This Row],[Dest Hom]]</f>
        <v>50</v>
      </c>
      <c r="AZ133" s="189" cm="1">
        <f t="array" aca="1" ref="AZ133" ca="1">IF(TblConstr[[#This Row],[Hour]:[Hour]]&gt;12,OFFSET(TblConstr[[#This Row],[Alc]],-12,0),0)+OFFSET(TblConstr[[#This Row],[Tot Alc]],-1,0)-TblConstr[[#This Row],[Dest Alc]]</f>
        <v>50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50</v>
      </c>
      <c r="BM133" s="369" cm="1">
        <f t="array" aca="1" ref="BM133" ca="1">IF(TblConstr[[#This Row],[Hour]:[Hour]]&gt;12,OFFSET(TblConstr[[#This Row],[Tem]],-12,0),0)+OFFSET(TblConstr[[#This Row],[Tot Tem]],-1,0)-TblConstr[[#This Row],[Dest Tem]]</f>
        <v>50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50</v>
      </c>
      <c r="BP133" s="191" cm="1">
        <f t="array" aca="1" ref="BP133" ca="1">IF(TblConstr[[#This Row],[Hour]:[Hour]]&gt;12,OFFSET(TblConstr[[#This Row],[Sch]],-12,0),0)+OFFSET(TblConstr[[#This Row],[Tot Sch]],-1,0)-TblConstr[[#This Row],[Dest Sch]]</f>
        <v>50</v>
      </c>
      <c r="BQ133" s="192" cm="1">
        <f t="array" aca="1" ref="BQ133" ca="1">IF(TblConstr[[#This Row],[Hour]:[Hour]]&gt;12,OFFSET(TblConstr[[#This Row],[Doc]],-12,0),0)+OFFSET(TblConstr[[#This Row],[Tot Doc]],-1,0)-TblConstr[[#This Row],[Dest Doc]]</f>
        <v>0</v>
      </c>
      <c r="BR133" s="142"/>
      <c r="BS133" s="154"/>
      <c r="BT133" s="94">
        <f ca="1">TblConstr[[#This Row],[Land]]</f>
        <v>370</v>
      </c>
      <c r="BU133" s="159">
        <f ca="1">TblImps[[#This Row],[Time]]</f>
        <v>45820.374999999687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100</v>
      </c>
      <c r="DA133" s="94">
        <f ca="1">H133+SUM(T122:U133)+SUM(BD133:BE133)</f>
        <v>20</v>
      </c>
      <c r="DB133" s="45">
        <f ca="1">I133+SUM(V122:W133)+SUM(BF133:BG133)</f>
        <v>0</v>
      </c>
      <c r="DC133" s="94">
        <f ca="1">J133+SUM(X122:Y133)+SUM(BH133:BI133)</f>
        <v>0</v>
      </c>
      <c r="DD133" s="94">
        <f ca="1">K133+SUM(AB122:AD133)+SUM(BL133:BN133)</f>
        <v>100</v>
      </c>
      <c r="DE133" s="45">
        <f ca="1">L133+SUM(AE122:AE133)+BO133</f>
        <v>50</v>
      </c>
      <c r="DF133" s="94">
        <f ca="1">M133+SUM(AG122:AG133)+BQ133</f>
        <v>0</v>
      </c>
      <c r="DG133" s="94" cm="1">
        <f t="array" aca="1" ref="DG133" ca="1">INDEX(TblConstr[[Total Plain]:[Total Water]],ROW()-ROW(TblConstr[#Headers]),MATCH("Total "&amp;home_land,TblConstr[[#Headers],[Total Plain]:[Total Water]],0))+TblConstr[[#This Row],[Homes]]</f>
        <v>150</v>
      </c>
      <c r="DH133" s="45">
        <f ca="1">SUM(O122:O133)+AY133</f>
        <v>50</v>
      </c>
      <c r="DI133" s="45">
        <f t="shared" ca="1" si="19"/>
        <v>0</v>
      </c>
      <c r="DJ133" s="45">
        <f t="shared" ca="1" si="20"/>
        <v>0</v>
      </c>
    </row>
    <row r="134" spans="1:114" x14ac:dyDescent="0.2">
      <c r="A134" s="175">
        <f>TblRezone[[#This Row],[Hour]]</f>
        <v>131</v>
      </c>
      <c r="B134" s="176">
        <f ca="1">SUM(TblConstr[[#This Row],[Plain]:[Water]])</f>
        <v>20</v>
      </c>
      <c r="C134" s="177">
        <f ca="1">SUM(TblConstr[[#This Row],[Tot Hom]:[Tot Doc]])</f>
        <v>350</v>
      </c>
      <c r="D134" s="177">
        <f>SUM(O123:AG134)</f>
        <v>0</v>
      </c>
      <c r="E134" s="178"/>
      <c r="F134" s="61">
        <f ca="1">TblConstr[[#This Row],[Barren]]+TblConstr[[#This Row],[Buildings]]+TblConstr[[#This Row],[Incoming]]</f>
        <v>370</v>
      </c>
      <c r="G134" s="187">
        <f ca="1">OFFSET(TblConstr[[#This Row],[Plain]],-1,0)+TblConstr[[#This Row],[Ch_Plain]]</f>
        <v>20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45820.416666666351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1584533</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34" s="94">
        <f ca="1">ROUNDDOWN( MAX(1 - MIN(facs_constr_factor*TblConstr[[#This Row],[Facs -DB]],facs_constr_max) + tech_1_11*TblTech[[#This Row],[11-1]] + tech_6_3_2*TblTech[[#This Row],[6-3]] + tech_5_2_3*TblTech[[#This Row],[5-2]], 1-global_constr_cap) * TblConstr[[#This Row],[RCPA Lumber]],0)</f>
        <v>122</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34" s="94">
        <f ca="1">ROUNDDOWN( MAX(1 - MIN(facs_constr_factor*TblConstr[[#This Row],[Facs DB]],facs_constr_max) + tech_1_11*TblTech[[#This Row],[1-11]] + tech_6_3_2*TblTech[[#This Row],[6-3]] + tech_5_2_3*TblTech[[#This Row],[5-2]], 1-global_constr_cap) * ROUND((TblConstr[[#This Row],[Land]]-250)*0.285 + 87.5 + 0/4.25,0),0)</f>
        <v>122</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1000</v>
      </c>
      <c r="AW134" s="94">
        <f ca="1">ROUND((TblConstr[[#This Row],[Land]]-250 - IF(TblExplore[[#This Row],[Land Bonus]]&lt;&gt;0,20,0))*0.285 + 87.5 + 0/4.25,0)</f>
        <v>122</v>
      </c>
      <c r="AX134" s="154"/>
      <c r="AY134" s="188" cm="1">
        <f t="array" aca="1" ref="AY134" ca="1">IF(TblConstr[[#This Row],[Hour]:[Hour]]&gt;12,OFFSET(TblConstr[[#This Row],[Hom]],-12,0),0)+OFFSET(TblConstr[[#This Row],[Tot Hom]],-1,0)-TblConstr[[#This Row],[Dest Hom]]</f>
        <v>50</v>
      </c>
      <c r="AZ134" s="189" cm="1">
        <f t="array" aca="1" ref="AZ134" ca="1">IF(TblConstr[[#This Row],[Hour]:[Hour]]&gt;12,OFFSET(TblConstr[[#This Row],[Alc]],-12,0),0)+OFFSET(TblConstr[[#This Row],[Tot Alc]],-1,0)-TblConstr[[#This Row],[Dest Alc]]</f>
        <v>50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50</v>
      </c>
      <c r="BM134" s="369" cm="1">
        <f t="array" aca="1" ref="BM134" ca="1">IF(TblConstr[[#This Row],[Hour]:[Hour]]&gt;12,OFFSET(TblConstr[[#This Row],[Tem]],-12,0),0)+OFFSET(TblConstr[[#This Row],[Tot Tem]],-1,0)-TblConstr[[#This Row],[Dest Tem]]</f>
        <v>50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50</v>
      </c>
      <c r="BP134" s="191" cm="1">
        <f t="array" aca="1" ref="BP134" ca="1">IF(TblConstr[[#This Row],[Hour]:[Hour]]&gt;12,OFFSET(TblConstr[[#This Row],[Sch]],-12,0),0)+OFFSET(TblConstr[[#This Row],[Tot Sch]],-1,0)-TblConstr[[#This Row],[Dest Sch]]</f>
        <v>50</v>
      </c>
      <c r="BQ134" s="192" cm="1">
        <f t="array" aca="1" ref="BQ134" ca="1">IF(TblConstr[[#This Row],[Hour]:[Hour]]&gt;12,OFFSET(TblConstr[[#This Row],[Doc]],-12,0),0)+OFFSET(TblConstr[[#This Row],[Tot Doc]],-1,0)-TblConstr[[#This Row],[Dest Doc]]</f>
        <v>0</v>
      </c>
      <c r="BR134" s="142"/>
      <c r="BS134" s="154"/>
      <c r="BT134" s="94">
        <f ca="1">TblConstr[[#This Row],[Land]]</f>
        <v>370</v>
      </c>
      <c r="BU134" s="159">
        <f ca="1">TblImps[[#This Row],[Time]]</f>
        <v>45820.416666666351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100</v>
      </c>
      <c r="DA134" s="94">
        <f ca="1">H134+SUM(T123:U134)+SUM(BD134:BE134)</f>
        <v>20</v>
      </c>
      <c r="DB134" s="45">
        <f ca="1">I134+SUM(V123:W134)+SUM(BF134:BG134)</f>
        <v>0</v>
      </c>
      <c r="DC134" s="94">
        <f ca="1">J134+SUM(X123:Y134)+SUM(BH134:BI134)</f>
        <v>0</v>
      </c>
      <c r="DD134" s="94">
        <f ca="1">K134+SUM(AB123:AD134)+SUM(BL134:BN134)</f>
        <v>100</v>
      </c>
      <c r="DE134" s="45">
        <f ca="1">L134+SUM(AE123:AE134)+BO134</f>
        <v>50</v>
      </c>
      <c r="DF134" s="94">
        <f ca="1">M134+SUM(AG123:AG134)+BQ134</f>
        <v>0</v>
      </c>
      <c r="DG134" s="94" cm="1">
        <f t="array" aca="1" ref="DG134" ca="1">INDEX(TblConstr[[Total Plain]:[Total Water]],ROW()-ROW(TblConstr[#Headers]),MATCH("Total "&amp;home_land,TblConstr[[#Headers],[Total Plain]:[Total Water]],0))+TblConstr[[#This Row],[Homes]]</f>
        <v>150</v>
      </c>
      <c r="DH134" s="45">
        <f ca="1">SUM(O123:O134)+AY134</f>
        <v>50</v>
      </c>
      <c r="DI134" s="45">
        <f ca="1">MAX(BA134-BA133,0)</f>
        <v>0</v>
      </c>
      <c r="DJ134" s="45">
        <f ca="1">MAX(BQ134-BQ133,0)</f>
        <v>0</v>
      </c>
    </row>
    <row r="135" spans="1:114" x14ac:dyDescent="0.2">
      <c r="A135" s="175">
        <f>TblRezone[[#This Row],[Hour]]</f>
        <v>132</v>
      </c>
      <c r="B135" s="176">
        <f ca="1">SUM(TblConstr[[#This Row],[Plain]:[Water]])</f>
        <v>20</v>
      </c>
      <c r="C135" s="177">
        <f ca="1">SUM(TblConstr[[#This Row],[Tot Hom]:[Tot Doc]])</f>
        <v>350</v>
      </c>
      <c r="D135" s="177">
        <f>SUM(O124:AG135)</f>
        <v>0</v>
      </c>
      <c r="E135" s="178"/>
      <c r="F135" s="61">
        <f ca="1">TblConstr[[#This Row],[Barren]]+TblConstr[[#This Row],[Buildings]]+TblConstr[[#This Row],[Incoming]]</f>
        <v>370</v>
      </c>
      <c r="G135" s="187">
        <f ca="1">OFFSET(TblConstr[[#This Row],[Plain]],-1,0)+TblConstr[[#This Row],[Ch_Plain]]</f>
        <v>20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45820.458333333016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1591135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35" s="94">
        <f ca="1">ROUNDDOWN( MAX(1 - MIN(facs_constr_factor*TblConstr[[#This Row],[Facs -DB]],facs_constr_max) + tech_1_11*TblTech[[#This Row],[11-1]] + tech_6_3_2*TblTech[[#This Row],[6-3]] + tech_5_2_3*TblTech[[#This Row],[5-2]], 1-global_constr_cap) * TblConstr[[#This Row],[RCPA Lumber]],0)</f>
        <v>122</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35" s="94">
        <f ca="1">ROUNDDOWN( MAX(1 - MIN(facs_constr_factor*TblConstr[[#This Row],[Facs DB]],facs_constr_max) + tech_1_11*TblTech[[#This Row],[1-11]] + tech_6_3_2*TblTech[[#This Row],[6-3]] + tech_5_2_3*TblTech[[#This Row],[5-2]], 1-global_constr_cap) * ROUND((TblConstr[[#This Row],[Land]]-250)*0.285 + 87.5 + 0/4.25,0),0)</f>
        <v>122</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1000</v>
      </c>
      <c r="AW135" s="94">
        <f ca="1">ROUND((TblConstr[[#This Row],[Land]]-250 - IF(TblExplore[[#This Row],[Land Bonus]]&lt;&gt;0,20,0))*0.285 + 87.5 + 0/4.25,0)</f>
        <v>122</v>
      </c>
      <c r="AX135" s="154"/>
      <c r="AY135" s="188" cm="1">
        <f t="array" aca="1" ref="AY135" ca="1">IF(TblConstr[[#This Row],[Hour]:[Hour]]&gt;12,OFFSET(TblConstr[[#This Row],[Hom]],-12,0),0)+OFFSET(TblConstr[[#This Row],[Tot Hom]],-1,0)-TblConstr[[#This Row],[Dest Hom]]</f>
        <v>50</v>
      </c>
      <c r="AZ135" s="189" cm="1">
        <f t="array" aca="1" ref="AZ135" ca="1">IF(TblConstr[[#This Row],[Hour]:[Hour]]&gt;12,OFFSET(TblConstr[[#This Row],[Alc]],-12,0),0)+OFFSET(TblConstr[[#This Row],[Tot Alc]],-1,0)-TblConstr[[#This Row],[Dest Alc]]</f>
        <v>50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50</v>
      </c>
      <c r="BM135" s="369" cm="1">
        <f t="array" aca="1" ref="BM135" ca="1">IF(TblConstr[[#This Row],[Hour]:[Hour]]&gt;12,OFFSET(TblConstr[[#This Row],[Tem]],-12,0),0)+OFFSET(TblConstr[[#This Row],[Tot Tem]],-1,0)-TblConstr[[#This Row],[Dest Tem]]</f>
        <v>50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50</v>
      </c>
      <c r="BP135" s="191" cm="1">
        <f t="array" aca="1" ref="BP135" ca="1">IF(TblConstr[[#This Row],[Hour]:[Hour]]&gt;12,OFFSET(TblConstr[[#This Row],[Sch]],-12,0),0)+OFFSET(TblConstr[[#This Row],[Tot Sch]],-1,0)-TblConstr[[#This Row],[Dest Sch]]</f>
        <v>50</v>
      </c>
      <c r="BQ135" s="192" cm="1">
        <f t="array" aca="1" ref="BQ135" ca="1">IF(TblConstr[[#This Row],[Hour]:[Hour]]&gt;12,OFFSET(TblConstr[[#This Row],[Doc]],-12,0),0)+OFFSET(TblConstr[[#This Row],[Tot Doc]],-1,0)-TblConstr[[#This Row],[Dest Doc]]</f>
        <v>0</v>
      </c>
      <c r="BR135" s="142"/>
      <c r="BS135" s="154"/>
      <c r="BT135" s="94">
        <f ca="1">TblConstr[[#This Row],[Land]]</f>
        <v>370</v>
      </c>
      <c r="BU135" s="159">
        <f ca="1">TblImps[[#This Row],[Time]]</f>
        <v>45820.458333333016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100</v>
      </c>
      <c r="DA135" s="94">
        <f ca="1">H135+SUM(T124:U135)+SUM(BD135:BE135)</f>
        <v>20</v>
      </c>
      <c r="DB135" s="45">
        <f ca="1">I135+SUM(V124:W135)+SUM(BF135:BG135)</f>
        <v>0</v>
      </c>
      <c r="DC135" s="94">
        <f ca="1">J135+SUM(X124:Y135)+SUM(BH135:BI135)</f>
        <v>0</v>
      </c>
      <c r="DD135" s="94">
        <f ca="1">K135+SUM(AB124:AD135)+SUM(BL135:BN135)</f>
        <v>100</v>
      </c>
      <c r="DE135" s="45">
        <f ca="1">L135+SUM(AE124:AE135)+BO135</f>
        <v>50</v>
      </c>
      <c r="DF135" s="94">
        <f ca="1">M135+SUM(AG124:AG135)+BQ135</f>
        <v>0</v>
      </c>
      <c r="DG135" s="94" cm="1">
        <f t="array" aca="1" ref="DG135" ca="1">INDEX(TblConstr[[Total Plain]:[Total Water]],ROW()-ROW(TblConstr[#Headers]),MATCH("Total "&amp;home_land,TblConstr[[#Headers],[Total Plain]:[Total Water]],0))+TblConstr[[#This Row],[Homes]]</f>
        <v>150</v>
      </c>
      <c r="DH135" s="45">
        <f ca="1">SUM(O124:O135)+AY135</f>
        <v>50</v>
      </c>
      <c r="DI135" s="45">
        <f ca="1">MAX(BA135-BA134,0)</f>
        <v>0</v>
      </c>
      <c r="DJ135" s="45">
        <f ca="1">MAX(BQ135-BQ134,0)</f>
        <v>0</v>
      </c>
    </row>
    <row r="136" spans="1:114" x14ac:dyDescent="0.2">
      <c r="A136" s="175">
        <f>TblRezone[[#This Row],[Hour]]</f>
        <v>133</v>
      </c>
      <c r="B136" s="176">
        <f ca="1">SUM(TblConstr[[#This Row],[Plain]:[Water]])</f>
        <v>20</v>
      </c>
      <c r="C136" s="177">
        <f ca="1">SUM(TblConstr[[#This Row],[Tot Hom]:[Tot Doc]])</f>
        <v>350</v>
      </c>
      <c r="D136" s="177">
        <f>SUM(O125:AG136)</f>
        <v>0</v>
      </c>
      <c r="E136" s="178"/>
      <c r="F136" s="61">
        <f ca="1">TblConstr[[#This Row],[Barren]]+TblConstr[[#This Row],[Buildings]]+TblConstr[[#This Row],[Incoming]]</f>
        <v>370</v>
      </c>
      <c r="G136" s="187">
        <f ca="1">OFFSET(TblConstr[[#This Row],[Plain]],-1,0)+TblConstr[[#This Row],[Ch_Plain]]</f>
        <v>20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45820.49999999968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1597694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1000</v>
      </c>
      <c r="AN136" s="94">
        <f ca="1">ROUNDDOWN( MAX(1 - MIN(facs_constr_factor*TblConstr[[#This Row],[Facs -DB]],facs_constr_max) + tech_1_11*TblTech[[#This Row],[11-1]] + tech_6_3_2*TblTech[[#This Row],[6-3]] + tech_5_2_3*TblTech[[#This Row],[5-2]], 1-global_constr_cap) * TblConstr[[#This Row],[RCPA Lumber]],0)</f>
        <v>122</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1000</v>
      </c>
      <c r="AP136" s="94">
        <f ca="1">ROUNDDOWN( MAX(1 - MIN(facs_constr_factor*TblConstr[[#This Row],[Facs DB]],facs_constr_max) + tech_1_11*TblTech[[#This Row],[1-11]] + tech_6_3_2*TblTech[[#This Row],[6-3]] + tech_5_2_3*TblTech[[#This Row],[5-2]], 1-global_constr_cap) * ROUND((TblConstr[[#This Row],[Land]]-250)*0.285 + 87.5 + 0/4.25,0),0)</f>
        <v>122</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1000</v>
      </c>
      <c r="AW136" s="94">
        <f ca="1">ROUND((TblConstr[[#This Row],[Land]]-250 - IF(TblExplore[[#This Row],[Land Bonus]]&lt;&gt;0,20,0))*0.285 + 87.5 + 0/4.25,0)</f>
        <v>122</v>
      </c>
      <c r="AX136" s="154"/>
      <c r="AY136" s="188" cm="1">
        <f t="array" aca="1" ref="AY136" ca="1">IF(TblConstr[[#This Row],[Hour]:[Hour]]&gt;12,OFFSET(TblConstr[[#This Row],[Hom]],-12,0),0)+OFFSET(TblConstr[[#This Row],[Tot Hom]],-1,0)-TblConstr[[#This Row],[Dest Hom]]</f>
        <v>50</v>
      </c>
      <c r="AZ136" s="189" cm="1">
        <f t="array" aca="1" ref="AZ136" ca="1">IF(TblConstr[[#This Row],[Hour]:[Hour]]&gt;12,OFFSET(TblConstr[[#This Row],[Alc]],-12,0),0)+OFFSET(TblConstr[[#This Row],[Tot Alc]],-1,0)-TblConstr[[#This Row],[Dest Alc]]</f>
        <v>50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50</v>
      </c>
      <c r="BM136" s="369" cm="1">
        <f t="array" aca="1" ref="BM136" ca="1">IF(TblConstr[[#This Row],[Hour]:[Hour]]&gt;12,OFFSET(TblConstr[[#This Row],[Tem]],-12,0),0)+OFFSET(TblConstr[[#This Row],[Tot Tem]],-1,0)-TblConstr[[#This Row],[Dest Tem]]</f>
        <v>50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50</v>
      </c>
      <c r="BP136" s="191" cm="1">
        <f t="array" aca="1" ref="BP136" ca="1">IF(TblConstr[[#This Row],[Hour]:[Hour]]&gt;12,OFFSET(TblConstr[[#This Row],[Sch]],-12,0),0)+OFFSET(TblConstr[[#This Row],[Tot Sch]],-1,0)-TblConstr[[#This Row],[Dest Sch]]</f>
        <v>50</v>
      </c>
      <c r="BQ136" s="192" cm="1">
        <f t="array" aca="1" ref="BQ136" ca="1">IF(TblConstr[[#This Row],[Hour]:[Hour]]&gt;12,OFFSET(TblConstr[[#This Row],[Doc]],-12,0),0)+OFFSET(TblConstr[[#This Row],[Tot Doc]],-1,0)-TblConstr[[#This Row],[Dest Doc]]</f>
        <v>0</v>
      </c>
      <c r="BR136" s="142"/>
      <c r="BS136" s="154"/>
      <c r="BT136" s="94">
        <f ca="1">TblConstr[[#This Row],[Land]]</f>
        <v>370</v>
      </c>
      <c r="BU136" s="159">
        <f ca="1">TblImps[[#This Row],[Time]]</f>
        <v>45820.49999999968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100</v>
      </c>
      <c r="DA136" s="94">
        <f ca="1">H136+SUM(T125:U136)+SUM(BD136:BE136)</f>
        <v>20</v>
      </c>
      <c r="DB136" s="45">
        <f ca="1">I136+SUM(V125:W136)+SUM(BF136:BG136)</f>
        <v>0</v>
      </c>
      <c r="DC136" s="94">
        <f ca="1">J136+SUM(X125:Y136)+SUM(BH136:BI136)</f>
        <v>0</v>
      </c>
      <c r="DD136" s="94">
        <f ca="1">K136+SUM(AB125:AD136)+SUM(BL136:BN136)</f>
        <v>100</v>
      </c>
      <c r="DE136" s="45">
        <f ca="1">L136+SUM(AE125:AE136)+BO136</f>
        <v>50</v>
      </c>
      <c r="DF136" s="94">
        <f ca="1">M136+SUM(AG125:AG136)+BQ136</f>
        <v>0</v>
      </c>
      <c r="DG136" s="94" cm="1">
        <f t="array" aca="1" ref="DG136" ca="1">INDEX(TblConstr[[Total Plain]:[Total Water]],ROW()-ROW(TblConstr[#Headers]),MATCH("Total "&amp;home_land,TblConstr[[#Headers],[Total Plain]:[Total Water]],0))+TblConstr[[#This Row],[Homes]]</f>
        <v>150</v>
      </c>
      <c r="DH136" s="45">
        <f ca="1">SUM(O125:O136)+AY136</f>
        <v>50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5" sqref="S5"/>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370</v>
      </c>
      <c r="C4" s="215"/>
      <c r="D4" s="216">
        <f ca="1">TblConstr[[#This Row],[Plain]]</f>
        <v>20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370</v>
      </c>
      <c r="R4" s="175">
        <f>TblExplore[[#This Row],[Hour]]</f>
        <v>1</v>
      </c>
      <c r="S4" s="218">
        <v>1</v>
      </c>
      <c r="T4" s="179"/>
      <c r="U4" s="179"/>
      <c r="V4" s="179"/>
      <c r="W4" s="179"/>
      <c r="X4" s="179"/>
      <c r="Y4" s="179"/>
      <c r="Z4" s="179"/>
      <c r="AA4" s="159">
        <f>TblImps[[#This Row],[Real time]]</f>
        <v>45815</v>
      </c>
      <c r="AB4" s="94">
        <f ca="1">TblMili[[#This Row],[Draftees]]</f>
        <v>300</v>
      </c>
      <c r="AC4" s="94">
        <f ca="1">TblProd[[#This Row],[Platinum]]</f>
        <v>120000</v>
      </c>
      <c r="AD4" s="215"/>
      <c r="AE4" s="45">
        <f ca="1">TblExplore[[#This Row],[Land]]-TblExplore[[#This Row],[Land Bonus]]*20</f>
        <v>350</v>
      </c>
      <c r="AF4" s="94">
        <f ca="1">ROUND(MAX(0.6*TblExplore[[#This Row],[Land-DB]]^1.299,850)*(1+ tech_2_6*Techs!AC4 + tech_2_9*Techs!AF4 + tech_3_7*Techs!AN4 + Overview!$I$33),0)</f>
        <v>1210</v>
      </c>
      <c r="AG4" s="94">
        <f ca="1">_xlfn.FLOOR.MATH(TblExplore[[#This Row],[Land-DB]]/150)+3+tech_2_9_2*TblTech[[#This Row],[2-9]]+tech_3_7_2*TblTech[[#This Row],[3-7]]</f>
        <v>5</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60</v>
      </c>
    </row>
    <row r="5" spans="1:36" x14ac:dyDescent="0.2">
      <c r="A5" s="175">
        <f>TblRezone[[#This Row],[Hour]]</f>
        <v>2</v>
      </c>
      <c r="B5" s="214">
        <f ca="1">TblConstr[[#This Row],[Land]]</f>
        <v>370</v>
      </c>
      <c r="C5" s="215"/>
      <c r="D5" s="216">
        <f ca="1">TblConstr[[#This Row],[Plain]]</f>
        <v>20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370</v>
      </c>
      <c r="R5" s="175">
        <f>TblExplore[[#This Row],[Hour]]</f>
        <v>2</v>
      </c>
      <c r="S5" s="218"/>
      <c r="T5" s="179"/>
      <c r="U5" s="179"/>
      <c r="V5" s="179"/>
      <c r="W5" s="179"/>
      <c r="X5" s="179"/>
      <c r="Y5" s="179"/>
      <c r="Z5" s="179"/>
      <c r="AA5" s="159">
        <f ca="1">TblImps[[#This Row],[Real time]]</f>
        <v>45815.041666666664</v>
      </c>
      <c r="AB5" s="94">
        <f ca="1">TblMili[[#This Row],[Draftees]]</f>
        <v>359</v>
      </c>
      <c r="AC5" s="94">
        <f ca="1">TblProd[[#This Row],[Platinum]]</f>
        <v>138045</v>
      </c>
      <c r="AD5" s="215"/>
      <c r="AE5" s="45">
        <f ca="1">TblExplore[[#This Row],[Land]]-TblExplore[[#This Row],[Land Bonus]]*20</f>
        <v>370</v>
      </c>
      <c r="AF5" s="94">
        <f ca="1">ROUND(MAX(0.6*TblExplore[[#This Row],[Land-DB]]^1.299,850)*(1+ tech_2_6*Techs!AC5 + tech_2_9*Techs!AF5 + tech_3_7*Techs!AN5 + Overview!$I$33),0)</f>
        <v>1301</v>
      </c>
      <c r="AG5" s="94">
        <f ca="1">_xlfn.FLOOR.MATH(TblExplore[[#This Row],[Land-DB]]/150)+3+tech_2_9_2*TblTech[[#This Row],[2-9]]+tech_3_7_2*TblTech[[#This Row],[3-7]]</f>
        <v>5</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71</v>
      </c>
    </row>
    <row r="6" spans="1:36" x14ac:dyDescent="0.2">
      <c r="A6" s="175">
        <f>TblRezone[[#This Row],[Hour]]</f>
        <v>3</v>
      </c>
      <c r="B6" s="214">
        <f ca="1">TblConstr[[#This Row],[Land]]</f>
        <v>370</v>
      </c>
      <c r="C6" s="215"/>
      <c r="D6" s="216">
        <f ca="1">TblConstr[[#This Row],[Plain]]</f>
        <v>20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370</v>
      </c>
      <c r="R6" s="175">
        <f>TblExplore[[#This Row],[Hour]]</f>
        <v>3</v>
      </c>
      <c r="S6" s="218"/>
      <c r="T6" s="179"/>
      <c r="U6" s="179"/>
      <c r="V6" s="179"/>
      <c r="W6" s="179"/>
      <c r="X6" s="179"/>
      <c r="Y6" s="179"/>
      <c r="Z6" s="179"/>
      <c r="AA6" s="159">
        <f ca="1">TblImps[[#This Row],[Real time]]</f>
        <v>45815.083333333328</v>
      </c>
      <c r="AB6" s="94">
        <f ca="1">TblMili[[#This Row],[Draftees]]</f>
        <v>418</v>
      </c>
      <c r="AC6" s="94">
        <f ca="1">TblProd[[#This Row],[Platinum]]</f>
        <v>156208</v>
      </c>
      <c r="AD6" s="215"/>
      <c r="AE6" s="45">
        <f ca="1">TblExplore[[#This Row],[Land]]-TblExplore[[#This Row],[Land Bonus]]*20</f>
        <v>370</v>
      </c>
      <c r="AF6" s="94">
        <f ca="1">ROUND(MAX(0.6*TblExplore[[#This Row],[Land-DB]]^1.299,850)*(1+ tech_2_6*Techs!AC6 + tech_2_9*Techs!AF6 + tech_3_7*Techs!AN6 + Overview!$I$33),0)</f>
        <v>1301</v>
      </c>
      <c r="AG6" s="94">
        <f ca="1">_xlfn.FLOOR.MATH(TblExplore[[#This Row],[Land-DB]]/150)+3+tech_2_9_2*TblTech[[#This Row],[2-9]]+tech_3_7_2*TblTech[[#This Row],[3-7]]</f>
        <v>5</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83</v>
      </c>
    </row>
    <row r="7" spans="1:36" x14ac:dyDescent="0.2">
      <c r="A7" s="175">
        <f>TblRezone[[#This Row],[Hour]]</f>
        <v>4</v>
      </c>
      <c r="B7" s="214">
        <f ca="1">TblConstr[[#This Row],[Land]]</f>
        <v>370</v>
      </c>
      <c r="C7" s="215"/>
      <c r="D7" s="216">
        <f ca="1">TblConstr[[#This Row],[Plain]]</f>
        <v>20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370</v>
      </c>
      <c r="R7" s="175">
        <f>TblExplore[[#This Row],[Hour]]</f>
        <v>4</v>
      </c>
      <c r="S7" s="218"/>
      <c r="T7" s="158"/>
      <c r="U7" s="179"/>
      <c r="V7" s="179"/>
      <c r="W7" s="179"/>
      <c r="X7" s="179"/>
      <c r="Y7" s="179"/>
      <c r="Z7" s="179"/>
      <c r="AA7" s="159">
        <f ca="1">TblImps[[#This Row],[Real time]]</f>
        <v>45815.124999999993</v>
      </c>
      <c r="AB7" s="94">
        <f ca="1">TblMili[[#This Row],[Draftees]]</f>
        <v>476</v>
      </c>
      <c r="AC7" s="94">
        <f ca="1">TblProd[[#This Row],[Platinum]]</f>
        <v>174212</v>
      </c>
      <c r="AD7" s="215"/>
      <c r="AE7" s="45">
        <f ca="1">TblExplore[[#This Row],[Land]]-TblExplore[[#This Row],[Land Bonus]]*20</f>
        <v>370</v>
      </c>
      <c r="AF7" s="94">
        <f ca="1">ROUND(MAX(0.6*TblExplore[[#This Row],[Land-DB]]^1.299,850)*(1+ tech_2_6*Techs!AC7 + tech_2_9*Techs!AF7 + tech_3_7*Techs!AN7 + Overview!$I$33),0)</f>
        <v>1301</v>
      </c>
      <c r="AG7" s="94">
        <f ca="1">_xlfn.FLOOR.MATH(TblExplore[[#This Row],[Land-DB]]/150)+3+tech_2_9_2*TblTech[[#This Row],[2-9]]+tech_3_7_2*TblTech[[#This Row],[3-7]]</f>
        <v>5</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95</v>
      </c>
    </row>
    <row r="8" spans="1:36" x14ac:dyDescent="0.2">
      <c r="A8" s="175">
        <f>TblRezone[[#This Row],[Hour]]</f>
        <v>5</v>
      </c>
      <c r="B8" s="214">
        <f ca="1">TblConstr[[#This Row],[Land]]</f>
        <v>370</v>
      </c>
      <c r="C8" s="215"/>
      <c r="D8" s="216">
        <f ca="1">TblConstr[[#This Row],[Plain]]</f>
        <v>20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370</v>
      </c>
      <c r="R8" s="175">
        <f>TblExplore[[#This Row],[Hour]]</f>
        <v>5</v>
      </c>
      <c r="S8" s="218"/>
      <c r="T8" s="158"/>
      <c r="U8" s="179"/>
      <c r="V8" s="179"/>
      <c r="W8" s="179"/>
      <c r="X8" s="179"/>
      <c r="Y8" s="179"/>
      <c r="Z8" s="179"/>
      <c r="AA8" s="159">
        <f ca="1">TblImps[[#This Row],[Real time]]</f>
        <v>45815.166666666657</v>
      </c>
      <c r="AB8" s="94">
        <f ca="1">TblMili[[#This Row],[Draftees]]</f>
        <v>534</v>
      </c>
      <c r="AC8" s="94">
        <f ca="1">TblProd[[#This Row],[Platinum]]</f>
        <v>192059</v>
      </c>
      <c r="AD8" s="215"/>
      <c r="AE8" s="45">
        <f ca="1">TblExplore[[#This Row],[Land]]-TblExplore[[#This Row],[Land Bonus]]*20</f>
        <v>370</v>
      </c>
      <c r="AF8" s="94">
        <f ca="1">ROUND(MAX(0.6*TblExplore[[#This Row],[Land-DB]]^1.299,850)*(1+ tech_2_6*Techs!AC8 + tech_2_9*Techs!AF8 + tech_3_7*Techs!AN8 + Overview!$I$33),0)</f>
        <v>1301</v>
      </c>
      <c r="AG8" s="94">
        <f ca="1">_xlfn.FLOOR.MATH(TblExplore[[#This Row],[Land-DB]]/150)+3+tech_2_9_2*TblTech[[#This Row],[2-9]]+tech_3_7_2*TblTech[[#This Row],[3-7]]</f>
        <v>5</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106</v>
      </c>
    </row>
    <row r="9" spans="1:36" x14ac:dyDescent="0.2">
      <c r="A9" s="175">
        <f>TblRezone[[#This Row],[Hour]]</f>
        <v>6</v>
      </c>
      <c r="B9" s="214">
        <f ca="1">TblConstr[[#This Row],[Land]]</f>
        <v>370</v>
      </c>
      <c r="C9" s="215"/>
      <c r="D9" s="216">
        <f ca="1">TblConstr[[#This Row],[Plain]]</f>
        <v>20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370</v>
      </c>
      <c r="R9" s="175">
        <f>TblExplore[[#This Row],[Hour]]</f>
        <v>6</v>
      </c>
      <c r="S9" s="218"/>
      <c r="T9" s="179"/>
      <c r="U9" s="179"/>
      <c r="V9" s="179"/>
      <c r="W9" s="179"/>
      <c r="X9" s="179"/>
      <c r="Y9" s="179"/>
      <c r="Z9" s="179"/>
      <c r="AA9" s="159">
        <f ca="1">TblImps[[#This Row],[Real time]]</f>
        <v>45815.208333333321</v>
      </c>
      <c r="AB9" s="94">
        <f ca="1">TblMili[[#This Row],[Draftees]]</f>
        <v>591</v>
      </c>
      <c r="AC9" s="94">
        <f ca="1">TblProd[[#This Row],[Platinum]]</f>
        <v>209750</v>
      </c>
      <c r="AD9" s="215"/>
      <c r="AE9" s="45">
        <f ca="1">TblExplore[[#This Row],[Land]]-TblExplore[[#This Row],[Land Bonus]]*20</f>
        <v>370</v>
      </c>
      <c r="AF9" s="94">
        <f ca="1">ROUND(MAX(0.6*TblExplore[[#This Row],[Land-DB]]^1.299,850)*(1+ tech_2_6*Techs!AC9 + tech_2_9*Techs!AF9 + tech_3_7*Techs!AN9 + Overview!$I$33),0)</f>
        <v>1301</v>
      </c>
      <c r="AG9" s="94">
        <f ca="1">_xlfn.FLOOR.MATH(TblExplore[[#This Row],[Land-DB]]/150)+3+tech_2_9_2*TblTech[[#This Row],[2-9]]+tech_3_7_2*TblTech[[#This Row],[3-7]]</f>
        <v>5</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118</v>
      </c>
    </row>
    <row r="10" spans="1:36" x14ac:dyDescent="0.2">
      <c r="A10" s="175">
        <f>TblRezone[[#This Row],[Hour]]</f>
        <v>7</v>
      </c>
      <c r="B10" s="214">
        <f ca="1">TblConstr[[#This Row],[Land]]</f>
        <v>370</v>
      </c>
      <c r="C10" s="215"/>
      <c r="D10" s="216">
        <f ca="1">TblConstr[[#This Row],[Plain]]</f>
        <v>20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370</v>
      </c>
      <c r="R10" s="175">
        <f>TblExplore[[#This Row],[Hour]]</f>
        <v>7</v>
      </c>
      <c r="S10" s="218"/>
      <c r="T10" s="179"/>
      <c r="U10" s="179"/>
      <c r="V10" s="179"/>
      <c r="W10" s="179"/>
      <c r="X10" s="179"/>
      <c r="Y10" s="179"/>
      <c r="Z10" s="179"/>
      <c r="AA10" s="159">
        <f ca="1">TblImps[[#This Row],[Real time]]</f>
        <v>45815.249999999985</v>
      </c>
      <c r="AB10" s="94">
        <f ca="1">TblMili[[#This Row],[Draftees]]</f>
        <v>648</v>
      </c>
      <c r="AC10" s="94">
        <f ca="1">TblProd[[#This Row],[Platinum]]</f>
        <v>227287</v>
      </c>
      <c r="AD10" s="215"/>
      <c r="AE10" s="45">
        <f ca="1">TblExplore[[#This Row],[Land]]-TblExplore[[#This Row],[Land Bonus]]*20</f>
        <v>370</v>
      </c>
      <c r="AF10" s="94">
        <f ca="1">ROUND(MAX(0.6*TblExplore[[#This Row],[Land-DB]]^1.299,850)*(1+ tech_2_6*Techs!AC10 + tech_2_9*Techs!AF10 + tech_3_7*Techs!AN10 + Overview!$I$33),0)</f>
        <v>1301</v>
      </c>
      <c r="AG10" s="94">
        <f ca="1">_xlfn.FLOOR.MATH(TblExplore[[#This Row],[Land-DB]]/150)+3+tech_2_9_2*TblTech[[#This Row],[2-9]]+tech_3_7_2*TblTech[[#This Row],[3-7]]</f>
        <v>5</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129</v>
      </c>
    </row>
    <row r="11" spans="1:36" x14ac:dyDescent="0.2">
      <c r="A11" s="175">
        <f>TblRezone[[#This Row],[Hour]]</f>
        <v>8</v>
      </c>
      <c r="B11" s="214">
        <f ca="1">TblConstr[[#This Row],[Land]]</f>
        <v>370</v>
      </c>
      <c r="C11" s="215"/>
      <c r="D11" s="216">
        <f ca="1">TblConstr[[#This Row],[Plain]]</f>
        <v>20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370</v>
      </c>
      <c r="R11" s="175">
        <f>TblExplore[[#This Row],[Hour]]</f>
        <v>8</v>
      </c>
      <c r="S11" s="218"/>
      <c r="T11" s="179"/>
      <c r="U11" s="179"/>
      <c r="V11" s="179"/>
      <c r="W11" s="179"/>
      <c r="X11" s="179"/>
      <c r="Y11" s="179"/>
      <c r="Z11" s="179"/>
      <c r="AA11" s="159">
        <f ca="1">TblImps[[#This Row],[Real time]]</f>
        <v>45815.29166666665</v>
      </c>
      <c r="AB11" s="94">
        <f ca="1">TblMili[[#This Row],[Draftees]]</f>
        <v>704</v>
      </c>
      <c r="AC11" s="94">
        <f ca="1">TblProd[[#This Row],[Platinum]]</f>
        <v>244670</v>
      </c>
      <c r="AD11" s="215"/>
      <c r="AE11" s="45">
        <f ca="1">TblExplore[[#This Row],[Land]]-TblExplore[[#This Row],[Land Bonus]]*20</f>
        <v>370</v>
      </c>
      <c r="AF11" s="94">
        <f ca="1">ROUND(MAX(0.6*TblExplore[[#This Row],[Land-DB]]^1.299,850)*(1+ tech_2_6*Techs!AC11 + tech_2_9*Techs!AF11 + tech_3_7*Techs!AN11 + Overview!$I$33),0)</f>
        <v>1301</v>
      </c>
      <c r="AG11" s="94">
        <f ca="1">_xlfn.FLOOR.MATH(TblExplore[[#This Row],[Land-DB]]/150)+3+tech_2_9_2*TblTech[[#This Row],[2-9]]+tech_3_7_2*TblTech[[#This Row],[3-7]]</f>
        <v>5</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140</v>
      </c>
    </row>
    <row r="12" spans="1:36" x14ac:dyDescent="0.2">
      <c r="A12" s="175">
        <f>TblRezone[[#This Row],[Hour]]</f>
        <v>9</v>
      </c>
      <c r="B12" s="214">
        <f ca="1">TblConstr[[#This Row],[Land]]</f>
        <v>370</v>
      </c>
      <c r="C12" s="215"/>
      <c r="D12" s="216">
        <f ca="1">TblConstr[[#This Row],[Plain]]</f>
        <v>20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370</v>
      </c>
      <c r="R12" s="175">
        <f>TblExplore[[#This Row],[Hour]]</f>
        <v>9</v>
      </c>
      <c r="S12" s="218"/>
      <c r="T12" s="179"/>
      <c r="U12" s="179"/>
      <c r="V12" s="179"/>
      <c r="W12" s="179"/>
      <c r="X12" s="179"/>
      <c r="Y12" s="179"/>
      <c r="Z12" s="179"/>
      <c r="AA12" s="159">
        <f ca="1">TblImps[[#This Row],[Real time]]</f>
        <v>45815.333333333314</v>
      </c>
      <c r="AB12" s="94">
        <f ca="1">TblMili[[#This Row],[Draftees]]</f>
        <v>759</v>
      </c>
      <c r="AC12" s="94">
        <f ca="1">TblProd[[#This Row],[Platinum]]</f>
        <v>261902</v>
      </c>
      <c r="AD12" s="215"/>
      <c r="AE12" s="45">
        <f ca="1">TblExplore[[#This Row],[Land]]-TblExplore[[#This Row],[Land Bonus]]*20</f>
        <v>370</v>
      </c>
      <c r="AF12" s="94">
        <f ca="1">ROUND(MAX(0.6*TblExplore[[#This Row],[Land-DB]]^1.299,850)*(1+ tech_2_6*Techs!AC12 + tech_2_9*Techs!AF12 + tech_3_7*Techs!AN12 + Overview!$I$33),0)</f>
        <v>1301</v>
      </c>
      <c r="AG12" s="94">
        <f ca="1">_xlfn.FLOOR.MATH(TblExplore[[#This Row],[Land-DB]]/150)+3+tech_2_9_2*TblTech[[#This Row],[2-9]]+tech_3_7_2*TblTech[[#This Row],[3-7]]</f>
        <v>5</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151</v>
      </c>
    </row>
    <row r="13" spans="1:36" x14ac:dyDescent="0.2">
      <c r="A13" s="175">
        <f>TblRezone[[#This Row],[Hour]]</f>
        <v>10</v>
      </c>
      <c r="B13" s="214">
        <f ca="1">TblConstr[[#This Row],[Land]]</f>
        <v>370</v>
      </c>
      <c r="C13" s="215"/>
      <c r="D13" s="216">
        <f ca="1">TblConstr[[#This Row],[Plain]]</f>
        <v>20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370</v>
      </c>
      <c r="R13" s="175">
        <f>TblExplore[[#This Row],[Hour]]</f>
        <v>10</v>
      </c>
      <c r="S13" s="218"/>
      <c r="T13" s="179"/>
      <c r="U13" s="179"/>
      <c r="V13" s="179"/>
      <c r="W13" s="179"/>
      <c r="X13" s="179"/>
      <c r="Y13" s="179"/>
      <c r="Z13" s="179"/>
      <c r="AA13" s="159">
        <f ca="1">TblImps[[#This Row],[Real time]]</f>
        <v>45815.374999999978</v>
      </c>
      <c r="AB13" s="94">
        <f ca="1">TblMili[[#This Row],[Draftees]]</f>
        <v>814</v>
      </c>
      <c r="AC13" s="94">
        <f ca="1">TblProd[[#This Row],[Platinum]]</f>
        <v>278985</v>
      </c>
      <c r="AD13" s="215"/>
      <c r="AE13" s="45">
        <f ca="1">TblExplore[[#This Row],[Land]]-TblExplore[[#This Row],[Land Bonus]]*20</f>
        <v>370</v>
      </c>
      <c r="AF13" s="94">
        <f ca="1">ROUND(MAX(0.6*TblExplore[[#This Row],[Land-DB]]^1.299,850)*(1+ tech_2_6*Techs!AC13 + tech_2_9*Techs!AF13 + tech_3_7*Techs!AN13 + Overview!$I$33),0)</f>
        <v>1301</v>
      </c>
      <c r="AG13" s="94">
        <f ca="1">_xlfn.FLOOR.MATH(TblExplore[[#This Row],[Land-DB]]/150)+3+tech_2_9_2*TblTech[[#This Row],[2-9]]+tech_3_7_2*TblTech[[#This Row],[3-7]]</f>
        <v>5</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162</v>
      </c>
    </row>
    <row r="14" spans="1:36" x14ac:dyDescent="0.2">
      <c r="A14" s="175">
        <f>TblRezone[[#This Row],[Hour]]</f>
        <v>11</v>
      </c>
      <c r="B14" s="214">
        <f ca="1">TblConstr[[#This Row],[Land]]</f>
        <v>370</v>
      </c>
      <c r="C14" s="215"/>
      <c r="D14" s="216">
        <f ca="1">TblConstr[[#This Row],[Plain]]</f>
        <v>20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370</v>
      </c>
      <c r="R14" s="175">
        <f>TblExplore[[#This Row],[Hour]]</f>
        <v>11</v>
      </c>
      <c r="S14" s="218"/>
      <c r="T14" s="179"/>
      <c r="U14" s="179"/>
      <c r="V14" s="179"/>
      <c r="W14" s="179"/>
      <c r="X14" s="179"/>
      <c r="Y14" s="179"/>
      <c r="Z14" s="179"/>
      <c r="AA14" s="159">
        <f ca="1">TblImps[[#This Row],[Real time]]</f>
        <v>45815.416666666642</v>
      </c>
      <c r="AB14" s="94">
        <f ca="1">TblMili[[#This Row],[Draftees]]</f>
        <v>868</v>
      </c>
      <c r="AC14" s="94">
        <f ca="1">TblProd[[#This Row],[Platinum]]</f>
        <v>295920</v>
      </c>
      <c r="AD14" s="215"/>
      <c r="AE14" s="45">
        <f ca="1">TblExplore[[#This Row],[Land]]-TblExplore[[#This Row],[Land Bonus]]*20</f>
        <v>370</v>
      </c>
      <c r="AF14" s="94">
        <f ca="1">ROUND(MAX(0.6*TblExplore[[#This Row],[Land-DB]]^1.299,850)*(1+ tech_2_6*Techs!AC14 + tech_2_9*Techs!AF14 + tech_3_7*Techs!AN14 + Overview!$I$33),0)</f>
        <v>1301</v>
      </c>
      <c r="AG14" s="94">
        <f ca="1">_xlfn.FLOOR.MATH(TblExplore[[#This Row],[Land-DB]]/150)+3+tech_2_9_2*TblTech[[#This Row],[2-9]]+tech_3_7_2*TblTech[[#This Row],[3-7]]</f>
        <v>5</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173</v>
      </c>
    </row>
    <row r="15" spans="1:36" x14ac:dyDescent="0.2">
      <c r="A15" s="175">
        <f>TblRezone[[#This Row],[Hour]]</f>
        <v>12</v>
      </c>
      <c r="B15" s="214">
        <f ca="1">TblConstr[[#This Row],[Land]]</f>
        <v>370</v>
      </c>
      <c r="C15" s="215"/>
      <c r="D15" s="216">
        <f ca="1">TblConstr[[#This Row],[Plain]]</f>
        <v>20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370</v>
      </c>
      <c r="R15" s="175">
        <f>TblExplore[[#This Row],[Hour]]</f>
        <v>12</v>
      </c>
      <c r="S15" s="218"/>
      <c r="T15" s="158"/>
      <c r="U15" s="179"/>
      <c r="V15" s="179"/>
      <c r="W15" s="179"/>
      <c r="X15" s="179"/>
      <c r="Y15" s="179"/>
      <c r="Z15" s="179"/>
      <c r="AA15" s="159">
        <f ca="1">TblImps[[#This Row],[Real time]]</f>
        <v>45815.458333333307</v>
      </c>
      <c r="AB15" s="94">
        <f ca="1">TblMili[[#This Row],[Draftees]]</f>
        <v>922</v>
      </c>
      <c r="AC15" s="94">
        <f ca="1">TblProd[[#This Row],[Platinum]]</f>
        <v>312709</v>
      </c>
      <c r="AD15" s="215"/>
      <c r="AE15" s="45">
        <f ca="1">TblExplore[[#This Row],[Land]]-TblExplore[[#This Row],[Land Bonus]]*20</f>
        <v>370</v>
      </c>
      <c r="AF15" s="94">
        <f ca="1">ROUND(MAX(0.6*TblExplore[[#This Row],[Land-DB]]^1.299,850)*(1+ tech_2_6*Techs!AC15 + tech_2_9*Techs!AF15 + tech_3_7*Techs!AN15 + Overview!$I$33),0)</f>
        <v>1301</v>
      </c>
      <c r="AG15" s="94">
        <f ca="1">_xlfn.FLOOR.MATH(TblExplore[[#This Row],[Land-DB]]/150)+3+tech_2_9_2*TblTech[[#This Row],[2-9]]+tech_3_7_2*TblTech[[#This Row],[3-7]]</f>
        <v>5</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184</v>
      </c>
    </row>
    <row r="16" spans="1:36" x14ac:dyDescent="0.2">
      <c r="A16" s="175">
        <f>TblRezone[[#This Row],[Hour]]</f>
        <v>13</v>
      </c>
      <c r="B16" s="214">
        <f ca="1">TblConstr[[#This Row],[Land]]</f>
        <v>370</v>
      </c>
      <c r="C16" s="215"/>
      <c r="D16" s="216">
        <f ca="1">TblConstr[[#This Row],[Plain]]</f>
        <v>20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370</v>
      </c>
      <c r="R16" s="175">
        <f>TblExplore[[#This Row],[Hour]]</f>
        <v>13</v>
      </c>
      <c r="S16" s="218"/>
      <c r="T16" s="179"/>
      <c r="U16" s="179"/>
      <c r="V16" s="179"/>
      <c r="W16" s="179"/>
      <c r="X16" s="179"/>
      <c r="Y16" s="179"/>
      <c r="Z16" s="179"/>
      <c r="AA16" s="159">
        <f ca="1">TblImps[[#This Row],[Real time]]</f>
        <v>45815.499999999971</v>
      </c>
      <c r="AB16" s="94">
        <f ca="1">TblMili[[#This Row],[Draftees]]</f>
        <v>975</v>
      </c>
      <c r="AC16" s="94">
        <f ca="1">TblProd[[#This Row],[Platinum]]</f>
        <v>329352</v>
      </c>
      <c r="AD16" s="215"/>
      <c r="AE16" s="45">
        <f ca="1">TblExplore[[#This Row],[Land]]-TblExplore[[#This Row],[Land Bonus]]*20</f>
        <v>370</v>
      </c>
      <c r="AF16" s="94">
        <f ca="1">ROUND(MAX(0.6*TblExplore[[#This Row],[Land-DB]]^1.299,850)*(1+ tech_2_6*Techs!AC16 + tech_2_9*Techs!AF16 + tech_3_7*Techs!AN16 + Overview!$I$33),0)</f>
        <v>1301</v>
      </c>
      <c r="AG16" s="94">
        <f ca="1">_xlfn.FLOOR.MATH(TblExplore[[#This Row],[Land-DB]]/150)+3+tech_2_9_2*TblTech[[#This Row],[2-9]]+tech_3_7_2*TblTech[[#This Row],[3-7]]</f>
        <v>5</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195</v>
      </c>
    </row>
    <row r="17" spans="1:36" x14ac:dyDescent="0.2">
      <c r="A17" s="175">
        <f>TblRezone[[#This Row],[Hour]]</f>
        <v>14</v>
      </c>
      <c r="B17" s="214">
        <f ca="1">TblConstr[[#This Row],[Land]]</f>
        <v>370</v>
      </c>
      <c r="C17" s="215"/>
      <c r="D17" s="216">
        <f ca="1">TblConstr[[#This Row],[Plain]]</f>
        <v>20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370</v>
      </c>
      <c r="R17" s="175">
        <f>TblExplore[[#This Row],[Hour]]</f>
        <v>14</v>
      </c>
      <c r="S17" s="218"/>
      <c r="T17" s="179"/>
      <c r="U17" s="179"/>
      <c r="V17" s="179"/>
      <c r="W17" s="179"/>
      <c r="X17" s="179"/>
      <c r="Y17" s="179"/>
      <c r="Z17" s="179"/>
      <c r="AA17" s="159">
        <f ca="1">TblImps[[#This Row],[Real time]]</f>
        <v>45815.541666666635</v>
      </c>
      <c r="AB17" s="94">
        <f ca="1">TblMili[[#This Row],[Draftees]]</f>
        <v>1028</v>
      </c>
      <c r="AC17" s="94">
        <f ca="1">TblProd[[#This Row],[Platinum]]</f>
        <v>345852</v>
      </c>
      <c r="AD17" s="215"/>
      <c r="AE17" s="45">
        <f ca="1">TblExplore[[#This Row],[Land]]-TblExplore[[#This Row],[Land Bonus]]*20</f>
        <v>370</v>
      </c>
      <c r="AF17" s="94">
        <f ca="1">ROUND(MAX(0.6*TblExplore[[#This Row],[Land-DB]]^1.299,850)*(1+ tech_2_6*Techs!AC17 + tech_2_9*Techs!AF17 + tech_3_7*Techs!AN17 + Overview!$I$33),0)</f>
        <v>1301</v>
      </c>
      <c r="AG17" s="94">
        <f ca="1">_xlfn.FLOOR.MATH(TblExplore[[#This Row],[Land-DB]]/150)+3+tech_2_9_2*TblTech[[#This Row],[2-9]]+tech_3_7_2*TblTech[[#This Row],[3-7]]</f>
        <v>5</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205</v>
      </c>
    </row>
    <row r="18" spans="1:36" x14ac:dyDescent="0.2">
      <c r="A18" s="175">
        <f>TblRezone[[#This Row],[Hour]]</f>
        <v>15</v>
      </c>
      <c r="B18" s="214">
        <f ca="1">TblConstr[[#This Row],[Land]]</f>
        <v>370</v>
      </c>
      <c r="C18" s="215"/>
      <c r="D18" s="216">
        <f ca="1">TblConstr[[#This Row],[Plain]]</f>
        <v>20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370</v>
      </c>
      <c r="R18" s="175">
        <f>TblExplore[[#This Row],[Hour]]</f>
        <v>15</v>
      </c>
      <c r="S18" s="218"/>
      <c r="T18" s="179"/>
      <c r="U18" s="179"/>
      <c r="V18" s="179"/>
      <c r="W18" s="179"/>
      <c r="X18" s="179"/>
      <c r="Y18" s="179"/>
      <c r="Z18" s="179"/>
      <c r="AA18" s="159">
        <f ca="1">TblImps[[#This Row],[Real time]]</f>
        <v>45815.583333333299</v>
      </c>
      <c r="AB18" s="94">
        <f ca="1">TblMili[[#This Row],[Draftees]]</f>
        <v>1080</v>
      </c>
      <c r="AC18" s="94">
        <f ca="1">TblProd[[#This Row],[Platinum]]</f>
        <v>362209</v>
      </c>
      <c r="AD18" s="215"/>
      <c r="AE18" s="45">
        <f ca="1">TblExplore[[#This Row],[Land]]-TblExplore[[#This Row],[Land Bonus]]*20</f>
        <v>370</v>
      </c>
      <c r="AF18" s="94">
        <f ca="1">ROUND(MAX(0.6*TblExplore[[#This Row],[Land-DB]]^1.299,850)*(1+ tech_2_6*Techs!AC18 + tech_2_9*Techs!AF18 + tech_3_7*Techs!AN18 + Overview!$I$33),0)</f>
        <v>1301</v>
      </c>
      <c r="AG18" s="94">
        <f ca="1">_xlfn.FLOOR.MATH(TblExplore[[#This Row],[Land-DB]]/150)+3+tech_2_9_2*TblTech[[#This Row],[2-9]]+tech_3_7_2*TblTech[[#This Row],[3-7]]</f>
        <v>5</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216</v>
      </c>
    </row>
    <row r="19" spans="1:36" x14ac:dyDescent="0.2">
      <c r="A19" s="175">
        <f>TblRezone[[#This Row],[Hour]]</f>
        <v>16</v>
      </c>
      <c r="B19" s="214">
        <f ca="1">TblConstr[[#This Row],[Land]]</f>
        <v>370</v>
      </c>
      <c r="C19" s="215"/>
      <c r="D19" s="216">
        <f ca="1">TblConstr[[#This Row],[Plain]]</f>
        <v>20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370</v>
      </c>
      <c r="R19" s="175">
        <f>TblExplore[[#This Row],[Hour]]</f>
        <v>16</v>
      </c>
      <c r="S19" s="218"/>
      <c r="T19" s="158"/>
      <c r="U19" s="179"/>
      <c r="V19" s="179"/>
      <c r="W19" s="179"/>
      <c r="X19" s="179"/>
      <c r="Y19" s="179"/>
      <c r="Z19" s="179"/>
      <c r="AA19" s="159">
        <f ca="1">TblImps[[#This Row],[Real time]]</f>
        <v>45815.624999999964</v>
      </c>
      <c r="AB19" s="94">
        <f ca="1">TblMili[[#This Row],[Draftees]]</f>
        <v>1132</v>
      </c>
      <c r="AC19" s="94">
        <f ca="1">TblProd[[#This Row],[Platinum]]</f>
        <v>378426</v>
      </c>
      <c r="AD19" s="215"/>
      <c r="AE19" s="45">
        <f ca="1">TblExplore[[#This Row],[Land]]-TblExplore[[#This Row],[Land Bonus]]*20</f>
        <v>370</v>
      </c>
      <c r="AF19" s="94">
        <f ca="1">ROUND(MAX(0.6*TblExplore[[#This Row],[Land-DB]]^1.299,850)*(1+ tech_2_6*Techs!AC19 + tech_2_9*Techs!AF19 + tech_3_7*Techs!AN19 + Overview!$I$33),0)</f>
        <v>1301</v>
      </c>
      <c r="AG19" s="94">
        <f ca="1">_xlfn.FLOOR.MATH(TblExplore[[#This Row],[Land-DB]]/150)+3+tech_2_9_2*TblTech[[#This Row],[2-9]]+tech_3_7_2*TblTech[[#This Row],[3-7]]</f>
        <v>5</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226</v>
      </c>
    </row>
    <row r="20" spans="1:36" x14ac:dyDescent="0.2">
      <c r="A20" s="175">
        <f>TblRezone[[#This Row],[Hour]]</f>
        <v>17</v>
      </c>
      <c r="B20" s="214">
        <f ca="1">TblConstr[[#This Row],[Land]]</f>
        <v>370</v>
      </c>
      <c r="C20" s="215"/>
      <c r="D20" s="216">
        <f ca="1">TblConstr[[#This Row],[Plain]]</f>
        <v>20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370</v>
      </c>
      <c r="R20" s="175">
        <f>TblExplore[[#This Row],[Hour]]</f>
        <v>17</v>
      </c>
      <c r="S20" s="218"/>
      <c r="T20" s="158"/>
      <c r="U20" s="179"/>
      <c r="V20" s="179"/>
      <c r="W20" s="179"/>
      <c r="X20" s="179"/>
      <c r="Y20" s="179"/>
      <c r="Z20" s="179"/>
      <c r="AA20" s="159">
        <f ca="1">TblImps[[#This Row],[Real time]]</f>
        <v>45815.666666666628</v>
      </c>
      <c r="AB20" s="94">
        <f ca="1">TblMili[[#This Row],[Draftees]]</f>
        <v>1183</v>
      </c>
      <c r="AC20" s="94">
        <f ca="1">TblProd[[#This Row],[Platinum]]</f>
        <v>394502</v>
      </c>
      <c r="AD20" s="215"/>
      <c r="AE20" s="45">
        <f ca="1">TblExplore[[#This Row],[Land]]-TblExplore[[#This Row],[Land Bonus]]*20</f>
        <v>370</v>
      </c>
      <c r="AF20" s="94">
        <f ca="1">ROUND(MAX(0.6*TblExplore[[#This Row],[Land-DB]]^1.299,850)*(1+ tech_2_6*Techs!AC20 + tech_2_9*Techs!AF20 + tech_3_7*Techs!AN20 + Overview!$I$33),0)</f>
        <v>1301</v>
      </c>
      <c r="AG20" s="94">
        <f ca="1">_xlfn.FLOOR.MATH(TblExplore[[#This Row],[Land-DB]]/150)+3+tech_2_9_2*TblTech[[#This Row],[2-9]]+tech_3_7_2*TblTech[[#This Row],[3-7]]</f>
        <v>5</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236</v>
      </c>
    </row>
    <row r="21" spans="1:36" x14ac:dyDescent="0.2">
      <c r="A21" s="175">
        <f>TblRezone[[#This Row],[Hour]]</f>
        <v>18</v>
      </c>
      <c r="B21" s="214">
        <f ca="1">TblConstr[[#This Row],[Land]]</f>
        <v>370</v>
      </c>
      <c r="C21" s="215"/>
      <c r="D21" s="216">
        <f ca="1">TblConstr[[#This Row],[Plain]]</f>
        <v>20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370</v>
      </c>
      <c r="R21" s="175">
        <f>TblExplore[[#This Row],[Hour]]</f>
        <v>18</v>
      </c>
      <c r="S21" s="218"/>
      <c r="T21" s="179"/>
      <c r="U21" s="179"/>
      <c r="V21" s="179"/>
      <c r="W21" s="179"/>
      <c r="X21" s="179"/>
      <c r="Y21" s="179"/>
      <c r="Z21" s="179"/>
      <c r="AA21" s="159">
        <f ca="1">TblImps[[#This Row],[Real time]]</f>
        <v>45815.708333333292</v>
      </c>
      <c r="AB21" s="94">
        <f ca="1">TblMili[[#This Row],[Draftees]]</f>
        <v>1234</v>
      </c>
      <c r="AC21" s="94">
        <f ca="1">TblProd[[#This Row],[Platinum]]</f>
        <v>410441</v>
      </c>
      <c r="AD21" s="215"/>
      <c r="AE21" s="45">
        <f ca="1">TblExplore[[#This Row],[Land]]-TblExplore[[#This Row],[Land Bonus]]*20</f>
        <v>370</v>
      </c>
      <c r="AF21" s="94">
        <f ca="1">ROUND(MAX(0.6*TblExplore[[#This Row],[Land-DB]]^1.299,850)*(1+ tech_2_6*Techs!AC21 + tech_2_9*Techs!AF21 + tech_3_7*Techs!AN21 + Overview!$I$33),0)</f>
        <v>1301</v>
      </c>
      <c r="AG21" s="94">
        <f ca="1">_xlfn.FLOOR.MATH(TblExplore[[#This Row],[Land-DB]]/150)+3+tech_2_9_2*TblTech[[#This Row],[2-9]]+tech_3_7_2*TblTech[[#This Row],[3-7]]</f>
        <v>5</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246</v>
      </c>
    </row>
    <row r="22" spans="1:36" x14ac:dyDescent="0.2">
      <c r="A22" s="175">
        <f>TblRezone[[#This Row],[Hour]]</f>
        <v>19</v>
      </c>
      <c r="B22" s="214">
        <f ca="1">TblConstr[[#This Row],[Land]]</f>
        <v>370</v>
      </c>
      <c r="C22" s="215"/>
      <c r="D22" s="216">
        <f ca="1">TblConstr[[#This Row],[Plain]]</f>
        <v>20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370</v>
      </c>
      <c r="R22" s="175">
        <f>TblExplore[[#This Row],[Hour]]</f>
        <v>19</v>
      </c>
      <c r="S22" s="218"/>
      <c r="T22" s="179"/>
      <c r="U22" s="179"/>
      <c r="V22" s="179"/>
      <c r="W22" s="179"/>
      <c r="X22" s="179"/>
      <c r="Y22" s="179"/>
      <c r="Z22" s="179"/>
      <c r="AA22" s="159">
        <f ca="1">TblImps[[#This Row],[Real time]]</f>
        <v>45815.749999999956</v>
      </c>
      <c r="AB22" s="94">
        <f ca="1">TblMili[[#This Row],[Draftees]]</f>
        <v>1284</v>
      </c>
      <c r="AC22" s="94">
        <f ca="1">TblProd[[#This Row],[Platinum]]</f>
        <v>426242</v>
      </c>
      <c r="AD22" s="215"/>
      <c r="AE22" s="45">
        <f ca="1">TblExplore[[#This Row],[Land]]-TblExplore[[#This Row],[Land Bonus]]*20</f>
        <v>370</v>
      </c>
      <c r="AF22" s="94">
        <f ca="1">ROUND(MAX(0.6*TblExplore[[#This Row],[Land-DB]]^1.299,850)*(1+ tech_2_6*Techs!AC22 + tech_2_9*Techs!AF22 + tech_3_7*Techs!AN22 + Overview!$I$33),0)</f>
        <v>1301</v>
      </c>
      <c r="AG22" s="94">
        <f ca="1">_xlfn.FLOOR.MATH(TblExplore[[#This Row],[Land-DB]]/150)+3+tech_2_9_2*TblTech[[#This Row],[2-9]]+tech_3_7_2*TblTech[[#This Row],[3-7]]</f>
        <v>5</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256</v>
      </c>
    </row>
    <row r="23" spans="1:36" x14ac:dyDescent="0.2">
      <c r="A23" s="175">
        <f>TblRezone[[#This Row],[Hour]]</f>
        <v>20</v>
      </c>
      <c r="B23" s="214">
        <f ca="1">TblConstr[[#This Row],[Land]]</f>
        <v>370</v>
      </c>
      <c r="C23" s="215"/>
      <c r="D23" s="216">
        <f ca="1">TblConstr[[#This Row],[Plain]]</f>
        <v>20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370</v>
      </c>
      <c r="R23" s="175">
        <f>TblExplore[[#This Row],[Hour]]</f>
        <v>20</v>
      </c>
      <c r="S23" s="218"/>
      <c r="T23" s="179"/>
      <c r="U23" s="179"/>
      <c r="V23" s="179"/>
      <c r="W23" s="179"/>
      <c r="X23" s="179"/>
      <c r="Y23" s="179"/>
      <c r="Z23" s="179"/>
      <c r="AA23" s="159">
        <f ca="1">TblImps[[#This Row],[Real time]]</f>
        <v>45815.791666666621</v>
      </c>
      <c r="AB23" s="94">
        <f ca="1">TblMili[[#This Row],[Draftees]]</f>
        <v>1334</v>
      </c>
      <c r="AC23" s="94">
        <f ca="1">TblProd[[#This Row],[Platinum]]</f>
        <v>441908</v>
      </c>
      <c r="AD23" s="215"/>
      <c r="AE23" s="45">
        <f ca="1">TblExplore[[#This Row],[Land]]-TblExplore[[#This Row],[Land Bonus]]*20</f>
        <v>370</v>
      </c>
      <c r="AF23" s="94">
        <f ca="1">ROUND(MAX(0.6*TblExplore[[#This Row],[Land-DB]]^1.299,850)*(1+ tech_2_6*Techs!AC23 + tech_2_9*Techs!AF23 + tech_3_7*Techs!AN23 + Overview!$I$33),0)</f>
        <v>1301</v>
      </c>
      <c r="AG23" s="94">
        <f ca="1">_xlfn.FLOOR.MATH(TblExplore[[#This Row],[Land-DB]]/150)+3+tech_2_9_2*TblTech[[#This Row],[2-9]]+tech_3_7_2*TblTech[[#This Row],[3-7]]</f>
        <v>5</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266</v>
      </c>
    </row>
    <row r="24" spans="1:36" x14ac:dyDescent="0.2">
      <c r="A24" s="175">
        <f>TblRezone[[#This Row],[Hour]]</f>
        <v>21</v>
      </c>
      <c r="B24" s="214">
        <f ca="1">TblConstr[[#This Row],[Land]]</f>
        <v>370</v>
      </c>
      <c r="C24" s="215"/>
      <c r="D24" s="216">
        <f ca="1">TblConstr[[#This Row],[Plain]]</f>
        <v>20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370</v>
      </c>
      <c r="R24" s="214">
        <f>TblExplore[[#This Row],[Hour]]</f>
        <v>21</v>
      </c>
      <c r="S24" s="218"/>
      <c r="T24" s="179"/>
      <c r="U24" s="179"/>
      <c r="V24" s="179"/>
      <c r="W24" s="179"/>
      <c r="X24" s="179"/>
      <c r="Y24" s="179"/>
      <c r="Z24" s="179"/>
      <c r="AA24" s="159">
        <f ca="1">TblImps[[#This Row],[Real time]]</f>
        <v>45815.833333333285</v>
      </c>
      <c r="AB24" s="94">
        <f ca="1">TblMili[[#This Row],[Draftees]]</f>
        <v>1383</v>
      </c>
      <c r="AC24" s="94">
        <f ca="1">TblProd[[#This Row],[Platinum]]</f>
        <v>457439</v>
      </c>
      <c r="AD24" s="215"/>
      <c r="AE24" s="45">
        <f ca="1">TblExplore[[#This Row],[Land]]-TblExplore[[#This Row],[Land Bonus]]*20</f>
        <v>370</v>
      </c>
      <c r="AF24" s="94">
        <f ca="1">ROUND(MAX(0.6*TblExplore[[#This Row],[Land-DB]]^1.299,850)*(1+ tech_2_6*Techs!AC24 + tech_2_9*Techs!AF24 + tech_3_7*Techs!AN24 + Overview!$I$33),0)</f>
        <v>1301</v>
      </c>
      <c r="AG24" s="94">
        <f ca="1">_xlfn.FLOOR.MATH(TblExplore[[#This Row],[Land-DB]]/150)+3+tech_2_9_2*TblTech[[#This Row],[2-9]]+tech_3_7_2*TblTech[[#This Row],[3-7]]</f>
        <v>5</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276</v>
      </c>
    </row>
    <row r="25" spans="1:36" x14ac:dyDescent="0.2">
      <c r="A25" s="175">
        <f>TblRezone[[#This Row],[Hour]]</f>
        <v>22</v>
      </c>
      <c r="B25" s="214">
        <f ca="1">TblConstr[[#This Row],[Land]]</f>
        <v>370</v>
      </c>
      <c r="C25" s="215"/>
      <c r="D25" s="216">
        <f ca="1">TblConstr[[#This Row],[Plain]]</f>
        <v>20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370</v>
      </c>
      <c r="R25" s="214">
        <f>TblExplore[[#This Row],[Hour]]</f>
        <v>22</v>
      </c>
      <c r="S25" s="218"/>
      <c r="T25" s="179"/>
      <c r="U25" s="179"/>
      <c r="V25" s="179"/>
      <c r="W25" s="179"/>
      <c r="X25" s="179"/>
      <c r="Y25" s="179"/>
      <c r="Z25" s="179"/>
      <c r="AA25" s="159">
        <f ca="1">TblImps[[#This Row],[Real time]]</f>
        <v>45815.874999999949</v>
      </c>
      <c r="AB25" s="94">
        <f ca="1">TblMili[[#This Row],[Draftees]]</f>
        <v>1432</v>
      </c>
      <c r="AC25" s="94">
        <f ca="1">TblProd[[#This Row],[Platinum]]</f>
        <v>472838</v>
      </c>
      <c r="AD25" s="215"/>
      <c r="AE25" s="45">
        <f ca="1">TblExplore[[#This Row],[Land]]-TblExplore[[#This Row],[Land Bonus]]*20</f>
        <v>370</v>
      </c>
      <c r="AF25" s="94">
        <f ca="1">ROUND(MAX(0.6*TblExplore[[#This Row],[Land-DB]]^1.299,850)*(1+ tech_2_6*Techs!AC25 + tech_2_9*Techs!AF25 + tech_3_7*Techs!AN25 + Overview!$I$33),0)</f>
        <v>1301</v>
      </c>
      <c r="AG25" s="94">
        <f ca="1">_xlfn.FLOOR.MATH(TblExplore[[#This Row],[Land-DB]]/150)+3+tech_2_9_2*TblTech[[#This Row],[2-9]]+tech_3_7_2*TblTech[[#This Row],[3-7]]</f>
        <v>5</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286</v>
      </c>
    </row>
    <row r="26" spans="1:36" x14ac:dyDescent="0.2">
      <c r="A26" s="175">
        <f>TblRezone[[#This Row],[Hour]]</f>
        <v>23</v>
      </c>
      <c r="B26" s="214">
        <f ca="1">TblConstr[[#This Row],[Land]]</f>
        <v>370</v>
      </c>
      <c r="C26" s="215"/>
      <c r="D26" s="216">
        <f ca="1">TblConstr[[#This Row],[Plain]]</f>
        <v>20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1015605</v>
      </c>
      <c r="N26" s="217">
        <f ca="1">TblMili[[#This Row],[Smithies]]</f>
        <v>0</v>
      </c>
      <c r="O26" s="217">
        <f ca="1">TblPop[[#This Row],[Employment]]</f>
        <v>1</v>
      </c>
      <c r="P26" s="217">
        <f ca="1">TblImps[[#This Row],[Population]]</f>
        <v>1</v>
      </c>
      <c r="Q26" s="175">
        <f ca="1">TblExplore[[#This Row],[Land]]</f>
        <v>370</v>
      </c>
      <c r="R26" s="175">
        <f>TblExplore[[#This Row],[Hour]]</f>
        <v>23</v>
      </c>
      <c r="S26" s="218"/>
      <c r="T26" s="179"/>
      <c r="U26" s="179"/>
      <c r="V26" s="179"/>
      <c r="W26" s="179"/>
      <c r="X26" s="179"/>
      <c r="Y26" s="179"/>
      <c r="Z26" s="179"/>
      <c r="AA26" s="159">
        <f ca="1">TblImps[[#This Row],[Real time]]</f>
        <v>45815.916666666613</v>
      </c>
      <c r="AB26" s="94">
        <f ca="1">TblMili[[#This Row],[Draftees]]</f>
        <v>1480</v>
      </c>
      <c r="AC26" s="94">
        <f ca="1">TblProd[[#This Row],[Platinum]]</f>
        <v>488104</v>
      </c>
      <c r="AD26" s="215"/>
      <c r="AE26" s="45">
        <f ca="1">TblExplore[[#This Row],[Land]]-TblExplore[[#This Row],[Land Bonus]]*20</f>
        <v>370</v>
      </c>
      <c r="AF26" s="94">
        <f ca="1">ROUND(MAX(0.6*TblExplore[[#This Row],[Land-DB]]^1.299,850)*(1+ tech_2_6*Techs!AC26 + tech_2_9*Techs!AF26 + tech_3_7*Techs!AN26 + Overview!$I$33),0)</f>
        <v>1301</v>
      </c>
      <c r="AG26" s="94">
        <f ca="1">_xlfn.FLOOR.MATH(TblExplore[[#This Row],[Land-DB]]/150)+3+tech_2_9_2*TblTech[[#This Row],[2-9]]+tech_3_7_2*TblTech[[#This Row],[3-7]]</f>
        <v>5</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296</v>
      </c>
    </row>
    <row r="27" spans="1:36" x14ac:dyDescent="0.2">
      <c r="A27" s="175">
        <f>TblRezone[[#This Row],[Hour]]</f>
        <v>24</v>
      </c>
      <c r="B27" s="214">
        <f ca="1">TblConstr[[#This Row],[Land]]</f>
        <v>370</v>
      </c>
      <c r="C27" s="215"/>
      <c r="D27" s="216">
        <f ca="1">TblConstr[[#This Row],[Plain]]</f>
        <v>20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10047</v>
      </c>
      <c r="N27" s="217">
        <f ca="1">TblMili[[#This Row],[Smithies]]</f>
        <v>0</v>
      </c>
      <c r="O27" s="217">
        <f ca="1">TblPop[[#This Row],[Employment]]</f>
        <v>1</v>
      </c>
      <c r="P27" s="217">
        <f ca="1">TblImps[[#This Row],[Population]]</f>
        <v>1</v>
      </c>
      <c r="Q27" s="175">
        <f ca="1">TblExplore[[#This Row],[Land]]</f>
        <v>370</v>
      </c>
      <c r="R27" s="175">
        <f>TblExplore[[#This Row],[Hour]]</f>
        <v>24</v>
      </c>
      <c r="S27" s="218"/>
      <c r="T27" s="158"/>
      <c r="U27" s="179"/>
      <c r="V27" s="179"/>
      <c r="W27" s="179"/>
      <c r="X27" s="179"/>
      <c r="Y27" s="179"/>
      <c r="Z27" s="179"/>
      <c r="AA27" s="159">
        <f ca="1">TblImps[[#This Row],[Real time]]</f>
        <v>45815.958333333278</v>
      </c>
      <c r="AB27" s="94">
        <f ca="1">TblMili[[#This Row],[Draftees]]</f>
        <v>1528</v>
      </c>
      <c r="AC27" s="94">
        <f ca="1">TblProd[[#This Row],[Platinum]]</f>
        <v>503241</v>
      </c>
      <c r="AD27" s="215"/>
      <c r="AE27" s="45">
        <f ca="1">TblExplore[[#This Row],[Land]]-TblExplore[[#This Row],[Land Bonus]]*20</f>
        <v>370</v>
      </c>
      <c r="AF27" s="94">
        <f ca="1">ROUND(MAX(0.6*TblExplore[[#This Row],[Land-DB]]^1.299,850)*(1+ tech_2_6*Techs!AC27 + tech_2_9*Techs!AF27 + tech_3_7*Techs!AN27 + Overview!$I$33),0)</f>
        <v>1301</v>
      </c>
      <c r="AG27" s="94">
        <f ca="1">_xlfn.FLOOR.MATH(TblExplore[[#This Row],[Land-DB]]/150)+3+tech_2_9_2*TblTech[[#This Row],[2-9]]+tech_3_7_2*TblTech[[#This Row],[3-7]]</f>
        <v>5</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305</v>
      </c>
    </row>
    <row r="28" spans="1:36" x14ac:dyDescent="0.2">
      <c r="A28" s="175">
        <f>TblRezone[[#This Row],[Hour]]</f>
        <v>25</v>
      </c>
      <c r="B28" s="214">
        <f ca="1">TblConstr[[#This Row],[Land]]</f>
        <v>370</v>
      </c>
      <c r="C28" s="215"/>
      <c r="D28" s="216">
        <f ca="1">TblConstr[[#This Row],[Plain]]</f>
        <v>20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2995</v>
      </c>
      <c r="N28" s="217">
        <f ca="1">TblMili[[#This Row],[Smithies]]</f>
        <v>0</v>
      </c>
      <c r="O28" s="217">
        <f ca="1">TblPop[[#This Row],[Employment]]</f>
        <v>1</v>
      </c>
      <c r="P28" s="217">
        <f ca="1">TblImps[[#This Row],[Population]]</f>
        <v>1</v>
      </c>
      <c r="Q28" s="175">
        <f ca="1">TblExplore[[#This Row],[Land]]</f>
        <v>370</v>
      </c>
      <c r="R28" s="175">
        <f>TblExplore[[#This Row],[Hour]]</f>
        <v>25</v>
      </c>
      <c r="S28" s="218"/>
      <c r="T28" s="179"/>
      <c r="U28" s="179"/>
      <c r="V28" s="179"/>
      <c r="W28" s="179"/>
      <c r="X28" s="179"/>
      <c r="Y28" s="179"/>
      <c r="Z28" s="179"/>
      <c r="AA28" s="159">
        <f ca="1">TblImps[[#This Row],[Real time]]</f>
        <v>45815.999999999942</v>
      </c>
      <c r="AB28" s="94">
        <f ca="1">TblMili[[#This Row],[Draftees]]</f>
        <v>1575</v>
      </c>
      <c r="AC28" s="94">
        <f ca="1">TblProd[[#This Row],[Platinum]]</f>
        <v>518248</v>
      </c>
      <c r="AD28" s="215"/>
      <c r="AE28" s="45">
        <f ca="1">TblExplore[[#This Row],[Land]]-TblExplore[[#This Row],[Land Bonus]]*20</f>
        <v>370</v>
      </c>
      <c r="AF28" s="94">
        <f ca="1">ROUND(MAX(0.6*TblExplore[[#This Row],[Land-DB]]^1.299,850)*(1+ tech_2_6*Techs!AC28 + tech_2_9*Techs!AF28 + tech_3_7*Techs!AN28 + Overview!$I$33),0)</f>
        <v>1301</v>
      </c>
      <c r="AG28" s="94">
        <f ca="1">_xlfn.FLOOR.MATH(TblExplore[[#This Row],[Land-DB]]/150)+3+tech_2_9_2*TblTech[[#This Row],[2-9]]+tech_3_7_2*TblTech[[#This Row],[3-7]]</f>
        <v>5</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315</v>
      </c>
    </row>
    <row r="29" spans="1:36" x14ac:dyDescent="0.2">
      <c r="A29" s="175">
        <f>TblRezone[[#This Row],[Hour]]</f>
        <v>26</v>
      </c>
      <c r="B29" s="214">
        <f ca="1">TblConstr[[#This Row],[Land]]</f>
        <v>370</v>
      </c>
      <c r="C29" s="215"/>
      <c r="D29" s="216">
        <f ca="1">TblConstr[[#This Row],[Plain]]</f>
        <v>20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370</v>
      </c>
      <c r="N29" s="217">
        <f ca="1">TblMili[[#This Row],[Smithies]]</f>
        <v>0</v>
      </c>
      <c r="O29" s="217">
        <f ca="1">TblPop[[#This Row],[Employment]]</f>
        <v>1</v>
      </c>
      <c r="P29" s="217">
        <f ca="1">TblImps[[#This Row],[Population]]</f>
        <v>1</v>
      </c>
      <c r="Q29" s="175">
        <f ca="1">TblExplore[[#This Row],[Land]]</f>
        <v>370</v>
      </c>
      <c r="R29" s="175">
        <f>TblExplore[[#This Row],[Hour]]</f>
        <v>26</v>
      </c>
      <c r="S29" s="218"/>
      <c r="T29" s="158"/>
      <c r="U29" s="179"/>
      <c r="V29" s="179"/>
      <c r="W29" s="179"/>
      <c r="X29" s="179"/>
      <c r="Y29" s="179"/>
      <c r="Z29" s="179"/>
      <c r="AA29" s="159">
        <f ca="1">TblImps[[#This Row],[Real time]]</f>
        <v>45816.041666666606</v>
      </c>
      <c r="AB29" s="94">
        <f ca="1">TblMili[[#This Row],[Draftees]]</f>
        <v>1622</v>
      </c>
      <c r="AC29" s="94">
        <f ca="1">TblProd[[#This Row],[Platinum]]</f>
        <v>533128</v>
      </c>
      <c r="AD29" s="215"/>
      <c r="AE29" s="45">
        <f ca="1">TblExplore[[#This Row],[Land]]-TblExplore[[#This Row],[Land Bonus]]*20</f>
        <v>370</v>
      </c>
      <c r="AF29" s="94">
        <f ca="1">ROUND(MAX(0.6*TblExplore[[#This Row],[Land-DB]]^1.299,850)*(1+ tech_2_6*Techs!AC29 + tech_2_9*Techs!AF29 + tech_3_7*Techs!AN29 + Overview!$I$33),0)</f>
        <v>1301</v>
      </c>
      <c r="AG29" s="94">
        <f ca="1">_xlfn.FLOOR.MATH(TblExplore[[#This Row],[Land-DB]]/150)+3+tech_2_9_2*TblTech[[#This Row],[2-9]]+tech_3_7_2*TblTech[[#This Row],[3-7]]</f>
        <v>5</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324</v>
      </c>
    </row>
    <row r="30" spans="1:36" x14ac:dyDescent="0.2">
      <c r="A30" s="175">
        <f>TblRezone[[#This Row],[Hour]]</f>
        <v>27</v>
      </c>
      <c r="B30" s="214">
        <f ca="1">TblConstr[[#This Row],[Land]]</f>
        <v>370</v>
      </c>
      <c r="C30" s="215"/>
      <c r="D30" s="216">
        <f ca="1">TblConstr[[#This Row],[Plain]]</f>
        <v>20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370</v>
      </c>
      <c r="R30" s="175">
        <f>TblExplore[[#This Row],[Hour]]</f>
        <v>27</v>
      </c>
      <c r="S30" s="218"/>
      <c r="T30" s="158"/>
      <c r="U30" s="179"/>
      <c r="V30" s="179"/>
      <c r="W30" s="179"/>
      <c r="X30" s="179"/>
      <c r="Y30" s="179"/>
      <c r="Z30" s="179"/>
      <c r="AA30" s="159">
        <f ca="1">TblImps[[#This Row],[Real time]]</f>
        <v>45816.08333333327</v>
      </c>
      <c r="AB30" s="94">
        <f ca="1">TblMili[[#This Row],[Draftees]]</f>
        <v>1668</v>
      </c>
      <c r="AC30" s="94">
        <f ca="1">TblProd[[#This Row],[Platinum]]</f>
        <v>547881</v>
      </c>
      <c r="AD30" s="215"/>
      <c r="AE30" s="45">
        <f ca="1">TblExplore[[#This Row],[Land]]-TblExplore[[#This Row],[Land Bonus]]*20</f>
        <v>370</v>
      </c>
      <c r="AF30" s="94">
        <f ca="1">ROUND(MAX(0.6*TblExplore[[#This Row],[Land-DB]]^1.299,850)*(1+ tech_2_6*Techs!AC30 + tech_2_9*Techs!AF30 + tech_3_7*Techs!AN30 + Overview!$I$33),0)</f>
        <v>1301</v>
      </c>
      <c r="AG30" s="94">
        <f ca="1">_xlfn.FLOOR.MATH(TblExplore[[#This Row],[Land-DB]]/150)+3+tech_2_9_2*TblTech[[#This Row],[2-9]]+tech_3_7_2*TblTech[[#This Row],[3-7]]</f>
        <v>5</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333</v>
      </c>
    </row>
    <row r="31" spans="1:36" x14ac:dyDescent="0.2">
      <c r="A31" s="175">
        <f>TblRezone[[#This Row],[Hour]]</f>
        <v>28</v>
      </c>
      <c r="B31" s="214">
        <f ca="1">TblConstr[[#This Row],[Land]]</f>
        <v>370</v>
      </c>
      <c r="C31" s="215"/>
      <c r="D31" s="216">
        <f ca="1">TblConstr[[#This Row],[Plain]]</f>
        <v>20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370</v>
      </c>
      <c r="R31" s="175">
        <f>TblExplore[[#This Row],[Hour]]</f>
        <v>28</v>
      </c>
      <c r="S31" s="218"/>
      <c r="T31" s="158"/>
      <c r="U31" s="179"/>
      <c r="V31" s="179"/>
      <c r="W31" s="179"/>
      <c r="X31" s="179"/>
      <c r="Y31" s="179"/>
      <c r="Z31" s="179"/>
      <c r="AA31" s="159">
        <f ca="1">TblImps[[#This Row],[Real time]]</f>
        <v>45816.124999999935</v>
      </c>
      <c r="AB31" s="94">
        <f ca="1">TblMili[[#This Row],[Draftees]]</f>
        <v>1714</v>
      </c>
      <c r="AC31" s="94">
        <f ca="1">TblProd[[#This Row],[Platinum]]</f>
        <v>562510</v>
      </c>
      <c r="AD31" s="215"/>
      <c r="AE31" s="45">
        <f ca="1">TblExplore[[#This Row],[Land]]-TblExplore[[#This Row],[Land Bonus]]*20</f>
        <v>370</v>
      </c>
      <c r="AF31" s="94">
        <f ca="1">ROUND(MAX(0.6*TblExplore[[#This Row],[Land-DB]]^1.299,850)*(1+ tech_2_6*Techs!AC31 + tech_2_9*Techs!AF31 + tech_3_7*Techs!AN31 + Overview!$I$33),0)</f>
        <v>1301</v>
      </c>
      <c r="AG31" s="94">
        <f ca="1">_xlfn.FLOOR.MATH(TblExplore[[#This Row],[Land-DB]]/150)+3+tech_2_9_2*TblTech[[#This Row],[2-9]]+tech_3_7_2*TblTech[[#This Row],[3-7]]</f>
        <v>5</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342</v>
      </c>
    </row>
    <row r="32" spans="1:36" x14ac:dyDescent="0.2">
      <c r="A32" s="175">
        <f>TblRezone[[#This Row],[Hour]]</f>
        <v>29</v>
      </c>
      <c r="B32" s="214">
        <f ca="1">TblConstr[[#This Row],[Land]]</f>
        <v>370</v>
      </c>
      <c r="C32" s="215"/>
      <c r="D32" s="216">
        <f ca="1">TblConstr[[#This Row],[Plain]]</f>
        <v>20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370</v>
      </c>
      <c r="R32" s="175">
        <f>TblExplore[[#This Row],[Hour]]</f>
        <v>29</v>
      </c>
      <c r="S32" s="218"/>
      <c r="T32" s="158"/>
      <c r="U32" s="179"/>
      <c r="V32" s="179"/>
      <c r="W32" s="179"/>
      <c r="X32" s="179"/>
      <c r="Y32" s="179"/>
      <c r="Z32" s="179"/>
      <c r="AA32" s="159">
        <f ca="1">TblImps[[#This Row],[Real time]]</f>
        <v>45816.166666666599</v>
      </c>
      <c r="AB32" s="94">
        <f ca="1">TblMili[[#This Row],[Draftees]]</f>
        <v>1759</v>
      </c>
      <c r="AC32" s="94">
        <f ca="1">TblProd[[#This Row],[Platinum]]</f>
        <v>577015</v>
      </c>
      <c r="AD32" s="215"/>
      <c r="AE32" s="45">
        <f ca="1">TblExplore[[#This Row],[Land]]-TblExplore[[#This Row],[Land Bonus]]*20</f>
        <v>370</v>
      </c>
      <c r="AF32" s="94">
        <f ca="1">ROUND(MAX(0.6*TblExplore[[#This Row],[Land-DB]]^1.299,850)*(1+ tech_2_6*Techs!AC32 + tech_2_9*Techs!AF32 + tech_3_7*Techs!AN32 + Overview!$I$33),0)</f>
        <v>1301</v>
      </c>
      <c r="AG32" s="94">
        <f ca="1">_xlfn.FLOOR.MATH(TblExplore[[#This Row],[Land-DB]]/150)+3+tech_2_9_2*TblTech[[#This Row],[2-9]]+tech_3_7_2*TblTech[[#This Row],[3-7]]</f>
        <v>5</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351</v>
      </c>
    </row>
    <row r="33" spans="1:36" x14ac:dyDescent="0.2">
      <c r="A33" s="175">
        <f>TblRezone[[#This Row],[Hour]]</f>
        <v>30</v>
      </c>
      <c r="B33" s="214">
        <f ca="1">TblConstr[[#This Row],[Land]]</f>
        <v>370</v>
      </c>
      <c r="C33" s="215"/>
      <c r="D33" s="216">
        <f ca="1">TblConstr[[#This Row],[Plain]]</f>
        <v>20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370</v>
      </c>
      <c r="R33" s="175">
        <f>TblExplore[[#This Row],[Hour]]</f>
        <v>30</v>
      </c>
      <c r="S33" s="218"/>
      <c r="T33" s="158"/>
      <c r="U33" s="179"/>
      <c r="V33" s="179"/>
      <c r="W33" s="179"/>
      <c r="X33" s="179"/>
      <c r="Y33" s="179"/>
      <c r="Z33" s="179"/>
      <c r="AA33" s="159">
        <f ca="1">TblImps[[#This Row],[Real time]]</f>
        <v>45816.208333333263</v>
      </c>
      <c r="AB33" s="94">
        <f ca="1">TblMili[[#This Row],[Draftees]]</f>
        <v>1804</v>
      </c>
      <c r="AC33" s="94">
        <f ca="1">TblProd[[#This Row],[Platinum]]</f>
        <v>591398</v>
      </c>
      <c r="AD33" s="215"/>
      <c r="AE33" s="45">
        <f ca="1">TblExplore[[#This Row],[Land]]-TblExplore[[#This Row],[Land Bonus]]*20</f>
        <v>370</v>
      </c>
      <c r="AF33" s="94">
        <f ca="1">ROUND(MAX(0.6*TblExplore[[#This Row],[Land-DB]]^1.299,850)*(1+ tech_2_6*Techs!AC33 + tech_2_9*Techs!AF33 + tech_3_7*Techs!AN33 + Overview!$I$33),0)</f>
        <v>1301</v>
      </c>
      <c r="AG33" s="94">
        <f ca="1">_xlfn.FLOOR.MATH(TblExplore[[#This Row],[Land-DB]]/150)+3+tech_2_9_2*TblTech[[#This Row],[2-9]]+tech_3_7_2*TblTech[[#This Row],[3-7]]</f>
        <v>5</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360</v>
      </c>
    </row>
    <row r="34" spans="1:36" x14ac:dyDescent="0.2">
      <c r="A34" s="175">
        <f>TblRezone[[#This Row],[Hour]]</f>
        <v>31</v>
      </c>
      <c r="B34" s="214">
        <f ca="1">TblConstr[[#This Row],[Land]]</f>
        <v>370</v>
      </c>
      <c r="C34" s="215"/>
      <c r="D34" s="216">
        <f ca="1">TblConstr[[#This Row],[Plain]]</f>
        <v>20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370</v>
      </c>
      <c r="R34" s="175">
        <f>TblExplore[[#This Row],[Hour]]</f>
        <v>31</v>
      </c>
      <c r="S34" s="218"/>
      <c r="T34" s="179"/>
      <c r="U34" s="179"/>
      <c r="V34" s="179"/>
      <c r="W34" s="179"/>
      <c r="X34" s="179"/>
      <c r="Y34" s="179"/>
      <c r="Z34" s="179"/>
      <c r="AA34" s="159">
        <f ca="1">TblImps[[#This Row],[Real time]]</f>
        <v>45816.249999999927</v>
      </c>
      <c r="AB34" s="94">
        <f ca="1">TblMili[[#This Row],[Draftees]]</f>
        <v>1848</v>
      </c>
      <c r="AC34" s="94">
        <f ca="1">TblProd[[#This Row],[Platinum]]</f>
        <v>605660</v>
      </c>
      <c r="AD34" s="215"/>
      <c r="AE34" s="45">
        <f ca="1">TblExplore[[#This Row],[Land]]-TblExplore[[#This Row],[Land Bonus]]*20</f>
        <v>370</v>
      </c>
      <c r="AF34" s="94">
        <f ca="1">ROUND(MAX(0.6*TblExplore[[#This Row],[Land-DB]]^1.299,850)*(1+ tech_2_6*Techs!AC34 + tech_2_9*Techs!AF34 + tech_3_7*Techs!AN34 + Overview!$I$33),0)</f>
        <v>1301</v>
      </c>
      <c r="AG34" s="94">
        <f ca="1">_xlfn.FLOOR.MATH(TblExplore[[#This Row],[Land-DB]]/150)+3+tech_2_9_2*TblTech[[#This Row],[2-9]]+tech_3_7_2*TblTech[[#This Row],[3-7]]</f>
        <v>5</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369</v>
      </c>
    </row>
    <row r="35" spans="1:36" x14ac:dyDescent="0.2">
      <c r="A35" s="175">
        <f>TblRezone[[#This Row],[Hour]]</f>
        <v>32</v>
      </c>
      <c r="B35" s="214">
        <f ca="1">TblConstr[[#This Row],[Land]]</f>
        <v>370</v>
      </c>
      <c r="C35" s="215"/>
      <c r="D35" s="216">
        <f ca="1">TblConstr[[#This Row],[Plain]]</f>
        <v>20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370</v>
      </c>
      <c r="R35" s="175">
        <f>TblExplore[[#This Row],[Hour]]</f>
        <v>32</v>
      </c>
      <c r="S35" s="218"/>
      <c r="T35" s="179"/>
      <c r="U35" s="179"/>
      <c r="V35" s="179"/>
      <c r="W35" s="179"/>
      <c r="X35" s="179"/>
      <c r="Y35" s="179"/>
      <c r="Z35" s="179"/>
      <c r="AA35" s="159">
        <f ca="1">TblImps[[#This Row],[Real time]]</f>
        <v>45816.291666666591</v>
      </c>
      <c r="AB35" s="94">
        <f ca="1">TblMili[[#This Row],[Draftees]]</f>
        <v>1892</v>
      </c>
      <c r="AC35" s="94">
        <f ca="1">TblProd[[#This Row],[Platinum]]</f>
        <v>619803</v>
      </c>
      <c r="AD35" s="215"/>
      <c r="AE35" s="45">
        <f ca="1">TblExplore[[#This Row],[Land]]-TblExplore[[#This Row],[Land Bonus]]*20</f>
        <v>370</v>
      </c>
      <c r="AF35" s="94">
        <f ca="1">ROUND(MAX(0.6*TblExplore[[#This Row],[Land-DB]]^1.299,850)*(1+ tech_2_6*Techs!AC35 + tech_2_9*Techs!AF35 + tech_3_7*Techs!AN35 + Overview!$I$33),0)</f>
        <v>1301</v>
      </c>
      <c r="AG35" s="94">
        <f ca="1">_xlfn.FLOOR.MATH(TblExplore[[#This Row],[Land-DB]]/150)+3+tech_2_9_2*TblTech[[#This Row],[2-9]]+tech_3_7_2*TblTech[[#This Row],[3-7]]</f>
        <v>5</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378</v>
      </c>
    </row>
    <row r="36" spans="1:36" x14ac:dyDescent="0.2">
      <c r="A36" s="175">
        <f>TblRezone[[#This Row],[Hour]]</f>
        <v>33</v>
      </c>
      <c r="B36" s="214">
        <f ca="1">TblConstr[[#This Row],[Land]]</f>
        <v>370</v>
      </c>
      <c r="C36" s="215"/>
      <c r="D36" s="216">
        <f ca="1">TblConstr[[#This Row],[Plain]]</f>
        <v>20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370</v>
      </c>
      <c r="R36" s="175">
        <f>TblExplore[[#This Row],[Hour]]</f>
        <v>33</v>
      </c>
      <c r="S36" s="218"/>
      <c r="T36" s="179"/>
      <c r="U36" s="179"/>
      <c r="V36" s="179"/>
      <c r="W36" s="179"/>
      <c r="X36" s="179"/>
      <c r="Y36" s="179"/>
      <c r="Z36" s="179"/>
      <c r="AA36" s="159">
        <f ca="1">TblImps[[#This Row],[Real time]]</f>
        <v>45816.333333333256</v>
      </c>
      <c r="AB36" s="94">
        <f ca="1">TblMili[[#This Row],[Draftees]]</f>
        <v>1936</v>
      </c>
      <c r="AC36" s="94">
        <f ca="1">TblProd[[#This Row],[Platinum]]</f>
        <v>633827</v>
      </c>
      <c r="AD36" s="215"/>
      <c r="AE36" s="45">
        <f ca="1">TblExplore[[#This Row],[Land]]-TblExplore[[#This Row],[Land Bonus]]*20</f>
        <v>370</v>
      </c>
      <c r="AF36" s="94">
        <f ca="1">ROUND(MAX(0.6*TblExplore[[#This Row],[Land-DB]]^1.299,850)*(1+ tech_2_6*Techs!AC36 + tech_2_9*Techs!AF36 + tech_3_7*Techs!AN36 + Overview!$I$33),0)</f>
        <v>1301</v>
      </c>
      <c r="AG36" s="94">
        <f ca="1">_xlfn.FLOOR.MATH(TblExplore[[#This Row],[Land-DB]]/150)+3+tech_2_9_2*TblTech[[#This Row],[2-9]]+tech_3_7_2*TblTech[[#This Row],[3-7]]</f>
        <v>5</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387</v>
      </c>
    </row>
    <row r="37" spans="1:36" x14ac:dyDescent="0.2">
      <c r="A37" s="175">
        <f>TblRezone[[#This Row],[Hour]]</f>
        <v>34</v>
      </c>
      <c r="B37" s="214">
        <f ca="1">TblConstr[[#This Row],[Land]]</f>
        <v>370</v>
      </c>
      <c r="C37" s="215"/>
      <c r="D37" s="216">
        <f ca="1">TblConstr[[#This Row],[Plain]]</f>
        <v>20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370</v>
      </c>
      <c r="R37" s="175">
        <f>TblExplore[[#This Row],[Hour]]</f>
        <v>34</v>
      </c>
      <c r="S37" s="218"/>
      <c r="T37" s="179"/>
      <c r="U37" s="179"/>
      <c r="V37" s="179"/>
      <c r="W37" s="179"/>
      <c r="X37" s="179"/>
      <c r="Y37" s="179"/>
      <c r="Z37" s="179"/>
      <c r="AA37" s="159">
        <f ca="1">TblImps[[#This Row],[Real time]]</f>
        <v>45816.37499999992</v>
      </c>
      <c r="AB37" s="94">
        <f ca="1">TblMili[[#This Row],[Draftees]]</f>
        <v>1979</v>
      </c>
      <c r="AC37" s="94">
        <f ca="1">TblProd[[#This Row],[Platinum]]</f>
        <v>647732</v>
      </c>
      <c r="AD37" s="215"/>
      <c r="AE37" s="45">
        <f ca="1">TblExplore[[#This Row],[Land]]-TblExplore[[#This Row],[Land Bonus]]*20</f>
        <v>370</v>
      </c>
      <c r="AF37" s="94">
        <f ca="1">ROUND(MAX(0.6*TblExplore[[#This Row],[Land-DB]]^1.299,850)*(1+ tech_2_6*Techs!AC37 + tech_2_9*Techs!AF37 + tech_3_7*Techs!AN37 + Overview!$I$33),0)</f>
        <v>1301</v>
      </c>
      <c r="AG37" s="94">
        <f ca="1">_xlfn.FLOOR.MATH(TblExplore[[#This Row],[Land-DB]]/150)+3+tech_2_9_2*TblTech[[#This Row],[2-9]]+tech_3_7_2*TblTech[[#This Row],[3-7]]</f>
        <v>5</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395</v>
      </c>
    </row>
    <row r="38" spans="1:36" x14ac:dyDescent="0.2">
      <c r="A38" s="175">
        <f>TblRezone[[#This Row],[Hour]]</f>
        <v>35</v>
      </c>
      <c r="B38" s="214">
        <f ca="1">TblConstr[[#This Row],[Land]]</f>
        <v>370</v>
      </c>
      <c r="C38" s="215"/>
      <c r="D38" s="216">
        <f ca="1">TblConstr[[#This Row],[Plain]]</f>
        <v>20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370</v>
      </c>
      <c r="R38" s="175">
        <f>TblExplore[[#This Row],[Hour]]</f>
        <v>35</v>
      </c>
      <c r="S38" s="218"/>
      <c r="T38" s="158"/>
      <c r="U38" s="179"/>
      <c r="V38" s="179"/>
      <c r="W38" s="179"/>
      <c r="X38" s="179"/>
      <c r="Y38" s="179"/>
      <c r="Z38" s="179"/>
      <c r="AA38" s="159">
        <f ca="1">TblImps[[#This Row],[Real time]]</f>
        <v>45816.416666666584</v>
      </c>
      <c r="AB38" s="94">
        <f ca="1">TblMili[[#This Row],[Draftees]]</f>
        <v>2022</v>
      </c>
      <c r="AC38" s="94">
        <f ca="1">TblProd[[#This Row],[Platinum]]</f>
        <v>661521</v>
      </c>
      <c r="AD38" s="215"/>
      <c r="AE38" s="45">
        <f ca="1">TblExplore[[#This Row],[Land]]-TblExplore[[#This Row],[Land Bonus]]*20</f>
        <v>370</v>
      </c>
      <c r="AF38" s="94">
        <f ca="1">ROUND(MAX(0.6*TblExplore[[#This Row],[Land-DB]]^1.299,850)*(1+ tech_2_6*Techs!AC38 + tech_2_9*Techs!AF38 + tech_3_7*Techs!AN38 + Overview!$I$33),0)</f>
        <v>1301</v>
      </c>
      <c r="AG38" s="94">
        <f ca="1">_xlfn.FLOOR.MATH(TblExplore[[#This Row],[Land-DB]]/150)+3+tech_2_9_2*TblTech[[#This Row],[2-9]]+tech_3_7_2*TblTech[[#This Row],[3-7]]</f>
        <v>5</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404</v>
      </c>
    </row>
    <row r="39" spans="1:36" x14ac:dyDescent="0.2">
      <c r="A39" s="175">
        <f>TblRezone[[#This Row],[Hour]]</f>
        <v>36</v>
      </c>
      <c r="B39" s="214">
        <f ca="1">TblConstr[[#This Row],[Land]]</f>
        <v>370</v>
      </c>
      <c r="C39" s="215"/>
      <c r="D39" s="216">
        <f ca="1">TblConstr[[#This Row],[Plain]]</f>
        <v>20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370</v>
      </c>
      <c r="R39" s="175">
        <f>TblExplore[[#This Row],[Hour]]</f>
        <v>36</v>
      </c>
      <c r="S39" s="218"/>
      <c r="T39" s="179"/>
      <c r="U39" s="179"/>
      <c r="V39" s="179"/>
      <c r="W39" s="179"/>
      <c r="X39" s="179"/>
      <c r="Y39" s="179"/>
      <c r="Z39" s="179"/>
      <c r="AA39" s="159">
        <f ca="1">TblImps[[#This Row],[Real time]]</f>
        <v>45816.458333333248</v>
      </c>
      <c r="AB39" s="94">
        <f ca="1">TblMili[[#This Row],[Draftees]]</f>
        <v>2064</v>
      </c>
      <c r="AC39" s="94">
        <f ca="1">TblProd[[#This Row],[Platinum]]</f>
        <v>675194</v>
      </c>
      <c r="AD39" s="215"/>
      <c r="AE39" s="45">
        <f ca="1">TblExplore[[#This Row],[Land]]-TblExplore[[#This Row],[Land Bonus]]*20</f>
        <v>370</v>
      </c>
      <c r="AF39" s="94">
        <f ca="1">ROUND(MAX(0.6*TblExplore[[#This Row],[Land-DB]]^1.299,850)*(1+ tech_2_6*Techs!AC39 + tech_2_9*Techs!AF39 + tech_3_7*Techs!AN39 + Overview!$I$33),0)</f>
        <v>1301</v>
      </c>
      <c r="AG39" s="94">
        <f ca="1">_xlfn.FLOOR.MATH(TblExplore[[#This Row],[Land-DB]]/150)+3+tech_2_9_2*TblTech[[#This Row],[2-9]]+tech_3_7_2*TblTech[[#This Row],[3-7]]</f>
        <v>5</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412</v>
      </c>
    </row>
    <row r="40" spans="1:36" ht="12.75" customHeight="1" x14ac:dyDescent="0.2">
      <c r="A40" s="175">
        <f>TblRezone[[#This Row],[Hour]]</f>
        <v>37</v>
      </c>
      <c r="B40" s="214">
        <f ca="1">TblConstr[[#This Row],[Land]]</f>
        <v>370</v>
      </c>
      <c r="C40" s="215"/>
      <c r="D40" s="216">
        <f ca="1">TblConstr[[#This Row],[Plain]]</f>
        <v>20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370</v>
      </c>
      <c r="R40" s="175">
        <f>TblExplore[[#This Row],[Hour]]</f>
        <v>37</v>
      </c>
      <c r="S40" s="218"/>
      <c r="T40" s="179"/>
      <c r="U40" s="179"/>
      <c r="V40" s="179"/>
      <c r="W40" s="179"/>
      <c r="X40" s="179"/>
      <c r="Y40" s="179"/>
      <c r="Z40" s="179"/>
      <c r="AA40" s="159">
        <f ca="1">TblImps[[#This Row],[Real time]]</f>
        <v>45816.499999999913</v>
      </c>
      <c r="AB40" s="94">
        <f ca="1">TblMili[[#This Row],[Draftees]]</f>
        <v>2106</v>
      </c>
      <c r="AC40" s="94">
        <f ca="1">TblProd[[#This Row],[Platinum]]</f>
        <v>688754</v>
      </c>
      <c r="AD40" s="215"/>
      <c r="AE40" s="45">
        <f ca="1">TblExplore[[#This Row],[Land]]-TblExplore[[#This Row],[Land Bonus]]*20</f>
        <v>370</v>
      </c>
      <c r="AF40" s="94">
        <f ca="1">ROUND(MAX(0.6*TblExplore[[#This Row],[Land-DB]]^1.299,850)*(1+ tech_2_6*Techs!AC40 + tech_2_9*Techs!AF40 + tech_3_7*Techs!AN40 + Overview!$I$33),0)</f>
        <v>1301</v>
      </c>
      <c r="AG40" s="94">
        <f ca="1">_xlfn.FLOOR.MATH(TblExplore[[#This Row],[Land-DB]]/150)+3+tech_2_9_2*TblTech[[#This Row],[2-9]]+tech_3_7_2*TblTech[[#This Row],[3-7]]</f>
        <v>5</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421</v>
      </c>
    </row>
    <row r="41" spans="1:36" x14ac:dyDescent="0.2">
      <c r="A41" s="175">
        <f>TblRezone[[#This Row],[Hour]]</f>
        <v>38</v>
      </c>
      <c r="B41" s="214">
        <f ca="1">TblConstr[[#This Row],[Land]]</f>
        <v>370</v>
      </c>
      <c r="C41" s="215"/>
      <c r="D41" s="216">
        <f ca="1">TblConstr[[#This Row],[Plain]]</f>
        <v>20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370</v>
      </c>
      <c r="R41" s="175">
        <f>TblExplore[[#This Row],[Hour]]</f>
        <v>38</v>
      </c>
      <c r="S41" s="218"/>
      <c r="T41" s="179"/>
      <c r="U41" s="179"/>
      <c r="V41" s="179"/>
      <c r="W41" s="179"/>
      <c r="X41" s="179"/>
      <c r="Y41" s="179"/>
      <c r="Z41" s="179"/>
      <c r="AA41" s="159">
        <f ca="1">TblImps[[#This Row],[Real time]]</f>
        <v>45816.541666666577</v>
      </c>
      <c r="AB41" s="94">
        <f ca="1">TblMili[[#This Row],[Draftees]]</f>
        <v>2147</v>
      </c>
      <c r="AC41" s="94">
        <f ca="1">TblProd[[#This Row],[Platinum]]</f>
        <v>702200</v>
      </c>
      <c r="AD41" s="215"/>
      <c r="AE41" s="45">
        <f ca="1">TblExplore[[#This Row],[Land]]-TblExplore[[#This Row],[Land Bonus]]*20</f>
        <v>370</v>
      </c>
      <c r="AF41" s="94">
        <f ca="1">ROUND(MAX(0.6*TblExplore[[#This Row],[Land-DB]]^1.299,850)*(1+ tech_2_6*Techs!AC41 + tech_2_9*Techs!AF41 + tech_3_7*Techs!AN41 + Overview!$I$33),0)</f>
        <v>1301</v>
      </c>
      <c r="AG41" s="94">
        <f ca="1">_xlfn.FLOOR.MATH(TblExplore[[#This Row],[Land-DB]]/150)+3+tech_2_9_2*TblTech[[#This Row],[2-9]]+tech_3_7_2*TblTech[[#This Row],[3-7]]</f>
        <v>5</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429</v>
      </c>
    </row>
    <row r="42" spans="1:36" x14ac:dyDescent="0.2">
      <c r="A42" s="175">
        <f>TblRezone[[#This Row],[Hour]]</f>
        <v>39</v>
      </c>
      <c r="B42" s="214">
        <f ca="1">TblConstr[[#This Row],[Land]]</f>
        <v>370</v>
      </c>
      <c r="C42" s="215"/>
      <c r="D42" s="216">
        <f ca="1">TblConstr[[#This Row],[Plain]]</f>
        <v>20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370</v>
      </c>
      <c r="R42" s="175">
        <f>TblExplore[[#This Row],[Hour]]</f>
        <v>39</v>
      </c>
      <c r="S42" s="218"/>
      <c r="T42" s="179"/>
      <c r="U42" s="179"/>
      <c r="V42" s="179"/>
      <c r="W42" s="179"/>
      <c r="X42" s="179"/>
      <c r="Y42" s="179"/>
      <c r="Z42" s="179"/>
      <c r="AA42" s="159">
        <f ca="1">TblImps[[#This Row],[Real time]]</f>
        <v>45816.583333333241</v>
      </c>
      <c r="AB42" s="94">
        <f ca="1">TblMili[[#This Row],[Draftees]]</f>
        <v>2188</v>
      </c>
      <c r="AC42" s="94">
        <f ca="1">TblProd[[#This Row],[Platinum]]</f>
        <v>715536</v>
      </c>
      <c r="AD42" s="215"/>
      <c r="AE42" s="45">
        <f ca="1">TblExplore[[#This Row],[Land]]-TblExplore[[#This Row],[Land Bonus]]*20</f>
        <v>370</v>
      </c>
      <c r="AF42" s="94">
        <f ca="1">ROUND(MAX(0.6*TblExplore[[#This Row],[Land-DB]]^1.299,850)*(1+ tech_2_6*Techs!AC42 + tech_2_9*Techs!AF42 + tech_3_7*Techs!AN42 + Overview!$I$33),0)</f>
        <v>1301</v>
      </c>
      <c r="AG42" s="94">
        <f ca="1">_xlfn.FLOOR.MATH(TblExplore[[#This Row],[Land-DB]]/150)+3+tech_2_9_2*TblTech[[#This Row],[2-9]]+tech_3_7_2*TblTech[[#This Row],[3-7]]</f>
        <v>5</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437</v>
      </c>
    </row>
    <row r="43" spans="1:36" x14ac:dyDescent="0.2">
      <c r="A43" s="175">
        <f>TblRezone[[#This Row],[Hour]]</f>
        <v>40</v>
      </c>
      <c r="B43" s="214">
        <f ca="1">TblConstr[[#This Row],[Land]]</f>
        <v>370</v>
      </c>
      <c r="C43" s="215"/>
      <c r="D43" s="216">
        <f ca="1">TblConstr[[#This Row],[Plain]]</f>
        <v>20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370</v>
      </c>
      <c r="R43" s="175">
        <f>TblExplore[[#This Row],[Hour]]</f>
        <v>40</v>
      </c>
      <c r="S43" s="218"/>
      <c r="T43" s="179"/>
      <c r="U43" s="179"/>
      <c r="V43" s="179"/>
      <c r="W43" s="179"/>
      <c r="X43" s="179"/>
      <c r="Y43" s="179"/>
      <c r="Z43" s="179"/>
      <c r="AA43" s="159">
        <f ca="1">TblImps[[#This Row],[Real time]]</f>
        <v>45816.624999999905</v>
      </c>
      <c r="AB43" s="94">
        <f ca="1">TblMili[[#This Row],[Draftees]]</f>
        <v>2229</v>
      </c>
      <c r="AC43" s="94">
        <f ca="1">TblProd[[#This Row],[Platinum]]</f>
        <v>728761</v>
      </c>
      <c r="AD43" s="215"/>
      <c r="AE43" s="45">
        <f ca="1">TblExplore[[#This Row],[Land]]-TblExplore[[#This Row],[Land Bonus]]*20</f>
        <v>370</v>
      </c>
      <c r="AF43" s="94">
        <f ca="1">ROUND(MAX(0.6*TblExplore[[#This Row],[Land-DB]]^1.299,850)*(1+ tech_2_6*Techs!AC43 + tech_2_9*Techs!AF43 + tech_3_7*Techs!AN43 + Overview!$I$33),0)</f>
        <v>1301</v>
      </c>
      <c r="AG43" s="94">
        <f ca="1">_xlfn.FLOOR.MATH(TblExplore[[#This Row],[Land-DB]]/150)+3+tech_2_9_2*TblTech[[#This Row],[2-9]]+tech_3_7_2*TblTech[[#This Row],[3-7]]</f>
        <v>5</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445</v>
      </c>
    </row>
    <row r="44" spans="1:36" x14ac:dyDescent="0.2">
      <c r="A44" s="175">
        <f>TblRezone[[#This Row],[Hour]]</f>
        <v>41</v>
      </c>
      <c r="B44" s="214">
        <f ca="1">TblConstr[[#This Row],[Land]]</f>
        <v>370</v>
      </c>
      <c r="C44" s="215"/>
      <c r="D44" s="216">
        <f ca="1">TblConstr[[#This Row],[Plain]]</f>
        <v>20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370</v>
      </c>
      <c r="R44" s="175">
        <f>TblExplore[[#This Row],[Hour]]</f>
        <v>41</v>
      </c>
      <c r="S44" s="218"/>
      <c r="T44" s="179"/>
      <c r="U44" s="179"/>
      <c r="V44" s="179"/>
      <c r="W44" s="179"/>
      <c r="X44" s="179"/>
      <c r="Y44" s="179"/>
      <c r="Z44" s="179"/>
      <c r="AA44" s="159">
        <f ca="1">TblImps[[#This Row],[Real time]]</f>
        <v>45816.66666666657</v>
      </c>
      <c r="AB44" s="94">
        <f ca="1">TblMili[[#This Row],[Draftees]]</f>
        <v>2269</v>
      </c>
      <c r="AC44" s="94">
        <f ca="1">TblProd[[#This Row],[Platinum]]</f>
        <v>741875</v>
      </c>
      <c r="AD44" s="215"/>
      <c r="AE44" s="45">
        <f ca="1">TblExplore[[#This Row],[Land]]-TblExplore[[#This Row],[Land Bonus]]*20</f>
        <v>370</v>
      </c>
      <c r="AF44" s="94">
        <f ca="1">ROUND(MAX(0.6*TblExplore[[#This Row],[Land-DB]]^1.299,850)*(1+ tech_2_6*Techs!AC44 + tech_2_9*Techs!AF44 + tech_3_7*Techs!AN44 + Overview!$I$33),0)</f>
        <v>1301</v>
      </c>
      <c r="AG44" s="94">
        <f ca="1">_xlfn.FLOOR.MATH(TblExplore[[#This Row],[Land-DB]]/150)+3+tech_2_9_2*TblTech[[#This Row],[2-9]]+tech_3_7_2*TblTech[[#This Row],[3-7]]</f>
        <v>5</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453</v>
      </c>
    </row>
    <row r="45" spans="1:36" x14ac:dyDescent="0.2">
      <c r="A45" s="175">
        <f>TblRezone[[#This Row],[Hour]]</f>
        <v>42</v>
      </c>
      <c r="B45" s="214">
        <f ca="1">TblConstr[[#This Row],[Land]]</f>
        <v>370</v>
      </c>
      <c r="C45" s="215"/>
      <c r="D45" s="216">
        <f ca="1">TblConstr[[#This Row],[Plain]]</f>
        <v>20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370</v>
      </c>
      <c r="R45" s="175">
        <f>TblExplore[[#This Row],[Hour]]</f>
        <v>42</v>
      </c>
      <c r="S45" s="218"/>
      <c r="T45" s="179"/>
      <c r="U45" s="179"/>
      <c r="V45" s="179"/>
      <c r="W45" s="179"/>
      <c r="X45" s="179"/>
      <c r="Y45" s="179"/>
      <c r="Z45" s="179"/>
      <c r="AA45" s="159">
        <f ca="1">TblImps[[#This Row],[Real time]]</f>
        <v>45816.708333333234</v>
      </c>
      <c r="AB45" s="94">
        <f ca="1">TblMili[[#This Row],[Draftees]]</f>
        <v>2309</v>
      </c>
      <c r="AC45" s="94">
        <f ca="1">TblProd[[#This Row],[Platinum]]</f>
        <v>754881</v>
      </c>
      <c r="AD45" s="215"/>
      <c r="AE45" s="45">
        <f ca="1">TblExplore[[#This Row],[Land]]-TblExplore[[#This Row],[Land Bonus]]*20</f>
        <v>370</v>
      </c>
      <c r="AF45" s="94">
        <f ca="1">ROUND(MAX(0.6*TblExplore[[#This Row],[Land-DB]]^1.299,850)*(1+ tech_2_6*Techs!AC45 + tech_2_9*Techs!AF45 + tech_3_7*Techs!AN45 + Overview!$I$33),0)</f>
        <v>1301</v>
      </c>
      <c r="AG45" s="94">
        <f ca="1">_xlfn.FLOOR.MATH(TblExplore[[#This Row],[Land-DB]]/150)+3+tech_2_9_2*TblTech[[#This Row],[2-9]]+tech_3_7_2*TblTech[[#This Row],[3-7]]</f>
        <v>5</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461</v>
      </c>
    </row>
    <row r="46" spans="1:36" x14ac:dyDescent="0.2">
      <c r="A46" s="175">
        <f>TblRezone[[#This Row],[Hour]]</f>
        <v>43</v>
      </c>
      <c r="B46" s="214">
        <f ca="1">TblConstr[[#This Row],[Land]]</f>
        <v>370</v>
      </c>
      <c r="C46" s="215"/>
      <c r="D46" s="216">
        <f ca="1">TblConstr[[#This Row],[Plain]]</f>
        <v>20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370</v>
      </c>
      <c r="R46" s="175">
        <f>TblExplore[[#This Row],[Hour]]</f>
        <v>43</v>
      </c>
      <c r="S46" s="218"/>
      <c r="T46" s="179"/>
      <c r="U46" s="179"/>
      <c r="V46" s="179"/>
      <c r="W46" s="179"/>
      <c r="X46" s="179"/>
      <c r="Y46" s="179"/>
      <c r="Z46" s="179"/>
      <c r="AA46" s="159">
        <f ca="1">TblImps[[#This Row],[Real time]]</f>
        <v>45816.749999999898</v>
      </c>
      <c r="AB46" s="94">
        <f ca="1">TblMili[[#This Row],[Draftees]]</f>
        <v>2348</v>
      </c>
      <c r="AC46" s="94">
        <f ca="1">TblProd[[#This Row],[Platinum]]</f>
        <v>767779</v>
      </c>
      <c r="AD46" s="215"/>
      <c r="AE46" s="45">
        <f ca="1">TblExplore[[#This Row],[Land]]-TblExplore[[#This Row],[Land Bonus]]*20</f>
        <v>370</v>
      </c>
      <c r="AF46" s="94">
        <f ca="1">ROUND(MAX(0.6*TblExplore[[#This Row],[Land-DB]]^1.299,850)*(1+ tech_2_6*Techs!AC46 + tech_2_9*Techs!AF46 + tech_3_7*Techs!AN46 + Overview!$I$33),0)</f>
        <v>1301</v>
      </c>
      <c r="AG46" s="94">
        <f ca="1">_xlfn.FLOOR.MATH(TblExplore[[#This Row],[Land-DB]]/150)+3+tech_2_9_2*TblTech[[#This Row],[2-9]]+tech_3_7_2*TblTech[[#This Row],[3-7]]</f>
        <v>5</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469</v>
      </c>
    </row>
    <row r="47" spans="1:36" x14ac:dyDescent="0.2">
      <c r="A47" s="175">
        <f>TblRezone[[#This Row],[Hour]]</f>
        <v>44</v>
      </c>
      <c r="B47" s="214">
        <f ca="1">TblConstr[[#This Row],[Land]]</f>
        <v>370</v>
      </c>
      <c r="C47" s="215"/>
      <c r="D47" s="216">
        <f ca="1">TblConstr[[#This Row],[Plain]]</f>
        <v>20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370</v>
      </c>
      <c r="R47" s="175">
        <f>TblExplore[[#This Row],[Hour]]</f>
        <v>44</v>
      </c>
      <c r="S47" s="218"/>
      <c r="T47" s="179"/>
      <c r="U47" s="179"/>
      <c r="V47" s="179"/>
      <c r="W47" s="179"/>
      <c r="X47" s="179"/>
      <c r="Y47" s="179"/>
      <c r="Z47" s="179"/>
      <c r="AA47" s="159">
        <f ca="1">TblImps[[#This Row],[Real time]]</f>
        <v>45816.791666666562</v>
      </c>
      <c r="AB47" s="94">
        <f ca="1">TblMili[[#This Row],[Draftees]]</f>
        <v>2387</v>
      </c>
      <c r="AC47" s="94">
        <f ca="1">TblProd[[#This Row],[Platinum]]</f>
        <v>780572</v>
      </c>
      <c r="AD47" s="215"/>
      <c r="AE47" s="45">
        <f ca="1">TblExplore[[#This Row],[Land]]-TblExplore[[#This Row],[Land Bonus]]*20</f>
        <v>370</v>
      </c>
      <c r="AF47" s="94">
        <f ca="1">ROUND(MAX(0.6*TblExplore[[#This Row],[Land-DB]]^1.299,850)*(1+ tech_2_6*Techs!AC47 + tech_2_9*Techs!AF47 + tech_3_7*Techs!AN47 + Overview!$I$33),0)</f>
        <v>1301</v>
      </c>
      <c r="AG47" s="94">
        <f ca="1">_xlfn.FLOOR.MATH(TblExplore[[#This Row],[Land-DB]]/150)+3+tech_2_9_2*TblTech[[#This Row],[2-9]]+tech_3_7_2*TblTech[[#This Row],[3-7]]</f>
        <v>5</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477</v>
      </c>
    </row>
    <row r="48" spans="1:36" x14ac:dyDescent="0.2">
      <c r="A48" s="175">
        <f>TblRezone[[#This Row],[Hour]]</f>
        <v>45</v>
      </c>
      <c r="B48" s="214">
        <f ca="1">TblConstr[[#This Row],[Land]]</f>
        <v>370</v>
      </c>
      <c r="C48" s="215"/>
      <c r="D48" s="216">
        <f ca="1">TblConstr[[#This Row],[Plain]]</f>
        <v>20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370</v>
      </c>
      <c r="R48" s="175">
        <f>TblExplore[[#This Row],[Hour]]</f>
        <v>45</v>
      </c>
      <c r="S48" s="218"/>
      <c r="T48" s="179"/>
      <c r="U48" s="179"/>
      <c r="V48" s="179"/>
      <c r="W48" s="179"/>
      <c r="X48" s="179"/>
      <c r="Y48" s="179"/>
      <c r="Z48" s="179"/>
      <c r="AA48" s="159">
        <f ca="1">TblImps[[#This Row],[Real time]]</f>
        <v>45816.833333333227</v>
      </c>
      <c r="AB48" s="94">
        <f ca="1">TblMili[[#This Row],[Draftees]]</f>
        <v>2426</v>
      </c>
      <c r="AC48" s="94">
        <f ca="1">TblProd[[#This Row],[Platinum]]</f>
        <v>793260</v>
      </c>
      <c r="AD48" s="215"/>
      <c r="AE48" s="45">
        <f ca="1">TblExplore[[#This Row],[Land]]-TblExplore[[#This Row],[Land Bonus]]*20</f>
        <v>370</v>
      </c>
      <c r="AF48" s="94">
        <f ca="1">ROUND(MAX(0.6*TblExplore[[#This Row],[Land-DB]]^1.299,850)*(1+ tech_2_6*Techs!AC48 + tech_2_9*Techs!AF48 + tech_3_7*Techs!AN48 + Overview!$I$33),0)</f>
        <v>1301</v>
      </c>
      <c r="AG48" s="94">
        <f ca="1">_xlfn.FLOOR.MATH(TblExplore[[#This Row],[Land-DB]]/150)+3+tech_2_9_2*TblTech[[#This Row],[2-9]]+tech_3_7_2*TblTech[[#This Row],[3-7]]</f>
        <v>5</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485</v>
      </c>
    </row>
    <row r="49" spans="1:36" x14ac:dyDescent="0.2">
      <c r="A49" s="175">
        <f>TblRezone[[#This Row],[Hour]]</f>
        <v>46</v>
      </c>
      <c r="B49" s="214">
        <f ca="1">TblConstr[[#This Row],[Land]]</f>
        <v>370</v>
      </c>
      <c r="C49" s="215"/>
      <c r="D49" s="216">
        <f ca="1">TblConstr[[#This Row],[Plain]]</f>
        <v>20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370</v>
      </c>
      <c r="R49" s="175">
        <f>TblExplore[[#This Row],[Hour]]</f>
        <v>46</v>
      </c>
      <c r="S49" s="218"/>
      <c r="T49" s="179"/>
      <c r="U49" s="179"/>
      <c r="V49" s="179"/>
      <c r="W49" s="179"/>
      <c r="X49" s="179"/>
      <c r="Y49" s="179"/>
      <c r="Z49" s="179"/>
      <c r="AA49" s="159">
        <f ca="1">TblImps[[#This Row],[Real time]]</f>
        <v>45816.874999999891</v>
      </c>
      <c r="AB49" s="94">
        <f ca="1">TblMili[[#This Row],[Draftees]]</f>
        <v>2464</v>
      </c>
      <c r="AC49" s="94">
        <f ca="1">TblProd[[#This Row],[Platinum]]</f>
        <v>805842</v>
      </c>
      <c r="AD49" s="215"/>
      <c r="AE49" s="45">
        <f ca="1">TblExplore[[#This Row],[Land]]-TblExplore[[#This Row],[Land Bonus]]*20</f>
        <v>370</v>
      </c>
      <c r="AF49" s="94">
        <f ca="1">ROUND(MAX(0.6*TblExplore[[#This Row],[Land-DB]]^1.299,850)*(1+ tech_2_6*Techs!AC49 + tech_2_9*Techs!AF49 + tech_3_7*Techs!AN49 + Overview!$I$33),0)</f>
        <v>1301</v>
      </c>
      <c r="AG49" s="94">
        <f ca="1">_xlfn.FLOOR.MATH(TblExplore[[#This Row],[Land-DB]]/150)+3+tech_2_9_2*TblTech[[#This Row],[2-9]]+tech_3_7_2*TblTech[[#This Row],[3-7]]</f>
        <v>5</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492</v>
      </c>
    </row>
    <row r="50" spans="1:36" x14ac:dyDescent="0.2">
      <c r="A50" s="175">
        <f>TblRezone[[#This Row],[Hour]]</f>
        <v>47</v>
      </c>
      <c r="B50" s="214">
        <f ca="1">TblConstr[[#This Row],[Land]]</f>
        <v>370</v>
      </c>
      <c r="C50" s="215"/>
      <c r="D50" s="216">
        <f ca="1">TblConstr[[#This Row],[Plain]]</f>
        <v>20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370</v>
      </c>
      <c r="R50" s="175">
        <f>TblExplore[[#This Row],[Hour]]</f>
        <v>47</v>
      </c>
      <c r="S50" s="218"/>
      <c r="T50" s="179"/>
      <c r="U50" s="179"/>
      <c r="V50" s="179"/>
      <c r="W50" s="179"/>
      <c r="X50" s="179"/>
      <c r="Y50" s="179"/>
      <c r="Z50" s="179"/>
      <c r="AA50" s="159">
        <f ca="1">TblImps[[#This Row],[Real time]]</f>
        <v>45816.916666666555</v>
      </c>
      <c r="AB50" s="94">
        <f ca="1">TblMili[[#This Row],[Draftees]]</f>
        <v>2502</v>
      </c>
      <c r="AC50" s="94">
        <f ca="1">TblProd[[#This Row],[Platinum]]</f>
        <v>818322</v>
      </c>
      <c r="AD50" s="215"/>
      <c r="AE50" s="45">
        <f ca="1">TblExplore[[#This Row],[Land]]-TblExplore[[#This Row],[Land Bonus]]*20</f>
        <v>370</v>
      </c>
      <c r="AF50" s="94">
        <f ca="1">ROUND(MAX(0.6*TblExplore[[#This Row],[Land-DB]]^1.299,850)*(1+ tech_2_6*Techs!AC50 + tech_2_9*Techs!AF50 + tech_3_7*Techs!AN50 + Overview!$I$33),0)</f>
        <v>1301</v>
      </c>
      <c r="AG50" s="94">
        <f ca="1">_xlfn.FLOOR.MATH(TblExplore[[#This Row],[Land-DB]]/150)+3+tech_2_9_2*TblTech[[#This Row],[2-9]]+tech_3_7_2*TblTech[[#This Row],[3-7]]</f>
        <v>5</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500</v>
      </c>
    </row>
    <row r="51" spans="1:36" x14ac:dyDescent="0.2">
      <c r="A51" s="175">
        <f>TblRezone[[#This Row],[Hour]]</f>
        <v>48</v>
      </c>
      <c r="B51" s="214">
        <f ca="1">TblConstr[[#This Row],[Land]]</f>
        <v>370</v>
      </c>
      <c r="C51" s="215"/>
      <c r="D51" s="216">
        <f ca="1">TblConstr[[#This Row],[Plain]]</f>
        <v>20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370</v>
      </c>
      <c r="R51" s="175">
        <f>TblExplore[[#This Row],[Hour]]</f>
        <v>48</v>
      </c>
      <c r="S51" s="218"/>
      <c r="T51" s="179"/>
      <c r="U51" s="179"/>
      <c r="V51" s="179"/>
      <c r="W51" s="179"/>
      <c r="X51" s="179"/>
      <c r="Y51" s="179"/>
      <c r="Z51" s="179"/>
      <c r="AA51" s="159">
        <f ca="1">TblImps[[#This Row],[Real time]]</f>
        <v>45816.958333333219</v>
      </c>
      <c r="AB51" s="94">
        <f ca="1">TblMili[[#This Row],[Draftees]]</f>
        <v>2540</v>
      </c>
      <c r="AC51" s="94">
        <f ca="1">TblProd[[#This Row],[Platinum]]</f>
        <v>830699</v>
      </c>
      <c r="AD51" s="215"/>
      <c r="AE51" s="45">
        <f ca="1">TblExplore[[#This Row],[Land]]-TblExplore[[#This Row],[Land Bonus]]*20</f>
        <v>370</v>
      </c>
      <c r="AF51" s="94">
        <f ca="1">ROUND(MAX(0.6*TblExplore[[#This Row],[Land-DB]]^1.299,850)*(1+ tech_2_6*Techs!AC51 + tech_2_9*Techs!AF51 + tech_3_7*Techs!AN51 + Overview!$I$33),0)</f>
        <v>1301</v>
      </c>
      <c r="AG51" s="94">
        <f ca="1">_xlfn.FLOOR.MATH(TblExplore[[#This Row],[Land-DB]]/150)+3+tech_2_9_2*TblTech[[#This Row],[2-9]]+tech_3_7_2*TblTech[[#This Row],[3-7]]</f>
        <v>5</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508</v>
      </c>
    </row>
    <row r="52" spans="1:36" s="5" customFormat="1" x14ac:dyDescent="0.2">
      <c r="A52" s="193">
        <f>TblRezone[[#This Row],[Hour]]</f>
        <v>49</v>
      </c>
      <c r="B52" s="230">
        <f ca="1">TblConstr[[#This Row],[Land]]</f>
        <v>370</v>
      </c>
      <c r="C52" s="231"/>
      <c r="D52" s="232">
        <f ca="1">TblConstr[[#This Row],[Plain]]</f>
        <v>20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370</v>
      </c>
      <c r="R52" s="193">
        <f>TblExplore[[#This Row],[Hour]]</f>
        <v>49</v>
      </c>
      <c r="S52" s="233"/>
      <c r="T52" s="201"/>
      <c r="U52" s="201"/>
      <c r="V52" s="201"/>
      <c r="W52" s="201"/>
      <c r="X52" s="201"/>
      <c r="Y52" s="201"/>
      <c r="Z52" s="201"/>
      <c r="AA52" s="167">
        <f ca="1">TblImps[[#This Row],[Real time]]</f>
        <v>45816.999999999884</v>
      </c>
      <c r="AB52" s="35">
        <f ca="1">TblMili[[#This Row],[Draftees]]</f>
        <v>2577</v>
      </c>
      <c r="AC52" s="35">
        <f ca="1">TblProd[[#This Row],[Platinum]]</f>
        <v>842974</v>
      </c>
      <c r="AD52" s="231"/>
      <c r="AE52" s="5">
        <f ca="1">TblExplore[[#This Row],[Land]]-TblExplore[[#This Row],[Land Bonus]]*20</f>
        <v>370</v>
      </c>
      <c r="AF52" s="35">
        <f ca="1">ROUND(MAX(0.6*TblExplore[[#This Row],[Land-DB]]^1.299,850)*(1+ tech_2_6*Techs!AC52 + tech_2_9*Techs!AF52 + tech_3_7*Techs!AN52 + Overview!$I$33),0)</f>
        <v>1301</v>
      </c>
      <c r="AG52" s="35">
        <f ca="1">_xlfn.FLOOR.MATH(TblExplore[[#This Row],[Land-DB]]/150)+3+tech_2_9_2*TblTech[[#This Row],[2-9]]+tech_3_7_2*TblTech[[#This Row],[3-7]]</f>
        <v>5</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515</v>
      </c>
    </row>
    <row r="53" spans="1:36" x14ac:dyDescent="0.2">
      <c r="A53" s="175">
        <f>TblRezone[[#This Row],[Hour]]</f>
        <v>50</v>
      </c>
      <c r="B53" s="214">
        <f ca="1">TblConstr[[#This Row],[Land]]</f>
        <v>370</v>
      </c>
      <c r="C53" s="215"/>
      <c r="D53" s="216">
        <f ca="1">TblConstr[[#This Row],[Plain]]</f>
        <v>20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370</v>
      </c>
      <c r="R53" s="175">
        <f>TblExplore[[#This Row],[Hour]]</f>
        <v>50</v>
      </c>
      <c r="S53" s="218"/>
      <c r="T53" s="179"/>
      <c r="U53" s="179"/>
      <c r="V53" s="179"/>
      <c r="W53" s="179"/>
      <c r="X53" s="179"/>
      <c r="Y53" s="179"/>
      <c r="Z53" s="179"/>
      <c r="AA53" s="159">
        <f ca="1">TblImps[[#This Row],[Real time]]</f>
        <v>45817.041666666548</v>
      </c>
      <c r="AB53" s="94">
        <f ca="1">TblMili[[#This Row],[Draftees]]</f>
        <v>2614</v>
      </c>
      <c r="AC53" s="94">
        <f ca="1">TblProd[[#This Row],[Platinum]]</f>
        <v>855149</v>
      </c>
      <c r="AD53" s="215"/>
      <c r="AE53" s="45">
        <f ca="1">TblExplore[[#This Row],[Land]]-TblExplore[[#This Row],[Land Bonus]]*20</f>
        <v>370</v>
      </c>
      <c r="AF53" s="94">
        <f ca="1">ROUND(MAX(0.6*TblExplore[[#This Row],[Land-DB]]^1.299,850)*(1+ tech_2_6*Techs!AC53 + tech_2_9*Techs!AF53 + tech_3_7*Techs!AN53 + Overview!$I$33),0)</f>
        <v>1301</v>
      </c>
      <c r="AG53" s="94">
        <f ca="1">_xlfn.FLOOR.MATH(TblExplore[[#This Row],[Land-DB]]/150)+3+tech_2_9_2*TblTech[[#This Row],[2-9]]+tech_3_7_2*TblTech[[#This Row],[3-7]]</f>
        <v>5</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522</v>
      </c>
    </row>
    <row r="54" spans="1:36" x14ac:dyDescent="0.2">
      <c r="A54" s="175">
        <f>TblRezone[[#This Row],[Hour]]</f>
        <v>51</v>
      </c>
      <c r="B54" s="214">
        <f ca="1">TblConstr[[#This Row],[Land]]</f>
        <v>370</v>
      </c>
      <c r="C54" s="215"/>
      <c r="D54" s="216">
        <f ca="1">TblConstr[[#This Row],[Plain]]</f>
        <v>20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370</v>
      </c>
      <c r="R54" s="175">
        <f>TblExplore[[#This Row],[Hour]]</f>
        <v>51</v>
      </c>
      <c r="S54" s="218"/>
      <c r="T54" s="179"/>
      <c r="U54" s="179"/>
      <c r="V54" s="179"/>
      <c r="W54" s="179"/>
      <c r="X54" s="179"/>
      <c r="Y54" s="179"/>
      <c r="Z54" s="179"/>
      <c r="AA54" s="159">
        <f ca="1">TblImps[[#This Row],[Real time]]</f>
        <v>45817.083333333212</v>
      </c>
      <c r="AB54" s="94">
        <f ca="1">TblMili[[#This Row],[Draftees]]</f>
        <v>2650</v>
      </c>
      <c r="AC54" s="94">
        <f ca="1">TblProd[[#This Row],[Platinum]]</f>
        <v>867224</v>
      </c>
      <c r="AD54" s="215"/>
      <c r="AE54" s="45">
        <f ca="1">TblExplore[[#This Row],[Land]]-TblExplore[[#This Row],[Land Bonus]]*20</f>
        <v>370</v>
      </c>
      <c r="AF54" s="94">
        <f ca="1">ROUND(MAX(0.6*TblExplore[[#This Row],[Land-DB]]^1.299,850)*(1+ tech_2_6*Techs!AC54 + tech_2_9*Techs!AF54 + tech_3_7*Techs!AN54 + Overview!$I$33),0)</f>
        <v>1301</v>
      </c>
      <c r="AG54" s="94">
        <f ca="1">_xlfn.FLOOR.MATH(TblExplore[[#This Row],[Land-DB]]/150)+3+tech_2_9_2*TblTech[[#This Row],[2-9]]+tech_3_7_2*TblTech[[#This Row],[3-7]]</f>
        <v>5</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530</v>
      </c>
    </row>
    <row r="55" spans="1:36" x14ac:dyDescent="0.2">
      <c r="A55" s="175">
        <f>TblRezone[[#This Row],[Hour]]</f>
        <v>52</v>
      </c>
      <c r="B55" s="214">
        <f ca="1">TblConstr[[#This Row],[Land]]</f>
        <v>370</v>
      </c>
      <c r="C55" s="215"/>
      <c r="D55" s="216">
        <f ca="1">TblConstr[[#This Row],[Plain]]</f>
        <v>20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370</v>
      </c>
      <c r="R55" s="175">
        <f>TblExplore[[#This Row],[Hour]]</f>
        <v>52</v>
      </c>
      <c r="S55" s="218"/>
      <c r="T55" s="179"/>
      <c r="U55" s="179"/>
      <c r="V55" s="179"/>
      <c r="W55" s="179"/>
      <c r="X55" s="179"/>
      <c r="Y55" s="179"/>
      <c r="Z55" s="179"/>
      <c r="AA55" s="159">
        <f ca="1">TblImps[[#This Row],[Real time]]</f>
        <v>45817.124999999876</v>
      </c>
      <c r="AB55" s="94">
        <f ca="1">TblMili[[#This Row],[Draftees]]</f>
        <v>2686</v>
      </c>
      <c r="AC55" s="94">
        <f ca="1">TblProd[[#This Row],[Platinum]]</f>
        <v>879202</v>
      </c>
      <c r="AD55" s="215"/>
      <c r="AE55" s="45">
        <f ca="1">TblExplore[[#This Row],[Land]]-TblExplore[[#This Row],[Land Bonus]]*20</f>
        <v>370</v>
      </c>
      <c r="AF55" s="94">
        <f ca="1">ROUND(MAX(0.6*TblExplore[[#This Row],[Land-DB]]^1.299,850)*(1+ tech_2_6*Techs!AC55 + tech_2_9*Techs!AF55 + tech_3_7*Techs!AN55 + Overview!$I$33),0)</f>
        <v>1301</v>
      </c>
      <c r="AG55" s="94">
        <f ca="1">_xlfn.FLOOR.MATH(TblExplore[[#This Row],[Land-DB]]/150)+3+tech_2_9_2*TblTech[[#This Row],[2-9]]+tech_3_7_2*TblTech[[#This Row],[3-7]]</f>
        <v>5</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537</v>
      </c>
    </row>
    <row r="56" spans="1:36" x14ac:dyDescent="0.2">
      <c r="A56" s="175">
        <f>TblRezone[[#This Row],[Hour]]</f>
        <v>53</v>
      </c>
      <c r="B56" s="214">
        <f ca="1">TblConstr[[#This Row],[Land]]</f>
        <v>370</v>
      </c>
      <c r="C56" s="215"/>
      <c r="D56" s="216">
        <f ca="1">TblConstr[[#This Row],[Plain]]</f>
        <v>20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370</v>
      </c>
      <c r="R56" s="175">
        <f>TblExplore[[#This Row],[Hour]]</f>
        <v>53</v>
      </c>
      <c r="S56" s="218"/>
      <c r="T56" s="179"/>
      <c r="U56" s="179"/>
      <c r="V56" s="179"/>
      <c r="W56" s="179"/>
      <c r="X56" s="179"/>
      <c r="Y56" s="179"/>
      <c r="Z56" s="179"/>
      <c r="AA56" s="159">
        <f ca="1">TblImps[[#This Row],[Real time]]</f>
        <v>45817.166666666541</v>
      </c>
      <c r="AB56" s="94">
        <f ca="1">TblMili[[#This Row],[Draftees]]</f>
        <v>2722</v>
      </c>
      <c r="AC56" s="94">
        <f ca="1">TblProd[[#This Row],[Platinum]]</f>
        <v>891082</v>
      </c>
      <c r="AD56" s="215"/>
      <c r="AE56" s="45">
        <f ca="1">TblExplore[[#This Row],[Land]]-TblExplore[[#This Row],[Land Bonus]]*20</f>
        <v>370</v>
      </c>
      <c r="AF56" s="94">
        <f ca="1">ROUND(MAX(0.6*TblExplore[[#This Row],[Land-DB]]^1.299,850)*(1+ tech_2_6*Techs!AC56 + tech_2_9*Techs!AF56 + tech_3_7*Techs!AN56 + Overview!$I$33),0)</f>
        <v>1301</v>
      </c>
      <c r="AG56" s="94">
        <f ca="1">_xlfn.FLOOR.MATH(TblExplore[[#This Row],[Land-DB]]/150)+3+tech_2_9_2*TblTech[[#This Row],[2-9]]+tech_3_7_2*TblTech[[#This Row],[3-7]]</f>
        <v>5</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544</v>
      </c>
    </row>
    <row r="57" spans="1:36" x14ac:dyDescent="0.2">
      <c r="A57" s="175">
        <f>TblRezone[[#This Row],[Hour]]</f>
        <v>54</v>
      </c>
      <c r="B57" s="214">
        <f ca="1">TblConstr[[#This Row],[Land]]</f>
        <v>370</v>
      </c>
      <c r="C57" s="215"/>
      <c r="D57" s="216">
        <f ca="1">TblConstr[[#This Row],[Plain]]</f>
        <v>20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370</v>
      </c>
      <c r="R57" s="175">
        <f>TblExplore[[#This Row],[Hour]]</f>
        <v>54</v>
      </c>
      <c r="S57" s="218"/>
      <c r="T57" s="179"/>
      <c r="U57" s="179"/>
      <c r="V57" s="179"/>
      <c r="W57" s="179"/>
      <c r="X57" s="179"/>
      <c r="Y57" s="179"/>
      <c r="Z57" s="179"/>
      <c r="AA57" s="159">
        <f ca="1">TblImps[[#This Row],[Real time]]</f>
        <v>45817.208333333205</v>
      </c>
      <c r="AB57" s="94">
        <f ca="1">TblMili[[#This Row],[Draftees]]</f>
        <v>2757</v>
      </c>
      <c r="AC57" s="94">
        <f ca="1">TblProd[[#This Row],[Platinum]]</f>
        <v>902865</v>
      </c>
      <c r="AD57" s="215"/>
      <c r="AE57" s="45">
        <f ca="1">TblExplore[[#This Row],[Land]]-TblExplore[[#This Row],[Land Bonus]]*20</f>
        <v>370</v>
      </c>
      <c r="AF57" s="94">
        <f ca="1">ROUND(MAX(0.6*TblExplore[[#This Row],[Land-DB]]^1.299,850)*(1+ tech_2_6*Techs!AC57 + tech_2_9*Techs!AF57 + tech_3_7*Techs!AN57 + Overview!$I$33),0)</f>
        <v>1301</v>
      </c>
      <c r="AG57" s="94">
        <f ca="1">_xlfn.FLOOR.MATH(TblExplore[[#This Row],[Land-DB]]/150)+3+tech_2_9_2*TblTech[[#This Row],[2-9]]+tech_3_7_2*TblTech[[#This Row],[3-7]]</f>
        <v>5</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551</v>
      </c>
    </row>
    <row r="58" spans="1:36" x14ac:dyDescent="0.2">
      <c r="A58" s="175">
        <f>TblRezone[[#This Row],[Hour]]</f>
        <v>55</v>
      </c>
      <c r="B58" s="214">
        <f ca="1">TblConstr[[#This Row],[Land]]</f>
        <v>370</v>
      </c>
      <c r="C58" s="215"/>
      <c r="D58" s="216">
        <f ca="1">TblConstr[[#This Row],[Plain]]</f>
        <v>20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370</v>
      </c>
      <c r="R58" s="175">
        <f>TblExplore[[#This Row],[Hour]]</f>
        <v>55</v>
      </c>
      <c r="S58" s="218"/>
      <c r="T58" s="179"/>
      <c r="U58" s="179"/>
      <c r="V58" s="179"/>
      <c r="W58" s="179"/>
      <c r="X58" s="179"/>
      <c r="Y58" s="179"/>
      <c r="Z58" s="179"/>
      <c r="AA58" s="159">
        <f ca="1">TblImps[[#This Row],[Real time]]</f>
        <v>45817.249999999869</v>
      </c>
      <c r="AB58" s="94">
        <f ca="1">TblMili[[#This Row],[Draftees]]</f>
        <v>2792</v>
      </c>
      <c r="AC58" s="94">
        <f ca="1">TblProd[[#This Row],[Platinum]]</f>
        <v>914554</v>
      </c>
      <c r="AD58" s="215"/>
      <c r="AE58" s="45">
        <f ca="1">TblExplore[[#This Row],[Land]]-TblExplore[[#This Row],[Land Bonus]]*20</f>
        <v>370</v>
      </c>
      <c r="AF58" s="94">
        <f ca="1">ROUND(MAX(0.6*TblExplore[[#This Row],[Land-DB]]^1.299,850)*(1+ tech_2_6*Techs!AC58 + tech_2_9*Techs!AF58 + tech_3_7*Techs!AN58 + Overview!$I$33),0)</f>
        <v>1301</v>
      </c>
      <c r="AG58" s="94">
        <f ca="1">_xlfn.FLOOR.MATH(TblExplore[[#This Row],[Land-DB]]/150)+3+tech_2_9_2*TblTech[[#This Row],[2-9]]+tech_3_7_2*TblTech[[#This Row],[3-7]]</f>
        <v>5</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558</v>
      </c>
    </row>
    <row r="59" spans="1:36" x14ac:dyDescent="0.2">
      <c r="A59" s="175">
        <f>TblRezone[[#This Row],[Hour]]</f>
        <v>56</v>
      </c>
      <c r="B59" s="214">
        <f ca="1">TblConstr[[#This Row],[Land]]</f>
        <v>370</v>
      </c>
      <c r="C59" s="215"/>
      <c r="D59" s="216">
        <f ca="1">TblConstr[[#This Row],[Plain]]</f>
        <v>20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370</v>
      </c>
      <c r="R59" s="175">
        <f>TblExplore[[#This Row],[Hour]]</f>
        <v>56</v>
      </c>
      <c r="S59" s="218"/>
      <c r="T59" s="179"/>
      <c r="U59" s="179"/>
      <c r="V59" s="179"/>
      <c r="W59" s="179"/>
      <c r="X59" s="179"/>
      <c r="Y59" s="179"/>
      <c r="Z59" s="179"/>
      <c r="AA59" s="159">
        <f ca="1">TblImps[[#This Row],[Real time]]</f>
        <v>45817.291666666533</v>
      </c>
      <c r="AB59" s="94">
        <f ca="1">TblMili[[#This Row],[Draftees]]</f>
        <v>2827</v>
      </c>
      <c r="AC59" s="94">
        <f ca="1">TblProd[[#This Row],[Platinum]]</f>
        <v>926148</v>
      </c>
      <c r="AD59" s="215"/>
      <c r="AE59" s="45">
        <f ca="1">TblExplore[[#This Row],[Land]]-TblExplore[[#This Row],[Land Bonus]]*20</f>
        <v>370</v>
      </c>
      <c r="AF59" s="94">
        <f ca="1">ROUND(MAX(0.6*TblExplore[[#This Row],[Land-DB]]^1.299,850)*(1+ tech_2_6*Techs!AC59 + tech_2_9*Techs!AF59 + tech_3_7*Techs!AN59 + Overview!$I$33),0)</f>
        <v>1301</v>
      </c>
      <c r="AG59" s="94">
        <f ca="1">_xlfn.FLOOR.MATH(TblExplore[[#This Row],[Land-DB]]/150)+3+tech_2_9_2*TblTech[[#This Row],[2-9]]+tech_3_7_2*TblTech[[#This Row],[3-7]]</f>
        <v>5</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565</v>
      </c>
    </row>
    <row r="60" spans="1:36" x14ac:dyDescent="0.2">
      <c r="A60" s="175">
        <f>TblRezone[[#This Row],[Hour]]</f>
        <v>57</v>
      </c>
      <c r="B60" s="214">
        <f ca="1">TblConstr[[#This Row],[Land]]</f>
        <v>370</v>
      </c>
      <c r="C60" s="215"/>
      <c r="D60" s="216">
        <f ca="1">TblConstr[[#This Row],[Plain]]</f>
        <v>20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370</v>
      </c>
      <c r="R60" s="175">
        <f>TblExplore[[#This Row],[Hour]]</f>
        <v>57</v>
      </c>
      <c r="S60" s="218"/>
      <c r="T60" s="179"/>
      <c r="U60" s="179"/>
      <c r="V60" s="179"/>
      <c r="W60" s="179"/>
      <c r="X60" s="179"/>
      <c r="Y60" s="179"/>
      <c r="Z60" s="179"/>
      <c r="AA60" s="159">
        <f ca="1">TblImps[[#This Row],[Real time]]</f>
        <v>45817.333333333198</v>
      </c>
      <c r="AB60" s="94">
        <f ca="1">TblMili[[#This Row],[Draftees]]</f>
        <v>2861</v>
      </c>
      <c r="AC60" s="94">
        <f ca="1">TblProd[[#This Row],[Platinum]]</f>
        <v>937648</v>
      </c>
      <c r="AD60" s="215"/>
      <c r="AE60" s="45">
        <f ca="1">TblExplore[[#This Row],[Land]]-TblExplore[[#This Row],[Land Bonus]]*20</f>
        <v>370</v>
      </c>
      <c r="AF60" s="94">
        <f ca="1">ROUND(MAX(0.6*TblExplore[[#This Row],[Land-DB]]^1.299,850)*(1+ tech_2_6*Techs!AC60 + tech_2_9*Techs!AF60 + tech_3_7*Techs!AN60 + Overview!$I$33),0)</f>
        <v>1301</v>
      </c>
      <c r="AG60" s="94">
        <f ca="1">_xlfn.FLOOR.MATH(TblExplore[[#This Row],[Land-DB]]/150)+3+tech_2_9_2*TblTech[[#This Row],[2-9]]+tech_3_7_2*TblTech[[#This Row],[3-7]]</f>
        <v>5</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572</v>
      </c>
    </row>
    <row r="61" spans="1:36" x14ac:dyDescent="0.2">
      <c r="A61" s="175">
        <f>TblRezone[[#This Row],[Hour]]</f>
        <v>58</v>
      </c>
      <c r="B61" s="214">
        <f ca="1">TblConstr[[#This Row],[Land]]</f>
        <v>370</v>
      </c>
      <c r="C61" s="215"/>
      <c r="D61" s="216">
        <f ca="1">TblConstr[[#This Row],[Plain]]</f>
        <v>20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370</v>
      </c>
      <c r="R61" s="175">
        <f>TblExplore[[#This Row],[Hour]]</f>
        <v>58</v>
      </c>
      <c r="S61" s="218"/>
      <c r="T61" s="179"/>
      <c r="U61" s="179"/>
      <c r="V61" s="179"/>
      <c r="W61" s="179"/>
      <c r="X61" s="179"/>
      <c r="Y61" s="179"/>
      <c r="Z61" s="179"/>
      <c r="AA61" s="159">
        <f ca="1">TblImps[[#This Row],[Real time]]</f>
        <v>45817.374999999862</v>
      </c>
      <c r="AB61" s="94">
        <f ca="1">TblMili[[#This Row],[Draftees]]</f>
        <v>2895</v>
      </c>
      <c r="AC61" s="94">
        <f ca="1">TblProd[[#This Row],[Platinum]]</f>
        <v>949056</v>
      </c>
      <c r="AD61" s="215"/>
      <c r="AE61" s="45">
        <f ca="1">TblExplore[[#This Row],[Land]]-TblExplore[[#This Row],[Land Bonus]]*20</f>
        <v>370</v>
      </c>
      <c r="AF61" s="94">
        <f ca="1">ROUND(MAX(0.6*TblExplore[[#This Row],[Land-DB]]^1.299,850)*(1+ tech_2_6*Techs!AC61 + tech_2_9*Techs!AF61 + tech_3_7*Techs!AN61 + Overview!$I$33),0)</f>
        <v>1301</v>
      </c>
      <c r="AG61" s="94">
        <f ca="1">_xlfn.FLOOR.MATH(TblExplore[[#This Row],[Land-DB]]/150)+3+tech_2_9_2*TblTech[[#This Row],[2-9]]+tech_3_7_2*TblTech[[#This Row],[3-7]]</f>
        <v>5</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579</v>
      </c>
    </row>
    <row r="62" spans="1:36" x14ac:dyDescent="0.2">
      <c r="A62" s="175">
        <f>TblRezone[[#This Row],[Hour]]</f>
        <v>59</v>
      </c>
      <c r="B62" s="214">
        <f ca="1">TblConstr[[#This Row],[Land]]</f>
        <v>370</v>
      </c>
      <c r="C62" s="215"/>
      <c r="D62" s="216">
        <f ca="1">TblConstr[[#This Row],[Plain]]</f>
        <v>20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370</v>
      </c>
      <c r="R62" s="175">
        <f>TblExplore[[#This Row],[Hour]]</f>
        <v>59</v>
      </c>
      <c r="S62" s="218"/>
      <c r="T62" s="179"/>
      <c r="U62" s="179"/>
      <c r="V62" s="179"/>
      <c r="W62" s="179"/>
      <c r="X62" s="179"/>
      <c r="Y62" s="179"/>
      <c r="Z62" s="179"/>
      <c r="AA62" s="159">
        <f ca="1">TblImps[[#This Row],[Real time]]</f>
        <v>45817.416666666526</v>
      </c>
      <c r="AB62" s="94">
        <f ca="1">TblMili[[#This Row],[Draftees]]</f>
        <v>2929</v>
      </c>
      <c r="AC62" s="94">
        <f ca="1">TblProd[[#This Row],[Platinum]]</f>
        <v>960372</v>
      </c>
      <c r="AD62" s="215"/>
      <c r="AE62" s="45">
        <f ca="1">TblExplore[[#This Row],[Land]]-TblExplore[[#This Row],[Land Bonus]]*20</f>
        <v>370</v>
      </c>
      <c r="AF62" s="94">
        <f ca="1">ROUND(MAX(0.6*TblExplore[[#This Row],[Land-DB]]^1.299,850)*(1+ tech_2_6*Techs!AC62 + tech_2_9*Techs!AF62 + tech_3_7*Techs!AN62 + Overview!$I$33),0)</f>
        <v>1301</v>
      </c>
      <c r="AG62" s="94">
        <f ca="1">_xlfn.FLOOR.MATH(TblExplore[[#This Row],[Land-DB]]/150)+3+tech_2_9_2*TblTech[[#This Row],[2-9]]+tech_3_7_2*TblTech[[#This Row],[3-7]]</f>
        <v>5</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585</v>
      </c>
    </row>
    <row r="63" spans="1:36" x14ac:dyDescent="0.2">
      <c r="A63" s="175">
        <f>TblRezone[[#This Row],[Hour]]</f>
        <v>60</v>
      </c>
      <c r="B63" s="214">
        <f ca="1">TblConstr[[#This Row],[Land]]</f>
        <v>370</v>
      </c>
      <c r="C63" s="215"/>
      <c r="D63" s="216">
        <f ca="1">TblConstr[[#This Row],[Plain]]</f>
        <v>20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370</v>
      </c>
      <c r="R63" s="175">
        <f>TblExplore[[#This Row],[Hour]]</f>
        <v>60</v>
      </c>
      <c r="S63" s="218"/>
      <c r="T63" s="179"/>
      <c r="U63" s="179"/>
      <c r="V63" s="179"/>
      <c r="W63" s="179"/>
      <c r="X63" s="179"/>
      <c r="Y63" s="179"/>
      <c r="Z63" s="179"/>
      <c r="AA63" s="159">
        <f ca="1">TblImps[[#This Row],[Real time]]</f>
        <v>45817.45833333319</v>
      </c>
      <c r="AB63" s="94">
        <f ca="1">TblMili[[#This Row],[Draftees]]</f>
        <v>2962</v>
      </c>
      <c r="AC63" s="94">
        <f ca="1">TblProd[[#This Row],[Platinum]]</f>
        <v>971596</v>
      </c>
      <c r="AD63" s="215"/>
      <c r="AE63" s="45">
        <f ca="1">TblExplore[[#This Row],[Land]]-TblExplore[[#This Row],[Land Bonus]]*20</f>
        <v>370</v>
      </c>
      <c r="AF63" s="94">
        <f ca="1">ROUND(MAX(0.6*TblExplore[[#This Row],[Land-DB]]^1.299,850)*(1+ tech_2_6*Techs!AC63 + tech_2_9*Techs!AF63 + tech_3_7*Techs!AN63 + Overview!$I$33),0)</f>
        <v>1301</v>
      </c>
      <c r="AG63" s="94">
        <f ca="1">_xlfn.FLOOR.MATH(TblExplore[[#This Row],[Land-DB]]/150)+3+tech_2_9_2*TblTech[[#This Row],[2-9]]+tech_3_7_2*TblTech[[#This Row],[3-7]]</f>
        <v>5</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592</v>
      </c>
    </row>
    <row r="64" spans="1:36" x14ac:dyDescent="0.2">
      <c r="A64" s="175">
        <f>TblRezone[[#This Row],[Hour]]</f>
        <v>61</v>
      </c>
      <c r="B64" s="214">
        <f ca="1">TblConstr[[#This Row],[Land]]</f>
        <v>370</v>
      </c>
      <c r="C64" s="215"/>
      <c r="D64" s="216">
        <f ca="1">TblConstr[[#This Row],[Plain]]</f>
        <v>20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370</v>
      </c>
      <c r="R64" s="175">
        <f>TblExplore[[#This Row],[Hour]]</f>
        <v>61</v>
      </c>
      <c r="S64" s="218"/>
      <c r="T64" s="179"/>
      <c r="U64" s="179"/>
      <c r="V64" s="179"/>
      <c r="W64" s="179"/>
      <c r="X64" s="179"/>
      <c r="Y64" s="179"/>
      <c r="Z64" s="179"/>
      <c r="AA64" s="159">
        <f ca="1">TblImps[[#This Row],[Real time]]</f>
        <v>45817.499999999854</v>
      </c>
      <c r="AB64" s="94">
        <f ca="1">TblMili[[#This Row],[Draftees]]</f>
        <v>2995</v>
      </c>
      <c r="AC64" s="94">
        <f ca="1">TblProd[[#This Row],[Platinum]]</f>
        <v>982731</v>
      </c>
      <c r="AD64" s="215"/>
      <c r="AE64" s="45">
        <f ca="1">TblExplore[[#This Row],[Land]]-TblExplore[[#This Row],[Land Bonus]]*20</f>
        <v>370</v>
      </c>
      <c r="AF64" s="94">
        <f ca="1">ROUND(MAX(0.6*TblExplore[[#This Row],[Land-DB]]^1.299,850)*(1+ tech_2_6*Techs!AC64 + tech_2_9*Techs!AF64 + tech_3_7*Techs!AN64 + Overview!$I$33),0)</f>
        <v>1301</v>
      </c>
      <c r="AG64" s="94">
        <f ca="1">_xlfn.FLOOR.MATH(TblExplore[[#This Row],[Land-DB]]/150)+3+tech_2_9_2*TblTech[[#This Row],[2-9]]+tech_3_7_2*TblTech[[#This Row],[3-7]]</f>
        <v>5</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599</v>
      </c>
    </row>
    <row r="65" spans="1:36" x14ac:dyDescent="0.2">
      <c r="A65" s="175">
        <f>TblRezone[[#This Row],[Hour]]</f>
        <v>62</v>
      </c>
      <c r="B65" s="214">
        <f ca="1">TblConstr[[#This Row],[Land]]</f>
        <v>370</v>
      </c>
      <c r="C65" s="215"/>
      <c r="D65" s="216">
        <f ca="1">TblConstr[[#This Row],[Plain]]</f>
        <v>20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370</v>
      </c>
      <c r="R65" s="175">
        <f>TblExplore[[#This Row],[Hour]]</f>
        <v>62</v>
      </c>
      <c r="S65" s="218"/>
      <c r="T65" s="179"/>
      <c r="U65" s="179"/>
      <c r="V65" s="179"/>
      <c r="W65" s="179"/>
      <c r="X65" s="179"/>
      <c r="Y65" s="179"/>
      <c r="Z65" s="179"/>
      <c r="AA65" s="159">
        <f ca="1">TblImps[[#This Row],[Real time]]</f>
        <v>45817.541666666519</v>
      </c>
      <c r="AB65" s="94">
        <f ca="1">TblMili[[#This Row],[Draftees]]</f>
        <v>3028</v>
      </c>
      <c r="AC65" s="94">
        <f ca="1">TblProd[[#This Row],[Platinum]]</f>
        <v>993777</v>
      </c>
      <c r="AD65" s="215"/>
      <c r="AE65" s="45">
        <f ca="1">TblExplore[[#This Row],[Land]]-TblExplore[[#This Row],[Land Bonus]]*20</f>
        <v>370</v>
      </c>
      <c r="AF65" s="94">
        <f ca="1">ROUND(MAX(0.6*TblExplore[[#This Row],[Land-DB]]^1.299,850)*(1+ tech_2_6*Techs!AC65 + tech_2_9*Techs!AF65 + tech_3_7*Techs!AN65 + Overview!$I$33),0)</f>
        <v>1301</v>
      </c>
      <c r="AG65" s="94">
        <f ca="1">_xlfn.FLOOR.MATH(TblExplore[[#This Row],[Land-DB]]/150)+3+tech_2_9_2*TblTech[[#This Row],[2-9]]+tech_3_7_2*TblTech[[#This Row],[3-7]]</f>
        <v>5</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605</v>
      </c>
    </row>
    <row r="66" spans="1:36" x14ac:dyDescent="0.2">
      <c r="A66" s="175">
        <f>TblRezone[[#This Row],[Hour]]</f>
        <v>63</v>
      </c>
      <c r="B66" s="214">
        <f ca="1">TblConstr[[#This Row],[Land]]</f>
        <v>370</v>
      </c>
      <c r="C66" s="215"/>
      <c r="D66" s="216">
        <f ca="1">TblConstr[[#This Row],[Plain]]</f>
        <v>20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370</v>
      </c>
      <c r="R66" s="175">
        <f>TblExplore[[#This Row],[Hour]]</f>
        <v>63</v>
      </c>
      <c r="S66" s="218"/>
      <c r="T66" s="179"/>
      <c r="U66" s="179"/>
      <c r="V66" s="179"/>
      <c r="W66" s="179"/>
      <c r="X66" s="179"/>
      <c r="Y66" s="179"/>
      <c r="Z66" s="179"/>
      <c r="AA66" s="159">
        <f ca="1">TblImps[[#This Row],[Real time]]</f>
        <v>45817.583333333183</v>
      </c>
      <c r="AB66" s="94">
        <f ca="1">TblMili[[#This Row],[Draftees]]</f>
        <v>3060</v>
      </c>
      <c r="AC66" s="94">
        <f ca="1">TblProd[[#This Row],[Platinum]]</f>
        <v>1004734</v>
      </c>
      <c r="AD66" s="215"/>
      <c r="AE66" s="45">
        <f ca="1">TblExplore[[#This Row],[Land]]-TblExplore[[#This Row],[Land Bonus]]*20</f>
        <v>370</v>
      </c>
      <c r="AF66" s="94">
        <f ca="1">ROUND(MAX(0.6*TblExplore[[#This Row],[Land-DB]]^1.299,850)*(1+ tech_2_6*Techs!AC66 + tech_2_9*Techs!AF66 + tech_3_7*Techs!AN66 + Overview!$I$33),0)</f>
        <v>1301</v>
      </c>
      <c r="AG66" s="94">
        <f ca="1">_xlfn.FLOOR.MATH(TblExplore[[#This Row],[Land-DB]]/150)+3+tech_2_9_2*TblTech[[#This Row],[2-9]]+tech_3_7_2*TblTech[[#This Row],[3-7]]</f>
        <v>5</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612</v>
      </c>
    </row>
    <row r="67" spans="1:36" x14ac:dyDescent="0.2">
      <c r="A67" s="175">
        <f>TblRezone[[#This Row],[Hour]]</f>
        <v>64</v>
      </c>
      <c r="B67" s="214">
        <f ca="1">TblConstr[[#This Row],[Land]]</f>
        <v>370</v>
      </c>
      <c r="C67" s="215"/>
      <c r="D67" s="216">
        <f ca="1">TblConstr[[#This Row],[Plain]]</f>
        <v>20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370</v>
      </c>
      <c r="R67" s="175">
        <f>TblExplore[[#This Row],[Hour]]</f>
        <v>64</v>
      </c>
      <c r="S67" s="218"/>
      <c r="T67" s="179"/>
      <c r="U67" s="179"/>
      <c r="V67" s="179"/>
      <c r="W67" s="179"/>
      <c r="X67" s="179"/>
      <c r="Y67" s="179"/>
      <c r="Z67" s="179"/>
      <c r="AA67" s="159">
        <f ca="1">TblImps[[#This Row],[Real time]]</f>
        <v>45817.624999999847</v>
      </c>
      <c r="AB67" s="94">
        <f ca="1">TblMili[[#This Row],[Draftees]]</f>
        <v>3092</v>
      </c>
      <c r="AC67" s="94">
        <f ca="1">TblProd[[#This Row],[Platinum]]</f>
        <v>1015605</v>
      </c>
      <c r="AD67" s="215"/>
      <c r="AE67" s="45">
        <f ca="1">TblExplore[[#This Row],[Land]]-TblExplore[[#This Row],[Land Bonus]]*20</f>
        <v>370</v>
      </c>
      <c r="AF67" s="94">
        <f ca="1">ROUND(MAX(0.6*TblExplore[[#This Row],[Land-DB]]^1.299,850)*(1+ tech_2_6*Techs!AC67 + tech_2_9*Techs!AF67 + tech_3_7*Techs!AN67 + Overview!$I$33),0)</f>
        <v>1301</v>
      </c>
      <c r="AG67" s="94">
        <f ca="1">_xlfn.FLOOR.MATH(TblExplore[[#This Row],[Land-DB]]/150)+3+tech_2_9_2*TblTech[[#This Row],[2-9]]+tech_3_7_2*TblTech[[#This Row],[3-7]]</f>
        <v>5</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618</v>
      </c>
    </row>
    <row r="68" spans="1:36" x14ac:dyDescent="0.2">
      <c r="A68" s="175">
        <f>TblRezone[[#This Row],[Hour]]</f>
        <v>65</v>
      </c>
      <c r="B68" s="214">
        <f ca="1">TblConstr[[#This Row],[Land]]</f>
        <v>370</v>
      </c>
      <c r="C68" s="215"/>
      <c r="D68" s="216">
        <f ca="1">TblConstr[[#This Row],[Plain]]</f>
        <v>20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370</v>
      </c>
      <c r="R68" s="175">
        <f>TblExplore[[#This Row],[Hour]]</f>
        <v>65</v>
      </c>
      <c r="S68" s="218"/>
      <c r="T68" s="179"/>
      <c r="U68" s="179"/>
      <c r="V68" s="179"/>
      <c r="W68" s="179"/>
      <c r="X68" s="179"/>
      <c r="Y68" s="179"/>
      <c r="Z68" s="179"/>
      <c r="AA68" s="159">
        <f ca="1">TblImps[[#This Row],[Real time]]</f>
        <v>45817.666666666511</v>
      </c>
      <c r="AB68" s="94">
        <f ca="1">TblMili[[#This Row],[Draftees]]</f>
        <v>3124</v>
      </c>
      <c r="AC68" s="94">
        <f ca="1">TblProd[[#This Row],[Platinum]]</f>
        <v>1026389</v>
      </c>
      <c r="AD68" s="215"/>
      <c r="AE68" s="45">
        <f ca="1">TblExplore[[#This Row],[Land]]-TblExplore[[#This Row],[Land Bonus]]*20</f>
        <v>370</v>
      </c>
      <c r="AF68" s="94">
        <f ca="1">ROUND(MAX(0.6*TblExplore[[#This Row],[Land-DB]]^1.299,850)*(1+ tech_2_6*Techs!AC68 + tech_2_9*Techs!AF68 + tech_3_7*Techs!AN68 + Overview!$I$33),0)</f>
        <v>1301</v>
      </c>
      <c r="AG68" s="94">
        <f ca="1">_xlfn.FLOOR.MATH(TblExplore[[#This Row],[Land-DB]]/150)+3+tech_2_9_2*TblTech[[#This Row],[2-9]]+tech_3_7_2*TblTech[[#This Row],[3-7]]</f>
        <v>5</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624</v>
      </c>
    </row>
    <row r="69" spans="1:36" x14ac:dyDescent="0.2">
      <c r="A69" s="175">
        <f>TblRezone[[#This Row],[Hour]]</f>
        <v>66</v>
      </c>
      <c r="B69" s="214">
        <f ca="1">TblConstr[[#This Row],[Land]]</f>
        <v>370</v>
      </c>
      <c r="C69" s="215"/>
      <c r="D69" s="216">
        <f ca="1">TblConstr[[#This Row],[Plain]]</f>
        <v>20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370</v>
      </c>
      <c r="R69" s="175">
        <f>TblExplore[[#This Row],[Hour]]</f>
        <v>66</v>
      </c>
      <c r="S69" s="218"/>
      <c r="T69" s="179"/>
      <c r="U69" s="179"/>
      <c r="V69" s="179"/>
      <c r="W69" s="179"/>
      <c r="X69" s="179"/>
      <c r="Y69" s="179"/>
      <c r="Z69" s="179"/>
      <c r="AA69" s="159">
        <f ca="1">TblImps[[#This Row],[Real time]]</f>
        <v>45817.708333333176</v>
      </c>
      <c r="AB69" s="94">
        <f ca="1">TblMili[[#This Row],[Draftees]]</f>
        <v>3155</v>
      </c>
      <c r="AC69" s="94">
        <f ca="1">TblProd[[#This Row],[Platinum]]</f>
        <v>1037087</v>
      </c>
      <c r="AD69" s="215"/>
      <c r="AE69" s="45">
        <f ca="1">TblExplore[[#This Row],[Land]]-TblExplore[[#This Row],[Land Bonus]]*20</f>
        <v>370</v>
      </c>
      <c r="AF69" s="94">
        <f ca="1">ROUND(MAX(0.6*TblExplore[[#This Row],[Land-DB]]^1.299,850)*(1+ tech_2_6*Techs!AC69 + tech_2_9*Techs!AF69 + tech_3_7*Techs!AN69 + Overview!$I$33),0)</f>
        <v>1301</v>
      </c>
      <c r="AG69" s="94">
        <f ca="1">_xlfn.FLOOR.MATH(TblExplore[[#This Row],[Land-DB]]/150)+3+tech_2_9_2*TblTech[[#This Row],[2-9]]+tech_3_7_2*TblTech[[#This Row],[3-7]]</f>
        <v>5</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631</v>
      </c>
    </row>
    <row r="70" spans="1:36" x14ac:dyDescent="0.2">
      <c r="A70" s="175">
        <f>TblRezone[[#This Row],[Hour]]</f>
        <v>67</v>
      </c>
      <c r="B70" s="214">
        <f ca="1">TblConstr[[#This Row],[Land]]</f>
        <v>370</v>
      </c>
      <c r="C70" s="215"/>
      <c r="D70" s="216">
        <f ca="1">TblConstr[[#This Row],[Plain]]</f>
        <v>20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370</v>
      </c>
      <c r="R70" s="175">
        <f>TblExplore[[#This Row],[Hour]]</f>
        <v>67</v>
      </c>
      <c r="S70" s="218"/>
      <c r="T70" s="179"/>
      <c r="U70" s="179"/>
      <c r="V70" s="179"/>
      <c r="W70" s="179"/>
      <c r="X70" s="179"/>
      <c r="Y70" s="179"/>
      <c r="Z70" s="179"/>
      <c r="AA70" s="159">
        <f ca="1">TblImps[[#This Row],[Real time]]</f>
        <v>45817.74999999984</v>
      </c>
      <c r="AB70" s="94">
        <f ca="1">TblMili[[#This Row],[Draftees]]</f>
        <v>3186</v>
      </c>
      <c r="AC70" s="94">
        <f ca="1">TblProd[[#This Row],[Platinum]]</f>
        <v>1047701</v>
      </c>
      <c r="AD70" s="215"/>
      <c r="AE70" s="45">
        <f ca="1">TblExplore[[#This Row],[Land]]-TblExplore[[#This Row],[Land Bonus]]*20</f>
        <v>370</v>
      </c>
      <c r="AF70" s="94">
        <f ca="1">ROUND(MAX(0.6*TblExplore[[#This Row],[Land-DB]]^1.299,850)*(1+ tech_2_6*Techs!AC70 + tech_2_9*Techs!AF70 + tech_3_7*Techs!AN70 + Overview!$I$33),0)</f>
        <v>1301</v>
      </c>
      <c r="AG70" s="94">
        <f ca="1">_xlfn.FLOOR.MATH(TblExplore[[#This Row],[Land-DB]]/150)+3+tech_2_9_2*TblTech[[#This Row],[2-9]]+tech_3_7_2*TblTech[[#This Row],[3-7]]</f>
        <v>5</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637</v>
      </c>
    </row>
    <row r="71" spans="1:36" x14ac:dyDescent="0.2">
      <c r="A71" s="175">
        <f>TblRezone[[#This Row],[Hour]]</f>
        <v>68</v>
      </c>
      <c r="B71" s="214">
        <f ca="1">TblConstr[[#This Row],[Land]]</f>
        <v>370</v>
      </c>
      <c r="C71" s="215"/>
      <c r="D71" s="216">
        <f ca="1">TblConstr[[#This Row],[Plain]]</f>
        <v>20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370</v>
      </c>
      <c r="R71" s="175">
        <f>TblExplore[[#This Row],[Hour]]</f>
        <v>68</v>
      </c>
      <c r="S71" s="218"/>
      <c r="T71" s="179"/>
      <c r="U71" s="179"/>
      <c r="V71" s="179"/>
      <c r="W71" s="179"/>
      <c r="X71" s="179"/>
      <c r="Y71" s="179"/>
      <c r="Z71" s="179"/>
      <c r="AA71" s="159">
        <f ca="1">TblImps[[#This Row],[Real time]]</f>
        <v>45817.791666666504</v>
      </c>
      <c r="AB71" s="94">
        <f ca="1">TblMili[[#This Row],[Draftees]]</f>
        <v>3217</v>
      </c>
      <c r="AC71" s="94">
        <f ca="1">TblProd[[#This Row],[Platinum]]</f>
        <v>1058231</v>
      </c>
      <c r="AD71" s="215"/>
      <c r="AE71" s="45">
        <f ca="1">TblExplore[[#This Row],[Land]]-TblExplore[[#This Row],[Land Bonus]]*20</f>
        <v>370</v>
      </c>
      <c r="AF71" s="94">
        <f ca="1">ROUND(MAX(0.6*TblExplore[[#This Row],[Land-DB]]^1.299,850)*(1+ tech_2_6*Techs!AC71 + tech_2_9*Techs!AF71 + tech_3_7*Techs!AN71 + Overview!$I$33),0)</f>
        <v>1301</v>
      </c>
      <c r="AG71" s="94">
        <f ca="1">_xlfn.FLOOR.MATH(TblExplore[[#This Row],[Land-DB]]/150)+3+tech_2_9_2*TblTech[[#This Row],[2-9]]+tech_3_7_2*TblTech[[#This Row],[3-7]]</f>
        <v>5</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643</v>
      </c>
    </row>
    <row r="72" spans="1:36" x14ac:dyDescent="0.2">
      <c r="A72" s="175">
        <f>TblRezone[[#This Row],[Hour]]</f>
        <v>69</v>
      </c>
      <c r="B72" s="214">
        <f ca="1">TblConstr[[#This Row],[Land]]</f>
        <v>370</v>
      </c>
      <c r="C72" s="215"/>
      <c r="D72" s="216">
        <f ca="1">TblConstr[[#This Row],[Plain]]</f>
        <v>20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370</v>
      </c>
      <c r="R72" s="175">
        <f>TblExplore[[#This Row],[Hour]]</f>
        <v>69</v>
      </c>
      <c r="S72" s="218"/>
      <c r="T72" s="179"/>
      <c r="U72" s="179"/>
      <c r="V72" s="179"/>
      <c r="W72" s="179"/>
      <c r="X72" s="179"/>
      <c r="Y72" s="179"/>
      <c r="Z72" s="179"/>
      <c r="AA72" s="159">
        <f ca="1">TblImps[[#This Row],[Real time]]</f>
        <v>45817.833333333168</v>
      </c>
      <c r="AB72" s="94">
        <f ca="1">TblMili[[#This Row],[Draftees]]</f>
        <v>3247</v>
      </c>
      <c r="AC72" s="94">
        <f ca="1">TblProd[[#This Row],[Platinum]]</f>
        <v>1068678</v>
      </c>
      <c r="AD72" s="215"/>
      <c r="AE72" s="45">
        <f ca="1">TblExplore[[#This Row],[Land]]-TblExplore[[#This Row],[Land Bonus]]*20</f>
        <v>370</v>
      </c>
      <c r="AF72" s="94">
        <f ca="1">ROUND(MAX(0.6*TblExplore[[#This Row],[Land-DB]]^1.299,850)*(1+ tech_2_6*Techs!AC72 + tech_2_9*Techs!AF72 + tech_3_7*Techs!AN72 + Overview!$I$33),0)</f>
        <v>1301</v>
      </c>
      <c r="AG72" s="94">
        <f ca="1">_xlfn.FLOOR.MATH(TblExplore[[#This Row],[Land-DB]]/150)+3+tech_2_9_2*TblTech[[#This Row],[2-9]]+tech_3_7_2*TblTech[[#This Row],[3-7]]</f>
        <v>5</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649</v>
      </c>
    </row>
    <row r="73" spans="1:36" x14ac:dyDescent="0.2">
      <c r="A73" s="175">
        <f>TblRezone[[#This Row],[Hour]]</f>
        <v>70</v>
      </c>
      <c r="B73" s="214">
        <f ca="1">TblConstr[[#This Row],[Land]]</f>
        <v>370</v>
      </c>
      <c r="C73" s="215"/>
      <c r="D73" s="216">
        <f ca="1">TblConstr[[#This Row],[Plain]]</f>
        <v>20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370</v>
      </c>
      <c r="R73" s="175">
        <f>TblExplore[[#This Row],[Hour]]</f>
        <v>70</v>
      </c>
      <c r="S73" s="218"/>
      <c r="T73" s="179"/>
      <c r="U73" s="179"/>
      <c r="V73" s="179"/>
      <c r="W73" s="179"/>
      <c r="X73" s="179"/>
      <c r="Y73" s="179"/>
      <c r="Z73" s="179"/>
      <c r="AA73" s="159">
        <f ca="1">TblImps[[#This Row],[Real time]]</f>
        <v>45817.874999999833</v>
      </c>
      <c r="AB73" s="94">
        <f ca="1">TblMili[[#This Row],[Draftees]]</f>
        <v>3277</v>
      </c>
      <c r="AC73" s="94">
        <f ca="1">TblProd[[#This Row],[Platinum]]</f>
        <v>1079044</v>
      </c>
      <c r="AD73" s="215"/>
      <c r="AE73" s="45">
        <f ca="1">TblExplore[[#This Row],[Land]]-TblExplore[[#This Row],[Land Bonus]]*20</f>
        <v>370</v>
      </c>
      <c r="AF73" s="94">
        <f ca="1">ROUND(MAX(0.6*TblExplore[[#This Row],[Land-DB]]^1.299,850)*(1+ tech_2_6*Techs!AC73 + tech_2_9*Techs!AF73 + tech_3_7*Techs!AN73 + Overview!$I$33),0)</f>
        <v>1301</v>
      </c>
      <c r="AG73" s="94">
        <f ca="1">_xlfn.FLOOR.MATH(TblExplore[[#This Row],[Land-DB]]/150)+3+tech_2_9_2*TblTech[[#This Row],[2-9]]+tech_3_7_2*TblTech[[#This Row],[3-7]]</f>
        <v>5</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655</v>
      </c>
    </row>
    <row r="74" spans="1:36" x14ac:dyDescent="0.2">
      <c r="A74" s="175">
        <f>TblRezone[[#This Row],[Hour]]</f>
        <v>71</v>
      </c>
      <c r="B74" s="214">
        <f ca="1">TblConstr[[#This Row],[Land]]</f>
        <v>370</v>
      </c>
      <c r="C74" s="215"/>
      <c r="D74" s="216">
        <f ca="1">TblConstr[[#This Row],[Plain]]</f>
        <v>20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370</v>
      </c>
      <c r="R74" s="175">
        <f>TblExplore[[#This Row],[Hour]]</f>
        <v>71</v>
      </c>
      <c r="S74" s="218"/>
      <c r="T74" s="179"/>
      <c r="U74" s="179"/>
      <c r="V74" s="179"/>
      <c r="W74" s="179"/>
      <c r="X74" s="179"/>
      <c r="Y74" s="179"/>
      <c r="Z74" s="179"/>
      <c r="AA74" s="159">
        <f ca="1">TblImps[[#This Row],[Real time]]</f>
        <v>45817.916666666497</v>
      </c>
      <c r="AB74" s="94">
        <f ca="1">TblMili[[#This Row],[Draftees]]</f>
        <v>3307</v>
      </c>
      <c r="AC74" s="94">
        <f ca="1">TblProd[[#This Row],[Platinum]]</f>
        <v>1089329</v>
      </c>
      <c r="AD74" s="215"/>
      <c r="AE74" s="45">
        <f ca="1">TblExplore[[#This Row],[Land]]-TblExplore[[#This Row],[Land Bonus]]*20</f>
        <v>370</v>
      </c>
      <c r="AF74" s="94">
        <f ca="1">ROUND(MAX(0.6*TblExplore[[#This Row],[Land-DB]]^1.299,850)*(1+ tech_2_6*Techs!AC74 + tech_2_9*Techs!AF74 + tech_3_7*Techs!AN74 + Overview!$I$33),0)</f>
        <v>1301</v>
      </c>
      <c r="AG74" s="94">
        <f ca="1">_xlfn.FLOOR.MATH(TblExplore[[#This Row],[Land-DB]]/150)+3+tech_2_9_2*TblTech[[#This Row],[2-9]]+tech_3_7_2*TblTech[[#This Row],[3-7]]</f>
        <v>5</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661</v>
      </c>
    </row>
    <row r="75" spans="1:36" x14ac:dyDescent="0.2">
      <c r="A75" s="175">
        <f>TblRezone[[#This Row],[Hour]]</f>
        <v>72</v>
      </c>
      <c r="B75" s="214">
        <f ca="1">TblConstr[[#This Row],[Land]]</f>
        <v>370</v>
      </c>
      <c r="C75" s="215"/>
      <c r="D75" s="216">
        <f ca="1">TblConstr[[#This Row],[Plain]]</f>
        <v>20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370</v>
      </c>
      <c r="R75" s="175">
        <f>TblExplore[[#This Row],[Hour]]</f>
        <v>72</v>
      </c>
      <c r="S75" s="218"/>
      <c r="T75" s="179"/>
      <c r="U75" s="179"/>
      <c r="V75" s="179"/>
      <c r="W75" s="179"/>
      <c r="X75" s="179"/>
      <c r="Y75" s="179"/>
      <c r="Z75" s="179"/>
      <c r="AA75" s="159">
        <f ca="1">TblImps[[#This Row],[Real time]]</f>
        <v>45817.958333333161</v>
      </c>
      <c r="AB75" s="94">
        <f ca="1">TblMili[[#This Row],[Draftees]]</f>
        <v>3336</v>
      </c>
      <c r="AC75" s="94">
        <f ca="1">TblProd[[#This Row],[Platinum]]</f>
        <v>1099533</v>
      </c>
      <c r="AD75" s="215"/>
      <c r="AE75" s="45">
        <f ca="1">TblExplore[[#This Row],[Land]]-TblExplore[[#This Row],[Land Bonus]]*20</f>
        <v>370</v>
      </c>
      <c r="AF75" s="94">
        <f ca="1">ROUND(MAX(0.6*TblExplore[[#This Row],[Land-DB]]^1.299,850)*(1+ tech_2_6*Techs!AC75 + tech_2_9*Techs!AF75 + tech_3_7*Techs!AN75 + Overview!$I$33),0)</f>
        <v>1301</v>
      </c>
      <c r="AG75" s="94">
        <f ca="1">_xlfn.FLOOR.MATH(TblExplore[[#This Row],[Land-DB]]/150)+3+tech_2_9_2*TblTech[[#This Row],[2-9]]+tech_3_7_2*TblTech[[#This Row],[3-7]]</f>
        <v>5</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667</v>
      </c>
    </row>
    <row r="76" spans="1:36" x14ac:dyDescent="0.2">
      <c r="A76" s="175">
        <f>TblRezone[[#This Row],[Hour]]</f>
        <v>73</v>
      </c>
      <c r="B76" s="214">
        <f ca="1">TblConstr[[#This Row],[Land]]</f>
        <v>370</v>
      </c>
      <c r="C76" s="215"/>
      <c r="D76" s="216">
        <f ca="1">TblConstr[[#This Row],[Plain]]</f>
        <v>20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370</v>
      </c>
      <c r="R76" s="175">
        <f>TblExplore[[#This Row],[Hour]]</f>
        <v>73</v>
      </c>
      <c r="S76" s="218"/>
      <c r="T76" s="179"/>
      <c r="U76" s="179"/>
      <c r="V76" s="179"/>
      <c r="W76" s="179"/>
      <c r="X76" s="179"/>
      <c r="Y76" s="179"/>
      <c r="Z76" s="179"/>
      <c r="AA76" s="432">
        <f ca="1">TblImps[[#This Row],[Real time]]</f>
        <v>45817.999999999825</v>
      </c>
      <c r="AB76" s="430">
        <f ca="1">TblMili[[#This Row],[Draftees]]</f>
        <v>3365</v>
      </c>
      <c r="AC76" s="430">
        <f ca="1">TblProd[[#This Row],[Platinum]]</f>
        <v>1109658</v>
      </c>
      <c r="AD76" s="215"/>
      <c r="AE76" s="433">
        <f ca="1">TblExplore[[#This Row],[Land]]-TblExplore[[#This Row],[Land Bonus]]*20</f>
        <v>370</v>
      </c>
      <c r="AF76" s="430">
        <f ca="1">ROUND(MAX(0.6*TblExplore[[#This Row],[Land-DB]]^1.299,850)*(1+ tech_2_6*Techs!AC76 + tech_2_9*Techs!AF76 + tech_3_7*Techs!AN76 + Overview!$I$33),0)</f>
        <v>1301</v>
      </c>
      <c r="AG76" s="430">
        <f ca="1">_xlfn.FLOOR.MATH(TblExplore[[#This Row],[Land-DB]]/150)+3+tech_2_9_2*TblTech[[#This Row],[2-9]]+tech_3_7_2*TblTech[[#This Row],[3-7]]</f>
        <v>5</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673</v>
      </c>
    </row>
    <row r="77" spans="1:36" x14ac:dyDescent="0.2">
      <c r="A77" s="175">
        <f>TblRezone[[#This Row],[Hour]]</f>
        <v>74</v>
      </c>
      <c r="B77" s="214">
        <f ca="1">TblConstr[[#This Row],[Land]]</f>
        <v>370</v>
      </c>
      <c r="C77" s="215"/>
      <c r="D77" s="216">
        <f ca="1">TblConstr[[#This Row],[Plain]]</f>
        <v>20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370</v>
      </c>
      <c r="R77" s="175">
        <f>TblExplore[[#This Row],[Hour]]</f>
        <v>74</v>
      </c>
      <c r="S77" s="218"/>
      <c r="T77" s="179"/>
      <c r="U77" s="179"/>
      <c r="V77" s="179"/>
      <c r="W77" s="179"/>
      <c r="X77" s="179"/>
      <c r="Y77" s="179"/>
      <c r="Z77" s="179"/>
      <c r="AA77" s="159">
        <f ca="1">TblImps[[#This Row],[Real time]]</f>
        <v>45818.04166666649</v>
      </c>
      <c r="AB77" s="94">
        <f ca="1">TblMili[[#This Row],[Draftees]]</f>
        <v>3394</v>
      </c>
      <c r="AC77" s="94">
        <f ca="1">TblProd[[#This Row],[Platinum]]</f>
        <v>1119705</v>
      </c>
      <c r="AD77" s="215"/>
      <c r="AE77" s="45">
        <f ca="1">TblExplore[[#This Row],[Land]]-TblExplore[[#This Row],[Land Bonus]]*20</f>
        <v>370</v>
      </c>
      <c r="AF77" s="94">
        <f ca="1">ROUND(MAX(0.6*TblExplore[[#This Row],[Land-DB]]^1.299,850)*(1+ tech_2_6*Techs!AC77 + tech_2_9*Techs!AF77 + tech_3_7*Techs!AN77 + Overview!$I$33),0)</f>
        <v>1301</v>
      </c>
      <c r="AG77" s="94">
        <f ca="1">_xlfn.FLOOR.MATH(TblExplore[[#This Row],[Land-DB]]/150)+3+tech_2_9_2*TblTech[[#This Row],[2-9]]+tech_3_7_2*TblTech[[#This Row],[3-7]]</f>
        <v>5</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678</v>
      </c>
    </row>
    <row r="78" spans="1:36" x14ac:dyDescent="0.2">
      <c r="A78" s="175">
        <f>TblRezone[[#This Row],[Hour]]</f>
        <v>75</v>
      </c>
      <c r="B78" s="214">
        <f ca="1">TblConstr[[#This Row],[Land]]</f>
        <v>370</v>
      </c>
      <c r="C78" s="215"/>
      <c r="D78" s="216">
        <f ca="1">TblConstr[[#This Row],[Plain]]</f>
        <v>20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370</v>
      </c>
      <c r="R78" s="175">
        <f>TblExplore[[#This Row],[Hour]]</f>
        <v>75</v>
      </c>
      <c r="S78" s="218"/>
      <c r="T78" s="179"/>
      <c r="U78" s="179"/>
      <c r="V78" s="179"/>
      <c r="W78" s="179"/>
      <c r="X78" s="179"/>
      <c r="Y78" s="179"/>
      <c r="Z78" s="179"/>
      <c r="AA78" s="159">
        <f ca="1">TblImps[[#This Row],[Real time]]</f>
        <v>45818.083333333154</v>
      </c>
      <c r="AB78" s="94">
        <f ca="1">TblMili[[#This Row],[Draftees]]</f>
        <v>3423</v>
      </c>
      <c r="AC78" s="94">
        <f ca="1">TblProd[[#This Row],[Platinum]]</f>
        <v>1129674</v>
      </c>
      <c r="AD78" s="215"/>
      <c r="AE78" s="45">
        <f ca="1">TblExplore[[#This Row],[Land]]-TblExplore[[#This Row],[Land Bonus]]*20</f>
        <v>370</v>
      </c>
      <c r="AF78" s="94">
        <f ca="1">ROUND(MAX(0.6*TblExplore[[#This Row],[Land-DB]]^1.299,850)*(1+ tech_2_6*Techs!AC78 + tech_2_9*Techs!AF78 + tech_3_7*Techs!AN78 + Overview!$I$33),0)</f>
        <v>1301</v>
      </c>
      <c r="AG78" s="94">
        <f ca="1">_xlfn.FLOOR.MATH(TblExplore[[#This Row],[Land-DB]]/150)+3+tech_2_9_2*TblTech[[#This Row],[2-9]]+tech_3_7_2*TblTech[[#This Row],[3-7]]</f>
        <v>5</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684</v>
      </c>
    </row>
    <row r="79" spans="1:36" x14ac:dyDescent="0.2">
      <c r="A79" s="175">
        <f>TblRezone[[#This Row],[Hour]]</f>
        <v>76</v>
      </c>
      <c r="B79" s="214">
        <f ca="1">TblConstr[[#This Row],[Land]]</f>
        <v>370</v>
      </c>
      <c r="C79" s="215"/>
      <c r="D79" s="216">
        <f ca="1">TblConstr[[#This Row],[Plain]]</f>
        <v>20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370</v>
      </c>
      <c r="R79" s="175">
        <f>TblExplore[[#This Row],[Hour]]</f>
        <v>76</v>
      </c>
      <c r="S79" s="218"/>
      <c r="T79" s="158"/>
      <c r="U79" s="179"/>
      <c r="V79" s="179"/>
      <c r="W79" s="179"/>
      <c r="X79" s="179"/>
      <c r="Y79" s="179"/>
      <c r="Z79" s="179"/>
      <c r="AA79" s="159">
        <f ca="1">TblImps[[#This Row],[Real time]]</f>
        <v>45818.124999999818</v>
      </c>
      <c r="AB79" s="94">
        <f ca="1">TblMili[[#This Row],[Draftees]]</f>
        <v>3451</v>
      </c>
      <c r="AC79" s="94">
        <f ca="1">TblProd[[#This Row],[Platinum]]</f>
        <v>1139565</v>
      </c>
      <c r="AD79" s="215"/>
      <c r="AE79" s="45">
        <f ca="1">TblExplore[[#This Row],[Land]]-TblExplore[[#This Row],[Land Bonus]]*20</f>
        <v>370</v>
      </c>
      <c r="AF79" s="94">
        <f ca="1">ROUND(MAX(0.6*TblExplore[[#This Row],[Land-DB]]^1.299,850)*(1+ tech_2_6*Techs!AC79 + tech_2_9*Techs!AF79 + tech_3_7*Techs!AN79 + Overview!$I$33),0)</f>
        <v>1301</v>
      </c>
      <c r="AG79" s="94">
        <f ca="1">_xlfn.FLOOR.MATH(TblExplore[[#This Row],[Land-DB]]/150)+3+tech_2_9_2*TblTech[[#This Row],[2-9]]+tech_3_7_2*TblTech[[#This Row],[3-7]]</f>
        <v>5</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690</v>
      </c>
    </row>
    <row r="80" spans="1:36" x14ac:dyDescent="0.2">
      <c r="A80" s="175">
        <f>TblRezone[[#This Row],[Hour]]</f>
        <v>77</v>
      </c>
      <c r="B80" s="214">
        <f ca="1">TblConstr[[#This Row],[Land]]</f>
        <v>370</v>
      </c>
      <c r="C80" s="215"/>
      <c r="D80" s="216">
        <f ca="1">TblConstr[[#This Row],[Plain]]</f>
        <v>20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370</v>
      </c>
      <c r="R80" s="175">
        <f>TblExplore[[#This Row],[Hour]]</f>
        <v>77</v>
      </c>
      <c r="S80" s="218"/>
      <c r="T80" s="158"/>
      <c r="U80" s="179"/>
      <c r="V80" s="179"/>
      <c r="W80" s="179"/>
      <c r="X80" s="179"/>
      <c r="Y80" s="179"/>
      <c r="Z80" s="179"/>
      <c r="AA80" s="159">
        <f ca="1">TblImps[[#This Row],[Real time]]</f>
        <v>45818.166666666482</v>
      </c>
      <c r="AB80" s="94">
        <f ca="1">TblMili[[#This Row],[Draftees]]</f>
        <v>3479</v>
      </c>
      <c r="AC80" s="94">
        <f ca="1">TblProd[[#This Row],[Platinum]]</f>
        <v>1149380</v>
      </c>
      <c r="AD80" s="215"/>
      <c r="AE80" s="45">
        <f ca="1">TblExplore[[#This Row],[Land]]-TblExplore[[#This Row],[Land Bonus]]*20</f>
        <v>370</v>
      </c>
      <c r="AF80" s="94">
        <f ca="1">ROUND(MAX(0.6*TblExplore[[#This Row],[Land-DB]]^1.299,850)*(1+ tech_2_6*Techs!AC80 + tech_2_9*Techs!AF80 + tech_3_7*Techs!AN80 + Overview!$I$33),0)</f>
        <v>1301</v>
      </c>
      <c r="AG80" s="94">
        <f ca="1">_xlfn.FLOOR.MATH(TblExplore[[#This Row],[Land-DB]]/150)+3+tech_2_9_2*TblTech[[#This Row],[2-9]]+tech_3_7_2*TblTech[[#This Row],[3-7]]</f>
        <v>5</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695</v>
      </c>
    </row>
    <row r="81" spans="1:36" x14ac:dyDescent="0.2">
      <c r="A81" s="175">
        <f>TblRezone[[#This Row],[Hour]]</f>
        <v>78</v>
      </c>
      <c r="B81" s="214">
        <f ca="1">TblConstr[[#This Row],[Land]]</f>
        <v>370</v>
      </c>
      <c r="C81" s="215"/>
      <c r="D81" s="216">
        <f ca="1">TblConstr[[#This Row],[Plain]]</f>
        <v>20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370</v>
      </c>
      <c r="R81" s="175">
        <f>TblExplore[[#This Row],[Hour]]</f>
        <v>78</v>
      </c>
      <c r="S81" s="218"/>
      <c r="T81" s="179"/>
      <c r="U81" s="179"/>
      <c r="V81" s="179"/>
      <c r="W81" s="179"/>
      <c r="X81" s="179"/>
      <c r="Y81" s="179"/>
      <c r="Z81" s="179"/>
      <c r="AA81" s="159">
        <f ca="1">TblImps[[#This Row],[Real time]]</f>
        <v>45818.208333333147</v>
      </c>
      <c r="AB81" s="94">
        <f ca="1">TblMili[[#This Row],[Draftees]]</f>
        <v>3507</v>
      </c>
      <c r="AC81" s="94">
        <f ca="1">TblProd[[#This Row],[Platinum]]</f>
        <v>1159119</v>
      </c>
      <c r="AD81" s="215"/>
      <c r="AE81" s="45">
        <f ca="1">TblExplore[[#This Row],[Land]]-TblExplore[[#This Row],[Land Bonus]]*20</f>
        <v>370</v>
      </c>
      <c r="AF81" s="94">
        <f ca="1">ROUND(MAX(0.6*TblExplore[[#This Row],[Land-DB]]^1.299,850)*(1+ tech_2_6*Techs!AC81 + tech_2_9*Techs!AF81 + tech_3_7*Techs!AN81 + Overview!$I$33),0)</f>
        <v>1301</v>
      </c>
      <c r="AG81" s="94">
        <f ca="1">_xlfn.FLOOR.MATH(TblExplore[[#This Row],[Land-DB]]/150)+3+tech_2_9_2*TblTech[[#This Row],[2-9]]+tech_3_7_2*TblTech[[#This Row],[3-7]]</f>
        <v>5</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701</v>
      </c>
    </row>
    <row r="82" spans="1:36" x14ac:dyDescent="0.2">
      <c r="A82" s="175">
        <f>TblRezone[[#This Row],[Hour]]</f>
        <v>79</v>
      </c>
      <c r="B82" s="214">
        <f ca="1">TblConstr[[#This Row],[Land]]</f>
        <v>370</v>
      </c>
      <c r="C82" s="215"/>
      <c r="D82" s="216">
        <f ca="1">TblConstr[[#This Row],[Plain]]</f>
        <v>20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370</v>
      </c>
      <c r="R82" s="175">
        <f>TblExplore[[#This Row],[Hour]]</f>
        <v>79</v>
      </c>
      <c r="S82" s="218"/>
      <c r="T82" s="179"/>
      <c r="U82" s="179"/>
      <c r="V82" s="179"/>
      <c r="W82" s="179"/>
      <c r="X82" s="179"/>
      <c r="Y82" s="179"/>
      <c r="Z82" s="179"/>
      <c r="AA82" s="159">
        <f ca="1">TblImps[[#This Row],[Real time]]</f>
        <v>45818.249999999811</v>
      </c>
      <c r="AB82" s="94">
        <f ca="1">TblMili[[#This Row],[Draftees]]</f>
        <v>3534</v>
      </c>
      <c r="AC82" s="94">
        <f ca="1">TblProd[[#This Row],[Platinum]]</f>
        <v>1168783</v>
      </c>
      <c r="AD82" s="215"/>
      <c r="AE82" s="45">
        <f ca="1">TblExplore[[#This Row],[Land]]-TblExplore[[#This Row],[Land Bonus]]*20</f>
        <v>370</v>
      </c>
      <c r="AF82" s="94">
        <f ca="1">ROUND(MAX(0.6*TblExplore[[#This Row],[Land-DB]]^1.299,850)*(1+ tech_2_6*Techs!AC82 + tech_2_9*Techs!AF82 + tech_3_7*Techs!AN82 + Overview!$I$33),0)</f>
        <v>1301</v>
      </c>
      <c r="AG82" s="94">
        <f ca="1">_xlfn.FLOOR.MATH(TblExplore[[#This Row],[Land-DB]]/150)+3+tech_2_9_2*TblTech[[#This Row],[2-9]]+tech_3_7_2*TblTech[[#This Row],[3-7]]</f>
        <v>5</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706</v>
      </c>
    </row>
    <row r="83" spans="1:36" x14ac:dyDescent="0.2">
      <c r="A83" s="175">
        <f>TblRezone[[#This Row],[Hour]]</f>
        <v>80</v>
      </c>
      <c r="B83" s="214">
        <f ca="1">TblConstr[[#This Row],[Land]]</f>
        <v>370</v>
      </c>
      <c r="C83" s="215"/>
      <c r="D83" s="216">
        <f ca="1">TblConstr[[#This Row],[Plain]]</f>
        <v>20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370</v>
      </c>
      <c r="R83" s="175">
        <f>TblExplore[[#This Row],[Hour]]</f>
        <v>80</v>
      </c>
      <c r="S83" s="218"/>
      <c r="T83" s="179"/>
      <c r="U83" s="179"/>
      <c r="V83" s="179"/>
      <c r="W83" s="179"/>
      <c r="X83" s="179"/>
      <c r="Y83" s="179"/>
      <c r="Z83" s="179"/>
      <c r="AA83" s="159">
        <f ca="1">TblImps[[#This Row],[Real time]]</f>
        <v>45818.291666666475</v>
      </c>
      <c r="AB83" s="94">
        <f ca="1">TblMili[[#This Row],[Draftees]]</f>
        <v>3561</v>
      </c>
      <c r="AC83" s="94">
        <f ca="1">TblProd[[#This Row],[Platinum]]</f>
        <v>1178374</v>
      </c>
      <c r="AD83" s="215"/>
      <c r="AE83" s="45">
        <f ca="1">TblExplore[[#This Row],[Land]]-TblExplore[[#This Row],[Land Bonus]]*20</f>
        <v>370</v>
      </c>
      <c r="AF83" s="94">
        <f ca="1">ROUND(MAX(0.6*TblExplore[[#This Row],[Land-DB]]^1.299,850)*(1+ tech_2_6*Techs!AC83 + tech_2_9*Techs!AF83 + tech_3_7*Techs!AN83 + Overview!$I$33),0)</f>
        <v>1301</v>
      </c>
      <c r="AG83" s="94">
        <f ca="1">_xlfn.FLOOR.MATH(TblExplore[[#This Row],[Land-DB]]/150)+3+tech_2_9_2*TblTech[[#This Row],[2-9]]+tech_3_7_2*TblTech[[#This Row],[3-7]]</f>
        <v>5</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712</v>
      </c>
    </row>
    <row r="84" spans="1:36" x14ac:dyDescent="0.2">
      <c r="A84" s="175">
        <f>TblRezone[[#This Row],[Hour]]</f>
        <v>81</v>
      </c>
      <c r="B84" s="214">
        <f ca="1">TblConstr[[#This Row],[Land]]</f>
        <v>370</v>
      </c>
      <c r="C84" s="215"/>
      <c r="D84" s="216">
        <f ca="1">TblConstr[[#This Row],[Plain]]</f>
        <v>20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370</v>
      </c>
      <c r="R84" s="175">
        <f>TblExplore[[#This Row],[Hour]]</f>
        <v>81</v>
      </c>
      <c r="S84" s="218"/>
      <c r="T84" s="179"/>
      <c r="U84" s="179"/>
      <c r="V84" s="179"/>
      <c r="W84" s="179"/>
      <c r="X84" s="179"/>
      <c r="Y84" s="179"/>
      <c r="Z84" s="179"/>
      <c r="AA84" s="159">
        <f ca="1">TblImps[[#This Row],[Real time]]</f>
        <v>45818.333333333139</v>
      </c>
      <c r="AB84" s="94">
        <f ca="1">TblMili[[#This Row],[Draftees]]</f>
        <v>3588</v>
      </c>
      <c r="AC84" s="94">
        <f ca="1">TblProd[[#This Row],[Platinum]]</f>
        <v>1187892</v>
      </c>
      <c r="AD84" s="215"/>
      <c r="AE84" s="45">
        <f ca="1">TblExplore[[#This Row],[Land]]-TblExplore[[#This Row],[Land Bonus]]*20</f>
        <v>370</v>
      </c>
      <c r="AF84" s="94">
        <f ca="1">ROUND(MAX(0.6*TblExplore[[#This Row],[Land-DB]]^1.299,850)*(1+ tech_2_6*Techs!AC84 + tech_2_9*Techs!AF84 + tech_3_7*Techs!AN84 + Overview!$I$33),0)</f>
        <v>1301</v>
      </c>
      <c r="AG84" s="94">
        <f ca="1">_xlfn.FLOOR.MATH(TblExplore[[#This Row],[Land-DB]]/150)+3+tech_2_9_2*TblTech[[#This Row],[2-9]]+tech_3_7_2*TblTech[[#This Row],[3-7]]</f>
        <v>5</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717</v>
      </c>
    </row>
    <row r="85" spans="1:36" x14ac:dyDescent="0.2">
      <c r="A85" s="175">
        <f>TblRezone[[#This Row],[Hour]]</f>
        <v>82</v>
      </c>
      <c r="B85" s="214">
        <f ca="1">TblConstr[[#This Row],[Land]]</f>
        <v>370</v>
      </c>
      <c r="C85" s="215"/>
      <c r="D85" s="216">
        <f ca="1">TblConstr[[#This Row],[Plain]]</f>
        <v>20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370</v>
      </c>
      <c r="R85" s="175">
        <f>TblExplore[[#This Row],[Hour]]</f>
        <v>82</v>
      </c>
      <c r="S85" s="218"/>
      <c r="T85" s="179"/>
      <c r="U85" s="179"/>
      <c r="V85" s="179"/>
      <c r="W85" s="179"/>
      <c r="X85" s="179"/>
      <c r="Y85" s="179"/>
      <c r="Z85" s="179"/>
      <c r="AA85" s="159">
        <f ca="1">TblImps[[#This Row],[Real time]]</f>
        <v>45818.374999999804</v>
      </c>
      <c r="AB85" s="94">
        <f ca="1">TblMili[[#This Row],[Draftees]]</f>
        <v>3615</v>
      </c>
      <c r="AC85" s="94">
        <f ca="1">TblProd[[#This Row],[Platinum]]</f>
        <v>1197337</v>
      </c>
      <c r="AD85" s="215"/>
      <c r="AE85" s="45">
        <f ca="1">TblExplore[[#This Row],[Land]]-TblExplore[[#This Row],[Land Bonus]]*20</f>
        <v>370</v>
      </c>
      <c r="AF85" s="94">
        <f ca="1">ROUND(MAX(0.6*TblExplore[[#This Row],[Land-DB]]^1.299,850)*(1+ tech_2_6*Techs!AC85 + tech_2_9*Techs!AF85 + tech_3_7*Techs!AN85 + Overview!$I$33),0)</f>
        <v>1301</v>
      </c>
      <c r="AG85" s="94">
        <f ca="1">_xlfn.FLOOR.MATH(TblExplore[[#This Row],[Land-DB]]/150)+3+tech_2_9_2*TblTech[[#This Row],[2-9]]+tech_3_7_2*TblTech[[#This Row],[3-7]]</f>
        <v>5</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723</v>
      </c>
    </row>
    <row r="86" spans="1:36" x14ac:dyDescent="0.2">
      <c r="A86" s="175">
        <f>TblRezone[[#This Row],[Hour]]</f>
        <v>83</v>
      </c>
      <c r="B86" s="214">
        <f ca="1">TblConstr[[#This Row],[Land]]</f>
        <v>370</v>
      </c>
      <c r="C86" s="215"/>
      <c r="D86" s="216">
        <f ca="1">TblConstr[[#This Row],[Plain]]</f>
        <v>20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370</v>
      </c>
      <c r="R86" s="175">
        <f>TblExplore[[#This Row],[Hour]]</f>
        <v>83</v>
      </c>
      <c r="S86" s="218"/>
      <c r="T86" s="179"/>
      <c r="U86" s="179"/>
      <c r="V86" s="179"/>
      <c r="W86" s="179"/>
      <c r="X86" s="179"/>
      <c r="Y86" s="179"/>
      <c r="Z86" s="179"/>
      <c r="AA86" s="159">
        <f ca="1">TblImps[[#This Row],[Real time]]</f>
        <v>45818.416666666468</v>
      </c>
      <c r="AB86" s="94">
        <f ca="1">TblMili[[#This Row],[Draftees]]</f>
        <v>3641</v>
      </c>
      <c r="AC86" s="94">
        <f ca="1">TblProd[[#This Row],[Platinum]]</f>
        <v>1206709</v>
      </c>
      <c r="AD86" s="215"/>
      <c r="AE86" s="45">
        <f ca="1">TblExplore[[#This Row],[Land]]-TblExplore[[#This Row],[Land Bonus]]*20</f>
        <v>370</v>
      </c>
      <c r="AF86" s="94">
        <f ca="1">ROUND(MAX(0.6*TblExplore[[#This Row],[Land-DB]]^1.299,850)*(1+ tech_2_6*Techs!AC86 + tech_2_9*Techs!AF86 + tech_3_7*Techs!AN86 + Overview!$I$33),0)</f>
        <v>1301</v>
      </c>
      <c r="AG86" s="94">
        <f ca="1">_xlfn.FLOOR.MATH(TblExplore[[#This Row],[Land-DB]]/150)+3+tech_2_9_2*TblTech[[#This Row],[2-9]]+tech_3_7_2*TblTech[[#This Row],[3-7]]</f>
        <v>5</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728</v>
      </c>
    </row>
    <row r="87" spans="1:36" x14ac:dyDescent="0.2">
      <c r="A87" s="175">
        <f>TblRezone[[#This Row],[Hour]]</f>
        <v>84</v>
      </c>
      <c r="B87" s="214">
        <f ca="1">TblConstr[[#This Row],[Land]]</f>
        <v>370</v>
      </c>
      <c r="C87" s="215"/>
      <c r="D87" s="216">
        <f ca="1">TblConstr[[#This Row],[Plain]]</f>
        <v>20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370</v>
      </c>
      <c r="R87" s="175">
        <f>TblExplore[[#This Row],[Hour]]</f>
        <v>84</v>
      </c>
      <c r="S87" s="218"/>
      <c r="T87" s="158"/>
      <c r="U87" s="179"/>
      <c r="V87" s="179"/>
      <c r="W87" s="179"/>
      <c r="X87" s="179"/>
      <c r="Y87" s="179"/>
      <c r="Z87" s="179"/>
      <c r="AA87" s="159">
        <f ca="1">TblImps[[#This Row],[Real time]]</f>
        <v>45818.458333333132</v>
      </c>
      <c r="AB87" s="94">
        <f ca="1">TblMili[[#This Row],[Draftees]]</f>
        <v>3667</v>
      </c>
      <c r="AC87" s="94">
        <f ca="1">TblProd[[#This Row],[Platinum]]</f>
        <v>1216011</v>
      </c>
      <c r="AD87" s="215"/>
      <c r="AE87" s="45">
        <f ca="1">TblExplore[[#This Row],[Land]]-TblExplore[[#This Row],[Land Bonus]]*20</f>
        <v>370</v>
      </c>
      <c r="AF87" s="94">
        <f ca="1">ROUND(MAX(0.6*TblExplore[[#This Row],[Land-DB]]^1.299,850)*(1+ tech_2_6*Techs!AC87 + tech_2_9*Techs!AF87 + tech_3_7*Techs!AN87 + Overview!$I$33),0)</f>
        <v>1301</v>
      </c>
      <c r="AG87" s="94">
        <f ca="1">_xlfn.FLOOR.MATH(TblExplore[[#This Row],[Land-DB]]/150)+3+tech_2_9_2*TblTech[[#This Row],[2-9]]+tech_3_7_2*TblTech[[#This Row],[3-7]]</f>
        <v>5</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733</v>
      </c>
    </row>
    <row r="88" spans="1:36" x14ac:dyDescent="0.2">
      <c r="A88" s="175">
        <f>TblRezone[[#This Row],[Hour]]</f>
        <v>85</v>
      </c>
      <c r="B88" s="214">
        <f ca="1">TblConstr[[#This Row],[Land]]</f>
        <v>370</v>
      </c>
      <c r="C88" s="215"/>
      <c r="D88" s="216">
        <f ca="1">TblConstr[[#This Row],[Plain]]</f>
        <v>20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370</v>
      </c>
      <c r="R88" s="175">
        <f>TblExplore[[#This Row],[Hour]]</f>
        <v>85</v>
      </c>
      <c r="S88" s="218"/>
      <c r="T88" s="179"/>
      <c r="U88" s="179"/>
      <c r="V88" s="179"/>
      <c r="W88" s="179"/>
      <c r="X88" s="179"/>
      <c r="Y88" s="179"/>
      <c r="Z88" s="179"/>
      <c r="AA88" s="159">
        <f ca="1">TblImps[[#This Row],[Real time]]</f>
        <v>45818.499999999796</v>
      </c>
      <c r="AB88" s="94">
        <f ca="1">TblMili[[#This Row],[Draftees]]</f>
        <v>3693</v>
      </c>
      <c r="AC88" s="94">
        <f ca="1">TblProd[[#This Row],[Platinum]]</f>
        <v>1225243</v>
      </c>
      <c r="AD88" s="215"/>
      <c r="AE88" s="45">
        <f ca="1">TblExplore[[#This Row],[Land]]-TblExplore[[#This Row],[Land Bonus]]*20</f>
        <v>370</v>
      </c>
      <c r="AF88" s="94">
        <f ca="1">ROUND(MAX(0.6*TblExplore[[#This Row],[Land-DB]]^1.299,850)*(1+ tech_2_6*Techs!AC88 + tech_2_9*Techs!AF88 + tech_3_7*Techs!AN88 + Overview!$I$33),0)</f>
        <v>1301</v>
      </c>
      <c r="AG88" s="94">
        <f ca="1">_xlfn.FLOOR.MATH(TblExplore[[#This Row],[Land-DB]]/150)+3+tech_2_9_2*TblTech[[#This Row],[2-9]]+tech_3_7_2*TblTech[[#This Row],[3-7]]</f>
        <v>5</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738</v>
      </c>
    </row>
    <row r="89" spans="1:36" x14ac:dyDescent="0.2">
      <c r="A89" s="175">
        <f>TblRezone[[#This Row],[Hour]]</f>
        <v>86</v>
      </c>
      <c r="B89" s="214">
        <f ca="1">TblConstr[[#This Row],[Land]]</f>
        <v>370</v>
      </c>
      <c r="C89" s="215"/>
      <c r="D89" s="216">
        <f ca="1">TblConstr[[#This Row],[Plain]]</f>
        <v>20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370</v>
      </c>
      <c r="R89" s="175">
        <f>TblExplore[[#This Row],[Hour]]</f>
        <v>86</v>
      </c>
      <c r="S89" s="218"/>
      <c r="T89" s="179"/>
      <c r="U89" s="179"/>
      <c r="V89" s="179"/>
      <c r="W89" s="179"/>
      <c r="X89" s="179"/>
      <c r="Y89" s="179"/>
      <c r="Z89" s="179"/>
      <c r="AA89" s="159">
        <f ca="1">TblImps[[#This Row],[Real time]]</f>
        <v>45818.541666666461</v>
      </c>
      <c r="AB89" s="94">
        <f ca="1">TblMili[[#This Row],[Draftees]]</f>
        <v>3719</v>
      </c>
      <c r="AC89" s="94">
        <f ca="1">TblProd[[#This Row],[Platinum]]</f>
        <v>1234405</v>
      </c>
      <c r="AD89" s="215"/>
      <c r="AE89" s="45">
        <f ca="1">TblExplore[[#This Row],[Land]]-TblExplore[[#This Row],[Land Bonus]]*20</f>
        <v>370</v>
      </c>
      <c r="AF89" s="94">
        <f ca="1">ROUND(MAX(0.6*TblExplore[[#This Row],[Land-DB]]^1.299,850)*(1+ tech_2_6*Techs!AC89 + tech_2_9*Techs!AF89 + tech_3_7*Techs!AN89 + Overview!$I$33),0)</f>
        <v>1301</v>
      </c>
      <c r="AG89" s="94">
        <f ca="1">_xlfn.FLOOR.MATH(TblExplore[[#This Row],[Land-DB]]/150)+3+tech_2_9_2*TblTech[[#This Row],[2-9]]+tech_3_7_2*TblTech[[#This Row],[3-7]]</f>
        <v>5</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743</v>
      </c>
    </row>
    <row r="90" spans="1:36" x14ac:dyDescent="0.2">
      <c r="A90" s="175">
        <f>TblRezone[[#This Row],[Hour]]</f>
        <v>87</v>
      </c>
      <c r="B90" s="214">
        <f ca="1">TblConstr[[#This Row],[Land]]</f>
        <v>370</v>
      </c>
      <c r="C90" s="215"/>
      <c r="D90" s="216">
        <f ca="1">TblConstr[[#This Row],[Plain]]</f>
        <v>20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370</v>
      </c>
      <c r="R90" s="175">
        <f>TblExplore[[#This Row],[Hour]]</f>
        <v>87</v>
      </c>
      <c r="S90" s="218"/>
      <c r="T90" s="179"/>
      <c r="U90" s="179"/>
      <c r="V90" s="179"/>
      <c r="W90" s="179"/>
      <c r="X90" s="179"/>
      <c r="Y90" s="179"/>
      <c r="Z90" s="179"/>
      <c r="AA90" s="159">
        <f ca="1">TblImps[[#This Row],[Real time]]</f>
        <v>45818.583333333125</v>
      </c>
      <c r="AB90" s="94">
        <f ca="1">TblMili[[#This Row],[Draftees]]</f>
        <v>3744</v>
      </c>
      <c r="AC90" s="94">
        <f ca="1">TblProd[[#This Row],[Platinum]]</f>
        <v>1243496</v>
      </c>
      <c r="AD90" s="215"/>
      <c r="AE90" s="45">
        <f ca="1">TblExplore[[#This Row],[Land]]-TblExplore[[#This Row],[Land Bonus]]*20</f>
        <v>370</v>
      </c>
      <c r="AF90" s="94">
        <f ca="1">ROUND(MAX(0.6*TblExplore[[#This Row],[Land-DB]]^1.299,850)*(1+ tech_2_6*Techs!AC90 + tech_2_9*Techs!AF90 + tech_3_7*Techs!AN90 + Overview!$I$33),0)</f>
        <v>1301</v>
      </c>
      <c r="AG90" s="94">
        <f ca="1">_xlfn.FLOOR.MATH(TblExplore[[#This Row],[Land-DB]]/150)+3+tech_2_9_2*TblTech[[#This Row],[2-9]]+tech_3_7_2*TblTech[[#This Row],[3-7]]</f>
        <v>5</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748</v>
      </c>
    </row>
    <row r="91" spans="1:36" x14ac:dyDescent="0.2">
      <c r="A91" s="175">
        <f>TblRezone[[#This Row],[Hour]]</f>
        <v>88</v>
      </c>
      <c r="B91" s="214">
        <f ca="1">TblConstr[[#This Row],[Land]]</f>
        <v>370</v>
      </c>
      <c r="C91" s="215"/>
      <c r="D91" s="216">
        <f ca="1">TblConstr[[#This Row],[Plain]]</f>
        <v>20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370</v>
      </c>
      <c r="R91" s="175">
        <f>TblExplore[[#This Row],[Hour]]</f>
        <v>88</v>
      </c>
      <c r="S91" s="218"/>
      <c r="T91" s="158"/>
      <c r="U91" s="179"/>
      <c r="V91" s="179"/>
      <c r="W91" s="179"/>
      <c r="X91" s="179"/>
      <c r="Y91" s="179"/>
      <c r="Z91" s="179"/>
      <c r="AA91" s="159">
        <f ca="1">TblImps[[#This Row],[Real time]]</f>
        <v>45818.624999999789</v>
      </c>
      <c r="AB91" s="94">
        <f ca="1">TblMili[[#This Row],[Draftees]]</f>
        <v>3769</v>
      </c>
      <c r="AC91" s="94">
        <f ca="1">TblProd[[#This Row],[Platinum]]</f>
        <v>1252520</v>
      </c>
      <c r="AD91" s="215"/>
      <c r="AE91" s="45">
        <f ca="1">TblExplore[[#This Row],[Land]]-TblExplore[[#This Row],[Land Bonus]]*20</f>
        <v>370</v>
      </c>
      <c r="AF91" s="94">
        <f ca="1">ROUND(MAX(0.6*TblExplore[[#This Row],[Land-DB]]^1.299,850)*(1+ tech_2_6*Techs!AC91 + tech_2_9*Techs!AF91 + tech_3_7*Techs!AN91 + Overview!$I$33),0)</f>
        <v>1301</v>
      </c>
      <c r="AG91" s="94">
        <f ca="1">_xlfn.FLOOR.MATH(TblExplore[[#This Row],[Land-DB]]/150)+3+tech_2_9_2*TblTech[[#This Row],[2-9]]+tech_3_7_2*TblTech[[#This Row],[3-7]]</f>
        <v>5</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753</v>
      </c>
    </row>
    <row r="92" spans="1:36" x14ac:dyDescent="0.2">
      <c r="A92" s="175">
        <f>TblRezone[[#This Row],[Hour]]</f>
        <v>89</v>
      </c>
      <c r="B92" s="214">
        <f ca="1">TblConstr[[#This Row],[Land]]</f>
        <v>370</v>
      </c>
      <c r="C92" s="215"/>
      <c r="D92" s="216">
        <f ca="1">TblConstr[[#This Row],[Plain]]</f>
        <v>20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370</v>
      </c>
      <c r="R92" s="175">
        <f>TblExplore[[#This Row],[Hour]]</f>
        <v>89</v>
      </c>
      <c r="S92" s="218"/>
      <c r="T92" s="158"/>
      <c r="U92" s="179"/>
      <c r="V92" s="179"/>
      <c r="W92" s="179"/>
      <c r="X92" s="179"/>
      <c r="Y92" s="179"/>
      <c r="Z92" s="179"/>
      <c r="AA92" s="159">
        <f ca="1">TblImps[[#This Row],[Real time]]</f>
        <v>45818.666666666453</v>
      </c>
      <c r="AB92" s="94">
        <f ca="1">TblMili[[#This Row],[Draftees]]</f>
        <v>3794</v>
      </c>
      <c r="AC92" s="94">
        <f ca="1">TblProd[[#This Row],[Platinum]]</f>
        <v>1261476</v>
      </c>
      <c r="AD92" s="215"/>
      <c r="AE92" s="45">
        <f ca="1">TblExplore[[#This Row],[Land]]-TblExplore[[#This Row],[Land Bonus]]*20</f>
        <v>370</v>
      </c>
      <c r="AF92" s="94">
        <f ca="1">ROUND(MAX(0.6*TblExplore[[#This Row],[Land-DB]]^1.299,850)*(1+ tech_2_6*Techs!AC92 + tech_2_9*Techs!AF92 + tech_3_7*Techs!AN92 + Overview!$I$33),0)</f>
        <v>1301</v>
      </c>
      <c r="AG92" s="94">
        <f ca="1">_xlfn.FLOOR.MATH(TblExplore[[#This Row],[Land-DB]]/150)+3+tech_2_9_2*TblTech[[#This Row],[2-9]]+tech_3_7_2*TblTech[[#This Row],[3-7]]</f>
        <v>5</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758</v>
      </c>
    </row>
    <row r="93" spans="1:36" x14ac:dyDescent="0.2">
      <c r="A93" s="175">
        <f>TblRezone[[#This Row],[Hour]]</f>
        <v>90</v>
      </c>
      <c r="B93" s="214">
        <f ca="1">TblConstr[[#This Row],[Land]]</f>
        <v>370</v>
      </c>
      <c r="C93" s="215"/>
      <c r="D93" s="216">
        <f ca="1">TblConstr[[#This Row],[Plain]]</f>
        <v>20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370</v>
      </c>
      <c r="R93" s="175">
        <f>TblExplore[[#This Row],[Hour]]</f>
        <v>90</v>
      </c>
      <c r="S93" s="218"/>
      <c r="T93" s="179"/>
      <c r="U93" s="179"/>
      <c r="V93" s="179"/>
      <c r="W93" s="179"/>
      <c r="X93" s="179"/>
      <c r="Y93" s="179"/>
      <c r="Z93" s="179"/>
      <c r="AA93" s="159">
        <f ca="1">TblImps[[#This Row],[Real time]]</f>
        <v>45818.708333333117</v>
      </c>
      <c r="AB93" s="94">
        <f ca="1">TblMili[[#This Row],[Draftees]]</f>
        <v>3819</v>
      </c>
      <c r="AC93" s="94">
        <f ca="1">TblProd[[#This Row],[Platinum]]</f>
        <v>1270365</v>
      </c>
      <c r="AD93" s="215"/>
      <c r="AE93" s="45">
        <f ca="1">TblExplore[[#This Row],[Land]]-TblExplore[[#This Row],[Land Bonus]]*20</f>
        <v>370</v>
      </c>
      <c r="AF93" s="94">
        <f ca="1">ROUND(MAX(0.6*TblExplore[[#This Row],[Land-DB]]^1.299,850)*(1+ tech_2_6*Techs!AC93 + tech_2_9*Techs!AF93 + tech_3_7*Techs!AN93 + Overview!$I$33),0)</f>
        <v>1301</v>
      </c>
      <c r="AG93" s="94">
        <f ca="1">_xlfn.FLOOR.MATH(TblExplore[[#This Row],[Land-DB]]/150)+3+tech_2_9_2*TblTech[[#This Row],[2-9]]+tech_3_7_2*TblTech[[#This Row],[3-7]]</f>
        <v>5</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763</v>
      </c>
    </row>
    <row r="94" spans="1:36" x14ac:dyDescent="0.2">
      <c r="A94" s="175">
        <f>TblRezone[[#This Row],[Hour]]</f>
        <v>91</v>
      </c>
      <c r="B94" s="214">
        <f ca="1">TblConstr[[#This Row],[Land]]</f>
        <v>370</v>
      </c>
      <c r="C94" s="215"/>
      <c r="D94" s="216">
        <f ca="1">TblConstr[[#This Row],[Plain]]</f>
        <v>20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370</v>
      </c>
      <c r="R94" s="175">
        <f>TblExplore[[#This Row],[Hour]]</f>
        <v>91</v>
      </c>
      <c r="S94" s="218"/>
      <c r="T94" s="179"/>
      <c r="U94" s="179"/>
      <c r="V94" s="179"/>
      <c r="W94" s="179"/>
      <c r="X94" s="179"/>
      <c r="Y94" s="179"/>
      <c r="Z94" s="179"/>
      <c r="AA94" s="159">
        <f ca="1">TblImps[[#This Row],[Real time]]</f>
        <v>45818.749999999782</v>
      </c>
      <c r="AB94" s="94">
        <f ca="1">TblMili[[#This Row],[Draftees]]</f>
        <v>3843</v>
      </c>
      <c r="AC94" s="94">
        <f ca="1">TblProd[[#This Row],[Platinum]]</f>
        <v>1279186</v>
      </c>
      <c r="AD94" s="215"/>
      <c r="AE94" s="45">
        <f ca="1">TblExplore[[#This Row],[Land]]-TblExplore[[#This Row],[Land Bonus]]*20</f>
        <v>370</v>
      </c>
      <c r="AF94" s="94">
        <f ca="1">ROUND(MAX(0.6*TblExplore[[#This Row],[Land-DB]]^1.299,850)*(1+ tech_2_6*Techs!AC94 + tech_2_9*Techs!AF94 + tech_3_7*Techs!AN94 + Overview!$I$33),0)</f>
        <v>1301</v>
      </c>
      <c r="AG94" s="94">
        <f ca="1">_xlfn.FLOOR.MATH(TblExplore[[#This Row],[Land-DB]]/150)+3+tech_2_9_2*TblTech[[#This Row],[2-9]]+tech_3_7_2*TblTech[[#This Row],[3-7]]</f>
        <v>5</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768</v>
      </c>
    </row>
    <row r="95" spans="1:36" x14ac:dyDescent="0.2">
      <c r="A95" s="175">
        <f>TblRezone[[#This Row],[Hour]]</f>
        <v>92</v>
      </c>
      <c r="B95" s="214">
        <f ca="1">TblConstr[[#This Row],[Land]]</f>
        <v>370</v>
      </c>
      <c r="C95" s="215"/>
      <c r="D95" s="216">
        <f ca="1">TblConstr[[#This Row],[Plain]]</f>
        <v>20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370</v>
      </c>
      <c r="R95" s="175">
        <f>TblExplore[[#This Row],[Hour]]</f>
        <v>92</v>
      </c>
      <c r="S95" s="218"/>
      <c r="T95" s="179"/>
      <c r="U95" s="179"/>
      <c r="V95" s="179"/>
      <c r="W95" s="179"/>
      <c r="X95" s="179"/>
      <c r="Y95" s="179"/>
      <c r="Z95" s="179"/>
      <c r="AA95" s="159">
        <f ca="1">TblImps[[#This Row],[Real time]]</f>
        <v>45818.791666666446</v>
      </c>
      <c r="AB95" s="94">
        <f ca="1">TblMili[[#This Row],[Draftees]]</f>
        <v>3867</v>
      </c>
      <c r="AC95" s="94">
        <f ca="1">TblProd[[#This Row],[Platinum]]</f>
        <v>1287943</v>
      </c>
      <c r="AD95" s="215"/>
      <c r="AE95" s="45">
        <f ca="1">TblExplore[[#This Row],[Land]]-TblExplore[[#This Row],[Land Bonus]]*20</f>
        <v>370</v>
      </c>
      <c r="AF95" s="94">
        <f ca="1">ROUND(MAX(0.6*TblExplore[[#This Row],[Land-DB]]^1.299,850)*(1+ tech_2_6*Techs!AC95 + tech_2_9*Techs!AF95 + tech_3_7*Techs!AN95 + Overview!$I$33),0)</f>
        <v>1301</v>
      </c>
      <c r="AG95" s="94">
        <f ca="1">_xlfn.FLOOR.MATH(TblExplore[[#This Row],[Land-DB]]/150)+3+tech_2_9_2*TblTech[[#This Row],[2-9]]+tech_3_7_2*TblTech[[#This Row],[3-7]]</f>
        <v>5</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773</v>
      </c>
    </row>
    <row r="96" spans="1:36" x14ac:dyDescent="0.2">
      <c r="A96" s="175">
        <f>TblRezone[[#This Row],[Hour]]</f>
        <v>93</v>
      </c>
      <c r="B96" s="214">
        <f ca="1">TblConstr[[#This Row],[Land]]</f>
        <v>370</v>
      </c>
      <c r="C96" s="215"/>
      <c r="D96" s="216">
        <f ca="1">TblConstr[[#This Row],[Plain]]</f>
        <v>20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370</v>
      </c>
      <c r="R96" s="214">
        <f>TblExplore[[#This Row],[Hour]]</f>
        <v>93</v>
      </c>
      <c r="S96" s="218"/>
      <c r="T96" s="179"/>
      <c r="U96" s="179"/>
      <c r="V96" s="179"/>
      <c r="W96" s="179"/>
      <c r="X96" s="179"/>
      <c r="Y96" s="179"/>
      <c r="Z96" s="179"/>
      <c r="AA96" s="159">
        <f ca="1">TblImps[[#This Row],[Real time]]</f>
        <v>45818.83333333311</v>
      </c>
      <c r="AB96" s="94">
        <f ca="1">TblMili[[#This Row],[Draftees]]</f>
        <v>3891</v>
      </c>
      <c r="AC96" s="94">
        <f ca="1">TblProd[[#This Row],[Platinum]]</f>
        <v>1296635</v>
      </c>
      <c r="AD96" s="215"/>
      <c r="AE96" s="45">
        <f ca="1">TblExplore[[#This Row],[Land]]-TblExplore[[#This Row],[Land Bonus]]*20</f>
        <v>370</v>
      </c>
      <c r="AF96" s="94">
        <f ca="1">ROUND(MAX(0.6*TblExplore[[#This Row],[Land-DB]]^1.299,850)*(1+ tech_2_6*Techs!AC96 + tech_2_9*Techs!AF96 + tech_3_7*Techs!AN96 + Overview!$I$33),0)</f>
        <v>1301</v>
      </c>
      <c r="AG96" s="94">
        <f ca="1">_xlfn.FLOOR.MATH(TblExplore[[#This Row],[Land-DB]]/150)+3+tech_2_9_2*TblTech[[#This Row],[2-9]]+tech_3_7_2*TblTech[[#This Row],[3-7]]</f>
        <v>5</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778</v>
      </c>
    </row>
    <row r="97" spans="1:36" x14ac:dyDescent="0.2">
      <c r="A97" s="175">
        <f>TblRezone[[#This Row],[Hour]]</f>
        <v>94</v>
      </c>
      <c r="B97" s="214">
        <f ca="1">TblConstr[[#This Row],[Land]]</f>
        <v>370</v>
      </c>
      <c r="C97" s="215"/>
      <c r="D97" s="216">
        <f ca="1">TblConstr[[#This Row],[Plain]]</f>
        <v>20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370</v>
      </c>
      <c r="R97" s="214">
        <f>TblExplore[[#This Row],[Hour]]</f>
        <v>94</v>
      </c>
      <c r="S97" s="218"/>
      <c r="T97" s="179"/>
      <c r="U97" s="179"/>
      <c r="V97" s="179"/>
      <c r="W97" s="179"/>
      <c r="X97" s="179"/>
      <c r="Y97" s="179"/>
      <c r="Z97" s="179"/>
      <c r="AA97" s="159">
        <f ca="1">TblImps[[#This Row],[Real time]]</f>
        <v>45818.874999999774</v>
      </c>
      <c r="AB97" s="94">
        <f ca="1">TblMili[[#This Row],[Draftees]]</f>
        <v>3915</v>
      </c>
      <c r="AC97" s="94">
        <f ca="1">TblProd[[#This Row],[Platinum]]</f>
        <v>1305262</v>
      </c>
      <c r="AD97" s="215"/>
      <c r="AE97" s="45">
        <f ca="1">TblExplore[[#This Row],[Land]]-TblExplore[[#This Row],[Land Bonus]]*20</f>
        <v>370</v>
      </c>
      <c r="AF97" s="94">
        <f ca="1">ROUND(MAX(0.6*TblExplore[[#This Row],[Land-DB]]^1.299,850)*(1+ tech_2_6*Techs!AC97 + tech_2_9*Techs!AF97 + tech_3_7*Techs!AN97 + Overview!$I$33),0)</f>
        <v>1301</v>
      </c>
      <c r="AG97" s="94">
        <f ca="1">_xlfn.FLOOR.MATH(TblExplore[[#This Row],[Land-DB]]/150)+3+tech_2_9_2*TblTech[[#This Row],[2-9]]+tech_3_7_2*TblTech[[#This Row],[3-7]]</f>
        <v>5</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783</v>
      </c>
    </row>
    <row r="98" spans="1:36" x14ac:dyDescent="0.2">
      <c r="A98" s="175">
        <f>TblRezone[[#This Row],[Hour]]</f>
        <v>95</v>
      </c>
      <c r="B98" s="214">
        <f ca="1">TblConstr[[#This Row],[Land]]</f>
        <v>370</v>
      </c>
      <c r="C98" s="215"/>
      <c r="D98" s="216">
        <f ca="1">TblConstr[[#This Row],[Plain]]</f>
        <v>20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370</v>
      </c>
      <c r="R98" s="175">
        <f>TblExplore[[#This Row],[Hour]]</f>
        <v>95</v>
      </c>
      <c r="S98" s="218"/>
      <c r="T98" s="179"/>
      <c r="U98" s="179"/>
      <c r="V98" s="179"/>
      <c r="W98" s="179"/>
      <c r="X98" s="179"/>
      <c r="Y98" s="179"/>
      <c r="Z98" s="179"/>
      <c r="AA98" s="159">
        <f ca="1">TblImps[[#This Row],[Real time]]</f>
        <v>45818.916666666439</v>
      </c>
      <c r="AB98" s="94">
        <f ca="1">TblMili[[#This Row],[Draftees]]</f>
        <v>3938</v>
      </c>
      <c r="AC98" s="94">
        <f ca="1">TblProd[[#This Row],[Platinum]]</f>
        <v>1313824</v>
      </c>
      <c r="AD98" s="215"/>
      <c r="AE98" s="45">
        <f ca="1">TblExplore[[#This Row],[Land]]-TblExplore[[#This Row],[Land Bonus]]*20</f>
        <v>370</v>
      </c>
      <c r="AF98" s="94">
        <f ca="1">ROUND(MAX(0.6*TblExplore[[#This Row],[Land-DB]]^1.299,850)*(1+ tech_2_6*Techs!AC98 + tech_2_9*Techs!AF98 + tech_3_7*Techs!AN98 + Overview!$I$33),0)</f>
        <v>1301</v>
      </c>
      <c r="AG98" s="94">
        <f ca="1">_xlfn.FLOOR.MATH(TblExplore[[#This Row],[Land-DB]]/150)+3+tech_2_9_2*TblTech[[#This Row],[2-9]]+tech_3_7_2*TblTech[[#This Row],[3-7]]</f>
        <v>5</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787</v>
      </c>
    </row>
    <row r="99" spans="1:36" x14ac:dyDescent="0.2">
      <c r="A99" s="175">
        <f>TblRezone[[#This Row],[Hour]]</f>
        <v>96</v>
      </c>
      <c r="B99" s="214">
        <f ca="1">TblConstr[[#This Row],[Land]]</f>
        <v>370</v>
      </c>
      <c r="C99" s="215"/>
      <c r="D99" s="216">
        <f ca="1">TblConstr[[#This Row],[Plain]]</f>
        <v>20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370</v>
      </c>
      <c r="R99" s="175">
        <f>TblExplore[[#This Row],[Hour]]</f>
        <v>96</v>
      </c>
      <c r="S99" s="218"/>
      <c r="T99" s="158"/>
      <c r="U99" s="179"/>
      <c r="V99" s="179"/>
      <c r="W99" s="179"/>
      <c r="X99" s="179"/>
      <c r="Y99" s="179"/>
      <c r="Z99" s="179"/>
      <c r="AA99" s="159">
        <f ca="1">TblImps[[#This Row],[Real time]]</f>
        <v>45818.958333333103</v>
      </c>
      <c r="AB99" s="94">
        <f ca="1">TblMili[[#This Row],[Draftees]]</f>
        <v>3961</v>
      </c>
      <c r="AC99" s="94">
        <f ca="1">TblProd[[#This Row],[Platinum]]</f>
        <v>1322324</v>
      </c>
      <c r="AD99" s="215"/>
      <c r="AE99" s="45">
        <f ca="1">TblExplore[[#This Row],[Land]]-TblExplore[[#This Row],[Land Bonus]]*20</f>
        <v>370</v>
      </c>
      <c r="AF99" s="94">
        <f ca="1">ROUND(MAX(0.6*TblExplore[[#This Row],[Land-DB]]^1.299,850)*(1+ tech_2_6*Techs!AC99 + tech_2_9*Techs!AF99 + tech_3_7*Techs!AN99 + Overview!$I$33),0)</f>
        <v>1301</v>
      </c>
      <c r="AG99" s="94">
        <f ca="1">_xlfn.FLOOR.MATH(TblExplore[[#This Row],[Land-DB]]/150)+3+tech_2_9_2*TblTech[[#This Row],[2-9]]+tech_3_7_2*TblTech[[#This Row],[3-7]]</f>
        <v>5</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792</v>
      </c>
    </row>
    <row r="100" spans="1:36" x14ac:dyDescent="0.2">
      <c r="A100" s="175">
        <f>TblRezone[[#This Row],[Hour]]</f>
        <v>97</v>
      </c>
      <c r="B100" s="214">
        <f ca="1">TblConstr[[#This Row],[Land]]</f>
        <v>370</v>
      </c>
      <c r="C100" s="215"/>
      <c r="D100" s="216">
        <f ca="1">TblConstr[[#This Row],[Plain]]</f>
        <v>20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370</v>
      </c>
      <c r="R100" s="175">
        <f>TblExplore[[#This Row],[Hour]]</f>
        <v>97</v>
      </c>
      <c r="S100" s="218"/>
      <c r="T100" s="179"/>
      <c r="U100" s="179"/>
      <c r="V100" s="179"/>
      <c r="W100" s="179"/>
      <c r="X100" s="179"/>
      <c r="Y100" s="179"/>
      <c r="Z100" s="179"/>
      <c r="AA100" s="159">
        <f ca="1">TblImps[[#This Row],[Real time]]</f>
        <v>45818.999999999767</v>
      </c>
      <c r="AB100" s="94">
        <f ca="1">TblMili[[#This Row],[Draftees]]</f>
        <v>3984</v>
      </c>
      <c r="AC100" s="94">
        <f ca="1">TblProd[[#This Row],[Platinum]]</f>
        <v>1330762</v>
      </c>
      <c r="AD100" s="215"/>
      <c r="AE100" s="45">
        <f ca="1">TblExplore[[#This Row],[Land]]-TblExplore[[#This Row],[Land Bonus]]*20</f>
        <v>370</v>
      </c>
      <c r="AF100" s="94">
        <f ca="1">ROUND(MAX(0.6*TblExplore[[#This Row],[Land-DB]]^1.299,850)*(1+ tech_2_6*Techs!AC100 + tech_2_9*Techs!AF100 + tech_3_7*Techs!AN100 + Overview!$I$33),0)</f>
        <v>1301</v>
      </c>
      <c r="AG100" s="94">
        <f ca="1">_xlfn.FLOOR.MATH(TblExplore[[#This Row],[Land-DB]]/150)+3+tech_2_9_2*TblTech[[#This Row],[2-9]]+tech_3_7_2*TblTech[[#This Row],[3-7]]</f>
        <v>5</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796</v>
      </c>
    </row>
    <row r="101" spans="1:36" x14ac:dyDescent="0.2">
      <c r="A101" s="175">
        <f>TblRezone[[#This Row],[Hour]]</f>
        <v>98</v>
      </c>
      <c r="B101" s="214">
        <f ca="1">TblConstr[[#This Row],[Land]]</f>
        <v>370</v>
      </c>
      <c r="C101" s="215"/>
      <c r="D101" s="216">
        <f ca="1">TblConstr[[#This Row],[Plain]]</f>
        <v>20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370</v>
      </c>
      <c r="R101" s="175">
        <f>TblExplore[[#This Row],[Hour]]</f>
        <v>98</v>
      </c>
      <c r="S101" s="218"/>
      <c r="T101" s="158"/>
      <c r="U101" s="179"/>
      <c r="V101" s="179"/>
      <c r="W101" s="179"/>
      <c r="X101" s="179"/>
      <c r="Y101" s="179"/>
      <c r="Z101" s="179"/>
      <c r="AA101" s="159">
        <f ca="1">TblImps[[#This Row],[Real time]]</f>
        <v>45819.041666666431</v>
      </c>
      <c r="AB101" s="94">
        <f ca="1">TblMili[[#This Row],[Draftees]]</f>
        <v>4007</v>
      </c>
      <c r="AC101" s="94">
        <f ca="1">TblProd[[#This Row],[Platinum]]</f>
        <v>1339138</v>
      </c>
      <c r="AD101" s="215"/>
      <c r="AE101" s="45">
        <f ca="1">TblExplore[[#This Row],[Land]]-TblExplore[[#This Row],[Land Bonus]]*20</f>
        <v>370</v>
      </c>
      <c r="AF101" s="94">
        <f ca="1">ROUND(MAX(0.6*TblExplore[[#This Row],[Land-DB]]^1.299,850)*(1+ tech_2_6*Techs!AC101 + tech_2_9*Techs!AF101 + tech_3_7*Techs!AN101 + Overview!$I$33),0)</f>
        <v>1301</v>
      </c>
      <c r="AG101" s="94">
        <f ca="1">_xlfn.FLOOR.MATH(TblExplore[[#This Row],[Land-DB]]/150)+3+tech_2_9_2*TblTech[[#This Row],[2-9]]+tech_3_7_2*TblTech[[#This Row],[3-7]]</f>
        <v>5</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801</v>
      </c>
    </row>
    <row r="102" spans="1:36" x14ac:dyDescent="0.2">
      <c r="A102" s="175">
        <f>TblRezone[[#This Row],[Hour]]</f>
        <v>99</v>
      </c>
      <c r="B102" s="214">
        <f ca="1">TblConstr[[#This Row],[Land]]</f>
        <v>370</v>
      </c>
      <c r="C102" s="215"/>
      <c r="D102" s="216">
        <f ca="1">TblConstr[[#This Row],[Plain]]</f>
        <v>20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370</v>
      </c>
      <c r="R102" s="175">
        <f>TblExplore[[#This Row],[Hour]]</f>
        <v>99</v>
      </c>
      <c r="S102" s="218"/>
      <c r="T102" s="158"/>
      <c r="U102" s="179"/>
      <c r="V102" s="179"/>
      <c r="W102" s="179"/>
      <c r="X102" s="179"/>
      <c r="Y102" s="179"/>
      <c r="Z102" s="179"/>
      <c r="AA102" s="159">
        <f ca="1">TblImps[[#This Row],[Real time]]</f>
        <v>45819.083333333096</v>
      </c>
      <c r="AB102" s="94">
        <f ca="1">TblMili[[#This Row],[Draftees]]</f>
        <v>4029</v>
      </c>
      <c r="AC102" s="94">
        <f ca="1">TblProd[[#This Row],[Platinum]]</f>
        <v>1347452</v>
      </c>
      <c r="AD102" s="215"/>
      <c r="AE102" s="45">
        <f ca="1">TblExplore[[#This Row],[Land]]-TblExplore[[#This Row],[Land Bonus]]*20</f>
        <v>370</v>
      </c>
      <c r="AF102" s="94">
        <f ca="1">ROUND(MAX(0.6*TblExplore[[#This Row],[Land-DB]]^1.299,850)*(1+ tech_2_6*Techs!AC102 + tech_2_9*Techs!AF102 + tech_3_7*Techs!AN102 + Overview!$I$33),0)</f>
        <v>1301</v>
      </c>
      <c r="AG102" s="94">
        <f ca="1">_xlfn.FLOOR.MATH(TblExplore[[#This Row],[Land-DB]]/150)+3+tech_2_9_2*TblTech[[#This Row],[2-9]]+tech_3_7_2*TblTech[[#This Row],[3-7]]</f>
        <v>5</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805</v>
      </c>
    </row>
    <row r="103" spans="1:36" x14ac:dyDescent="0.2">
      <c r="A103" s="175">
        <f>TblRezone[[#This Row],[Hour]]</f>
        <v>100</v>
      </c>
      <c r="B103" s="214">
        <f ca="1">TblConstr[[#This Row],[Land]]</f>
        <v>370</v>
      </c>
      <c r="C103" s="215"/>
      <c r="D103" s="216">
        <f ca="1">TblConstr[[#This Row],[Plain]]</f>
        <v>20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370</v>
      </c>
      <c r="R103" s="175">
        <f>TblExplore[[#This Row],[Hour]]</f>
        <v>100</v>
      </c>
      <c r="S103" s="218"/>
      <c r="T103" s="158"/>
      <c r="U103" s="179"/>
      <c r="V103" s="179"/>
      <c r="W103" s="179"/>
      <c r="X103" s="179"/>
      <c r="Y103" s="179"/>
      <c r="Z103" s="179"/>
      <c r="AA103" s="159">
        <f ca="1">TblImps[[#This Row],[Real time]]</f>
        <v>45819.12499999976</v>
      </c>
      <c r="AB103" s="94">
        <f ca="1">TblMili[[#This Row],[Draftees]]</f>
        <v>4051</v>
      </c>
      <c r="AC103" s="94">
        <f ca="1">TblProd[[#This Row],[Platinum]]</f>
        <v>1355706</v>
      </c>
      <c r="AD103" s="215"/>
      <c r="AE103" s="45">
        <f ca="1">TblExplore[[#This Row],[Land]]-TblExplore[[#This Row],[Land Bonus]]*20</f>
        <v>370</v>
      </c>
      <c r="AF103" s="94">
        <f ca="1">ROUND(MAX(0.6*TblExplore[[#This Row],[Land-DB]]^1.299,850)*(1+ tech_2_6*Techs!AC103 + tech_2_9*Techs!AF103 + tech_3_7*Techs!AN103 + Overview!$I$33),0)</f>
        <v>1301</v>
      </c>
      <c r="AG103" s="94">
        <f ca="1">_xlfn.FLOOR.MATH(TblExplore[[#This Row],[Land-DB]]/150)+3+tech_2_9_2*TblTech[[#This Row],[2-9]]+tech_3_7_2*TblTech[[#This Row],[3-7]]</f>
        <v>5</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810</v>
      </c>
    </row>
    <row r="104" spans="1:36" x14ac:dyDescent="0.2">
      <c r="A104" s="175">
        <f>TblRezone[[#This Row],[Hour]]</f>
        <v>101</v>
      </c>
      <c r="B104" s="214">
        <f ca="1">TblConstr[[#This Row],[Land]]</f>
        <v>370</v>
      </c>
      <c r="C104" s="215"/>
      <c r="D104" s="216">
        <f ca="1">TblConstr[[#This Row],[Plain]]</f>
        <v>20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370</v>
      </c>
      <c r="R104" s="175">
        <f>TblExplore[[#This Row],[Hour]]</f>
        <v>101</v>
      </c>
      <c r="S104" s="218"/>
      <c r="T104" s="158"/>
      <c r="U104" s="179"/>
      <c r="V104" s="179"/>
      <c r="W104" s="179"/>
      <c r="X104" s="179"/>
      <c r="Y104" s="179"/>
      <c r="Z104" s="179"/>
      <c r="AA104" s="159">
        <f ca="1">TblImps[[#This Row],[Real time]]</f>
        <v>45819.166666666424</v>
      </c>
      <c r="AB104" s="94">
        <f ca="1">TblMili[[#This Row],[Draftees]]</f>
        <v>4073</v>
      </c>
      <c r="AC104" s="94">
        <f ca="1">TblProd[[#This Row],[Platinum]]</f>
        <v>1363901</v>
      </c>
      <c r="AD104" s="215"/>
      <c r="AE104" s="45">
        <f ca="1">TblExplore[[#This Row],[Land]]-TblExplore[[#This Row],[Land Bonus]]*20</f>
        <v>370</v>
      </c>
      <c r="AF104" s="94">
        <f ca="1">ROUND(MAX(0.6*TblExplore[[#This Row],[Land-DB]]^1.299,850)*(1+ tech_2_6*Techs!AC104 + tech_2_9*Techs!AF104 + tech_3_7*Techs!AN104 + Overview!$I$33),0)</f>
        <v>1301</v>
      </c>
      <c r="AG104" s="94">
        <f ca="1">_xlfn.FLOOR.MATH(TblExplore[[#This Row],[Land-DB]]/150)+3+tech_2_9_2*TblTech[[#This Row],[2-9]]+tech_3_7_2*TblTech[[#This Row],[3-7]]</f>
        <v>5</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814</v>
      </c>
    </row>
    <row r="105" spans="1:36" x14ac:dyDescent="0.2">
      <c r="A105" s="175">
        <f>TblRezone[[#This Row],[Hour]]</f>
        <v>102</v>
      </c>
      <c r="B105" s="214">
        <f ca="1">TblConstr[[#This Row],[Land]]</f>
        <v>370</v>
      </c>
      <c r="C105" s="215"/>
      <c r="D105" s="216">
        <f ca="1">TblConstr[[#This Row],[Plain]]</f>
        <v>20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370</v>
      </c>
      <c r="R105" s="175">
        <f>TblExplore[[#This Row],[Hour]]</f>
        <v>102</v>
      </c>
      <c r="S105" s="218"/>
      <c r="T105" s="179"/>
      <c r="U105" s="179"/>
      <c r="V105" s="179"/>
      <c r="W105" s="179"/>
      <c r="X105" s="179"/>
      <c r="Y105" s="179"/>
      <c r="Z105" s="179"/>
      <c r="AA105" s="159">
        <f ca="1">TblImps[[#This Row],[Real time]]</f>
        <v>45819.208333333088</v>
      </c>
      <c r="AB105" s="94">
        <f ca="1">TblMili[[#This Row],[Draftees]]</f>
        <v>4095</v>
      </c>
      <c r="AC105" s="94">
        <f ca="1">TblProd[[#This Row],[Platinum]]</f>
        <v>1372037</v>
      </c>
      <c r="AD105" s="215"/>
      <c r="AE105" s="45">
        <f ca="1">TblExplore[[#This Row],[Land]]-TblExplore[[#This Row],[Land Bonus]]*20</f>
        <v>370</v>
      </c>
      <c r="AF105" s="94">
        <f ca="1">ROUND(MAX(0.6*TblExplore[[#This Row],[Land-DB]]^1.299,850)*(1+ tech_2_6*Techs!AC105 + tech_2_9*Techs!AF105 + tech_3_7*Techs!AN105 + Overview!$I$33),0)</f>
        <v>1301</v>
      </c>
      <c r="AG105" s="94">
        <f ca="1">_xlfn.FLOOR.MATH(TblExplore[[#This Row],[Land-DB]]/150)+3+tech_2_9_2*TblTech[[#This Row],[2-9]]+tech_3_7_2*TblTech[[#This Row],[3-7]]</f>
        <v>5</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819</v>
      </c>
    </row>
    <row r="106" spans="1:36" x14ac:dyDescent="0.2">
      <c r="A106" s="175">
        <f>TblRezone[[#This Row],[Hour]]</f>
        <v>103</v>
      </c>
      <c r="B106" s="214">
        <f ca="1">TblConstr[[#This Row],[Land]]</f>
        <v>370</v>
      </c>
      <c r="C106" s="215"/>
      <c r="D106" s="216">
        <f ca="1">TblConstr[[#This Row],[Plain]]</f>
        <v>20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370</v>
      </c>
      <c r="R106" s="175">
        <f>TblExplore[[#This Row],[Hour]]</f>
        <v>103</v>
      </c>
      <c r="S106" s="218"/>
      <c r="T106" s="179"/>
      <c r="U106" s="179"/>
      <c r="V106" s="179"/>
      <c r="W106" s="179"/>
      <c r="X106" s="179"/>
      <c r="Y106" s="179"/>
      <c r="Z106" s="179"/>
      <c r="AA106" s="159">
        <f ca="1">TblImps[[#This Row],[Real time]]</f>
        <v>45819.249999999753</v>
      </c>
      <c r="AB106" s="94">
        <f ca="1">TblMili[[#This Row],[Draftees]]</f>
        <v>4117</v>
      </c>
      <c r="AC106" s="94">
        <f ca="1">TblProd[[#This Row],[Platinum]]</f>
        <v>1380113</v>
      </c>
      <c r="AD106" s="215"/>
      <c r="AE106" s="45">
        <f ca="1">TblExplore[[#This Row],[Land]]-TblExplore[[#This Row],[Land Bonus]]*20</f>
        <v>370</v>
      </c>
      <c r="AF106" s="94">
        <f ca="1">ROUND(MAX(0.6*TblExplore[[#This Row],[Land-DB]]^1.299,850)*(1+ tech_2_6*Techs!AC106 + tech_2_9*Techs!AF106 + tech_3_7*Techs!AN106 + Overview!$I$33),0)</f>
        <v>1301</v>
      </c>
      <c r="AG106" s="94">
        <f ca="1">_xlfn.FLOOR.MATH(TblExplore[[#This Row],[Land-DB]]/150)+3+tech_2_9_2*TblTech[[#This Row],[2-9]]+tech_3_7_2*TblTech[[#This Row],[3-7]]</f>
        <v>5</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823</v>
      </c>
    </row>
    <row r="107" spans="1:36" x14ac:dyDescent="0.2">
      <c r="A107" s="175">
        <f>TblRezone[[#This Row],[Hour]]</f>
        <v>104</v>
      </c>
      <c r="B107" s="214">
        <f ca="1">TblConstr[[#This Row],[Land]]</f>
        <v>370</v>
      </c>
      <c r="C107" s="215"/>
      <c r="D107" s="216">
        <f ca="1">TblConstr[[#This Row],[Plain]]</f>
        <v>20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370</v>
      </c>
      <c r="R107" s="175">
        <f>TblExplore[[#This Row],[Hour]]</f>
        <v>104</v>
      </c>
      <c r="S107" s="218"/>
      <c r="T107" s="179"/>
      <c r="U107" s="179"/>
      <c r="V107" s="179"/>
      <c r="W107" s="179"/>
      <c r="X107" s="179"/>
      <c r="Y107" s="179"/>
      <c r="Z107" s="179"/>
      <c r="AA107" s="159">
        <f ca="1">TblImps[[#This Row],[Real time]]</f>
        <v>45819.291666666417</v>
      </c>
      <c r="AB107" s="94">
        <f ca="1">TblMili[[#This Row],[Draftees]]</f>
        <v>4138</v>
      </c>
      <c r="AC107" s="94">
        <f ca="1">TblProd[[#This Row],[Platinum]]</f>
        <v>1388130</v>
      </c>
      <c r="AD107" s="215"/>
      <c r="AE107" s="45">
        <f ca="1">TblExplore[[#This Row],[Land]]-TblExplore[[#This Row],[Land Bonus]]*20</f>
        <v>370</v>
      </c>
      <c r="AF107" s="94">
        <f ca="1">ROUND(MAX(0.6*TblExplore[[#This Row],[Land-DB]]^1.299,850)*(1+ tech_2_6*Techs!AC107 + tech_2_9*Techs!AF107 + tech_3_7*Techs!AN107 + Overview!$I$33),0)</f>
        <v>1301</v>
      </c>
      <c r="AG107" s="94">
        <f ca="1">_xlfn.FLOOR.MATH(TblExplore[[#This Row],[Land-DB]]/150)+3+tech_2_9_2*TblTech[[#This Row],[2-9]]+tech_3_7_2*TblTech[[#This Row],[3-7]]</f>
        <v>5</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827</v>
      </c>
    </row>
    <row r="108" spans="1:36" x14ac:dyDescent="0.2">
      <c r="A108" s="175">
        <f>TblRezone[[#This Row],[Hour]]</f>
        <v>105</v>
      </c>
      <c r="B108" s="214">
        <f ca="1">TblConstr[[#This Row],[Land]]</f>
        <v>370</v>
      </c>
      <c r="C108" s="215"/>
      <c r="D108" s="216">
        <f ca="1">TblConstr[[#This Row],[Plain]]</f>
        <v>20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370</v>
      </c>
      <c r="R108" s="175">
        <f>TblExplore[[#This Row],[Hour]]</f>
        <v>105</v>
      </c>
      <c r="S108" s="218"/>
      <c r="T108" s="179"/>
      <c r="U108" s="179"/>
      <c r="V108" s="179"/>
      <c r="W108" s="179"/>
      <c r="X108" s="179"/>
      <c r="Y108" s="179"/>
      <c r="Z108" s="179"/>
      <c r="AA108" s="159">
        <f ca="1">TblImps[[#This Row],[Real time]]</f>
        <v>45819.333333333081</v>
      </c>
      <c r="AB108" s="94">
        <f ca="1">TblMili[[#This Row],[Draftees]]</f>
        <v>4159</v>
      </c>
      <c r="AC108" s="94">
        <f ca="1">TblProd[[#This Row],[Platinum]]</f>
        <v>1396090</v>
      </c>
      <c r="AD108" s="215"/>
      <c r="AE108" s="45">
        <f ca="1">TblExplore[[#This Row],[Land]]-TblExplore[[#This Row],[Land Bonus]]*20</f>
        <v>370</v>
      </c>
      <c r="AF108" s="94">
        <f ca="1">ROUND(MAX(0.6*TblExplore[[#This Row],[Land-DB]]^1.299,850)*(1+ tech_2_6*Techs!AC108 + tech_2_9*Techs!AF108 + tech_3_7*Techs!AN108 + Overview!$I$33),0)</f>
        <v>1301</v>
      </c>
      <c r="AG108" s="94">
        <f ca="1">_xlfn.FLOOR.MATH(TblExplore[[#This Row],[Land-DB]]/150)+3+tech_2_9_2*TblTech[[#This Row],[2-9]]+tech_3_7_2*TblTech[[#This Row],[3-7]]</f>
        <v>5</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831</v>
      </c>
    </row>
    <row r="109" spans="1:36" x14ac:dyDescent="0.2">
      <c r="A109" s="175">
        <f>TblRezone[[#This Row],[Hour]]</f>
        <v>106</v>
      </c>
      <c r="B109" s="214">
        <f ca="1">TblConstr[[#This Row],[Land]]</f>
        <v>370</v>
      </c>
      <c r="C109" s="215"/>
      <c r="D109" s="216">
        <f ca="1">TblConstr[[#This Row],[Plain]]</f>
        <v>20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370</v>
      </c>
      <c r="R109" s="175">
        <f>TblExplore[[#This Row],[Hour]]</f>
        <v>106</v>
      </c>
      <c r="S109" s="218"/>
      <c r="T109" s="179"/>
      <c r="U109" s="179"/>
      <c r="V109" s="179"/>
      <c r="W109" s="179"/>
      <c r="X109" s="179"/>
      <c r="Y109" s="179"/>
      <c r="Z109" s="179"/>
      <c r="AA109" s="159">
        <f ca="1">TblImps[[#This Row],[Real time]]</f>
        <v>45819.374999999745</v>
      </c>
      <c r="AB109" s="94">
        <f ca="1">TblMili[[#This Row],[Draftees]]</f>
        <v>4180</v>
      </c>
      <c r="AC109" s="94">
        <f ca="1">TblProd[[#This Row],[Platinum]]</f>
        <v>1403993</v>
      </c>
      <c r="AD109" s="215"/>
      <c r="AE109" s="45">
        <f ca="1">TblExplore[[#This Row],[Land]]-TblExplore[[#This Row],[Land Bonus]]*20</f>
        <v>370</v>
      </c>
      <c r="AF109" s="94">
        <f ca="1">ROUND(MAX(0.6*TblExplore[[#This Row],[Land-DB]]^1.299,850)*(1+ tech_2_6*Techs!AC109 + tech_2_9*Techs!AF109 + tech_3_7*Techs!AN109 + Overview!$I$33),0)</f>
        <v>1301</v>
      </c>
      <c r="AG109" s="94">
        <f ca="1">_xlfn.FLOOR.MATH(TblExplore[[#This Row],[Land-DB]]/150)+3+tech_2_9_2*TblTech[[#This Row],[2-9]]+tech_3_7_2*TblTech[[#This Row],[3-7]]</f>
        <v>5</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836</v>
      </c>
    </row>
    <row r="110" spans="1:36" x14ac:dyDescent="0.2">
      <c r="A110" s="175">
        <f>TblRezone[[#This Row],[Hour]]</f>
        <v>107</v>
      </c>
      <c r="B110" s="214">
        <f ca="1">TblConstr[[#This Row],[Land]]</f>
        <v>370</v>
      </c>
      <c r="C110" s="215"/>
      <c r="D110" s="216">
        <f ca="1">TblConstr[[#This Row],[Plain]]</f>
        <v>20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370</v>
      </c>
      <c r="R110" s="175">
        <f>TblExplore[[#This Row],[Hour]]</f>
        <v>107</v>
      </c>
      <c r="S110" s="218"/>
      <c r="T110" s="158"/>
      <c r="U110" s="179"/>
      <c r="V110" s="179"/>
      <c r="W110" s="179"/>
      <c r="X110" s="179"/>
      <c r="Y110" s="179"/>
      <c r="Z110" s="179"/>
      <c r="AA110" s="159">
        <f ca="1">TblImps[[#This Row],[Real time]]</f>
        <v>45819.41666666641</v>
      </c>
      <c r="AB110" s="94">
        <f ca="1">TblMili[[#This Row],[Draftees]]</f>
        <v>4201</v>
      </c>
      <c r="AC110" s="94">
        <f ca="1">TblProd[[#This Row],[Platinum]]</f>
        <v>1411840</v>
      </c>
      <c r="AD110" s="215"/>
      <c r="AE110" s="45">
        <f ca="1">TblExplore[[#This Row],[Land]]-TblExplore[[#This Row],[Land Bonus]]*20</f>
        <v>370</v>
      </c>
      <c r="AF110" s="94">
        <f ca="1">ROUND(MAX(0.6*TblExplore[[#This Row],[Land-DB]]^1.299,850)*(1+ tech_2_6*Techs!AC110 + tech_2_9*Techs!AF110 + tech_3_7*Techs!AN110 + Overview!$I$33),0)</f>
        <v>1301</v>
      </c>
      <c r="AG110" s="94">
        <f ca="1">_xlfn.FLOOR.MATH(TblExplore[[#This Row],[Land-DB]]/150)+3+tech_2_9_2*TblTech[[#This Row],[2-9]]+tech_3_7_2*TblTech[[#This Row],[3-7]]</f>
        <v>5</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840</v>
      </c>
    </row>
    <row r="111" spans="1:36" x14ac:dyDescent="0.2">
      <c r="A111" s="175">
        <f>TblRezone[[#This Row],[Hour]]</f>
        <v>108</v>
      </c>
      <c r="B111" s="214">
        <f ca="1">TblConstr[[#This Row],[Land]]</f>
        <v>370</v>
      </c>
      <c r="C111" s="215"/>
      <c r="D111" s="216">
        <f ca="1">TblConstr[[#This Row],[Plain]]</f>
        <v>20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370</v>
      </c>
      <c r="R111" s="175">
        <f>TblExplore[[#This Row],[Hour]]</f>
        <v>108</v>
      </c>
      <c r="S111" s="218"/>
      <c r="T111" s="179"/>
      <c r="U111" s="179"/>
      <c r="V111" s="179"/>
      <c r="W111" s="179"/>
      <c r="X111" s="179"/>
      <c r="Y111" s="179"/>
      <c r="Z111" s="179"/>
      <c r="AA111" s="159">
        <f ca="1">TblImps[[#This Row],[Real time]]</f>
        <v>45819.458333333074</v>
      </c>
      <c r="AB111" s="94">
        <f ca="1">TblMili[[#This Row],[Draftees]]</f>
        <v>4222</v>
      </c>
      <c r="AC111" s="94">
        <f ca="1">TblProd[[#This Row],[Platinum]]</f>
        <v>1419630</v>
      </c>
      <c r="AD111" s="215"/>
      <c r="AE111" s="45">
        <f ca="1">TblExplore[[#This Row],[Land]]-TblExplore[[#This Row],[Land Bonus]]*20</f>
        <v>370</v>
      </c>
      <c r="AF111" s="94">
        <f ca="1">ROUND(MAX(0.6*TblExplore[[#This Row],[Land-DB]]^1.299,850)*(1+ tech_2_6*Techs!AC111 + tech_2_9*Techs!AF111 + tech_3_7*Techs!AN111 + Overview!$I$33),0)</f>
        <v>1301</v>
      </c>
      <c r="AG111" s="94">
        <f ca="1">_xlfn.FLOOR.MATH(TblExplore[[#This Row],[Land-DB]]/150)+3+tech_2_9_2*TblTech[[#This Row],[2-9]]+tech_3_7_2*TblTech[[#This Row],[3-7]]</f>
        <v>5</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844</v>
      </c>
    </row>
    <row r="112" spans="1:36" ht="12.75" customHeight="1" x14ac:dyDescent="0.2">
      <c r="A112" s="175">
        <f>TblRezone[[#This Row],[Hour]]</f>
        <v>109</v>
      </c>
      <c r="B112" s="214">
        <f ca="1">TblConstr[[#This Row],[Land]]</f>
        <v>370</v>
      </c>
      <c r="C112" s="215"/>
      <c r="D112" s="216">
        <f ca="1">TblConstr[[#This Row],[Plain]]</f>
        <v>20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370</v>
      </c>
      <c r="R112" s="175">
        <f>TblExplore[[#This Row],[Hour]]</f>
        <v>109</v>
      </c>
      <c r="S112" s="218"/>
      <c r="T112" s="179"/>
      <c r="U112" s="179"/>
      <c r="V112" s="179"/>
      <c r="W112" s="179"/>
      <c r="X112" s="179"/>
      <c r="Y112" s="179"/>
      <c r="Z112" s="179"/>
      <c r="AA112" s="159">
        <f ca="1">TblImps[[#This Row],[Real time]]</f>
        <v>45819.499999999738</v>
      </c>
      <c r="AB112" s="94">
        <f ca="1">TblMili[[#This Row],[Draftees]]</f>
        <v>4242</v>
      </c>
      <c r="AC112" s="94">
        <f ca="1">TblProd[[#This Row],[Platinum]]</f>
        <v>1427363</v>
      </c>
      <c r="AD112" s="215"/>
      <c r="AE112" s="45">
        <f ca="1">TblExplore[[#This Row],[Land]]-TblExplore[[#This Row],[Land Bonus]]*20</f>
        <v>370</v>
      </c>
      <c r="AF112" s="94">
        <f ca="1">ROUND(MAX(0.6*TblExplore[[#This Row],[Land-DB]]^1.299,850)*(1+ tech_2_6*Techs!AC112 + tech_2_9*Techs!AF112 + tech_3_7*Techs!AN112 + Overview!$I$33),0)</f>
        <v>1301</v>
      </c>
      <c r="AG112" s="94">
        <f ca="1">_xlfn.FLOOR.MATH(TblExplore[[#This Row],[Land-DB]]/150)+3+tech_2_9_2*TblTech[[#This Row],[2-9]]+tech_3_7_2*TblTech[[#This Row],[3-7]]</f>
        <v>5</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848</v>
      </c>
    </row>
    <row r="113" spans="1:36" x14ac:dyDescent="0.2">
      <c r="A113" s="175">
        <f>TblRezone[[#This Row],[Hour]]</f>
        <v>110</v>
      </c>
      <c r="B113" s="214">
        <f ca="1">TblConstr[[#This Row],[Land]]</f>
        <v>370</v>
      </c>
      <c r="C113" s="215"/>
      <c r="D113" s="216">
        <f ca="1">TblConstr[[#This Row],[Plain]]</f>
        <v>20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370</v>
      </c>
      <c r="R113" s="175">
        <f>TblExplore[[#This Row],[Hour]]</f>
        <v>110</v>
      </c>
      <c r="S113" s="218"/>
      <c r="T113" s="179"/>
      <c r="U113" s="179"/>
      <c r="V113" s="179"/>
      <c r="W113" s="179"/>
      <c r="X113" s="179"/>
      <c r="Y113" s="179"/>
      <c r="Z113" s="179"/>
      <c r="AA113" s="159">
        <f ca="1">TblImps[[#This Row],[Real time]]</f>
        <v>45819.541666666402</v>
      </c>
      <c r="AB113" s="94">
        <f ca="1">TblMili[[#This Row],[Draftees]]</f>
        <v>4262</v>
      </c>
      <c r="AC113" s="94">
        <f ca="1">TblProd[[#This Row],[Platinum]]</f>
        <v>1435042</v>
      </c>
      <c r="AD113" s="215"/>
      <c r="AE113" s="45">
        <f ca="1">TblExplore[[#This Row],[Land]]-TblExplore[[#This Row],[Land Bonus]]*20</f>
        <v>370</v>
      </c>
      <c r="AF113" s="94">
        <f ca="1">ROUND(MAX(0.6*TblExplore[[#This Row],[Land-DB]]^1.299,850)*(1+ tech_2_6*Techs!AC113 + tech_2_9*Techs!AF113 + tech_3_7*Techs!AN113 + Overview!$I$33),0)</f>
        <v>1301</v>
      </c>
      <c r="AG113" s="94">
        <f ca="1">_xlfn.FLOOR.MATH(TblExplore[[#This Row],[Land-DB]]/150)+3+tech_2_9_2*TblTech[[#This Row],[2-9]]+tech_3_7_2*TblTech[[#This Row],[3-7]]</f>
        <v>5</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852</v>
      </c>
    </row>
    <row r="114" spans="1:36" x14ac:dyDescent="0.2">
      <c r="A114" s="175">
        <f>TblRezone[[#This Row],[Hour]]</f>
        <v>111</v>
      </c>
      <c r="B114" s="214">
        <f ca="1">TblConstr[[#This Row],[Land]]</f>
        <v>370</v>
      </c>
      <c r="C114" s="215"/>
      <c r="D114" s="216">
        <f ca="1">TblConstr[[#This Row],[Plain]]</f>
        <v>20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370</v>
      </c>
      <c r="R114" s="175">
        <f>TblExplore[[#This Row],[Hour]]</f>
        <v>111</v>
      </c>
      <c r="S114" s="218"/>
      <c r="T114" s="179"/>
      <c r="U114" s="179"/>
      <c r="V114" s="179"/>
      <c r="W114" s="179"/>
      <c r="X114" s="179"/>
      <c r="Y114" s="179"/>
      <c r="Z114" s="179"/>
      <c r="AA114" s="159">
        <f ca="1">TblImps[[#This Row],[Real time]]</f>
        <v>45819.583333333067</v>
      </c>
      <c r="AB114" s="94">
        <f ca="1">TblMili[[#This Row],[Draftees]]</f>
        <v>4282</v>
      </c>
      <c r="AC114" s="94">
        <f ca="1">TblProd[[#This Row],[Platinum]]</f>
        <v>1442667</v>
      </c>
      <c r="AD114" s="215"/>
      <c r="AE114" s="45">
        <f ca="1">TblExplore[[#This Row],[Land]]-TblExplore[[#This Row],[Land Bonus]]*20</f>
        <v>370</v>
      </c>
      <c r="AF114" s="94">
        <f ca="1">ROUND(MAX(0.6*TblExplore[[#This Row],[Land-DB]]^1.299,850)*(1+ tech_2_6*Techs!AC114 + tech_2_9*Techs!AF114 + tech_3_7*Techs!AN114 + Overview!$I$33),0)</f>
        <v>1301</v>
      </c>
      <c r="AG114" s="94">
        <f ca="1">_xlfn.FLOOR.MATH(TblExplore[[#This Row],[Land-DB]]/150)+3+tech_2_9_2*TblTech[[#This Row],[2-9]]+tech_3_7_2*TblTech[[#This Row],[3-7]]</f>
        <v>5</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856</v>
      </c>
    </row>
    <row r="115" spans="1:36" x14ac:dyDescent="0.2">
      <c r="A115" s="175">
        <f>TblRezone[[#This Row],[Hour]]</f>
        <v>112</v>
      </c>
      <c r="B115" s="214">
        <f ca="1">TblConstr[[#This Row],[Land]]</f>
        <v>370</v>
      </c>
      <c r="C115" s="215"/>
      <c r="D115" s="216">
        <f ca="1">TblConstr[[#This Row],[Plain]]</f>
        <v>20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370</v>
      </c>
      <c r="R115" s="175">
        <f>TblExplore[[#This Row],[Hour]]</f>
        <v>112</v>
      </c>
      <c r="S115" s="218"/>
      <c r="T115" s="179"/>
      <c r="U115" s="179"/>
      <c r="V115" s="179"/>
      <c r="W115" s="179"/>
      <c r="X115" s="179"/>
      <c r="Y115" s="179"/>
      <c r="Z115" s="179"/>
      <c r="AA115" s="159">
        <f ca="1">TblImps[[#This Row],[Real time]]</f>
        <v>45819.624999999731</v>
      </c>
      <c r="AB115" s="94">
        <f ca="1">TblMili[[#This Row],[Draftees]]</f>
        <v>4302</v>
      </c>
      <c r="AC115" s="94">
        <f ca="1">TblProd[[#This Row],[Platinum]]</f>
        <v>1450238</v>
      </c>
      <c r="AD115" s="215"/>
      <c r="AE115" s="45">
        <f ca="1">TblExplore[[#This Row],[Land]]-TblExplore[[#This Row],[Land Bonus]]*20</f>
        <v>370</v>
      </c>
      <c r="AF115" s="94">
        <f ca="1">ROUND(MAX(0.6*TblExplore[[#This Row],[Land-DB]]^1.299,850)*(1+ tech_2_6*Techs!AC115 + tech_2_9*Techs!AF115 + tech_3_7*Techs!AN115 + Overview!$I$33),0)</f>
        <v>1301</v>
      </c>
      <c r="AG115" s="94">
        <f ca="1">_xlfn.FLOOR.MATH(TblExplore[[#This Row],[Land-DB]]/150)+3+tech_2_9_2*TblTech[[#This Row],[2-9]]+tech_3_7_2*TblTech[[#This Row],[3-7]]</f>
        <v>5</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860</v>
      </c>
    </row>
    <row r="116" spans="1:36" x14ac:dyDescent="0.2">
      <c r="A116" s="175">
        <f>TblRezone[[#This Row],[Hour]]</f>
        <v>113</v>
      </c>
      <c r="B116" s="214">
        <f ca="1">TblConstr[[#This Row],[Land]]</f>
        <v>370</v>
      </c>
      <c r="C116" s="215"/>
      <c r="D116" s="216">
        <f ca="1">TblConstr[[#This Row],[Plain]]</f>
        <v>20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370</v>
      </c>
      <c r="R116" s="175">
        <f>TblExplore[[#This Row],[Hour]]</f>
        <v>113</v>
      </c>
      <c r="S116" s="218"/>
      <c r="T116" s="179"/>
      <c r="U116" s="179"/>
      <c r="V116" s="179"/>
      <c r="W116" s="179"/>
      <c r="X116" s="179"/>
      <c r="Y116" s="179"/>
      <c r="Z116" s="179"/>
      <c r="AA116" s="159">
        <f ca="1">TblImps[[#This Row],[Real time]]</f>
        <v>45819.666666666395</v>
      </c>
      <c r="AB116" s="94">
        <f ca="1">TblMili[[#This Row],[Draftees]]</f>
        <v>4322</v>
      </c>
      <c r="AC116" s="94">
        <f ca="1">TblProd[[#This Row],[Platinum]]</f>
        <v>1457755</v>
      </c>
      <c r="AD116" s="215"/>
      <c r="AE116" s="45">
        <f ca="1">TblExplore[[#This Row],[Land]]-TblExplore[[#This Row],[Land Bonus]]*20</f>
        <v>370</v>
      </c>
      <c r="AF116" s="94">
        <f ca="1">ROUND(MAX(0.6*TblExplore[[#This Row],[Land-DB]]^1.299,850)*(1+ tech_2_6*Techs!AC116 + tech_2_9*Techs!AF116 + tech_3_7*Techs!AN116 + Overview!$I$33),0)</f>
        <v>1301</v>
      </c>
      <c r="AG116" s="94">
        <f ca="1">_xlfn.FLOOR.MATH(TblExplore[[#This Row],[Land-DB]]/150)+3+tech_2_9_2*TblTech[[#This Row],[2-9]]+tech_3_7_2*TblTech[[#This Row],[3-7]]</f>
        <v>5</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864</v>
      </c>
    </row>
    <row r="117" spans="1:36" x14ac:dyDescent="0.2">
      <c r="A117" s="175">
        <f>TblRezone[[#This Row],[Hour]]</f>
        <v>114</v>
      </c>
      <c r="B117" s="214">
        <f ca="1">TblConstr[[#This Row],[Land]]</f>
        <v>370</v>
      </c>
      <c r="C117" s="215"/>
      <c r="D117" s="216">
        <f ca="1">TblConstr[[#This Row],[Plain]]</f>
        <v>20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370</v>
      </c>
      <c r="R117" s="175">
        <f>TblExplore[[#This Row],[Hour]]</f>
        <v>114</v>
      </c>
      <c r="S117" s="218"/>
      <c r="T117" s="179"/>
      <c r="U117" s="179"/>
      <c r="V117" s="179"/>
      <c r="W117" s="179"/>
      <c r="X117" s="179"/>
      <c r="Y117" s="179"/>
      <c r="Z117" s="179"/>
      <c r="AA117" s="159">
        <f ca="1">TblImps[[#This Row],[Real time]]</f>
        <v>45819.708333333059</v>
      </c>
      <c r="AB117" s="94">
        <f ca="1">TblMili[[#This Row],[Draftees]]</f>
        <v>4341</v>
      </c>
      <c r="AC117" s="94">
        <f ca="1">TblProd[[#This Row],[Platinum]]</f>
        <v>1465218</v>
      </c>
      <c r="AD117" s="215"/>
      <c r="AE117" s="45">
        <f ca="1">TblExplore[[#This Row],[Land]]-TblExplore[[#This Row],[Land Bonus]]*20</f>
        <v>370</v>
      </c>
      <c r="AF117" s="94">
        <f ca="1">ROUND(MAX(0.6*TblExplore[[#This Row],[Land-DB]]^1.299,850)*(1+ tech_2_6*Techs!AC117 + tech_2_9*Techs!AF117 + tech_3_7*Techs!AN117 + Overview!$I$33),0)</f>
        <v>1301</v>
      </c>
      <c r="AG117" s="94">
        <f ca="1">_xlfn.FLOOR.MATH(TblExplore[[#This Row],[Land-DB]]/150)+3+tech_2_9_2*TblTech[[#This Row],[2-9]]+tech_3_7_2*TblTech[[#This Row],[3-7]]</f>
        <v>5</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868</v>
      </c>
    </row>
    <row r="118" spans="1:36" x14ac:dyDescent="0.2">
      <c r="A118" s="175">
        <f>TblRezone[[#This Row],[Hour]]</f>
        <v>115</v>
      </c>
      <c r="B118" s="214">
        <f ca="1">TblConstr[[#This Row],[Land]]</f>
        <v>370</v>
      </c>
      <c r="C118" s="215"/>
      <c r="D118" s="216">
        <f ca="1">TblConstr[[#This Row],[Plain]]</f>
        <v>20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370</v>
      </c>
      <c r="R118" s="175">
        <f>TblExplore[[#This Row],[Hour]]</f>
        <v>115</v>
      </c>
      <c r="S118" s="218"/>
      <c r="T118" s="179"/>
      <c r="U118" s="179"/>
      <c r="V118" s="179"/>
      <c r="W118" s="179"/>
      <c r="X118" s="179"/>
      <c r="Y118" s="179"/>
      <c r="Z118" s="179"/>
      <c r="AA118" s="159">
        <f ca="1">TblImps[[#This Row],[Real time]]</f>
        <v>45819.749999999724</v>
      </c>
      <c r="AB118" s="94">
        <f ca="1">TblMili[[#This Row],[Draftees]]</f>
        <v>4360</v>
      </c>
      <c r="AC118" s="94">
        <f ca="1">TblProd[[#This Row],[Platinum]]</f>
        <v>1472630</v>
      </c>
      <c r="AD118" s="215"/>
      <c r="AE118" s="45">
        <f ca="1">TblExplore[[#This Row],[Land]]-TblExplore[[#This Row],[Land Bonus]]*20</f>
        <v>370</v>
      </c>
      <c r="AF118" s="94">
        <f ca="1">ROUND(MAX(0.6*TblExplore[[#This Row],[Land-DB]]^1.299,850)*(1+ tech_2_6*Techs!AC118 + tech_2_9*Techs!AF118 + tech_3_7*Techs!AN118 + Overview!$I$33),0)</f>
        <v>1301</v>
      </c>
      <c r="AG118" s="94">
        <f ca="1">_xlfn.FLOOR.MATH(TblExplore[[#This Row],[Land-DB]]/150)+3+tech_2_9_2*TblTech[[#This Row],[2-9]]+tech_3_7_2*TblTech[[#This Row],[3-7]]</f>
        <v>5</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872</v>
      </c>
    </row>
    <row r="119" spans="1:36" x14ac:dyDescent="0.2">
      <c r="A119" s="175">
        <f>TblRezone[[#This Row],[Hour]]</f>
        <v>116</v>
      </c>
      <c r="B119" s="214">
        <f ca="1">TblConstr[[#This Row],[Land]]</f>
        <v>370</v>
      </c>
      <c r="C119" s="215"/>
      <c r="D119" s="216">
        <f ca="1">TblConstr[[#This Row],[Plain]]</f>
        <v>20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370</v>
      </c>
      <c r="R119" s="175">
        <f>TblExplore[[#This Row],[Hour]]</f>
        <v>116</v>
      </c>
      <c r="S119" s="218"/>
      <c r="T119" s="179"/>
      <c r="U119" s="179"/>
      <c r="V119" s="179"/>
      <c r="W119" s="179"/>
      <c r="X119" s="179"/>
      <c r="Y119" s="179"/>
      <c r="Z119" s="179"/>
      <c r="AA119" s="159">
        <f ca="1">TblImps[[#This Row],[Real time]]</f>
        <v>45819.791666666388</v>
      </c>
      <c r="AB119" s="94">
        <f ca="1">TblMili[[#This Row],[Draftees]]</f>
        <v>4379</v>
      </c>
      <c r="AC119" s="94">
        <f ca="1">TblProd[[#This Row],[Platinum]]</f>
        <v>1479991</v>
      </c>
      <c r="AD119" s="215"/>
      <c r="AE119" s="45">
        <f ca="1">TblExplore[[#This Row],[Land]]-TblExplore[[#This Row],[Land Bonus]]*20</f>
        <v>370</v>
      </c>
      <c r="AF119" s="94">
        <f ca="1">ROUND(MAX(0.6*TblExplore[[#This Row],[Land-DB]]^1.299,850)*(1+ tech_2_6*Techs!AC119 + tech_2_9*Techs!AF119 + tech_3_7*Techs!AN119 + Overview!$I$33),0)</f>
        <v>1301</v>
      </c>
      <c r="AG119" s="94">
        <f ca="1">_xlfn.FLOOR.MATH(TblExplore[[#This Row],[Land-DB]]/150)+3+tech_2_9_2*TblTech[[#This Row],[2-9]]+tech_3_7_2*TblTech[[#This Row],[3-7]]</f>
        <v>5</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875</v>
      </c>
    </row>
    <row r="120" spans="1:36" x14ac:dyDescent="0.2">
      <c r="A120" s="175">
        <f>TblRezone[[#This Row],[Hour]]</f>
        <v>117</v>
      </c>
      <c r="B120" s="214">
        <f ca="1">TblConstr[[#This Row],[Land]]</f>
        <v>370</v>
      </c>
      <c r="C120" s="215"/>
      <c r="D120" s="216">
        <f ca="1">TblConstr[[#This Row],[Plain]]</f>
        <v>20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370</v>
      </c>
      <c r="R120" s="175">
        <f>TblExplore[[#This Row],[Hour]]</f>
        <v>117</v>
      </c>
      <c r="S120" s="218"/>
      <c r="T120" s="179"/>
      <c r="U120" s="179"/>
      <c r="V120" s="179"/>
      <c r="W120" s="179"/>
      <c r="X120" s="179"/>
      <c r="Y120" s="179"/>
      <c r="Z120" s="179"/>
      <c r="AA120" s="159">
        <f ca="1">TblImps[[#This Row],[Real time]]</f>
        <v>45819.833333333052</v>
      </c>
      <c r="AB120" s="94">
        <f ca="1">TblMili[[#This Row],[Draftees]]</f>
        <v>4398</v>
      </c>
      <c r="AC120" s="94">
        <f ca="1">TblProd[[#This Row],[Platinum]]</f>
        <v>1487300</v>
      </c>
      <c r="AD120" s="215"/>
      <c r="AE120" s="45">
        <f ca="1">TblExplore[[#This Row],[Land]]-TblExplore[[#This Row],[Land Bonus]]*20</f>
        <v>370</v>
      </c>
      <c r="AF120" s="94">
        <f ca="1">ROUND(MAX(0.6*TblExplore[[#This Row],[Land-DB]]^1.299,850)*(1+ tech_2_6*Techs!AC120 + tech_2_9*Techs!AF120 + tech_3_7*Techs!AN120 + Overview!$I$33),0)</f>
        <v>1301</v>
      </c>
      <c r="AG120" s="94">
        <f ca="1">_xlfn.FLOOR.MATH(TblExplore[[#This Row],[Land-DB]]/150)+3+tech_2_9_2*TblTech[[#This Row],[2-9]]+tech_3_7_2*TblTech[[#This Row],[3-7]]</f>
        <v>5</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879</v>
      </c>
    </row>
    <row r="121" spans="1:36" x14ac:dyDescent="0.2">
      <c r="A121" s="175">
        <f>TblRezone[[#This Row],[Hour]]</f>
        <v>118</v>
      </c>
      <c r="B121" s="214">
        <f ca="1">TblConstr[[#This Row],[Land]]</f>
        <v>370</v>
      </c>
      <c r="C121" s="215"/>
      <c r="D121" s="216">
        <f ca="1">TblConstr[[#This Row],[Plain]]</f>
        <v>20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370</v>
      </c>
      <c r="R121" s="175">
        <f>TblExplore[[#This Row],[Hour]]</f>
        <v>118</v>
      </c>
      <c r="S121" s="218"/>
      <c r="T121" s="179"/>
      <c r="U121" s="179"/>
      <c r="V121" s="179"/>
      <c r="W121" s="179"/>
      <c r="X121" s="179"/>
      <c r="Y121" s="179"/>
      <c r="Z121" s="179"/>
      <c r="AA121" s="159">
        <f ca="1">TblImps[[#This Row],[Real time]]</f>
        <v>45819.874999999716</v>
      </c>
      <c r="AB121" s="94">
        <f ca="1">TblMili[[#This Row],[Draftees]]</f>
        <v>4417</v>
      </c>
      <c r="AC121" s="94">
        <f ca="1">TblProd[[#This Row],[Platinum]]</f>
        <v>1494558</v>
      </c>
      <c r="AD121" s="215"/>
      <c r="AE121" s="45">
        <f ca="1">TblExplore[[#This Row],[Land]]-TblExplore[[#This Row],[Land Bonus]]*20</f>
        <v>370</v>
      </c>
      <c r="AF121" s="94">
        <f ca="1">ROUND(MAX(0.6*TblExplore[[#This Row],[Land-DB]]^1.299,850)*(1+ tech_2_6*Techs!AC121 + tech_2_9*Techs!AF121 + tech_3_7*Techs!AN121 + Overview!$I$33),0)</f>
        <v>1301</v>
      </c>
      <c r="AG121" s="94">
        <f ca="1">_xlfn.FLOOR.MATH(TblExplore[[#This Row],[Land-DB]]/150)+3+tech_2_9_2*TblTech[[#This Row],[2-9]]+tech_3_7_2*TblTech[[#This Row],[3-7]]</f>
        <v>5</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883</v>
      </c>
    </row>
    <row r="122" spans="1:36" x14ac:dyDescent="0.2">
      <c r="A122" s="175">
        <f>TblRezone[[#This Row],[Hour]]</f>
        <v>119</v>
      </c>
      <c r="B122" s="214">
        <f ca="1">TblConstr[[#This Row],[Land]]</f>
        <v>370</v>
      </c>
      <c r="C122" s="215"/>
      <c r="D122" s="216">
        <f ca="1">TblConstr[[#This Row],[Plain]]</f>
        <v>20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370</v>
      </c>
      <c r="R122" s="175">
        <f>TblExplore[[#This Row],[Hour]]</f>
        <v>119</v>
      </c>
      <c r="S122" s="218"/>
      <c r="T122" s="179"/>
      <c r="U122" s="179"/>
      <c r="V122" s="179"/>
      <c r="W122" s="179"/>
      <c r="X122" s="179"/>
      <c r="Y122" s="179"/>
      <c r="Z122" s="179"/>
      <c r="AA122" s="159">
        <f ca="1">TblImps[[#This Row],[Real time]]</f>
        <v>45819.91666666638</v>
      </c>
      <c r="AB122" s="94">
        <f ca="1">TblMili[[#This Row],[Draftees]]</f>
        <v>4435</v>
      </c>
      <c r="AC122" s="94">
        <f ca="1">TblProd[[#This Row],[Platinum]]</f>
        <v>1501765</v>
      </c>
      <c r="AD122" s="215"/>
      <c r="AE122" s="45">
        <f ca="1">TblExplore[[#This Row],[Land]]-TblExplore[[#This Row],[Land Bonus]]*20</f>
        <v>370</v>
      </c>
      <c r="AF122" s="94">
        <f ca="1">ROUND(MAX(0.6*TblExplore[[#This Row],[Land-DB]]^1.299,850)*(1+ tech_2_6*Techs!AC122 + tech_2_9*Techs!AF122 + tech_3_7*Techs!AN122 + Overview!$I$33),0)</f>
        <v>1301</v>
      </c>
      <c r="AG122" s="94">
        <f ca="1">_xlfn.FLOOR.MATH(TblExplore[[#This Row],[Land-DB]]/150)+3+tech_2_9_2*TblTech[[#This Row],[2-9]]+tech_3_7_2*TblTech[[#This Row],[3-7]]</f>
        <v>5</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887</v>
      </c>
    </row>
    <row r="123" spans="1:36" x14ac:dyDescent="0.2">
      <c r="A123" s="175">
        <f>TblRezone[[#This Row],[Hour]]</f>
        <v>120</v>
      </c>
      <c r="B123" s="214">
        <f ca="1">TblConstr[[#This Row],[Land]]</f>
        <v>370</v>
      </c>
      <c r="C123" s="215"/>
      <c r="D123" s="216">
        <f ca="1">TblConstr[[#This Row],[Plain]]</f>
        <v>20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370</v>
      </c>
      <c r="R123" s="175">
        <f>TblExplore[[#This Row],[Hour]]</f>
        <v>120</v>
      </c>
      <c r="S123" s="218"/>
      <c r="T123" s="179"/>
      <c r="U123" s="179"/>
      <c r="V123" s="179"/>
      <c r="W123" s="179"/>
      <c r="X123" s="179"/>
      <c r="Y123" s="179"/>
      <c r="Z123" s="179"/>
      <c r="AA123" s="159">
        <f ca="1">TblImps[[#This Row],[Real time]]</f>
        <v>45819.958333333045</v>
      </c>
      <c r="AB123" s="94">
        <f ca="1">TblMili[[#This Row],[Draftees]]</f>
        <v>4453</v>
      </c>
      <c r="AC123" s="94">
        <f ca="1">TblProd[[#This Row],[Platinum]]</f>
        <v>1508923</v>
      </c>
      <c r="AD123" s="215"/>
      <c r="AE123" s="45">
        <f ca="1">TblExplore[[#This Row],[Land]]-TblExplore[[#This Row],[Land Bonus]]*20</f>
        <v>370</v>
      </c>
      <c r="AF123" s="94">
        <f ca="1">ROUND(MAX(0.6*TblExplore[[#This Row],[Land-DB]]^1.299,850)*(1+ tech_2_6*Techs!AC123 + tech_2_9*Techs!AF123 + tech_3_7*Techs!AN123 + Overview!$I$33),0)</f>
        <v>1301</v>
      </c>
      <c r="AG123" s="94">
        <f ca="1">_xlfn.FLOOR.MATH(TblExplore[[#This Row],[Land-DB]]/150)+3+tech_2_9_2*TblTech[[#This Row],[2-9]]+tech_3_7_2*TblTech[[#This Row],[3-7]]</f>
        <v>5</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890</v>
      </c>
    </row>
    <row r="124" spans="1:36" x14ac:dyDescent="0.2">
      <c r="A124" s="175">
        <f>TblRezone[[#This Row],[Hour]]</f>
        <v>121</v>
      </c>
      <c r="B124" s="214">
        <f ca="1">TblConstr[[#This Row],[Land]]</f>
        <v>370</v>
      </c>
      <c r="C124" s="215"/>
      <c r="D124" s="216">
        <f ca="1">TblConstr[[#This Row],[Plain]]</f>
        <v>20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370</v>
      </c>
      <c r="R124" s="175">
        <f>TblExplore[[#This Row],[Hour]]</f>
        <v>121</v>
      </c>
      <c r="S124" s="218"/>
      <c r="T124" s="179"/>
      <c r="U124" s="179"/>
      <c r="V124" s="179"/>
      <c r="W124" s="179"/>
      <c r="X124" s="179"/>
      <c r="Y124" s="179"/>
      <c r="Z124" s="179"/>
      <c r="AA124" s="159">
        <f ca="1">TblImps[[#This Row],[Real time]]</f>
        <v>45819.999999999709</v>
      </c>
      <c r="AB124" s="94">
        <f ca="1">TblMili[[#This Row],[Draftees]]</f>
        <v>4471</v>
      </c>
      <c r="AC124" s="94">
        <f ca="1">TblProd[[#This Row],[Platinum]]</f>
        <v>1516033</v>
      </c>
      <c r="AD124" s="215"/>
      <c r="AE124" s="45">
        <f ca="1">TblExplore[[#This Row],[Land]]-TblExplore[[#This Row],[Land Bonus]]*20</f>
        <v>370</v>
      </c>
      <c r="AF124" s="94">
        <f ca="1">ROUND(MAX(0.6*TblExplore[[#This Row],[Land-DB]]^1.299,850)*(1+ tech_2_6*Techs!AC124 + tech_2_9*Techs!AF124 + tech_3_7*Techs!AN124 + Overview!$I$33),0)</f>
        <v>1301</v>
      </c>
      <c r="AG124" s="94">
        <f ca="1">_xlfn.FLOOR.MATH(TblExplore[[#This Row],[Land-DB]]/150)+3+tech_2_9_2*TblTech[[#This Row],[2-9]]+tech_3_7_2*TblTech[[#This Row],[3-7]]</f>
        <v>5</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894</v>
      </c>
    </row>
    <row r="125" spans="1:36" x14ac:dyDescent="0.2">
      <c r="A125" s="175">
        <f>TblRezone[[#This Row],[Hour]]</f>
        <v>122</v>
      </c>
      <c r="B125" s="214">
        <f ca="1">TblConstr[[#This Row],[Land]]</f>
        <v>370</v>
      </c>
      <c r="C125" s="215"/>
      <c r="D125" s="216">
        <f ca="1">TblConstr[[#This Row],[Plain]]</f>
        <v>20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370</v>
      </c>
      <c r="R125" s="175">
        <f>TblExplore[[#This Row],[Hour]]</f>
        <v>122</v>
      </c>
      <c r="S125" s="218"/>
      <c r="T125" s="179"/>
      <c r="U125" s="179"/>
      <c r="V125" s="179"/>
      <c r="W125" s="179"/>
      <c r="X125" s="179"/>
      <c r="Y125" s="179"/>
      <c r="Z125" s="179"/>
      <c r="AA125" s="159">
        <f ca="1">TblImps[[#This Row],[Real time]]</f>
        <v>45820.041666666373</v>
      </c>
      <c r="AB125" s="94">
        <f ca="1">TblMili[[#This Row],[Draftees]]</f>
        <v>4489</v>
      </c>
      <c r="AC125" s="94">
        <f ca="1">TblProd[[#This Row],[Platinum]]</f>
        <v>1523094</v>
      </c>
      <c r="AD125" s="215"/>
      <c r="AE125" s="45">
        <f ca="1">TblExplore[[#This Row],[Land]]-TblExplore[[#This Row],[Land Bonus]]*20</f>
        <v>370</v>
      </c>
      <c r="AF125" s="94">
        <f ca="1">ROUND(MAX(0.6*TblExplore[[#This Row],[Land-DB]]^1.299,850)*(1+ tech_2_6*Techs!AC125 + tech_2_9*Techs!AF125 + tech_3_7*Techs!AN125 + Overview!$I$33),0)</f>
        <v>1301</v>
      </c>
      <c r="AG125" s="94">
        <f ca="1">_xlfn.FLOOR.MATH(TblExplore[[#This Row],[Land-DB]]/150)+3+tech_2_9_2*TblTech[[#This Row],[2-9]]+tech_3_7_2*TblTech[[#This Row],[3-7]]</f>
        <v>5</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897</v>
      </c>
    </row>
    <row r="126" spans="1:36" x14ac:dyDescent="0.2">
      <c r="A126" s="175">
        <f>TblRezone[[#This Row],[Hour]]</f>
        <v>123</v>
      </c>
      <c r="B126" s="214">
        <f ca="1">TblConstr[[#This Row],[Land]]</f>
        <v>370</v>
      </c>
      <c r="C126" s="215"/>
      <c r="D126" s="216">
        <f ca="1">TblConstr[[#This Row],[Plain]]</f>
        <v>20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370</v>
      </c>
      <c r="R126" s="175">
        <f>TblExplore[[#This Row],[Hour]]</f>
        <v>123</v>
      </c>
      <c r="S126" s="218"/>
      <c r="T126" s="179"/>
      <c r="U126" s="179"/>
      <c r="V126" s="179"/>
      <c r="W126" s="179"/>
      <c r="X126" s="179"/>
      <c r="Y126" s="179"/>
      <c r="Z126" s="179"/>
      <c r="AA126" s="159">
        <f ca="1">TblImps[[#This Row],[Real time]]</f>
        <v>45820.083333333037</v>
      </c>
      <c r="AB126" s="94">
        <f ca="1">TblMili[[#This Row],[Draftees]]</f>
        <v>4507</v>
      </c>
      <c r="AC126" s="94">
        <f ca="1">TblProd[[#This Row],[Platinum]]</f>
        <v>1530106</v>
      </c>
      <c r="AD126" s="215"/>
      <c r="AE126" s="45">
        <f ca="1">TblExplore[[#This Row],[Land]]-TblExplore[[#This Row],[Land Bonus]]*20</f>
        <v>370</v>
      </c>
      <c r="AF126" s="94">
        <f ca="1">ROUND(MAX(0.6*TblExplore[[#This Row],[Land-DB]]^1.299,850)*(1+ tech_2_6*Techs!AC126 + tech_2_9*Techs!AF126 + tech_3_7*Techs!AN126 + Overview!$I$33),0)</f>
        <v>1301</v>
      </c>
      <c r="AG126" s="94">
        <f ca="1">_xlfn.FLOOR.MATH(TblExplore[[#This Row],[Land-DB]]/150)+3+tech_2_9_2*TblTech[[#This Row],[2-9]]+tech_3_7_2*TblTech[[#This Row],[3-7]]</f>
        <v>5</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901</v>
      </c>
    </row>
    <row r="127" spans="1:36" x14ac:dyDescent="0.2">
      <c r="A127" s="175">
        <f>TblRezone[[#This Row],[Hour]]</f>
        <v>124</v>
      </c>
      <c r="B127" s="214">
        <f ca="1">TblConstr[[#This Row],[Land]]</f>
        <v>370</v>
      </c>
      <c r="C127" s="215"/>
      <c r="D127" s="216">
        <f ca="1">TblConstr[[#This Row],[Plain]]</f>
        <v>20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370</v>
      </c>
      <c r="R127" s="175">
        <f>TblExplore[[#This Row],[Hour]]</f>
        <v>124</v>
      </c>
      <c r="S127" s="218"/>
      <c r="T127" s="179"/>
      <c r="U127" s="179"/>
      <c r="V127" s="179"/>
      <c r="W127" s="179"/>
      <c r="X127" s="179"/>
      <c r="Y127" s="179"/>
      <c r="Z127" s="179"/>
      <c r="AA127" s="159">
        <f ca="1">TblImps[[#This Row],[Real time]]</f>
        <v>45820.124999999702</v>
      </c>
      <c r="AB127" s="94">
        <f ca="1">TblMili[[#This Row],[Draftees]]</f>
        <v>4524</v>
      </c>
      <c r="AC127" s="94">
        <f ca="1">TblProd[[#This Row],[Platinum]]</f>
        <v>1537070</v>
      </c>
      <c r="AD127" s="215"/>
      <c r="AE127" s="45">
        <f ca="1">TblExplore[[#This Row],[Land]]-TblExplore[[#This Row],[Land Bonus]]*20</f>
        <v>370</v>
      </c>
      <c r="AF127" s="94">
        <f ca="1">ROUND(MAX(0.6*TblExplore[[#This Row],[Land-DB]]^1.299,850)*(1+ tech_2_6*Techs!AC127 + tech_2_9*Techs!AF127 + tech_3_7*Techs!AN127 + Overview!$I$33),0)</f>
        <v>1301</v>
      </c>
      <c r="AG127" s="94">
        <f ca="1">_xlfn.FLOOR.MATH(TblExplore[[#This Row],[Land-DB]]/150)+3+tech_2_9_2*TblTech[[#This Row],[2-9]]+tech_3_7_2*TblTech[[#This Row],[3-7]]</f>
        <v>5</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904</v>
      </c>
    </row>
    <row r="128" spans="1:36" x14ac:dyDescent="0.2">
      <c r="A128" s="175">
        <f>TblRezone[[#This Row],[Hour]]</f>
        <v>125</v>
      </c>
      <c r="B128" s="214">
        <f ca="1">TblConstr[[#This Row],[Land]]</f>
        <v>370</v>
      </c>
      <c r="C128" s="215"/>
      <c r="D128" s="216">
        <f ca="1">TblConstr[[#This Row],[Plain]]</f>
        <v>20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370</v>
      </c>
      <c r="R128" s="175">
        <f>TblExplore[[#This Row],[Hour]]</f>
        <v>125</v>
      </c>
      <c r="S128" s="218"/>
      <c r="T128" s="179"/>
      <c r="U128" s="179"/>
      <c r="V128" s="179"/>
      <c r="W128" s="179"/>
      <c r="X128" s="179"/>
      <c r="Y128" s="179"/>
      <c r="Z128" s="179"/>
      <c r="AA128" s="159">
        <f ca="1">TblImps[[#This Row],[Real time]]</f>
        <v>45820.166666666366</v>
      </c>
      <c r="AB128" s="94">
        <f ca="1">TblMili[[#This Row],[Draftees]]</f>
        <v>4541</v>
      </c>
      <c r="AC128" s="94">
        <f ca="1">TblProd[[#This Row],[Platinum]]</f>
        <v>1543988</v>
      </c>
      <c r="AD128" s="215"/>
      <c r="AE128" s="45">
        <f ca="1">TblExplore[[#This Row],[Land]]-TblExplore[[#This Row],[Land Bonus]]*20</f>
        <v>370</v>
      </c>
      <c r="AF128" s="94">
        <f ca="1">ROUND(MAX(0.6*TblExplore[[#This Row],[Land-DB]]^1.299,850)*(1+ tech_2_6*Techs!AC128 + tech_2_9*Techs!AF128 + tech_3_7*Techs!AN128 + Overview!$I$33),0)</f>
        <v>1301</v>
      </c>
      <c r="AG128" s="94">
        <f ca="1">_xlfn.FLOOR.MATH(TblExplore[[#This Row],[Land-DB]]/150)+3+tech_2_9_2*TblTech[[#This Row],[2-9]]+tech_3_7_2*TblTech[[#This Row],[3-7]]</f>
        <v>5</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908</v>
      </c>
    </row>
    <row r="129" spans="1:36" x14ac:dyDescent="0.2">
      <c r="A129" s="175">
        <f>TblRezone[[#This Row],[Hour]]</f>
        <v>126</v>
      </c>
      <c r="B129" s="214">
        <f ca="1">TblConstr[[#This Row],[Land]]</f>
        <v>370</v>
      </c>
      <c r="C129" s="215"/>
      <c r="D129" s="216">
        <f ca="1">TblConstr[[#This Row],[Plain]]</f>
        <v>20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370</v>
      </c>
      <c r="R129" s="175">
        <f>TblExplore[[#This Row],[Hour]]</f>
        <v>126</v>
      </c>
      <c r="S129" s="218"/>
      <c r="T129" s="179"/>
      <c r="U129" s="179"/>
      <c r="V129" s="179"/>
      <c r="W129" s="179"/>
      <c r="X129" s="179"/>
      <c r="Y129" s="179"/>
      <c r="Z129" s="179"/>
      <c r="AA129" s="159">
        <f ca="1">TblImps[[#This Row],[Real time]]</f>
        <v>45820.20833333303</v>
      </c>
      <c r="AB129" s="94">
        <f ca="1">TblMili[[#This Row],[Draftees]]</f>
        <v>4558</v>
      </c>
      <c r="AC129" s="94">
        <f ca="1">TblProd[[#This Row],[Platinum]]</f>
        <v>1550860</v>
      </c>
      <c r="AD129" s="215"/>
      <c r="AE129" s="45">
        <f ca="1">TblExplore[[#This Row],[Land]]-TblExplore[[#This Row],[Land Bonus]]*20</f>
        <v>370</v>
      </c>
      <c r="AF129" s="94">
        <f ca="1">ROUND(MAX(0.6*TblExplore[[#This Row],[Land-DB]]^1.299,850)*(1+ tech_2_6*Techs!AC129 + tech_2_9*Techs!AF129 + tech_3_7*Techs!AN129 + Overview!$I$33),0)</f>
        <v>1301</v>
      </c>
      <c r="AG129" s="94">
        <f ca="1">_xlfn.FLOOR.MATH(TblExplore[[#This Row],[Land-DB]]/150)+3+tech_2_9_2*TblTech[[#This Row],[2-9]]+tech_3_7_2*TblTech[[#This Row],[3-7]]</f>
        <v>5</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911</v>
      </c>
    </row>
    <row r="130" spans="1:36" x14ac:dyDescent="0.2">
      <c r="A130" s="175">
        <f>TblRezone[[#This Row],[Hour]]</f>
        <v>127</v>
      </c>
      <c r="B130" s="214">
        <f ca="1">TblConstr[[#This Row],[Land]]</f>
        <v>370</v>
      </c>
      <c r="C130" s="215"/>
      <c r="D130" s="216">
        <f ca="1">TblConstr[[#This Row],[Plain]]</f>
        <v>20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370</v>
      </c>
      <c r="R130" s="175">
        <f>TblExplore[[#This Row],[Hour]]</f>
        <v>127</v>
      </c>
      <c r="S130" s="218"/>
      <c r="T130" s="179"/>
      <c r="U130" s="179"/>
      <c r="V130" s="179"/>
      <c r="W130" s="179"/>
      <c r="X130" s="179"/>
      <c r="Y130" s="179"/>
      <c r="Z130" s="179"/>
      <c r="AA130" s="159">
        <f ca="1">TblImps[[#This Row],[Real time]]</f>
        <v>45820.249999999694</v>
      </c>
      <c r="AB130" s="94">
        <f ca="1">TblMili[[#This Row],[Draftees]]</f>
        <v>4575</v>
      </c>
      <c r="AC130" s="94">
        <f ca="1">TblProd[[#This Row],[Platinum]]</f>
        <v>1557686</v>
      </c>
      <c r="AD130" s="215"/>
      <c r="AE130" s="45">
        <f ca="1">TblExplore[[#This Row],[Land]]-TblExplore[[#This Row],[Land Bonus]]*20</f>
        <v>370</v>
      </c>
      <c r="AF130" s="94">
        <f ca="1">ROUND(MAX(0.6*TblExplore[[#This Row],[Land-DB]]^1.299,850)*(1+ tech_2_6*Techs!AC130 + tech_2_9*Techs!AF130 + tech_3_7*Techs!AN130 + Overview!$I$33),0)</f>
        <v>1301</v>
      </c>
      <c r="AG130" s="94">
        <f ca="1">_xlfn.FLOOR.MATH(TblExplore[[#This Row],[Land-DB]]/150)+3+tech_2_9_2*TblTech[[#This Row],[2-9]]+tech_3_7_2*TblTech[[#This Row],[3-7]]</f>
        <v>5</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915</v>
      </c>
    </row>
    <row r="131" spans="1:36" x14ac:dyDescent="0.2">
      <c r="A131" s="175">
        <f>TblRezone[[#This Row],[Hour]]</f>
        <v>128</v>
      </c>
      <c r="B131" s="214">
        <f ca="1">TblConstr[[#This Row],[Land]]</f>
        <v>370</v>
      </c>
      <c r="C131" s="215"/>
      <c r="D131" s="216">
        <f ca="1">TblConstr[[#This Row],[Plain]]</f>
        <v>20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370</v>
      </c>
      <c r="R131" s="175">
        <f>TblExplore[[#This Row],[Hour]]</f>
        <v>128</v>
      </c>
      <c r="S131" s="218"/>
      <c r="T131" s="179"/>
      <c r="U131" s="179"/>
      <c r="V131" s="179"/>
      <c r="W131" s="179"/>
      <c r="X131" s="179"/>
      <c r="Y131" s="179"/>
      <c r="Z131" s="179"/>
      <c r="AA131" s="159">
        <f ca="1">TblImps[[#This Row],[Real time]]</f>
        <v>45820.291666666359</v>
      </c>
      <c r="AB131" s="94">
        <f ca="1">TblMili[[#This Row],[Draftees]]</f>
        <v>4592</v>
      </c>
      <c r="AC131" s="94">
        <f ca="1">TblProd[[#This Row],[Platinum]]</f>
        <v>1564466</v>
      </c>
      <c r="AD131" s="215"/>
      <c r="AE131" s="45">
        <f ca="1">TblExplore[[#This Row],[Land]]-TblExplore[[#This Row],[Land Bonus]]*20</f>
        <v>370</v>
      </c>
      <c r="AF131" s="94">
        <f ca="1">ROUND(MAX(0.6*TblExplore[[#This Row],[Land-DB]]^1.299,850)*(1+ tech_2_6*Techs!AC131 + tech_2_9*Techs!AF131 + tech_3_7*Techs!AN131 + Overview!$I$33),0)</f>
        <v>1301</v>
      </c>
      <c r="AG131" s="94">
        <f ca="1">_xlfn.FLOOR.MATH(TblExplore[[#This Row],[Land-DB]]/150)+3+tech_2_9_2*TblTech[[#This Row],[2-9]]+tech_3_7_2*TblTech[[#This Row],[3-7]]</f>
        <v>5</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918</v>
      </c>
    </row>
    <row r="132" spans="1:36" x14ac:dyDescent="0.2">
      <c r="A132" s="175">
        <f>TblRezone[[#This Row],[Hour]]</f>
        <v>129</v>
      </c>
      <c r="B132" s="214">
        <f ca="1">TblConstr[[#This Row],[Land]]</f>
        <v>370</v>
      </c>
      <c r="C132" s="215"/>
      <c r="D132" s="216">
        <f ca="1">TblConstr[[#This Row],[Plain]]</f>
        <v>20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370</v>
      </c>
      <c r="R132" s="175">
        <f>TblExplore[[#This Row],[Hour]]</f>
        <v>129</v>
      </c>
      <c r="S132" s="218"/>
      <c r="T132" s="179"/>
      <c r="U132" s="179"/>
      <c r="V132" s="179"/>
      <c r="W132" s="179"/>
      <c r="X132" s="179"/>
      <c r="Y132" s="179"/>
      <c r="Z132" s="179"/>
      <c r="AA132" s="159">
        <f ca="1">TblImps[[#This Row],[Real time]]</f>
        <v>45820.333333333023</v>
      </c>
      <c r="AB132" s="94">
        <f ca="1">TblMili[[#This Row],[Draftees]]</f>
        <v>4609</v>
      </c>
      <c r="AC132" s="94">
        <f ca="1">TblProd[[#This Row],[Platinum]]</f>
        <v>1571200</v>
      </c>
      <c r="AD132" s="215"/>
      <c r="AE132" s="45">
        <f ca="1">TblExplore[[#This Row],[Land]]-TblExplore[[#This Row],[Land Bonus]]*20</f>
        <v>370</v>
      </c>
      <c r="AF132" s="94">
        <f ca="1">ROUND(MAX(0.6*TblExplore[[#This Row],[Land-DB]]^1.299,850)*(1+ tech_2_6*Techs!AC132 + tech_2_9*Techs!AF132 + tech_3_7*Techs!AN132 + Overview!$I$33),0)</f>
        <v>1301</v>
      </c>
      <c r="AG132" s="94">
        <f ca="1">_xlfn.FLOOR.MATH(TblExplore[[#This Row],[Land-DB]]/150)+3+tech_2_9_2*TblTech[[#This Row],[2-9]]+tech_3_7_2*TblTech[[#This Row],[3-7]]</f>
        <v>5</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921</v>
      </c>
    </row>
    <row r="133" spans="1:36" x14ac:dyDescent="0.2">
      <c r="A133" s="175">
        <f>TblRezone[[#This Row],[Hour]]</f>
        <v>130</v>
      </c>
      <c r="B133" s="214">
        <f ca="1">TblConstr[[#This Row],[Land]]</f>
        <v>370</v>
      </c>
      <c r="C133" s="215"/>
      <c r="D133" s="216">
        <f ca="1">TblConstr[[#This Row],[Plain]]</f>
        <v>20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370</v>
      </c>
      <c r="R133" s="175">
        <f>TblExplore[[#This Row],[Hour]]</f>
        <v>130</v>
      </c>
      <c r="S133" s="218"/>
      <c r="T133" s="179"/>
      <c r="U133" s="179"/>
      <c r="V133" s="179"/>
      <c r="W133" s="179"/>
      <c r="X133" s="179"/>
      <c r="Y133" s="179"/>
      <c r="Z133" s="179"/>
      <c r="AA133" s="159">
        <f ca="1">TblImps[[#This Row],[Real time]]</f>
        <v>45820.374999999687</v>
      </c>
      <c r="AB133" s="94">
        <f ca="1">TblMili[[#This Row],[Draftees]]</f>
        <v>4625</v>
      </c>
      <c r="AC133" s="94">
        <f ca="1">TblProd[[#This Row],[Platinum]]</f>
        <v>1577888</v>
      </c>
      <c r="AD133" s="215"/>
      <c r="AE133" s="45">
        <f ca="1">TblExplore[[#This Row],[Land]]-TblExplore[[#This Row],[Land Bonus]]*20</f>
        <v>370</v>
      </c>
      <c r="AF133" s="94">
        <f ca="1">ROUND(MAX(0.6*TblExplore[[#This Row],[Land-DB]]^1.299,850)*(1+ tech_2_6*Techs!AC133 + tech_2_9*Techs!AF133 + tech_3_7*Techs!AN133 + Overview!$I$33),0)</f>
        <v>1301</v>
      </c>
      <c r="AG133" s="94">
        <f ca="1">_xlfn.FLOOR.MATH(TblExplore[[#This Row],[Land-DB]]/150)+3+tech_2_9_2*TblTech[[#This Row],[2-9]]+tech_3_7_2*TblTech[[#This Row],[3-7]]</f>
        <v>5</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925</v>
      </c>
    </row>
    <row r="134" spans="1:36" x14ac:dyDescent="0.2">
      <c r="A134" s="175">
        <f>TblRezone[[#This Row],[Hour]]</f>
        <v>131</v>
      </c>
      <c r="B134" s="214">
        <f ca="1">TblConstr[[#This Row],[Land]]</f>
        <v>370</v>
      </c>
      <c r="C134" s="215"/>
      <c r="D134" s="216">
        <f ca="1">TblConstr[[#This Row],[Plain]]</f>
        <v>20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370</v>
      </c>
      <c r="R134" s="175">
        <f>TblExplore[[#This Row],[Hour]]</f>
        <v>131</v>
      </c>
      <c r="S134" s="218"/>
      <c r="T134" s="179"/>
      <c r="U134" s="179"/>
      <c r="V134" s="179"/>
      <c r="W134" s="179"/>
      <c r="X134" s="179"/>
      <c r="Y134" s="179"/>
      <c r="Z134" s="179"/>
      <c r="AA134" s="159">
        <f ca="1">TblImps[[#This Row],[Real time]]</f>
        <v>45820.416666666351</v>
      </c>
      <c r="AB134" s="94">
        <f ca="1">TblMili[[#This Row],[Draftees]]</f>
        <v>4641</v>
      </c>
      <c r="AC134" s="94">
        <f ca="1">TblProd[[#This Row],[Platinum]]</f>
        <v>1584533</v>
      </c>
      <c r="AD134" s="215"/>
      <c r="AE134" s="45">
        <f ca="1">TblExplore[[#This Row],[Land]]-TblExplore[[#This Row],[Land Bonus]]*20</f>
        <v>370</v>
      </c>
      <c r="AF134" s="94">
        <f ca="1">ROUND(MAX(0.6*TblExplore[[#This Row],[Land-DB]]^1.299,850)*(1+ tech_2_6*Techs!AC134 + tech_2_9*Techs!AF134 + tech_3_7*Techs!AN134 + Overview!$I$33),0)</f>
        <v>1301</v>
      </c>
      <c r="AG134" s="94">
        <f ca="1">_xlfn.FLOOR.MATH(TblExplore[[#This Row],[Land-DB]]/150)+3+tech_2_9_2*TblTech[[#This Row],[2-9]]+tech_3_7_2*TblTech[[#This Row],[3-7]]</f>
        <v>5</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928</v>
      </c>
    </row>
    <row r="135" spans="1:36" x14ac:dyDescent="0.2">
      <c r="A135" s="175">
        <f>TblRezone[[#This Row],[Hour]]</f>
        <v>132</v>
      </c>
      <c r="B135" s="214">
        <f ca="1">TblConstr[[#This Row],[Land]]</f>
        <v>370</v>
      </c>
      <c r="C135" s="215"/>
      <c r="D135" s="216">
        <f ca="1">TblConstr[[#This Row],[Plain]]</f>
        <v>20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370</v>
      </c>
      <c r="R135" s="175">
        <f>TblExplore[[#This Row],[Hour]]</f>
        <v>132</v>
      </c>
      <c r="S135" s="218"/>
      <c r="T135" s="179"/>
      <c r="U135" s="179"/>
      <c r="V135" s="179"/>
      <c r="W135" s="179"/>
      <c r="X135" s="179"/>
      <c r="Y135" s="179"/>
      <c r="Z135" s="179"/>
      <c r="AA135" s="159">
        <f ca="1">TblImps[[#This Row],[Real time]]</f>
        <v>45820.458333333016</v>
      </c>
      <c r="AB135" s="94">
        <f ca="1">TblMili[[#This Row],[Draftees]]</f>
        <v>4657</v>
      </c>
      <c r="AC135" s="94">
        <f ca="1">TblProd[[#This Row],[Platinum]]</f>
        <v>1591135</v>
      </c>
      <c r="AD135" s="215"/>
      <c r="AE135" s="45">
        <f ca="1">TblExplore[[#This Row],[Land]]-TblExplore[[#This Row],[Land Bonus]]*20</f>
        <v>370</v>
      </c>
      <c r="AF135" s="94">
        <f ca="1">ROUND(MAX(0.6*TblExplore[[#This Row],[Land-DB]]^1.299,850)*(1+ tech_2_6*Techs!AC135 + tech_2_9*Techs!AF135 + tech_3_7*Techs!AN135 + Overview!$I$33),0)</f>
        <v>1301</v>
      </c>
      <c r="AG135" s="94">
        <f ca="1">_xlfn.FLOOR.MATH(TblExplore[[#This Row],[Land-DB]]/150)+3+tech_2_9_2*TblTech[[#This Row],[2-9]]+tech_3_7_2*TblTech[[#This Row],[3-7]]</f>
        <v>5</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931</v>
      </c>
    </row>
    <row r="136" spans="1:36" x14ac:dyDescent="0.2">
      <c r="A136" s="175">
        <f>TblRezone[[#This Row],[Hour]]</f>
        <v>133</v>
      </c>
      <c r="B136" s="214">
        <f ca="1">TblConstr[[#This Row],[Land]]</f>
        <v>370</v>
      </c>
      <c r="C136" s="215"/>
      <c r="D136" s="216">
        <f ca="1">TblConstr[[#This Row],[Plain]]</f>
        <v>20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370</v>
      </c>
      <c r="R136" s="175">
        <f>TblExplore[[#This Row],[Hour]]</f>
        <v>133</v>
      </c>
      <c r="S136" s="218"/>
      <c r="T136" s="179"/>
      <c r="U136" s="179"/>
      <c r="V136" s="179"/>
      <c r="W136" s="179"/>
      <c r="X136" s="179"/>
      <c r="Y136" s="179"/>
      <c r="Z136" s="179"/>
      <c r="AA136" s="159">
        <f ca="1">TblImps[[#This Row],[Real time]]</f>
        <v>45820.49999999968</v>
      </c>
      <c r="AB136" s="94">
        <f ca="1">TblMili[[#This Row],[Draftees]]</f>
        <v>4673</v>
      </c>
      <c r="AC136" s="94">
        <f ca="1">TblProd[[#This Row],[Platinum]]</f>
        <v>1597694</v>
      </c>
      <c r="AD136" s="215"/>
      <c r="AE136" s="45">
        <f ca="1">TblExplore[[#This Row],[Land]]-TblExplore[[#This Row],[Land Bonus]]*20</f>
        <v>370</v>
      </c>
      <c r="AF136" s="94">
        <f ca="1">ROUND(MAX(0.6*TblExplore[[#This Row],[Land-DB]]^1.299,850)*(1+ tech_2_6*Techs!AC136 + tech_2_9*Techs!AF136 + tech_3_7*Techs!AN136 + Overview!$I$33),0)</f>
        <v>1301</v>
      </c>
      <c r="AG136" s="94">
        <f ca="1">_xlfn.FLOOR.MATH(TblExplore[[#This Row],[Land-DB]]/150)+3+tech_2_9_2*TblTech[[#This Row],[2-9]]+tech_3_7_2*TblTech[[#This Row],[3-7]]</f>
        <v>5</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934</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$A4=49</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$A13=49</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$A24=49</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370</v>
      </c>
      <c r="B4" s="216">
        <f ca="1">TblConstr[[#This Row],[Plain]]</f>
        <v>20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45815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ROUNDUP( (1-MIN(ROUND(facs_rezone_factor*TblRezone[[#This Row],[Facs]],4),facs_rezone_max) + tech_6_4*TblTech[[#This Row],[6-4]] + tech_10_2*TblTech[[#This Row],[10-2]] - IF(TblMagic[[#This Row],[Active Mechanical Genius]]&gt;0,mech_genius_bonus,0) + race_rezone_cost) * TblRezone[[#This Row],[Plat/acre*]],0)</f>
        <v>322</v>
      </c>
      <c r="Y4" s="94">
        <f ca="1">TblRezone[[#This Row],[Total acres]]*TblRezone[[#This Row],[Plat/acre]]</f>
        <v>0</v>
      </c>
      <c r="Z4" s="215"/>
      <c r="AA4" s="94">
        <f ca="1">(250+0.6*(TblRezone[[#This Row],[Land]]-250))</f>
        <v>322</v>
      </c>
      <c r="AB4" s="215"/>
      <c r="AC4" s="157">
        <f ca="1">TblConstr[[#This Row],[Facs DB]]</f>
        <v>0</v>
      </c>
    </row>
    <row r="5" spans="1:29" x14ac:dyDescent="0.2">
      <c r="A5" s="214">
        <f ca="1">TblConstr[[#This Row],[Land]]</f>
        <v>370</v>
      </c>
      <c r="B5" s="216">
        <f ca="1">TblConstr[[#This Row],[Plain]]</f>
        <v>20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45815.041666666664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138045</v>
      </c>
      <c r="W5" s="215"/>
      <c r="X5" s="94">
        <f ca="1">ROUNDUP( (1-MIN(ROUND(facs_rezone_factor*TblRezone[[#This Row],[Facs]],4),facs_rezone_max) + tech_6_4*TblTech[[#This Row],[6-4]] + tech_10_2*TblTech[[#This Row],[10-2]] - IF(TblMagic[[#This Row],[Active Mechanical Genius]]&gt;0,mech_genius_bonus,0) + race_rezone_cost) * TblRezone[[#This Row],[Plat/acre*]],0)</f>
        <v>322</v>
      </c>
      <c r="Y5" s="94">
        <f ca="1">TblRezone[[#This Row],[Total acres]]*TblRezone[[#This Row],[Plat/acre]]</f>
        <v>0</v>
      </c>
      <c r="Z5" s="215"/>
      <c r="AA5" s="94">
        <f ca="1">(250+0.6*(TblRezone[[#This Row],[Land]]-250))</f>
        <v>322</v>
      </c>
      <c r="AB5" s="215"/>
      <c r="AC5" s="157">
        <f ca="1">TblConstr[[#This Row],[Facs DB]]</f>
        <v>0</v>
      </c>
    </row>
    <row r="6" spans="1:29" x14ac:dyDescent="0.2">
      <c r="A6" s="214">
        <f ca="1">TblConstr[[#This Row],[Land]]</f>
        <v>370</v>
      </c>
      <c r="B6" s="216">
        <f ca="1">TblConstr[[#This Row],[Plain]]</f>
        <v>20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45815.083333333328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156208</v>
      </c>
      <c r="W6" s="215"/>
      <c r="X6" s="94">
        <f ca="1">ROUNDUP( (1-MIN(ROUND(facs_rezone_factor*TblRezone[[#This Row],[Facs]],4),facs_rezone_max) + tech_6_4*TblTech[[#This Row],[6-4]] + tech_10_2*TblTech[[#This Row],[10-2]] - IF(TblMagic[[#This Row],[Active Mechanical Genius]]&gt;0,mech_genius_bonus,0) + race_rezone_cost) * TblRezone[[#This Row],[Plat/acre*]],0)</f>
        <v>322</v>
      </c>
      <c r="Y6" s="94">
        <f ca="1">TblRezone[[#This Row],[Total acres]]*TblRezone[[#This Row],[Plat/acre]]</f>
        <v>0</v>
      </c>
      <c r="Z6" s="215"/>
      <c r="AA6" s="94">
        <f ca="1">(250+0.6*(TblRezone[[#This Row],[Land]]-250))</f>
        <v>322</v>
      </c>
      <c r="AB6" s="215"/>
      <c r="AC6" s="157">
        <f ca="1">TblConstr[[#This Row],[Facs DB]]</f>
        <v>0</v>
      </c>
    </row>
    <row r="7" spans="1:29" x14ac:dyDescent="0.2">
      <c r="A7" s="214">
        <f ca="1">TblConstr[[#This Row],[Land]]</f>
        <v>370</v>
      </c>
      <c r="B7" s="216">
        <f ca="1">TblConstr[[#This Row],[Plain]]</f>
        <v>20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45815.124999999993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174212</v>
      </c>
      <c r="W7" s="215"/>
      <c r="X7" s="94">
        <f ca="1">ROUNDUP( (1-MIN(ROUND(facs_rezone_factor*TblRezone[[#This Row],[Facs]],4),facs_rezone_max) + tech_6_4*TblTech[[#This Row],[6-4]] + tech_10_2*TblTech[[#This Row],[10-2]] - IF(TblMagic[[#This Row],[Active Mechanical Genius]]&gt;0,mech_genius_bonus,0) + race_rezone_cost) * TblRezone[[#This Row],[Plat/acre*]],0)</f>
        <v>322</v>
      </c>
      <c r="Y7" s="94">
        <f ca="1">TblRezone[[#This Row],[Total acres]]*TblRezone[[#This Row],[Plat/acre]]</f>
        <v>0</v>
      </c>
      <c r="Z7" s="215"/>
      <c r="AA7" s="94">
        <f ca="1">(250+0.6*(TblRezone[[#This Row],[Land]]-250))</f>
        <v>322</v>
      </c>
      <c r="AB7" s="215"/>
      <c r="AC7" s="157">
        <f ca="1">TblConstr[[#This Row],[Facs DB]]</f>
        <v>0</v>
      </c>
    </row>
    <row r="8" spans="1:29" x14ac:dyDescent="0.2">
      <c r="A8" s="214">
        <f ca="1">TblConstr[[#This Row],[Land]]</f>
        <v>370</v>
      </c>
      <c r="B8" s="216">
        <f ca="1">TblConstr[[#This Row],[Plain]]</f>
        <v>20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45815.166666666657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192059</v>
      </c>
      <c r="W8" s="215"/>
      <c r="X8" s="94">
        <f ca="1">ROUNDUP( (1-MIN(ROUND(facs_rezone_factor*TblRezone[[#This Row],[Facs]],4),facs_rezone_max) + tech_6_4*TblTech[[#This Row],[6-4]] + tech_10_2*TblTech[[#This Row],[10-2]] - IF(TblMagic[[#This Row],[Active Mechanical Genius]]&gt;0,mech_genius_bonus,0) + race_rezone_cost) * TblRezone[[#This Row],[Plat/acre*]],0)</f>
        <v>322</v>
      </c>
      <c r="Y8" s="94">
        <f ca="1">TblRezone[[#This Row],[Total acres]]*TblRezone[[#This Row],[Plat/acre]]</f>
        <v>0</v>
      </c>
      <c r="Z8" s="215"/>
      <c r="AA8" s="94">
        <f ca="1">(250+0.6*(TblRezone[[#This Row],[Land]]-250))</f>
        <v>322</v>
      </c>
      <c r="AB8" s="215"/>
      <c r="AC8" s="157">
        <f ca="1">TblConstr[[#This Row],[Facs DB]]</f>
        <v>0</v>
      </c>
    </row>
    <row r="9" spans="1:29" x14ac:dyDescent="0.2">
      <c r="A9" s="214">
        <f ca="1">TblConstr[[#This Row],[Land]]</f>
        <v>370</v>
      </c>
      <c r="B9" s="216">
        <f ca="1">TblConstr[[#This Row],[Plain]]</f>
        <v>20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45815.208333333321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209750</v>
      </c>
      <c r="W9" s="215"/>
      <c r="X9" s="94">
        <f ca="1">ROUNDUP( (1-MIN(ROUND(facs_rezone_factor*TblRezone[[#This Row],[Facs]],4),facs_rezone_max) + tech_6_4*TblTech[[#This Row],[6-4]] + tech_10_2*TblTech[[#This Row],[10-2]] - IF(TblMagic[[#This Row],[Active Mechanical Genius]]&gt;0,mech_genius_bonus,0) + race_rezone_cost) * TblRezone[[#This Row],[Plat/acre*]],0)</f>
        <v>322</v>
      </c>
      <c r="Y9" s="94">
        <f ca="1">TblRezone[[#This Row],[Total acres]]*TblRezone[[#This Row],[Plat/acre]]</f>
        <v>0</v>
      </c>
      <c r="Z9" s="215"/>
      <c r="AA9" s="94">
        <f ca="1">(250+0.6*(TblRezone[[#This Row],[Land]]-250))</f>
        <v>322</v>
      </c>
      <c r="AB9" s="215"/>
      <c r="AC9" s="157">
        <f ca="1">TblConstr[[#This Row],[Facs DB]]</f>
        <v>0</v>
      </c>
    </row>
    <row r="10" spans="1:29" x14ac:dyDescent="0.2">
      <c r="A10" s="214">
        <f ca="1">TblConstr[[#This Row],[Land]]</f>
        <v>370</v>
      </c>
      <c r="B10" s="216">
        <f ca="1">TblConstr[[#This Row],[Plain]]</f>
        <v>20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45815.249999999985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227287</v>
      </c>
      <c r="W10" s="215"/>
      <c r="X10" s="94">
        <f ca="1">ROUNDUP( (1-MIN(ROUND(facs_rezone_factor*TblRezone[[#This Row],[Facs]],4),facs_rezone_max) + tech_6_4*TblTech[[#This Row],[6-4]] + tech_10_2*TblTech[[#This Row],[10-2]] - IF(TblMagic[[#This Row],[Active Mechanical Genius]]&gt;0,mech_genius_bonus,0) + race_rezone_cost) * TblRezone[[#This Row],[Plat/acre*]],0)</f>
        <v>322</v>
      </c>
      <c r="Y10" s="94">
        <f ca="1">TblRezone[[#This Row],[Total acres]]*TblRezone[[#This Row],[Plat/acre]]</f>
        <v>0</v>
      </c>
      <c r="Z10" s="215"/>
      <c r="AA10" s="94">
        <f ca="1">(250+0.6*(TblRezone[[#This Row],[Land]]-250))</f>
        <v>322</v>
      </c>
      <c r="AB10" s="215"/>
      <c r="AC10" s="157">
        <f ca="1">TblConstr[[#This Row],[Facs DB]]</f>
        <v>0</v>
      </c>
    </row>
    <row r="11" spans="1:29" x14ac:dyDescent="0.2">
      <c r="A11" s="214">
        <f ca="1">TblConstr[[#This Row],[Land]]</f>
        <v>370</v>
      </c>
      <c r="B11" s="216">
        <f ca="1">TblConstr[[#This Row],[Plain]]</f>
        <v>20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45815.29166666665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244670</v>
      </c>
      <c r="W11" s="215"/>
      <c r="X11" s="94">
        <f ca="1">ROUNDUP( (1-MIN(ROUND(facs_rezone_factor*TblRezone[[#This Row],[Facs]],4),facs_rezone_max) + tech_6_4*TblTech[[#This Row],[6-4]] + tech_10_2*TblTech[[#This Row],[10-2]] - IF(TblMagic[[#This Row],[Active Mechanical Genius]]&gt;0,mech_genius_bonus,0) + race_rezone_cost) * TblRezone[[#This Row],[Plat/acre*]],0)</f>
        <v>322</v>
      </c>
      <c r="Y11" s="94">
        <f ca="1">TblRezone[[#This Row],[Total acres]]*TblRezone[[#This Row],[Plat/acre]]</f>
        <v>0</v>
      </c>
      <c r="Z11" s="215"/>
      <c r="AA11" s="94">
        <f ca="1">(250+0.6*(TblRezone[[#This Row],[Land]]-250))</f>
        <v>322</v>
      </c>
      <c r="AB11" s="215"/>
      <c r="AC11" s="157">
        <f ca="1">TblConstr[[#This Row],[Facs DB]]</f>
        <v>0</v>
      </c>
    </row>
    <row r="12" spans="1:29" x14ac:dyDescent="0.2">
      <c r="A12" s="214">
        <f ca="1">TblConstr[[#This Row],[Land]]</f>
        <v>370</v>
      </c>
      <c r="B12" s="216">
        <f ca="1">TblConstr[[#This Row],[Plain]]</f>
        <v>20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45815.333333333314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261902</v>
      </c>
      <c r="W12" s="215"/>
      <c r="X12" s="94">
        <f ca="1">ROUNDUP( (1-MIN(ROUND(facs_rezone_factor*TblRezone[[#This Row],[Facs]],4),facs_rezone_max) + tech_6_4*TblTech[[#This Row],[6-4]] + tech_10_2*TblTech[[#This Row],[10-2]] - IF(TblMagic[[#This Row],[Active Mechanical Genius]]&gt;0,mech_genius_bonus,0) + race_rezone_cost) * TblRezone[[#This Row],[Plat/acre*]],0)</f>
        <v>322</v>
      </c>
      <c r="Y12" s="94">
        <f ca="1">TblRezone[[#This Row],[Total acres]]*TblRezone[[#This Row],[Plat/acre]]</f>
        <v>0</v>
      </c>
      <c r="Z12" s="215"/>
      <c r="AA12" s="94">
        <f ca="1">(250+0.6*(TblRezone[[#This Row],[Land]]-250))</f>
        <v>322</v>
      </c>
      <c r="AB12" s="215"/>
      <c r="AC12" s="157">
        <f ca="1">TblConstr[[#This Row],[Facs DB]]</f>
        <v>0</v>
      </c>
    </row>
    <row r="13" spans="1:29" x14ac:dyDescent="0.2">
      <c r="A13" s="214">
        <f ca="1">TblConstr[[#This Row],[Land]]</f>
        <v>370</v>
      </c>
      <c r="B13" s="216">
        <f ca="1">TblConstr[[#This Row],[Plain]]</f>
        <v>20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45815.374999999978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278985</v>
      </c>
      <c r="W13" s="215"/>
      <c r="X13" s="94">
        <f ca="1">ROUNDUP( (1-MIN(ROUND(facs_rezone_factor*TblRezone[[#This Row],[Facs]],4),facs_rezone_max) + tech_6_4*TblTech[[#This Row],[6-4]] + tech_10_2*TblTech[[#This Row],[10-2]] - IF(TblMagic[[#This Row],[Active Mechanical Genius]]&gt;0,mech_genius_bonus,0) + race_rezone_cost) * TblRezone[[#This Row],[Plat/acre*]],0)</f>
        <v>322</v>
      </c>
      <c r="Y13" s="94">
        <f ca="1">TblRezone[[#This Row],[Total acres]]*TblRezone[[#This Row],[Plat/acre]]</f>
        <v>0</v>
      </c>
      <c r="Z13" s="215"/>
      <c r="AA13" s="94">
        <f ca="1">(250+0.6*(TblRezone[[#This Row],[Land]]-250))</f>
        <v>322</v>
      </c>
      <c r="AB13" s="215"/>
      <c r="AC13" s="157">
        <f ca="1">TblConstr[[#This Row],[Facs DB]]</f>
        <v>0</v>
      </c>
    </row>
    <row r="14" spans="1:29" x14ac:dyDescent="0.2">
      <c r="A14" s="214">
        <f ca="1">TblConstr[[#This Row],[Land]]</f>
        <v>370</v>
      </c>
      <c r="B14" s="216">
        <f ca="1">TblConstr[[#This Row],[Plain]]</f>
        <v>20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45815.416666666642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295920</v>
      </c>
      <c r="W14" s="215"/>
      <c r="X14" s="94">
        <f ca="1">ROUNDUP( (1-MIN(ROUND(facs_rezone_factor*TblRezone[[#This Row],[Facs]],4),facs_rezone_max) + tech_6_4*TblTech[[#This Row],[6-4]] + tech_10_2*TblTech[[#This Row],[10-2]] - IF(TblMagic[[#This Row],[Active Mechanical Genius]]&gt;0,mech_genius_bonus,0) + race_rezone_cost) * TblRezone[[#This Row],[Plat/acre*]],0)</f>
        <v>322</v>
      </c>
      <c r="Y14" s="94">
        <f ca="1">TblRezone[[#This Row],[Total acres]]*TblRezone[[#This Row],[Plat/acre]]</f>
        <v>0</v>
      </c>
      <c r="Z14" s="215"/>
      <c r="AA14" s="94">
        <f ca="1">(250+0.6*(TblRezone[[#This Row],[Land]]-250))</f>
        <v>322</v>
      </c>
      <c r="AB14" s="215"/>
      <c r="AC14" s="157">
        <f ca="1">TblConstr[[#This Row],[Facs DB]]</f>
        <v>0</v>
      </c>
    </row>
    <row r="15" spans="1:29" x14ac:dyDescent="0.2">
      <c r="A15" s="214">
        <f ca="1">TblConstr[[#This Row],[Land]]</f>
        <v>370</v>
      </c>
      <c r="B15" s="216">
        <f ca="1">TblConstr[[#This Row],[Plain]]</f>
        <v>20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45815.458333333307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312709</v>
      </c>
      <c r="W15" s="215"/>
      <c r="X15" s="94">
        <f ca="1">ROUNDUP( (1-MIN(ROUND(facs_rezone_factor*TblRezone[[#This Row],[Facs]],4),facs_rezone_max) + tech_6_4*TblTech[[#This Row],[6-4]] + tech_10_2*TblTech[[#This Row],[10-2]] - IF(TblMagic[[#This Row],[Active Mechanical Genius]]&gt;0,mech_genius_bonus,0) + race_rezone_cost) * TblRezone[[#This Row],[Plat/acre*]],0)</f>
        <v>322</v>
      </c>
      <c r="Y15" s="94">
        <f ca="1">TblRezone[[#This Row],[Total acres]]*TblRezone[[#This Row],[Plat/acre]]</f>
        <v>0</v>
      </c>
      <c r="Z15" s="215"/>
      <c r="AA15" s="94">
        <f ca="1">(250+0.6*(TblRezone[[#This Row],[Land]]-250))</f>
        <v>322</v>
      </c>
      <c r="AB15" s="215"/>
      <c r="AC15" s="157">
        <f ca="1">TblConstr[[#This Row],[Facs DB]]</f>
        <v>0</v>
      </c>
    </row>
    <row r="16" spans="1:29" x14ac:dyDescent="0.2">
      <c r="A16" s="214">
        <f ca="1">TblConstr[[#This Row],[Land]]</f>
        <v>370</v>
      </c>
      <c r="B16" s="216">
        <f ca="1">TblConstr[[#This Row],[Plain]]</f>
        <v>20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45815.499999999971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329352</v>
      </c>
      <c r="W16" s="215"/>
      <c r="X16" s="94">
        <f ca="1">ROUNDUP( (1-MIN(ROUND(facs_rezone_factor*TblRezone[[#This Row],[Facs]],4),facs_rezone_max) + tech_6_4*TblTech[[#This Row],[6-4]] + tech_10_2*TblTech[[#This Row],[10-2]] - IF(TblMagic[[#This Row],[Active Mechanical Genius]]&gt;0,mech_genius_bonus,0) + race_rezone_cost) * TblRezone[[#This Row],[Plat/acre*]],0)</f>
        <v>322</v>
      </c>
      <c r="Y16" s="94">
        <f ca="1">TblRezone[[#This Row],[Total acres]]*TblRezone[[#This Row],[Plat/acre]]</f>
        <v>0</v>
      </c>
      <c r="Z16" s="215"/>
      <c r="AA16" s="94">
        <f ca="1">(250+0.6*(TblRezone[[#This Row],[Land]]-250))</f>
        <v>322</v>
      </c>
      <c r="AB16" s="215"/>
      <c r="AC16" s="157">
        <f ca="1">TblConstr[[#This Row],[Facs DB]]</f>
        <v>0</v>
      </c>
    </row>
    <row r="17" spans="1:29" x14ac:dyDescent="0.2">
      <c r="A17" s="214">
        <f ca="1">TblConstr[[#This Row],[Land]]</f>
        <v>370</v>
      </c>
      <c r="B17" s="216">
        <f ca="1">TblConstr[[#This Row],[Plain]]</f>
        <v>20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45815.541666666635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345852</v>
      </c>
      <c r="W17" s="215"/>
      <c r="X17" s="94">
        <f ca="1">ROUNDUP( (1-MIN(ROUND(facs_rezone_factor*TblRezone[[#This Row],[Facs]],4),facs_rezone_max) + tech_6_4*TblTech[[#This Row],[6-4]] + tech_10_2*TblTech[[#This Row],[10-2]] - IF(TblMagic[[#This Row],[Active Mechanical Genius]]&gt;0,mech_genius_bonus,0) + race_rezone_cost) * TblRezone[[#This Row],[Plat/acre*]],0)</f>
        <v>322</v>
      </c>
      <c r="Y17" s="94">
        <f ca="1">TblRezone[[#This Row],[Total acres]]*TblRezone[[#This Row],[Plat/acre]]</f>
        <v>0</v>
      </c>
      <c r="Z17" s="215"/>
      <c r="AA17" s="94">
        <f ca="1">(250+0.6*(TblRezone[[#This Row],[Land]]-250))</f>
        <v>322</v>
      </c>
      <c r="AB17" s="215"/>
      <c r="AC17" s="157">
        <f ca="1">TblConstr[[#This Row],[Facs DB]]</f>
        <v>0</v>
      </c>
    </row>
    <row r="18" spans="1:29" x14ac:dyDescent="0.2">
      <c r="A18" s="214">
        <f ca="1">TblConstr[[#This Row],[Land]]</f>
        <v>370</v>
      </c>
      <c r="B18" s="216">
        <f ca="1">TblConstr[[#This Row],[Plain]]</f>
        <v>20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45815.583333333299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362209</v>
      </c>
      <c r="W18" s="215"/>
      <c r="X18" s="94">
        <f ca="1">ROUNDUP( (1-MIN(ROUND(facs_rezone_factor*TblRezone[[#This Row],[Facs]],4),facs_rezone_max) + tech_6_4*TblTech[[#This Row],[6-4]] + tech_10_2*TblTech[[#This Row],[10-2]] - IF(TblMagic[[#This Row],[Active Mechanical Genius]]&gt;0,mech_genius_bonus,0) + race_rezone_cost) * TblRezone[[#This Row],[Plat/acre*]],0)</f>
        <v>322</v>
      </c>
      <c r="Y18" s="94">
        <f ca="1">TblRezone[[#This Row],[Total acres]]*TblRezone[[#This Row],[Plat/acre]]</f>
        <v>0</v>
      </c>
      <c r="Z18" s="215"/>
      <c r="AA18" s="94">
        <f ca="1">(250+0.6*(TblRezone[[#This Row],[Land]]-250))</f>
        <v>322</v>
      </c>
      <c r="AB18" s="215"/>
      <c r="AC18" s="157">
        <f ca="1">TblConstr[[#This Row],[Facs DB]]</f>
        <v>0</v>
      </c>
    </row>
    <row r="19" spans="1:29" x14ac:dyDescent="0.2">
      <c r="A19" s="214">
        <f ca="1">TblConstr[[#This Row],[Land]]</f>
        <v>370</v>
      </c>
      <c r="B19" s="216">
        <f ca="1">TblConstr[[#This Row],[Plain]]</f>
        <v>20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45815.624999999964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378426</v>
      </c>
      <c r="W19" s="215"/>
      <c r="X19" s="94">
        <f ca="1">ROUNDUP( (1-MIN(ROUND(facs_rezone_factor*TblRezone[[#This Row],[Facs]],4),facs_rezone_max) + tech_6_4*TblTech[[#This Row],[6-4]] + tech_10_2*TblTech[[#This Row],[10-2]] - IF(TblMagic[[#This Row],[Active Mechanical Genius]]&gt;0,mech_genius_bonus,0) + race_rezone_cost) * TblRezone[[#This Row],[Plat/acre*]],0)</f>
        <v>322</v>
      </c>
      <c r="Y19" s="94">
        <f ca="1">TblRezone[[#This Row],[Total acres]]*TblRezone[[#This Row],[Plat/acre]]</f>
        <v>0</v>
      </c>
      <c r="Z19" s="215"/>
      <c r="AA19" s="94">
        <f ca="1">(250+0.6*(TblRezone[[#This Row],[Land]]-250))</f>
        <v>322</v>
      </c>
      <c r="AB19" s="215"/>
      <c r="AC19" s="157">
        <f ca="1">TblConstr[[#This Row],[Facs DB]]</f>
        <v>0</v>
      </c>
    </row>
    <row r="20" spans="1:29" x14ac:dyDescent="0.2">
      <c r="A20" s="214">
        <f ca="1">TblConstr[[#This Row],[Land]]</f>
        <v>370</v>
      </c>
      <c r="B20" s="216">
        <f ca="1">TblConstr[[#This Row],[Plain]]</f>
        <v>20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45815.666666666628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394502</v>
      </c>
      <c r="W20" s="215"/>
      <c r="X20" s="94">
        <f ca="1">ROUNDUP( (1-MIN(ROUND(facs_rezone_factor*TblRezone[[#This Row],[Facs]],4),facs_rezone_max) + tech_6_4*TblTech[[#This Row],[6-4]] + tech_10_2*TblTech[[#This Row],[10-2]] - IF(TblMagic[[#This Row],[Active Mechanical Genius]]&gt;0,mech_genius_bonus,0) + race_rezone_cost) * TblRezone[[#This Row],[Plat/acre*]],0)</f>
        <v>322</v>
      </c>
      <c r="Y20" s="94">
        <f ca="1">TblRezone[[#This Row],[Total acres]]*TblRezone[[#This Row],[Plat/acre]]</f>
        <v>0</v>
      </c>
      <c r="Z20" s="215"/>
      <c r="AA20" s="94">
        <f ca="1">(250+0.6*(TblRezone[[#This Row],[Land]]-250))</f>
        <v>322</v>
      </c>
      <c r="AB20" s="215"/>
      <c r="AC20" s="157">
        <f ca="1">TblConstr[[#This Row],[Facs DB]]</f>
        <v>0</v>
      </c>
    </row>
    <row r="21" spans="1:29" x14ac:dyDescent="0.2">
      <c r="A21" s="214">
        <f ca="1">TblConstr[[#This Row],[Land]]</f>
        <v>370</v>
      </c>
      <c r="B21" s="216">
        <f ca="1">TblConstr[[#This Row],[Plain]]</f>
        <v>20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45815.708333333292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410441</v>
      </c>
      <c r="W21" s="215"/>
      <c r="X21" s="94">
        <f ca="1">ROUNDUP( (1-MIN(ROUND(facs_rezone_factor*TblRezone[[#This Row],[Facs]],4),facs_rezone_max) + tech_6_4*TblTech[[#This Row],[6-4]] + tech_10_2*TblTech[[#This Row],[10-2]] - IF(TblMagic[[#This Row],[Active Mechanical Genius]]&gt;0,mech_genius_bonus,0) + race_rezone_cost) * TblRezone[[#This Row],[Plat/acre*]],0)</f>
        <v>322</v>
      </c>
      <c r="Y21" s="94">
        <f ca="1">TblRezone[[#This Row],[Total acres]]*TblRezone[[#This Row],[Plat/acre]]</f>
        <v>0</v>
      </c>
      <c r="Z21" s="215"/>
      <c r="AA21" s="94">
        <f ca="1">(250+0.6*(TblRezone[[#This Row],[Land]]-250))</f>
        <v>322</v>
      </c>
      <c r="AB21" s="215"/>
      <c r="AC21" s="157">
        <f ca="1">TblConstr[[#This Row],[Facs DB]]</f>
        <v>0</v>
      </c>
    </row>
    <row r="22" spans="1:29" x14ac:dyDescent="0.2">
      <c r="A22" s="214">
        <f ca="1">TblConstr[[#This Row],[Land]]</f>
        <v>370</v>
      </c>
      <c r="B22" s="216">
        <f ca="1">TblConstr[[#This Row],[Plain]]</f>
        <v>20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45815.749999999956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426242</v>
      </c>
      <c r="W22" s="215"/>
      <c r="X22" s="94">
        <f ca="1">ROUNDUP( (1-MIN(ROUND(facs_rezone_factor*TblRezone[[#This Row],[Facs]],4),facs_rezone_max) + tech_6_4*TblTech[[#This Row],[6-4]] + tech_10_2*TblTech[[#This Row],[10-2]] - IF(TblMagic[[#This Row],[Active Mechanical Genius]]&gt;0,mech_genius_bonus,0) + race_rezone_cost) * TblRezone[[#This Row],[Plat/acre*]],0)</f>
        <v>322</v>
      </c>
      <c r="Y22" s="94">
        <f ca="1">TblRezone[[#This Row],[Total acres]]*TblRezone[[#This Row],[Plat/acre]]</f>
        <v>0</v>
      </c>
      <c r="Z22" s="215"/>
      <c r="AA22" s="94">
        <f ca="1">(250+0.6*(TblRezone[[#This Row],[Land]]-250))</f>
        <v>322</v>
      </c>
      <c r="AB22" s="215"/>
      <c r="AC22" s="157">
        <f ca="1">TblConstr[[#This Row],[Facs DB]]</f>
        <v>0</v>
      </c>
    </row>
    <row r="23" spans="1:29" x14ac:dyDescent="0.2">
      <c r="A23" s="214">
        <f ca="1">TblConstr[[#This Row],[Land]]</f>
        <v>370</v>
      </c>
      <c r="B23" s="216">
        <f ca="1">TblConstr[[#This Row],[Plain]]</f>
        <v>20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45815.791666666621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441908</v>
      </c>
      <c r="W23" s="215"/>
      <c r="X23" s="94">
        <f ca="1">ROUNDUP( (1-MIN(ROUND(facs_rezone_factor*TblRezone[[#This Row],[Facs]],4),facs_rezone_max) + tech_6_4*TblTech[[#This Row],[6-4]] + tech_10_2*TblTech[[#This Row],[10-2]] - IF(TblMagic[[#This Row],[Active Mechanical Genius]]&gt;0,mech_genius_bonus,0) + race_rezone_cost) * TblRezone[[#This Row],[Plat/acre*]],0)</f>
        <v>322</v>
      </c>
      <c r="Y23" s="94">
        <f ca="1">TblRezone[[#This Row],[Total acres]]*TblRezone[[#This Row],[Plat/acre]]</f>
        <v>0</v>
      </c>
      <c r="Z23" s="215"/>
      <c r="AA23" s="94">
        <f ca="1">(250+0.6*(TblRezone[[#This Row],[Land]]-250))</f>
        <v>322</v>
      </c>
      <c r="AB23" s="215"/>
      <c r="AC23" s="157">
        <f ca="1">TblConstr[[#This Row],[Facs DB]]</f>
        <v>0</v>
      </c>
    </row>
    <row r="24" spans="1:29" x14ac:dyDescent="0.2">
      <c r="A24" s="214">
        <f ca="1">TblConstr[[#This Row],[Land]]</f>
        <v>370</v>
      </c>
      <c r="B24" s="216">
        <f ca="1">TblConstr[[#This Row],[Plain]]</f>
        <v>20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45815.833333333285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457439</v>
      </c>
      <c r="W24" s="215"/>
      <c r="X24" s="94">
        <f ca="1">ROUNDUP( (1-MIN(ROUND(facs_rezone_factor*TblRezone[[#This Row],[Facs]],4),facs_rezone_max) + tech_6_4*TblTech[[#This Row],[6-4]] + tech_10_2*TblTech[[#This Row],[10-2]] - IF(TblMagic[[#This Row],[Active Mechanical Genius]]&gt;0,mech_genius_bonus,0) + race_rezone_cost) * TblRezone[[#This Row],[Plat/acre*]],0)</f>
        <v>322</v>
      </c>
      <c r="Y24" s="94">
        <f ca="1">TblRezone[[#This Row],[Total acres]]*TblRezone[[#This Row],[Plat/acre]]</f>
        <v>0</v>
      </c>
      <c r="Z24" s="215"/>
      <c r="AA24" s="94">
        <f ca="1">(250+0.6*(TblRezone[[#This Row],[Land]]-250))</f>
        <v>322</v>
      </c>
      <c r="AB24" s="215"/>
      <c r="AC24" s="157">
        <f ca="1">TblConstr[[#This Row],[Facs DB]]</f>
        <v>0</v>
      </c>
    </row>
    <row r="25" spans="1:29" x14ac:dyDescent="0.2">
      <c r="A25" s="214">
        <f ca="1">TblConstr[[#This Row],[Land]]</f>
        <v>370</v>
      </c>
      <c r="B25" s="216">
        <f ca="1">TblConstr[[#This Row],[Plain]]</f>
        <v>20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45815.874999999949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472838</v>
      </c>
      <c r="W25" s="215"/>
      <c r="X25" s="94">
        <f ca="1">ROUNDUP( (1-MIN(ROUND(facs_rezone_factor*TblRezone[[#This Row],[Facs]],4),facs_rezone_max) + tech_6_4*TblTech[[#This Row],[6-4]] + tech_10_2*TblTech[[#This Row],[10-2]] - IF(TblMagic[[#This Row],[Active Mechanical Genius]]&gt;0,mech_genius_bonus,0) + race_rezone_cost) * TblRezone[[#This Row],[Plat/acre*]],0)</f>
        <v>322</v>
      </c>
      <c r="Y25" s="94">
        <f ca="1">TblRezone[[#This Row],[Total acres]]*TblRezone[[#This Row],[Plat/acre]]</f>
        <v>0</v>
      </c>
      <c r="Z25" s="215"/>
      <c r="AA25" s="94">
        <f ca="1">(250+0.6*(TblRezone[[#This Row],[Land]]-250))</f>
        <v>322</v>
      </c>
      <c r="AB25" s="215"/>
      <c r="AC25" s="157">
        <f ca="1">TblConstr[[#This Row],[Facs DB]]</f>
        <v>0</v>
      </c>
    </row>
    <row r="26" spans="1:29" x14ac:dyDescent="0.2">
      <c r="A26" s="214">
        <f ca="1">TblConstr[[#This Row],[Land]]</f>
        <v>370</v>
      </c>
      <c r="B26" s="216">
        <f ca="1">TblConstr[[#This Row],[Plain]]</f>
        <v>20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45815.916666666613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488104</v>
      </c>
      <c r="W26" s="215"/>
      <c r="X26" s="94">
        <f ca="1">ROUNDUP( (1-MIN(ROUND(facs_rezone_factor*TblRezone[[#This Row],[Facs]],4),facs_rezone_max) + tech_6_4*TblTech[[#This Row],[6-4]] + tech_10_2*TblTech[[#This Row],[10-2]] - IF(TblMagic[[#This Row],[Active Mechanical Genius]]&gt;0,mech_genius_bonus,0) + race_rezone_cost) * TblRezone[[#This Row],[Plat/acre*]],0)</f>
        <v>322</v>
      </c>
      <c r="Y26" s="94">
        <f ca="1">TblRezone[[#This Row],[Total acres]]*TblRezone[[#This Row],[Plat/acre]]</f>
        <v>0</v>
      </c>
      <c r="Z26" s="215"/>
      <c r="AA26" s="94">
        <f ca="1">(250+0.6*(TblRezone[[#This Row],[Land]]-250))</f>
        <v>322</v>
      </c>
      <c r="AB26" s="215"/>
      <c r="AC26" s="157">
        <f ca="1">TblConstr[[#This Row],[Facs DB]]</f>
        <v>0</v>
      </c>
    </row>
    <row r="27" spans="1:29" x14ac:dyDescent="0.2">
      <c r="A27" s="214">
        <f ca="1">TblConstr[[#This Row],[Land]]</f>
        <v>370</v>
      </c>
      <c r="B27" s="216">
        <f ca="1">TblConstr[[#This Row],[Plain]]</f>
        <v>20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45815.958333333278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503241</v>
      </c>
      <c r="W27" s="215"/>
      <c r="X27" s="94">
        <f ca="1">ROUNDUP( (1-MIN(ROUND(facs_rezone_factor*TblRezone[[#This Row],[Facs]],4),facs_rezone_max) + tech_6_4*TblTech[[#This Row],[6-4]] + tech_10_2*TblTech[[#This Row],[10-2]] - IF(TblMagic[[#This Row],[Active Mechanical Genius]]&gt;0,mech_genius_bonus,0) + race_rezone_cost) * TblRezone[[#This Row],[Plat/acre*]],0)</f>
        <v>322</v>
      </c>
      <c r="Y27" s="94">
        <f ca="1">TblRezone[[#This Row],[Total acres]]*TblRezone[[#This Row],[Plat/acre]]</f>
        <v>0</v>
      </c>
      <c r="Z27" s="215"/>
      <c r="AA27" s="94">
        <f ca="1">(250+0.6*(TblRezone[[#This Row],[Land]]-250))</f>
        <v>322</v>
      </c>
      <c r="AB27" s="215"/>
      <c r="AC27" s="157">
        <f ca="1">TblConstr[[#This Row],[Facs DB]]</f>
        <v>0</v>
      </c>
    </row>
    <row r="28" spans="1:29" x14ac:dyDescent="0.2">
      <c r="A28" s="214">
        <f ca="1">TblConstr[[#This Row],[Land]]</f>
        <v>370</v>
      </c>
      <c r="B28" s="216">
        <f ca="1">TblConstr[[#This Row],[Plain]]</f>
        <v>20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45815.999999999942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518248</v>
      </c>
      <c r="W28" s="215"/>
      <c r="X28" s="94">
        <f ca="1">ROUNDUP( (1-MIN(ROUND(facs_rezone_factor*TblRezone[[#This Row],[Facs]],4),facs_rezone_max) + tech_6_4*TblTech[[#This Row],[6-4]] + tech_10_2*TblTech[[#This Row],[10-2]] - IF(TblMagic[[#This Row],[Active Mechanical Genius]]&gt;0,mech_genius_bonus,0) + race_rezone_cost) * TblRezone[[#This Row],[Plat/acre*]],0)</f>
        <v>322</v>
      </c>
      <c r="Y28" s="94">
        <f ca="1">TblRezone[[#This Row],[Total acres]]*TblRezone[[#This Row],[Plat/acre]]</f>
        <v>0</v>
      </c>
      <c r="Z28" s="215"/>
      <c r="AA28" s="94">
        <f ca="1">(250+0.6*(TblRezone[[#This Row],[Land]]-250))</f>
        <v>322</v>
      </c>
      <c r="AB28" s="215"/>
      <c r="AC28" s="157">
        <f ca="1">TblConstr[[#This Row],[Facs DB]]</f>
        <v>0</v>
      </c>
    </row>
    <row r="29" spans="1:29" x14ac:dyDescent="0.2">
      <c r="A29" s="214">
        <f ca="1">TblConstr[[#This Row],[Land]]</f>
        <v>370</v>
      </c>
      <c r="B29" s="216">
        <f ca="1">TblConstr[[#This Row],[Plain]]</f>
        <v>20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45816.041666666606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533128</v>
      </c>
      <c r="W29" s="215"/>
      <c r="X29" s="94">
        <f ca="1">ROUNDUP( (1-MIN(ROUND(facs_rezone_factor*TblRezone[[#This Row],[Facs]],4),facs_rezone_max) + tech_6_4*TblTech[[#This Row],[6-4]] + tech_10_2*TblTech[[#This Row],[10-2]] - IF(TblMagic[[#This Row],[Active Mechanical Genius]]&gt;0,mech_genius_bonus,0) + race_rezone_cost) * TblRezone[[#This Row],[Plat/acre*]],0)</f>
        <v>322</v>
      </c>
      <c r="Y29" s="94">
        <f ca="1">TblRezone[[#This Row],[Total acres]]*TblRezone[[#This Row],[Plat/acre]]</f>
        <v>0</v>
      </c>
      <c r="Z29" s="215"/>
      <c r="AA29" s="94">
        <f ca="1">(250+0.6*(TblRezone[[#This Row],[Land]]-250))</f>
        <v>322</v>
      </c>
      <c r="AB29" s="215"/>
      <c r="AC29" s="157">
        <f ca="1">TblConstr[[#This Row],[Facs DB]]</f>
        <v>0</v>
      </c>
    </row>
    <row r="30" spans="1:29" x14ac:dyDescent="0.2">
      <c r="A30" s="214">
        <f ca="1">TblConstr[[#This Row],[Land]]</f>
        <v>370</v>
      </c>
      <c r="B30" s="216">
        <f ca="1">TblConstr[[#This Row],[Plain]]</f>
        <v>20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45816.08333333327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547881</v>
      </c>
      <c r="W30" s="215"/>
      <c r="X30" s="94">
        <f ca="1">ROUNDUP( (1-MIN(ROUND(facs_rezone_factor*TblRezone[[#This Row],[Facs]],4),facs_rezone_max) + tech_6_4*TblTech[[#This Row],[6-4]] + tech_10_2*TblTech[[#This Row],[10-2]] - IF(TblMagic[[#This Row],[Active Mechanical Genius]]&gt;0,mech_genius_bonus,0) + race_rezone_cost) * TblRezone[[#This Row],[Plat/acre*]],0)</f>
        <v>322</v>
      </c>
      <c r="Y30" s="94">
        <f ca="1">TblRezone[[#This Row],[Total acres]]*TblRezone[[#This Row],[Plat/acre]]</f>
        <v>0</v>
      </c>
      <c r="Z30" s="215"/>
      <c r="AA30" s="94">
        <f ca="1">(250+0.6*(TblRezone[[#This Row],[Land]]-250))</f>
        <v>322</v>
      </c>
      <c r="AB30" s="215"/>
      <c r="AC30" s="157">
        <f ca="1">TblConstr[[#This Row],[Facs DB]]</f>
        <v>0</v>
      </c>
    </row>
    <row r="31" spans="1:29" x14ac:dyDescent="0.2">
      <c r="A31" s="214">
        <f ca="1">TblConstr[[#This Row],[Land]]</f>
        <v>370</v>
      </c>
      <c r="B31" s="216">
        <f ca="1">TblConstr[[#This Row],[Plain]]</f>
        <v>20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45816.124999999935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562510</v>
      </c>
      <c r="W31" s="215"/>
      <c r="X31" s="94">
        <f ca="1">ROUNDUP( (1-MIN(ROUND(facs_rezone_factor*TblRezone[[#This Row],[Facs]],4),facs_rezone_max) + tech_6_4*TblTech[[#This Row],[6-4]] + tech_10_2*TblTech[[#This Row],[10-2]] - IF(TblMagic[[#This Row],[Active Mechanical Genius]]&gt;0,mech_genius_bonus,0) + race_rezone_cost) * TblRezone[[#This Row],[Plat/acre*]],0)</f>
        <v>322</v>
      </c>
      <c r="Y31" s="94">
        <f ca="1">TblRezone[[#This Row],[Total acres]]*TblRezone[[#This Row],[Plat/acre]]</f>
        <v>0</v>
      </c>
      <c r="Z31" s="215"/>
      <c r="AA31" s="94">
        <f ca="1">(250+0.6*(TblRezone[[#This Row],[Land]]-250))</f>
        <v>322</v>
      </c>
      <c r="AB31" s="215"/>
      <c r="AC31" s="157">
        <f ca="1">TblConstr[[#This Row],[Facs DB]]</f>
        <v>0</v>
      </c>
    </row>
    <row r="32" spans="1:29" x14ac:dyDescent="0.2">
      <c r="A32" s="214">
        <f ca="1">TblConstr[[#This Row],[Land]]</f>
        <v>370</v>
      </c>
      <c r="B32" s="216">
        <f ca="1">TblConstr[[#This Row],[Plain]]</f>
        <v>20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45816.166666666599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577015</v>
      </c>
      <c r="W32" s="215"/>
      <c r="X32" s="94">
        <f ca="1">ROUNDUP( (1-MIN(ROUND(facs_rezone_factor*TblRezone[[#This Row],[Facs]],4),facs_rezone_max) + tech_6_4*TblTech[[#This Row],[6-4]] + tech_10_2*TblTech[[#This Row],[10-2]] - IF(TblMagic[[#This Row],[Active Mechanical Genius]]&gt;0,mech_genius_bonus,0) + race_rezone_cost) * TblRezone[[#This Row],[Plat/acre*]],0)</f>
        <v>322</v>
      </c>
      <c r="Y32" s="94">
        <f ca="1">TblRezone[[#This Row],[Total acres]]*TblRezone[[#This Row],[Plat/acre]]</f>
        <v>0</v>
      </c>
      <c r="Z32" s="215"/>
      <c r="AA32" s="94">
        <f ca="1">(250+0.6*(TblRezone[[#This Row],[Land]]-250))</f>
        <v>322</v>
      </c>
      <c r="AB32" s="215"/>
      <c r="AC32" s="157">
        <f ca="1">TblConstr[[#This Row],[Facs DB]]</f>
        <v>0</v>
      </c>
    </row>
    <row r="33" spans="1:29" x14ac:dyDescent="0.2">
      <c r="A33" s="214">
        <f ca="1">TblConstr[[#This Row],[Land]]</f>
        <v>370</v>
      </c>
      <c r="B33" s="216">
        <f ca="1">TblConstr[[#This Row],[Plain]]</f>
        <v>20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45816.208333333263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591398</v>
      </c>
      <c r="W33" s="215"/>
      <c r="X33" s="94">
        <f ca="1">ROUNDUP( (1-MIN(ROUND(facs_rezone_factor*TblRezone[[#This Row],[Facs]],4),facs_rezone_max) + tech_6_4*TblTech[[#This Row],[6-4]] + tech_10_2*TblTech[[#This Row],[10-2]] - IF(TblMagic[[#This Row],[Active Mechanical Genius]]&gt;0,mech_genius_bonus,0) + race_rezone_cost) * TblRezone[[#This Row],[Plat/acre*]],0)</f>
        <v>322</v>
      </c>
      <c r="Y33" s="94">
        <f ca="1">TblRezone[[#This Row],[Total acres]]*TblRezone[[#This Row],[Plat/acre]]</f>
        <v>0</v>
      </c>
      <c r="Z33" s="215"/>
      <c r="AA33" s="94">
        <f ca="1">(250+0.6*(TblRezone[[#This Row],[Land]]-250))</f>
        <v>322</v>
      </c>
      <c r="AB33" s="215"/>
      <c r="AC33" s="157">
        <f ca="1">TblConstr[[#This Row],[Facs DB]]</f>
        <v>0</v>
      </c>
    </row>
    <row r="34" spans="1:29" x14ac:dyDescent="0.2">
      <c r="A34" s="214">
        <f ca="1">TblConstr[[#This Row],[Land]]</f>
        <v>370</v>
      </c>
      <c r="B34" s="216">
        <f ca="1">TblConstr[[#This Row],[Plain]]</f>
        <v>20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45816.249999999927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605660</v>
      </c>
      <c r="W34" s="215"/>
      <c r="X34" s="94">
        <f ca="1">ROUNDUP( (1-MIN(ROUND(facs_rezone_factor*TblRezone[[#This Row],[Facs]],4),facs_rezone_max) + tech_6_4*TblTech[[#This Row],[6-4]] + tech_10_2*TblTech[[#This Row],[10-2]] - IF(TblMagic[[#This Row],[Active Mechanical Genius]]&gt;0,mech_genius_bonus,0) + race_rezone_cost) * TblRezone[[#This Row],[Plat/acre*]],0)</f>
        <v>322</v>
      </c>
      <c r="Y34" s="94">
        <f ca="1">TblRezone[[#This Row],[Total acres]]*TblRezone[[#This Row],[Plat/acre]]</f>
        <v>0</v>
      </c>
      <c r="Z34" s="215"/>
      <c r="AA34" s="94">
        <f ca="1">(250+0.6*(TblRezone[[#This Row],[Land]]-250))</f>
        <v>322</v>
      </c>
      <c r="AB34" s="215"/>
      <c r="AC34" s="157">
        <f ca="1">TblConstr[[#This Row],[Facs DB]]</f>
        <v>0</v>
      </c>
    </row>
    <row r="35" spans="1:29" x14ac:dyDescent="0.2">
      <c r="A35" s="214">
        <f ca="1">TblConstr[[#This Row],[Land]]</f>
        <v>370</v>
      </c>
      <c r="B35" s="216">
        <f ca="1">TblConstr[[#This Row],[Plain]]</f>
        <v>20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45816.291666666591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619803</v>
      </c>
      <c r="W35" s="215"/>
      <c r="X35" s="94">
        <f ca="1">ROUNDUP( (1-MIN(ROUND(facs_rezone_factor*TblRezone[[#This Row],[Facs]],4),facs_rezone_max) + tech_6_4*TblTech[[#This Row],[6-4]] + tech_10_2*TblTech[[#This Row],[10-2]] - IF(TblMagic[[#This Row],[Active Mechanical Genius]]&gt;0,mech_genius_bonus,0) + race_rezone_cost) * TblRezone[[#This Row],[Plat/acre*]],0)</f>
        <v>322</v>
      </c>
      <c r="Y35" s="94">
        <f ca="1">TblRezone[[#This Row],[Total acres]]*TblRezone[[#This Row],[Plat/acre]]</f>
        <v>0</v>
      </c>
      <c r="Z35" s="215"/>
      <c r="AA35" s="94">
        <f ca="1">(250+0.6*(TblRezone[[#This Row],[Land]]-250))</f>
        <v>322</v>
      </c>
      <c r="AB35" s="215"/>
      <c r="AC35" s="157">
        <f ca="1">TblConstr[[#This Row],[Facs DB]]</f>
        <v>0</v>
      </c>
    </row>
    <row r="36" spans="1:29" x14ac:dyDescent="0.2">
      <c r="A36" s="214">
        <f ca="1">TblConstr[[#This Row],[Land]]</f>
        <v>370</v>
      </c>
      <c r="B36" s="216">
        <f ca="1">TblConstr[[#This Row],[Plain]]</f>
        <v>20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45816.333333333256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633827</v>
      </c>
      <c r="W36" s="215"/>
      <c r="X36" s="94">
        <f ca="1">ROUNDUP( (1-MIN(ROUND(facs_rezone_factor*TblRezone[[#This Row],[Facs]],4),facs_rezone_max) + tech_6_4*TblTech[[#This Row],[6-4]] + tech_10_2*TblTech[[#This Row],[10-2]] - IF(TblMagic[[#This Row],[Active Mechanical Genius]]&gt;0,mech_genius_bonus,0) + race_rezone_cost) * TblRezone[[#This Row],[Plat/acre*]],0)</f>
        <v>322</v>
      </c>
      <c r="Y36" s="94">
        <f ca="1">TblRezone[[#This Row],[Total acres]]*TblRezone[[#This Row],[Plat/acre]]</f>
        <v>0</v>
      </c>
      <c r="Z36" s="215"/>
      <c r="AA36" s="94">
        <f ca="1">(250+0.6*(TblRezone[[#This Row],[Land]]-250))</f>
        <v>322</v>
      </c>
      <c r="AB36" s="215"/>
      <c r="AC36" s="157">
        <f ca="1">TblConstr[[#This Row],[Facs DB]]</f>
        <v>0</v>
      </c>
    </row>
    <row r="37" spans="1:29" x14ac:dyDescent="0.2">
      <c r="A37" s="214">
        <f ca="1">TblConstr[[#This Row],[Land]]</f>
        <v>370</v>
      </c>
      <c r="B37" s="216">
        <f ca="1">TblConstr[[#This Row],[Plain]]</f>
        <v>20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45816.37499999992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647732</v>
      </c>
      <c r="W37" s="215"/>
      <c r="X37" s="94">
        <f ca="1">ROUNDUP( (1-MIN(ROUND(facs_rezone_factor*TblRezone[[#This Row],[Facs]],4),facs_rezone_max) + tech_6_4*TblTech[[#This Row],[6-4]] + tech_10_2*TblTech[[#This Row],[10-2]] - IF(TblMagic[[#This Row],[Active Mechanical Genius]]&gt;0,mech_genius_bonus,0) + race_rezone_cost) * TblRezone[[#This Row],[Plat/acre*]],0)</f>
        <v>322</v>
      </c>
      <c r="Y37" s="94">
        <f ca="1">TblRezone[[#This Row],[Total acres]]*TblRezone[[#This Row],[Plat/acre]]</f>
        <v>0</v>
      </c>
      <c r="Z37" s="215"/>
      <c r="AA37" s="94">
        <f ca="1">(250+0.6*(TblRezone[[#This Row],[Land]]-250))</f>
        <v>322</v>
      </c>
      <c r="AB37" s="215"/>
      <c r="AC37" s="157">
        <f ca="1">TblConstr[[#This Row],[Facs DB]]</f>
        <v>0</v>
      </c>
    </row>
    <row r="38" spans="1:29" x14ac:dyDescent="0.2">
      <c r="A38" s="214">
        <f ca="1">TblConstr[[#This Row],[Land]]</f>
        <v>370</v>
      </c>
      <c r="B38" s="216">
        <f ca="1">TblConstr[[#This Row],[Plain]]</f>
        <v>20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45816.416666666584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661521</v>
      </c>
      <c r="W38" s="215"/>
      <c r="X38" s="94">
        <f ca="1">ROUNDUP( (1-MIN(ROUND(facs_rezone_factor*TblRezone[[#This Row],[Facs]],4),facs_rezone_max) + tech_6_4*TblTech[[#This Row],[6-4]] + tech_10_2*TblTech[[#This Row],[10-2]] - IF(TblMagic[[#This Row],[Active Mechanical Genius]]&gt;0,mech_genius_bonus,0) + race_rezone_cost) * TblRezone[[#This Row],[Plat/acre*]],0)</f>
        <v>322</v>
      </c>
      <c r="Y38" s="94">
        <f ca="1">TblRezone[[#This Row],[Total acres]]*TblRezone[[#This Row],[Plat/acre]]</f>
        <v>0</v>
      </c>
      <c r="Z38" s="215"/>
      <c r="AA38" s="94">
        <f ca="1">(250+0.6*(TblRezone[[#This Row],[Land]]-250))</f>
        <v>322</v>
      </c>
      <c r="AB38" s="215"/>
      <c r="AC38" s="157">
        <f ca="1">TblConstr[[#This Row],[Facs DB]]</f>
        <v>0</v>
      </c>
    </row>
    <row r="39" spans="1:29" x14ac:dyDescent="0.2">
      <c r="A39" s="214">
        <f ca="1">TblConstr[[#This Row],[Land]]</f>
        <v>370</v>
      </c>
      <c r="B39" s="216">
        <f ca="1">TblConstr[[#This Row],[Plain]]</f>
        <v>20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45816.458333333248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675194</v>
      </c>
      <c r="W39" s="215"/>
      <c r="X39" s="94">
        <f ca="1">ROUNDUP( (1-MIN(ROUND(facs_rezone_factor*TblRezone[[#This Row],[Facs]],4),facs_rezone_max) + tech_6_4*TblTech[[#This Row],[6-4]] + tech_10_2*TblTech[[#This Row],[10-2]] - IF(TblMagic[[#This Row],[Active Mechanical Genius]]&gt;0,mech_genius_bonus,0) + race_rezone_cost) * TblRezone[[#This Row],[Plat/acre*]],0)</f>
        <v>322</v>
      </c>
      <c r="Y39" s="94">
        <f ca="1">TblRezone[[#This Row],[Total acres]]*TblRezone[[#This Row],[Plat/acre]]</f>
        <v>0</v>
      </c>
      <c r="Z39" s="215"/>
      <c r="AA39" s="94">
        <f ca="1">(250+0.6*(TblRezone[[#This Row],[Land]]-250))</f>
        <v>322</v>
      </c>
      <c r="AB39" s="215"/>
      <c r="AC39" s="157">
        <f ca="1">TblConstr[[#This Row],[Facs DB]]</f>
        <v>0</v>
      </c>
    </row>
    <row r="40" spans="1:29" x14ac:dyDescent="0.2">
      <c r="A40" s="214">
        <f ca="1">TblConstr[[#This Row],[Land]]</f>
        <v>370</v>
      </c>
      <c r="B40" s="216">
        <f ca="1">TblConstr[[#This Row],[Plain]]</f>
        <v>20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45816.499999999913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688754</v>
      </c>
      <c r="W40" s="215"/>
      <c r="X40" s="94">
        <f ca="1">ROUNDUP( (1-MIN(ROUND(facs_rezone_factor*TblRezone[[#This Row],[Facs]],4),facs_rezone_max) + tech_6_4*TblTech[[#This Row],[6-4]] + tech_10_2*TblTech[[#This Row],[10-2]] - IF(TblMagic[[#This Row],[Active Mechanical Genius]]&gt;0,mech_genius_bonus,0) + race_rezone_cost) * TblRezone[[#This Row],[Plat/acre*]],0)</f>
        <v>322</v>
      </c>
      <c r="Y40" s="94">
        <f ca="1">TblRezone[[#This Row],[Total acres]]*TblRezone[[#This Row],[Plat/acre]]</f>
        <v>0</v>
      </c>
      <c r="Z40" s="215"/>
      <c r="AA40" s="94">
        <f ca="1">(250+0.6*(TblRezone[[#This Row],[Land]]-250))</f>
        <v>322</v>
      </c>
      <c r="AB40" s="215"/>
      <c r="AC40" s="157">
        <f ca="1">TblConstr[[#This Row],[Facs DB]]</f>
        <v>0</v>
      </c>
    </row>
    <row r="41" spans="1:29" x14ac:dyDescent="0.2">
      <c r="A41" s="214">
        <f ca="1">TblConstr[[#This Row],[Land]]</f>
        <v>370</v>
      </c>
      <c r="B41" s="216">
        <f ca="1">TblConstr[[#This Row],[Plain]]</f>
        <v>20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45816.541666666577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702200</v>
      </c>
      <c r="W41" s="215"/>
      <c r="X41" s="94">
        <f ca="1">ROUNDUP( (1-MIN(ROUND(facs_rezone_factor*TblRezone[[#This Row],[Facs]],4),facs_rezone_max) + tech_6_4*TblTech[[#This Row],[6-4]] + tech_10_2*TblTech[[#This Row],[10-2]] - IF(TblMagic[[#This Row],[Active Mechanical Genius]]&gt;0,mech_genius_bonus,0) + race_rezone_cost) * TblRezone[[#This Row],[Plat/acre*]],0)</f>
        <v>322</v>
      </c>
      <c r="Y41" s="94">
        <f ca="1">TblRezone[[#This Row],[Total acres]]*TblRezone[[#This Row],[Plat/acre]]</f>
        <v>0</v>
      </c>
      <c r="Z41" s="215"/>
      <c r="AA41" s="94">
        <f ca="1">(250+0.6*(TblRezone[[#This Row],[Land]]-250))</f>
        <v>322</v>
      </c>
      <c r="AB41" s="215"/>
      <c r="AC41" s="157">
        <f ca="1">TblConstr[[#This Row],[Facs DB]]</f>
        <v>0</v>
      </c>
    </row>
    <row r="42" spans="1:29" x14ac:dyDescent="0.2">
      <c r="A42" s="214">
        <f ca="1">TblConstr[[#This Row],[Land]]</f>
        <v>370</v>
      </c>
      <c r="B42" s="216">
        <f ca="1">TblConstr[[#This Row],[Plain]]</f>
        <v>20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45816.583333333241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715536</v>
      </c>
      <c r="W42" s="215"/>
      <c r="X42" s="94">
        <f ca="1">ROUNDUP( (1-MIN(ROUND(facs_rezone_factor*TblRezone[[#This Row],[Facs]],4),facs_rezone_max) + tech_6_4*TblTech[[#This Row],[6-4]] + tech_10_2*TblTech[[#This Row],[10-2]] - IF(TblMagic[[#This Row],[Active Mechanical Genius]]&gt;0,mech_genius_bonus,0) + race_rezone_cost) * TblRezone[[#This Row],[Plat/acre*]],0)</f>
        <v>322</v>
      </c>
      <c r="Y42" s="94">
        <f ca="1">TblRezone[[#This Row],[Total acres]]*TblRezone[[#This Row],[Plat/acre]]</f>
        <v>0</v>
      </c>
      <c r="Z42" s="215"/>
      <c r="AA42" s="94">
        <f ca="1">(250+0.6*(TblRezone[[#This Row],[Land]]-250))</f>
        <v>322</v>
      </c>
      <c r="AB42" s="215"/>
      <c r="AC42" s="157">
        <f ca="1">TblConstr[[#This Row],[Facs DB]]</f>
        <v>0</v>
      </c>
    </row>
    <row r="43" spans="1:29" x14ac:dyDescent="0.2">
      <c r="A43" s="214">
        <f ca="1">TblConstr[[#This Row],[Land]]</f>
        <v>370</v>
      </c>
      <c r="B43" s="216">
        <f ca="1">TblConstr[[#This Row],[Plain]]</f>
        <v>20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45816.624999999905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728761</v>
      </c>
      <c r="W43" s="215"/>
      <c r="X43" s="94">
        <f ca="1">ROUNDUP( (1-MIN(ROUND(facs_rezone_factor*TblRezone[[#This Row],[Facs]],4),facs_rezone_max) + tech_6_4*TblTech[[#This Row],[6-4]] + tech_10_2*TblTech[[#This Row],[10-2]] - IF(TblMagic[[#This Row],[Active Mechanical Genius]]&gt;0,mech_genius_bonus,0) + race_rezone_cost) * TblRezone[[#This Row],[Plat/acre*]],0)</f>
        <v>322</v>
      </c>
      <c r="Y43" s="94">
        <f ca="1">TblRezone[[#This Row],[Total acres]]*TblRezone[[#This Row],[Plat/acre]]</f>
        <v>0</v>
      </c>
      <c r="Z43" s="215"/>
      <c r="AA43" s="94">
        <f ca="1">(250+0.6*(TblRezone[[#This Row],[Land]]-250))</f>
        <v>322</v>
      </c>
      <c r="AB43" s="215"/>
      <c r="AC43" s="157">
        <f ca="1">TblConstr[[#This Row],[Facs DB]]</f>
        <v>0</v>
      </c>
    </row>
    <row r="44" spans="1:29" x14ac:dyDescent="0.2">
      <c r="A44" s="214">
        <f ca="1">TblConstr[[#This Row],[Land]]</f>
        <v>370</v>
      </c>
      <c r="B44" s="216">
        <f ca="1">TblConstr[[#This Row],[Plain]]</f>
        <v>20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45816.66666666657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741875</v>
      </c>
      <c r="W44" s="215"/>
      <c r="X44" s="94">
        <f ca="1">ROUNDUP( (1-MIN(ROUND(facs_rezone_factor*TblRezone[[#This Row],[Facs]],4),facs_rezone_max) + tech_6_4*TblTech[[#This Row],[6-4]] + tech_10_2*TblTech[[#This Row],[10-2]] - IF(TblMagic[[#This Row],[Active Mechanical Genius]]&gt;0,mech_genius_bonus,0) + race_rezone_cost) * TblRezone[[#This Row],[Plat/acre*]],0)</f>
        <v>322</v>
      </c>
      <c r="Y44" s="94">
        <f ca="1">TblRezone[[#This Row],[Total acres]]*TblRezone[[#This Row],[Plat/acre]]</f>
        <v>0</v>
      </c>
      <c r="Z44" s="215"/>
      <c r="AA44" s="94">
        <f ca="1">(250+0.6*(TblRezone[[#This Row],[Land]]-250))</f>
        <v>322</v>
      </c>
      <c r="AB44" s="215"/>
      <c r="AC44" s="157">
        <f ca="1">TblConstr[[#This Row],[Facs DB]]</f>
        <v>0</v>
      </c>
    </row>
    <row r="45" spans="1:29" x14ac:dyDescent="0.2">
      <c r="A45" s="214">
        <f ca="1">TblConstr[[#This Row],[Land]]</f>
        <v>370</v>
      </c>
      <c r="B45" s="216">
        <f ca="1">TblConstr[[#This Row],[Plain]]</f>
        <v>20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45816.708333333234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754881</v>
      </c>
      <c r="W45" s="215"/>
      <c r="X45" s="94">
        <f ca="1">ROUNDUP( (1-MIN(ROUND(facs_rezone_factor*TblRezone[[#This Row],[Facs]],4),facs_rezone_max) + tech_6_4*TblTech[[#This Row],[6-4]] + tech_10_2*TblTech[[#This Row],[10-2]] - IF(TblMagic[[#This Row],[Active Mechanical Genius]]&gt;0,mech_genius_bonus,0) + race_rezone_cost) * TblRezone[[#This Row],[Plat/acre*]],0)</f>
        <v>322</v>
      </c>
      <c r="Y45" s="94">
        <f ca="1">TblRezone[[#This Row],[Total acres]]*TblRezone[[#This Row],[Plat/acre]]</f>
        <v>0</v>
      </c>
      <c r="Z45" s="215"/>
      <c r="AA45" s="94">
        <f ca="1">(250+0.6*(TblRezone[[#This Row],[Land]]-250))</f>
        <v>322</v>
      </c>
      <c r="AB45" s="215"/>
      <c r="AC45" s="157">
        <f ca="1">TblConstr[[#This Row],[Facs DB]]</f>
        <v>0</v>
      </c>
    </row>
    <row r="46" spans="1:29" x14ac:dyDescent="0.2">
      <c r="A46" s="214">
        <f ca="1">TblConstr[[#This Row],[Land]]</f>
        <v>370</v>
      </c>
      <c r="B46" s="216">
        <f ca="1">TblConstr[[#This Row],[Plain]]</f>
        <v>20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45816.749999999898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767779</v>
      </c>
      <c r="W46" s="215"/>
      <c r="X46" s="94">
        <f ca="1">ROUNDUP( (1-MIN(ROUND(facs_rezone_factor*TblRezone[[#This Row],[Facs]],4),facs_rezone_max) + tech_6_4*TblTech[[#This Row],[6-4]] + tech_10_2*TblTech[[#This Row],[10-2]] - IF(TblMagic[[#This Row],[Active Mechanical Genius]]&gt;0,mech_genius_bonus,0) + race_rezone_cost) * TblRezone[[#This Row],[Plat/acre*]],0)</f>
        <v>322</v>
      </c>
      <c r="Y46" s="94">
        <f ca="1">TblRezone[[#This Row],[Total acres]]*TblRezone[[#This Row],[Plat/acre]]</f>
        <v>0</v>
      </c>
      <c r="Z46" s="215"/>
      <c r="AA46" s="94">
        <f ca="1">(250+0.6*(TblRezone[[#This Row],[Land]]-250))</f>
        <v>322</v>
      </c>
      <c r="AB46" s="215"/>
      <c r="AC46" s="157">
        <f ca="1">TblConstr[[#This Row],[Facs DB]]</f>
        <v>0</v>
      </c>
    </row>
    <row r="47" spans="1:29" x14ac:dyDescent="0.2">
      <c r="A47" s="214">
        <f ca="1">TblConstr[[#This Row],[Land]]</f>
        <v>370</v>
      </c>
      <c r="B47" s="216">
        <f ca="1">TblConstr[[#This Row],[Plain]]</f>
        <v>20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45816.791666666562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780572</v>
      </c>
      <c r="W47" s="215"/>
      <c r="X47" s="94">
        <f ca="1">ROUNDUP( (1-MIN(ROUND(facs_rezone_factor*TblRezone[[#This Row],[Facs]],4),facs_rezone_max) + tech_6_4*TblTech[[#This Row],[6-4]] + tech_10_2*TblTech[[#This Row],[10-2]] - IF(TblMagic[[#This Row],[Active Mechanical Genius]]&gt;0,mech_genius_bonus,0) + race_rezone_cost) * TblRezone[[#This Row],[Plat/acre*]],0)</f>
        <v>322</v>
      </c>
      <c r="Y47" s="94">
        <f ca="1">TblRezone[[#This Row],[Total acres]]*TblRezone[[#This Row],[Plat/acre]]</f>
        <v>0</v>
      </c>
      <c r="Z47" s="215"/>
      <c r="AA47" s="94">
        <f ca="1">(250+0.6*(TblRezone[[#This Row],[Land]]-250))</f>
        <v>322</v>
      </c>
      <c r="AB47" s="215"/>
      <c r="AC47" s="157">
        <f ca="1">TblConstr[[#This Row],[Facs DB]]</f>
        <v>0</v>
      </c>
    </row>
    <row r="48" spans="1:29" x14ac:dyDescent="0.2">
      <c r="A48" s="214">
        <f ca="1">TblConstr[[#This Row],[Land]]</f>
        <v>370</v>
      </c>
      <c r="B48" s="216">
        <f ca="1">TblConstr[[#This Row],[Plain]]</f>
        <v>20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45816.833333333227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793260</v>
      </c>
      <c r="W48" s="215"/>
      <c r="X48" s="94">
        <f ca="1">ROUNDUP( (1-MIN(ROUND(facs_rezone_factor*TblRezone[[#This Row],[Facs]],4),facs_rezone_max) + tech_6_4*TblTech[[#This Row],[6-4]] + tech_10_2*TblTech[[#This Row],[10-2]] - IF(TblMagic[[#This Row],[Active Mechanical Genius]]&gt;0,mech_genius_bonus,0) + race_rezone_cost) * TblRezone[[#This Row],[Plat/acre*]],0)</f>
        <v>322</v>
      </c>
      <c r="Y48" s="94">
        <f ca="1">TblRezone[[#This Row],[Total acres]]*TblRezone[[#This Row],[Plat/acre]]</f>
        <v>0</v>
      </c>
      <c r="Z48" s="215"/>
      <c r="AA48" s="94">
        <f ca="1">(250+0.6*(TblRezone[[#This Row],[Land]]-250))</f>
        <v>322</v>
      </c>
      <c r="AB48" s="215"/>
      <c r="AC48" s="157">
        <f ca="1">TblConstr[[#This Row],[Facs DB]]</f>
        <v>0</v>
      </c>
    </row>
    <row r="49" spans="1:29" x14ac:dyDescent="0.2">
      <c r="A49" s="214">
        <f ca="1">TblConstr[[#This Row],[Land]]</f>
        <v>370</v>
      </c>
      <c r="B49" s="216">
        <f ca="1">TblConstr[[#This Row],[Plain]]</f>
        <v>20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45816.874999999891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805842</v>
      </c>
      <c r="W49" s="215"/>
      <c r="X49" s="94">
        <f ca="1">ROUNDUP( (1-MIN(ROUND(facs_rezone_factor*TblRezone[[#This Row],[Facs]],4),facs_rezone_max) + tech_6_4*TblTech[[#This Row],[6-4]] + tech_10_2*TblTech[[#This Row],[10-2]] - IF(TblMagic[[#This Row],[Active Mechanical Genius]]&gt;0,mech_genius_bonus,0) + race_rezone_cost) * TblRezone[[#This Row],[Plat/acre*]],0)</f>
        <v>322</v>
      </c>
      <c r="Y49" s="94">
        <f ca="1">TblRezone[[#This Row],[Total acres]]*TblRezone[[#This Row],[Plat/acre]]</f>
        <v>0</v>
      </c>
      <c r="Z49" s="215"/>
      <c r="AA49" s="94">
        <f ca="1">(250+0.6*(TblRezone[[#This Row],[Land]]-250))</f>
        <v>322</v>
      </c>
      <c r="AB49" s="215"/>
      <c r="AC49" s="157">
        <f ca="1">TblConstr[[#This Row],[Facs DB]]</f>
        <v>0</v>
      </c>
    </row>
    <row r="50" spans="1:29" x14ac:dyDescent="0.2">
      <c r="A50" s="214">
        <f ca="1">TblConstr[[#This Row],[Land]]</f>
        <v>370</v>
      </c>
      <c r="B50" s="216">
        <f ca="1">TblConstr[[#This Row],[Plain]]</f>
        <v>20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45816.916666666555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818322</v>
      </c>
      <c r="W50" s="215"/>
      <c r="X50" s="94">
        <f ca="1">ROUNDUP( (1-MIN(ROUND(facs_rezone_factor*TblRezone[[#This Row],[Facs]],4),facs_rezone_max) + tech_6_4*TblTech[[#This Row],[6-4]] + tech_10_2*TblTech[[#This Row],[10-2]] - IF(TblMagic[[#This Row],[Active Mechanical Genius]]&gt;0,mech_genius_bonus,0) + race_rezone_cost) * TblRezone[[#This Row],[Plat/acre*]],0)</f>
        <v>322</v>
      </c>
      <c r="Y50" s="94">
        <f ca="1">TblRezone[[#This Row],[Total acres]]*TblRezone[[#This Row],[Plat/acre]]</f>
        <v>0</v>
      </c>
      <c r="Z50" s="215"/>
      <c r="AA50" s="94">
        <f ca="1">(250+0.6*(TblRezone[[#This Row],[Land]]-250))</f>
        <v>322</v>
      </c>
      <c r="AB50" s="215"/>
      <c r="AC50" s="157">
        <f ca="1">TblConstr[[#This Row],[Facs DB]]</f>
        <v>0</v>
      </c>
    </row>
    <row r="51" spans="1:29" x14ac:dyDescent="0.2">
      <c r="A51" s="214">
        <f ca="1">TblConstr[[#This Row],[Land]]</f>
        <v>370</v>
      </c>
      <c r="B51" s="216">
        <f ca="1">TblConstr[[#This Row],[Plain]]</f>
        <v>20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45816.958333333219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830699</v>
      </c>
      <c r="W51" s="215"/>
      <c r="X51" s="94">
        <f ca="1">ROUNDUP( (1-MIN(ROUND(facs_rezone_factor*TblRezone[[#This Row],[Facs]],4),facs_rezone_max) + tech_6_4*TblTech[[#This Row],[6-4]] + tech_10_2*TblTech[[#This Row],[10-2]] - IF(TblMagic[[#This Row],[Active Mechanical Genius]]&gt;0,mech_genius_bonus,0) + race_rezone_cost) * TblRezone[[#This Row],[Plat/acre*]],0)</f>
        <v>322</v>
      </c>
      <c r="Y51" s="94">
        <f ca="1">TblRezone[[#This Row],[Total acres]]*TblRezone[[#This Row],[Plat/acre]]</f>
        <v>0</v>
      </c>
      <c r="Z51" s="215"/>
      <c r="AA51" s="94">
        <f ca="1">(250+0.6*(TblRezone[[#This Row],[Land]]-250))</f>
        <v>322</v>
      </c>
      <c r="AB51" s="215"/>
      <c r="AC51" s="157">
        <f ca="1">TblConstr[[#This Row],[Facs DB]]</f>
        <v>0</v>
      </c>
    </row>
    <row r="52" spans="1:29" s="5" customFormat="1" x14ac:dyDescent="0.2">
      <c r="A52" s="230">
        <f ca="1">TblConstr[[#This Row],[Land]]</f>
        <v>370</v>
      </c>
      <c r="B52" s="232">
        <f ca="1">TblConstr[[#This Row],[Plain]]</f>
        <v>20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45816.999999999884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842974</v>
      </c>
      <c r="W52" s="231"/>
      <c r="X52" s="35">
        <f ca="1">ROUNDUP( (1-MIN(ROUND(facs_rezone_factor*TblRezone[[#This Row],[Facs]],4),facs_rezone_max) + tech_6_4*TblTech[[#This Row],[6-4]] + tech_10_2*TblTech[[#This Row],[10-2]] - IF(TblMagic[[#This Row],[Active Mechanical Genius]]&gt;0,mech_genius_bonus,0) + race_rezone_cost) * TblRezone[[#This Row],[Plat/acre*]],0)</f>
        <v>322</v>
      </c>
      <c r="Y52" s="35">
        <f ca="1">TblRezone[[#This Row],[Total acres]]*TblRezone[[#This Row],[Plat/acre]]</f>
        <v>0</v>
      </c>
      <c r="Z52" s="231"/>
      <c r="AA52" s="35">
        <f ca="1">(250+0.6*(TblRezone[[#This Row],[Land]]-250))</f>
        <v>322</v>
      </c>
      <c r="AB52" s="231"/>
      <c r="AC52" s="165">
        <f ca="1">TblConstr[[#This Row],[Facs DB]]</f>
        <v>0</v>
      </c>
    </row>
    <row r="53" spans="1:29" x14ac:dyDescent="0.2">
      <c r="A53" s="214">
        <f ca="1">TblConstr[[#This Row],[Land]]</f>
        <v>370</v>
      </c>
      <c r="B53" s="216">
        <f ca="1">TblConstr[[#This Row],[Plain]]</f>
        <v>20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45817.041666666548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855149</v>
      </c>
      <c r="W53" s="215"/>
      <c r="X53" s="94">
        <f ca="1">ROUNDUP( (1-MIN(ROUND(facs_rezone_factor*TblRezone[[#This Row],[Facs]],4),facs_rezone_max) + tech_6_4*TblTech[[#This Row],[6-4]] + tech_10_2*TblTech[[#This Row],[10-2]] - IF(TblMagic[[#This Row],[Active Mechanical Genius]]&gt;0,mech_genius_bonus,0) + race_rezone_cost) * TblRezone[[#This Row],[Plat/acre*]],0)</f>
        <v>322</v>
      </c>
      <c r="Y53" s="94">
        <f ca="1">TblRezone[[#This Row],[Total acres]]*TblRezone[[#This Row],[Plat/acre]]</f>
        <v>0</v>
      </c>
      <c r="Z53" s="215"/>
      <c r="AA53" s="94">
        <f ca="1">(250+0.6*(TblRezone[[#This Row],[Land]]-250))</f>
        <v>322</v>
      </c>
      <c r="AB53" s="215"/>
      <c r="AC53" s="157">
        <f ca="1">TblConstr[[#This Row],[Facs DB]]</f>
        <v>0</v>
      </c>
    </row>
    <row r="54" spans="1:29" x14ac:dyDescent="0.2">
      <c r="A54" s="214">
        <f ca="1">TblConstr[[#This Row],[Land]]</f>
        <v>370</v>
      </c>
      <c r="B54" s="216">
        <f ca="1">TblConstr[[#This Row],[Plain]]</f>
        <v>20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45817.083333333212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867224</v>
      </c>
      <c r="W54" s="215"/>
      <c r="X54" s="94">
        <f ca="1">ROUNDUP( (1-MIN(ROUND(facs_rezone_factor*TblRezone[[#This Row],[Facs]],4),facs_rezone_max) + tech_6_4*TblTech[[#This Row],[6-4]] + tech_10_2*TblTech[[#This Row],[10-2]] - IF(TblMagic[[#This Row],[Active Mechanical Genius]]&gt;0,mech_genius_bonus,0) + race_rezone_cost) * TblRezone[[#This Row],[Plat/acre*]],0)</f>
        <v>322</v>
      </c>
      <c r="Y54" s="94">
        <f ca="1">TblRezone[[#This Row],[Total acres]]*TblRezone[[#This Row],[Plat/acre]]</f>
        <v>0</v>
      </c>
      <c r="Z54" s="215"/>
      <c r="AA54" s="94">
        <f ca="1">(250+0.6*(TblRezone[[#This Row],[Land]]-250))</f>
        <v>322</v>
      </c>
      <c r="AB54" s="215"/>
      <c r="AC54" s="157">
        <f ca="1">TblConstr[[#This Row],[Facs DB]]</f>
        <v>0</v>
      </c>
    </row>
    <row r="55" spans="1:29" x14ac:dyDescent="0.2">
      <c r="A55" s="214">
        <f ca="1">TblConstr[[#This Row],[Land]]</f>
        <v>370</v>
      </c>
      <c r="B55" s="216">
        <f ca="1">TblConstr[[#This Row],[Plain]]</f>
        <v>20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45817.124999999876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879202</v>
      </c>
      <c r="W55" s="215"/>
      <c r="X55" s="94">
        <f ca="1">ROUNDUP( (1-MIN(ROUND(facs_rezone_factor*TblRezone[[#This Row],[Facs]],4),facs_rezone_max) + tech_6_4*TblTech[[#This Row],[6-4]] + tech_10_2*TblTech[[#This Row],[10-2]] - IF(TblMagic[[#This Row],[Active Mechanical Genius]]&gt;0,mech_genius_bonus,0) + race_rezone_cost) * TblRezone[[#This Row],[Plat/acre*]],0)</f>
        <v>322</v>
      </c>
      <c r="Y55" s="94">
        <f ca="1">TblRezone[[#This Row],[Total acres]]*TblRezone[[#This Row],[Plat/acre]]</f>
        <v>0</v>
      </c>
      <c r="Z55" s="215"/>
      <c r="AA55" s="94">
        <f ca="1">(250+0.6*(TblRezone[[#This Row],[Land]]-250))</f>
        <v>322</v>
      </c>
      <c r="AB55" s="215"/>
      <c r="AC55" s="157">
        <f ca="1">TblConstr[[#This Row],[Facs DB]]</f>
        <v>0</v>
      </c>
    </row>
    <row r="56" spans="1:29" x14ac:dyDescent="0.2">
      <c r="A56" s="214">
        <f ca="1">TblConstr[[#This Row],[Land]]</f>
        <v>370</v>
      </c>
      <c r="B56" s="216">
        <f ca="1">TblConstr[[#This Row],[Plain]]</f>
        <v>20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45817.166666666541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891082</v>
      </c>
      <c r="W56" s="215"/>
      <c r="X56" s="94">
        <f ca="1">ROUNDUP( (1-MIN(ROUND(facs_rezone_factor*TblRezone[[#This Row],[Facs]],4),facs_rezone_max) + tech_6_4*TblTech[[#This Row],[6-4]] + tech_10_2*TblTech[[#This Row],[10-2]] - IF(TblMagic[[#This Row],[Active Mechanical Genius]]&gt;0,mech_genius_bonus,0) + race_rezone_cost) * TblRezone[[#This Row],[Plat/acre*]],0)</f>
        <v>322</v>
      </c>
      <c r="Y56" s="94">
        <f ca="1">TblRezone[[#This Row],[Total acres]]*TblRezone[[#This Row],[Plat/acre]]</f>
        <v>0</v>
      </c>
      <c r="Z56" s="215"/>
      <c r="AA56" s="94">
        <f ca="1">(250+0.6*(TblRezone[[#This Row],[Land]]-250))</f>
        <v>322</v>
      </c>
      <c r="AB56" s="215"/>
      <c r="AC56" s="157">
        <f ca="1">TblConstr[[#This Row],[Facs DB]]</f>
        <v>0</v>
      </c>
    </row>
    <row r="57" spans="1:29" x14ac:dyDescent="0.2">
      <c r="A57" s="214">
        <f ca="1">TblConstr[[#This Row],[Land]]</f>
        <v>370</v>
      </c>
      <c r="B57" s="216">
        <f ca="1">TblConstr[[#This Row],[Plain]]</f>
        <v>20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45817.208333333205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902865</v>
      </c>
      <c r="W57" s="215"/>
      <c r="X57" s="94">
        <f ca="1">ROUNDUP( (1-MIN(ROUND(facs_rezone_factor*TblRezone[[#This Row],[Facs]],4),facs_rezone_max) + tech_6_4*TblTech[[#This Row],[6-4]] + tech_10_2*TblTech[[#This Row],[10-2]] - IF(TblMagic[[#This Row],[Active Mechanical Genius]]&gt;0,mech_genius_bonus,0) + race_rezone_cost) * TblRezone[[#This Row],[Plat/acre*]],0)</f>
        <v>322</v>
      </c>
      <c r="Y57" s="94">
        <f ca="1">TblRezone[[#This Row],[Total acres]]*TblRezone[[#This Row],[Plat/acre]]</f>
        <v>0</v>
      </c>
      <c r="Z57" s="215"/>
      <c r="AA57" s="94">
        <f ca="1">(250+0.6*(TblRezone[[#This Row],[Land]]-250))</f>
        <v>322</v>
      </c>
      <c r="AB57" s="215"/>
      <c r="AC57" s="157">
        <f ca="1">TblConstr[[#This Row],[Facs DB]]</f>
        <v>0</v>
      </c>
    </row>
    <row r="58" spans="1:29" x14ac:dyDescent="0.2">
      <c r="A58" s="214">
        <f ca="1">TblConstr[[#This Row],[Land]]</f>
        <v>370</v>
      </c>
      <c r="B58" s="216">
        <f ca="1">TblConstr[[#This Row],[Plain]]</f>
        <v>20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45817.249999999869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914554</v>
      </c>
      <c r="W58" s="215"/>
      <c r="X58" s="94">
        <f ca="1">ROUNDUP( (1-MIN(ROUND(facs_rezone_factor*TblRezone[[#This Row],[Facs]],4),facs_rezone_max) + tech_6_4*TblTech[[#This Row],[6-4]] + tech_10_2*TblTech[[#This Row],[10-2]] - IF(TblMagic[[#This Row],[Active Mechanical Genius]]&gt;0,mech_genius_bonus,0) + race_rezone_cost) * TblRezone[[#This Row],[Plat/acre*]],0)</f>
        <v>322</v>
      </c>
      <c r="Y58" s="94">
        <f ca="1">TblRezone[[#This Row],[Total acres]]*TblRezone[[#This Row],[Plat/acre]]</f>
        <v>0</v>
      </c>
      <c r="Z58" s="215"/>
      <c r="AA58" s="94">
        <f ca="1">(250+0.6*(TblRezone[[#This Row],[Land]]-250))</f>
        <v>322</v>
      </c>
      <c r="AB58" s="215"/>
      <c r="AC58" s="157">
        <f ca="1">TblConstr[[#This Row],[Facs DB]]</f>
        <v>0</v>
      </c>
    </row>
    <row r="59" spans="1:29" x14ac:dyDescent="0.2">
      <c r="A59" s="214">
        <f ca="1">TblConstr[[#This Row],[Land]]</f>
        <v>370</v>
      </c>
      <c r="B59" s="216">
        <f ca="1">TblConstr[[#This Row],[Plain]]</f>
        <v>20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45817.291666666533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926148</v>
      </c>
      <c r="W59" s="215"/>
      <c r="X59" s="94">
        <f ca="1">ROUNDUP( (1-MIN(ROUND(facs_rezone_factor*TblRezone[[#This Row],[Facs]],4),facs_rezone_max) + tech_6_4*TblTech[[#This Row],[6-4]] + tech_10_2*TblTech[[#This Row],[10-2]] - IF(TblMagic[[#This Row],[Active Mechanical Genius]]&gt;0,mech_genius_bonus,0) + race_rezone_cost) * TblRezone[[#This Row],[Plat/acre*]],0)</f>
        <v>322</v>
      </c>
      <c r="Y59" s="94">
        <f ca="1">TblRezone[[#This Row],[Total acres]]*TblRezone[[#This Row],[Plat/acre]]</f>
        <v>0</v>
      </c>
      <c r="Z59" s="215"/>
      <c r="AA59" s="94">
        <f ca="1">(250+0.6*(TblRezone[[#This Row],[Land]]-250))</f>
        <v>322</v>
      </c>
      <c r="AB59" s="215"/>
      <c r="AC59" s="157">
        <f ca="1">TblConstr[[#This Row],[Facs DB]]</f>
        <v>0</v>
      </c>
    </row>
    <row r="60" spans="1:29" x14ac:dyDescent="0.2">
      <c r="A60" s="214">
        <f ca="1">TblConstr[[#This Row],[Land]]</f>
        <v>370</v>
      </c>
      <c r="B60" s="216">
        <f ca="1">TblConstr[[#This Row],[Plain]]</f>
        <v>20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45817.333333333198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937648</v>
      </c>
      <c r="W60" s="215"/>
      <c r="X60" s="94">
        <f ca="1">ROUNDUP( (1-MIN(ROUND(facs_rezone_factor*TblRezone[[#This Row],[Facs]],4),facs_rezone_max) + tech_6_4*TblTech[[#This Row],[6-4]] + tech_10_2*TblTech[[#This Row],[10-2]] - IF(TblMagic[[#This Row],[Active Mechanical Genius]]&gt;0,mech_genius_bonus,0) + race_rezone_cost) * TblRezone[[#This Row],[Plat/acre*]],0)</f>
        <v>322</v>
      </c>
      <c r="Y60" s="94">
        <f ca="1">TblRezone[[#This Row],[Total acres]]*TblRezone[[#This Row],[Plat/acre]]</f>
        <v>0</v>
      </c>
      <c r="Z60" s="215"/>
      <c r="AA60" s="94">
        <f ca="1">(250+0.6*(TblRezone[[#This Row],[Land]]-250))</f>
        <v>322</v>
      </c>
      <c r="AB60" s="215"/>
      <c r="AC60" s="157">
        <f ca="1">TblConstr[[#This Row],[Facs DB]]</f>
        <v>0</v>
      </c>
    </row>
    <row r="61" spans="1:29" x14ac:dyDescent="0.2">
      <c r="A61" s="214">
        <f ca="1">TblConstr[[#This Row],[Land]]</f>
        <v>370</v>
      </c>
      <c r="B61" s="216">
        <f ca="1">TblConstr[[#This Row],[Plain]]</f>
        <v>20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45817.374999999862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949056</v>
      </c>
      <c r="W61" s="215"/>
      <c r="X61" s="94">
        <f ca="1">ROUNDUP( (1-MIN(ROUND(facs_rezone_factor*TblRezone[[#This Row],[Facs]],4),facs_rezone_max) + tech_6_4*TblTech[[#This Row],[6-4]] + tech_10_2*TblTech[[#This Row],[10-2]] - IF(TblMagic[[#This Row],[Active Mechanical Genius]]&gt;0,mech_genius_bonus,0) + race_rezone_cost) * TblRezone[[#This Row],[Plat/acre*]],0)</f>
        <v>322</v>
      </c>
      <c r="Y61" s="94">
        <f ca="1">TblRezone[[#This Row],[Total acres]]*TblRezone[[#This Row],[Plat/acre]]</f>
        <v>0</v>
      </c>
      <c r="Z61" s="215"/>
      <c r="AA61" s="94">
        <f ca="1">(250+0.6*(TblRezone[[#This Row],[Land]]-250))</f>
        <v>322</v>
      </c>
      <c r="AB61" s="215"/>
      <c r="AC61" s="157">
        <f ca="1">TblConstr[[#This Row],[Facs DB]]</f>
        <v>0</v>
      </c>
    </row>
    <row r="62" spans="1:29" x14ac:dyDescent="0.2">
      <c r="A62" s="214">
        <f ca="1">TblConstr[[#This Row],[Land]]</f>
        <v>370</v>
      </c>
      <c r="B62" s="216">
        <f ca="1">TblConstr[[#This Row],[Plain]]</f>
        <v>20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45817.416666666526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960372</v>
      </c>
      <c r="W62" s="215"/>
      <c r="X62" s="94">
        <f ca="1">ROUNDUP( (1-MIN(ROUND(facs_rezone_factor*TblRezone[[#This Row],[Facs]],4),facs_rezone_max) + tech_6_4*TblTech[[#This Row],[6-4]] + tech_10_2*TblTech[[#This Row],[10-2]] - IF(TblMagic[[#This Row],[Active Mechanical Genius]]&gt;0,mech_genius_bonus,0) + race_rezone_cost) * TblRezone[[#This Row],[Plat/acre*]],0)</f>
        <v>322</v>
      </c>
      <c r="Y62" s="94">
        <f ca="1">TblRezone[[#This Row],[Total acres]]*TblRezone[[#This Row],[Plat/acre]]</f>
        <v>0</v>
      </c>
      <c r="Z62" s="215"/>
      <c r="AA62" s="94">
        <f ca="1">(250+0.6*(TblRezone[[#This Row],[Land]]-250))</f>
        <v>322</v>
      </c>
      <c r="AB62" s="215"/>
      <c r="AC62" s="157">
        <f ca="1">TblConstr[[#This Row],[Facs DB]]</f>
        <v>0</v>
      </c>
    </row>
    <row r="63" spans="1:29" x14ac:dyDescent="0.2">
      <c r="A63" s="214">
        <f ca="1">TblConstr[[#This Row],[Land]]</f>
        <v>370</v>
      </c>
      <c r="B63" s="216">
        <f ca="1">TblConstr[[#This Row],[Plain]]</f>
        <v>20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45817.45833333319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971596</v>
      </c>
      <c r="W63" s="215"/>
      <c r="X63" s="94">
        <f ca="1">ROUNDUP( (1-MIN(ROUND(facs_rezone_factor*TblRezone[[#This Row],[Facs]],4),facs_rezone_max) + tech_6_4*TblTech[[#This Row],[6-4]] + tech_10_2*TblTech[[#This Row],[10-2]] - IF(TblMagic[[#This Row],[Active Mechanical Genius]]&gt;0,mech_genius_bonus,0) + race_rezone_cost) * TblRezone[[#This Row],[Plat/acre*]],0)</f>
        <v>322</v>
      </c>
      <c r="Y63" s="94">
        <f ca="1">TblRezone[[#This Row],[Total acres]]*TblRezone[[#This Row],[Plat/acre]]</f>
        <v>0</v>
      </c>
      <c r="Z63" s="215"/>
      <c r="AA63" s="94">
        <f ca="1">(250+0.6*(TblRezone[[#This Row],[Land]]-250))</f>
        <v>322</v>
      </c>
      <c r="AB63" s="215"/>
      <c r="AC63" s="157">
        <f ca="1">TblConstr[[#This Row],[Facs DB]]</f>
        <v>0</v>
      </c>
    </row>
    <row r="64" spans="1:29" x14ac:dyDescent="0.2">
      <c r="A64" s="214">
        <f ca="1">TblConstr[[#This Row],[Land]]</f>
        <v>370</v>
      </c>
      <c r="B64" s="216">
        <f ca="1">TblConstr[[#This Row],[Plain]]</f>
        <v>20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45817.499999999854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982731</v>
      </c>
      <c r="W64" s="215"/>
      <c r="X64" s="94">
        <f ca="1">ROUNDUP( (1-MIN(ROUND(facs_rezone_factor*TblRezone[[#This Row],[Facs]],4),facs_rezone_max) + tech_6_4*TblTech[[#This Row],[6-4]] + tech_10_2*TblTech[[#This Row],[10-2]] - IF(TblMagic[[#This Row],[Active Mechanical Genius]]&gt;0,mech_genius_bonus,0) + race_rezone_cost) * TblRezone[[#This Row],[Plat/acre*]],0)</f>
        <v>322</v>
      </c>
      <c r="Y64" s="94">
        <f ca="1">TblRezone[[#This Row],[Total acres]]*TblRezone[[#This Row],[Plat/acre]]</f>
        <v>0</v>
      </c>
      <c r="Z64" s="215"/>
      <c r="AA64" s="94">
        <f ca="1">(250+0.6*(TblRezone[[#This Row],[Land]]-250))</f>
        <v>322</v>
      </c>
      <c r="AB64" s="215"/>
      <c r="AC64" s="157">
        <f ca="1">TblConstr[[#This Row],[Facs DB]]</f>
        <v>0</v>
      </c>
    </row>
    <row r="65" spans="1:29" x14ac:dyDescent="0.2">
      <c r="A65" s="214">
        <f ca="1">TblConstr[[#This Row],[Land]]</f>
        <v>370</v>
      </c>
      <c r="B65" s="216">
        <f ca="1">TblConstr[[#This Row],[Plain]]</f>
        <v>20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45817.541666666519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993777</v>
      </c>
      <c r="W65" s="215"/>
      <c r="X65" s="94">
        <f ca="1">ROUNDUP( (1-MIN(ROUND(facs_rezone_factor*TblRezone[[#This Row],[Facs]],4),facs_rezone_max) + tech_6_4*TblTech[[#This Row],[6-4]] + tech_10_2*TblTech[[#This Row],[10-2]] - IF(TblMagic[[#This Row],[Active Mechanical Genius]]&gt;0,mech_genius_bonus,0) + race_rezone_cost) * TblRezone[[#This Row],[Plat/acre*]],0)</f>
        <v>322</v>
      </c>
      <c r="Y65" s="94">
        <f ca="1">TblRezone[[#This Row],[Total acres]]*TblRezone[[#This Row],[Plat/acre]]</f>
        <v>0</v>
      </c>
      <c r="Z65" s="215"/>
      <c r="AA65" s="94">
        <f ca="1">(250+0.6*(TblRezone[[#This Row],[Land]]-250))</f>
        <v>322</v>
      </c>
      <c r="AB65" s="215"/>
      <c r="AC65" s="157">
        <f ca="1">TblConstr[[#This Row],[Facs DB]]</f>
        <v>0</v>
      </c>
    </row>
    <row r="66" spans="1:29" x14ac:dyDescent="0.2">
      <c r="A66" s="214">
        <f ca="1">TblConstr[[#This Row],[Land]]</f>
        <v>370</v>
      </c>
      <c r="B66" s="216">
        <f ca="1">TblConstr[[#This Row],[Plain]]</f>
        <v>20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45817.583333333183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1004734</v>
      </c>
      <c r="W66" s="215"/>
      <c r="X66" s="94">
        <f ca="1">ROUNDUP( (1-MIN(ROUND(facs_rezone_factor*TblRezone[[#This Row],[Facs]],4),facs_rezone_max) + tech_6_4*TblTech[[#This Row],[6-4]] + tech_10_2*TblTech[[#This Row],[10-2]] - IF(TblMagic[[#This Row],[Active Mechanical Genius]]&gt;0,mech_genius_bonus,0) + race_rezone_cost) * TblRezone[[#This Row],[Plat/acre*]],0)</f>
        <v>322</v>
      </c>
      <c r="Y66" s="94">
        <f ca="1">TblRezone[[#This Row],[Total acres]]*TblRezone[[#This Row],[Plat/acre]]</f>
        <v>0</v>
      </c>
      <c r="Z66" s="215"/>
      <c r="AA66" s="94">
        <f ca="1">(250+0.6*(TblRezone[[#This Row],[Land]]-250))</f>
        <v>322</v>
      </c>
      <c r="AB66" s="215"/>
      <c r="AC66" s="157">
        <f ca="1">TblConstr[[#This Row],[Facs DB]]</f>
        <v>0</v>
      </c>
    </row>
    <row r="67" spans="1:29" x14ac:dyDescent="0.2">
      <c r="A67" s="214">
        <f ca="1">TblConstr[[#This Row],[Land]]</f>
        <v>370</v>
      </c>
      <c r="B67" s="216">
        <f ca="1">TblConstr[[#This Row],[Plain]]</f>
        <v>20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45817.624999999847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1015605</v>
      </c>
      <c r="W67" s="215"/>
      <c r="X67" s="94">
        <f ca="1">ROUNDUP( (1-MIN(ROUND(facs_rezone_factor*TblRezone[[#This Row],[Facs]],4),facs_rezone_max) + tech_6_4*TblTech[[#This Row],[6-4]] + tech_10_2*TblTech[[#This Row],[10-2]] - IF(TblMagic[[#This Row],[Active Mechanical Genius]]&gt;0,mech_genius_bonus,0) + race_rezone_cost) * TblRezone[[#This Row],[Plat/acre*]],0)</f>
        <v>322</v>
      </c>
      <c r="Y67" s="94">
        <f ca="1">TblRezone[[#This Row],[Total acres]]*TblRezone[[#This Row],[Plat/acre]]</f>
        <v>0</v>
      </c>
      <c r="Z67" s="215"/>
      <c r="AA67" s="94">
        <f ca="1">(250+0.6*(TblRezone[[#This Row],[Land]]-250))</f>
        <v>322</v>
      </c>
      <c r="AB67" s="215"/>
      <c r="AC67" s="157">
        <f ca="1">TblConstr[[#This Row],[Facs DB]]</f>
        <v>0</v>
      </c>
    </row>
    <row r="68" spans="1:29" x14ac:dyDescent="0.2">
      <c r="A68" s="214">
        <f ca="1">TblConstr[[#This Row],[Land]]</f>
        <v>370</v>
      </c>
      <c r="B68" s="216">
        <f ca="1">TblConstr[[#This Row],[Plain]]</f>
        <v>20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45817.666666666511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1026389</v>
      </c>
      <c r="W68" s="215"/>
      <c r="X68" s="94">
        <f ca="1">ROUNDUP( (1-MIN(ROUND(facs_rezone_factor*TblRezone[[#This Row],[Facs]],4),facs_rezone_max) + tech_6_4*TblTech[[#This Row],[6-4]] + tech_10_2*TblTech[[#This Row],[10-2]] - IF(TblMagic[[#This Row],[Active Mechanical Genius]]&gt;0,mech_genius_bonus,0) + race_rezone_cost) * TblRezone[[#This Row],[Plat/acre*]],0)</f>
        <v>322</v>
      </c>
      <c r="Y68" s="94">
        <f ca="1">TblRezone[[#This Row],[Total acres]]*TblRezone[[#This Row],[Plat/acre]]</f>
        <v>0</v>
      </c>
      <c r="Z68" s="215"/>
      <c r="AA68" s="94">
        <f ca="1">(250+0.6*(TblRezone[[#This Row],[Land]]-250))</f>
        <v>322</v>
      </c>
      <c r="AB68" s="215"/>
      <c r="AC68" s="157">
        <f ca="1">TblConstr[[#This Row],[Facs DB]]</f>
        <v>0</v>
      </c>
    </row>
    <row r="69" spans="1:29" x14ac:dyDescent="0.2">
      <c r="A69" s="214">
        <f ca="1">TblConstr[[#This Row],[Land]]</f>
        <v>370</v>
      </c>
      <c r="B69" s="216">
        <f ca="1">TblConstr[[#This Row],[Plain]]</f>
        <v>20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45817.708333333176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1037087</v>
      </c>
      <c r="W69" s="215"/>
      <c r="X69" s="94">
        <f ca="1">ROUNDUP( (1-MIN(ROUND(facs_rezone_factor*TblRezone[[#This Row],[Facs]],4),facs_rezone_max) + tech_6_4*TblTech[[#This Row],[6-4]] + tech_10_2*TblTech[[#This Row],[10-2]] - IF(TblMagic[[#This Row],[Active Mechanical Genius]]&gt;0,mech_genius_bonus,0) + race_rezone_cost) * TblRezone[[#This Row],[Plat/acre*]],0)</f>
        <v>322</v>
      </c>
      <c r="Y69" s="94">
        <f ca="1">TblRezone[[#This Row],[Total acres]]*TblRezone[[#This Row],[Plat/acre]]</f>
        <v>0</v>
      </c>
      <c r="Z69" s="215"/>
      <c r="AA69" s="94">
        <f ca="1">(250+0.6*(TblRezone[[#This Row],[Land]]-250))</f>
        <v>322</v>
      </c>
      <c r="AB69" s="215"/>
      <c r="AC69" s="157">
        <f ca="1">TblConstr[[#This Row],[Facs DB]]</f>
        <v>0</v>
      </c>
    </row>
    <row r="70" spans="1:29" x14ac:dyDescent="0.2">
      <c r="A70" s="214">
        <f ca="1">TblConstr[[#This Row],[Land]]</f>
        <v>370</v>
      </c>
      <c r="B70" s="216">
        <f ca="1">TblConstr[[#This Row],[Plain]]</f>
        <v>20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45817.74999999984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1047701</v>
      </c>
      <c r="W70" s="215"/>
      <c r="X70" s="94">
        <f ca="1">ROUNDUP( (1-MIN(ROUND(facs_rezone_factor*TblRezone[[#This Row],[Facs]],4),facs_rezone_max) + tech_6_4*TblTech[[#This Row],[6-4]] + tech_10_2*TblTech[[#This Row],[10-2]] - IF(TblMagic[[#This Row],[Active Mechanical Genius]]&gt;0,mech_genius_bonus,0) + race_rezone_cost) * TblRezone[[#This Row],[Plat/acre*]],0)</f>
        <v>322</v>
      </c>
      <c r="Y70" s="94">
        <f ca="1">TblRezone[[#This Row],[Total acres]]*TblRezone[[#This Row],[Plat/acre]]</f>
        <v>0</v>
      </c>
      <c r="Z70" s="215"/>
      <c r="AA70" s="94">
        <f ca="1">(250+0.6*(TblRezone[[#This Row],[Land]]-250))</f>
        <v>322</v>
      </c>
      <c r="AB70" s="215"/>
      <c r="AC70" s="157">
        <f ca="1">TblConstr[[#This Row],[Facs DB]]</f>
        <v>0</v>
      </c>
    </row>
    <row r="71" spans="1:29" x14ac:dyDescent="0.2">
      <c r="A71" s="214">
        <f ca="1">TblConstr[[#This Row],[Land]]</f>
        <v>370</v>
      </c>
      <c r="B71" s="216">
        <f ca="1">TblConstr[[#This Row],[Plain]]</f>
        <v>20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45817.791666666504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1058231</v>
      </c>
      <c r="W71" s="215"/>
      <c r="X71" s="94">
        <f ca="1">ROUNDUP( (1-MIN(ROUND(facs_rezone_factor*TblRezone[[#This Row],[Facs]],4),facs_rezone_max) + tech_6_4*TblTech[[#This Row],[6-4]] + tech_10_2*TblTech[[#This Row],[10-2]] - IF(TblMagic[[#This Row],[Active Mechanical Genius]]&gt;0,mech_genius_bonus,0) + race_rezone_cost) * TblRezone[[#This Row],[Plat/acre*]],0)</f>
        <v>322</v>
      </c>
      <c r="Y71" s="94">
        <f ca="1">TblRezone[[#This Row],[Total acres]]*TblRezone[[#This Row],[Plat/acre]]</f>
        <v>0</v>
      </c>
      <c r="Z71" s="215"/>
      <c r="AA71" s="94">
        <f ca="1">(250+0.6*(TblRezone[[#This Row],[Land]]-250))</f>
        <v>322</v>
      </c>
      <c r="AB71" s="215"/>
      <c r="AC71" s="157">
        <f ca="1">TblConstr[[#This Row],[Facs DB]]</f>
        <v>0</v>
      </c>
    </row>
    <row r="72" spans="1:29" x14ac:dyDescent="0.2">
      <c r="A72" s="214">
        <f ca="1">TblConstr[[#This Row],[Land]]</f>
        <v>370</v>
      </c>
      <c r="B72" s="216">
        <f ca="1">TblConstr[[#This Row],[Plain]]</f>
        <v>20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45817.833333333168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1068678</v>
      </c>
      <c r="W72" s="215"/>
      <c r="X72" s="94">
        <f ca="1">ROUNDUP( (1-MIN(ROUND(facs_rezone_factor*TblRezone[[#This Row],[Facs]],4),facs_rezone_max) + tech_6_4*TblTech[[#This Row],[6-4]] + tech_10_2*TblTech[[#This Row],[10-2]] - IF(TblMagic[[#This Row],[Active Mechanical Genius]]&gt;0,mech_genius_bonus,0) + race_rezone_cost) * TblRezone[[#This Row],[Plat/acre*]],0)</f>
        <v>322</v>
      </c>
      <c r="Y72" s="94">
        <f ca="1">TblRezone[[#This Row],[Total acres]]*TblRezone[[#This Row],[Plat/acre]]</f>
        <v>0</v>
      </c>
      <c r="Z72" s="215"/>
      <c r="AA72" s="94">
        <f ca="1">(250+0.6*(TblRezone[[#This Row],[Land]]-250))</f>
        <v>322</v>
      </c>
      <c r="AB72" s="215"/>
      <c r="AC72" s="157">
        <f ca="1">TblConstr[[#This Row],[Facs DB]]</f>
        <v>0</v>
      </c>
    </row>
    <row r="73" spans="1:29" x14ac:dyDescent="0.2">
      <c r="A73" s="214">
        <f ca="1">TblConstr[[#This Row],[Land]]</f>
        <v>370</v>
      </c>
      <c r="B73" s="216">
        <f ca="1">TblConstr[[#This Row],[Plain]]</f>
        <v>20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45817.874999999833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1079044</v>
      </c>
      <c r="W73" s="215"/>
      <c r="X73" s="94">
        <f ca="1">ROUNDUP( (1-MIN(ROUND(facs_rezone_factor*TblRezone[[#This Row],[Facs]],4),facs_rezone_max) + tech_6_4*TblTech[[#This Row],[6-4]] + tech_10_2*TblTech[[#This Row],[10-2]] - IF(TblMagic[[#This Row],[Active Mechanical Genius]]&gt;0,mech_genius_bonus,0) + race_rezone_cost) * TblRezone[[#This Row],[Plat/acre*]],0)</f>
        <v>322</v>
      </c>
      <c r="Y73" s="94">
        <f ca="1">TblRezone[[#This Row],[Total acres]]*TblRezone[[#This Row],[Plat/acre]]</f>
        <v>0</v>
      </c>
      <c r="Z73" s="215"/>
      <c r="AA73" s="94">
        <f ca="1">(250+0.6*(TblRezone[[#This Row],[Land]]-250))</f>
        <v>322</v>
      </c>
      <c r="AB73" s="215"/>
      <c r="AC73" s="157">
        <f ca="1">TblConstr[[#This Row],[Facs DB]]</f>
        <v>0</v>
      </c>
    </row>
    <row r="74" spans="1:29" x14ac:dyDescent="0.2">
      <c r="A74" s="214">
        <f ca="1">TblConstr[[#This Row],[Land]]</f>
        <v>370</v>
      </c>
      <c r="B74" s="216">
        <f ca="1">TblConstr[[#This Row],[Plain]]</f>
        <v>20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45817.916666666497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1089329</v>
      </c>
      <c r="W74" s="215"/>
      <c r="X74" s="94">
        <f ca="1">ROUNDUP( (1-MIN(ROUND(facs_rezone_factor*TblRezone[[#This Row],[Facs]],4),facs_rezone_max) + tech_6_4*TblTech[[#This Row],[6-4]] + tech_10_2*TblTech[[#This Row],[10-2]] - IF(TblMagic[[#This Row],[Active Mechanical Genius]]&gt;0,mech_genius_bonus,0) + race_rezone_cost) * TblRezone[[#This Row],[Plat/acre*]],0)</f>
        <v>322</v>
      </c>
      <c r="Y74" s="94">
        <f ca="1">TblRezone[[#This Row],[Total acres]]*TblRezone[[#This Row],[Plat/acre]]</f>
        <v>0</v>
      </c>
      <c r="Z74" s="215"/>
      <c r="AA74" s="94">
        <f ca="1">(250+0.6*(TblRezone[[#This Row],[Land]]-250))</f>
        <v>322</v>
      </c>
      <c r="AB74" s="215"/>
      <c r="AC74" s="157">
        <f ca="1">TblConstr[[#This Row],[Facs DB]]</f>
        <v>0</v>
      </c>
    </row>
    <row r="75" spans="1:29" x14ac:dyDescent="0.2">
      <c r="A75" s="214">
        <f ca="1">TblConstr[[#This Row],[Land]]</f>
        <v>370</v>
      </c>
      <c r="B75" s="216">
        <f ca="1">TblConstr[[#This Row],[Plain]]</f>
        <v>20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45817.958333333161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1099533</v>
      </c>
      <c r="W75" s="215"/>
      <c r="X75" s="94">
        <f ca="1">ROUNDUP( (1-MIN(ROUND(facs_rezone_factor*TblRezone[[#This Row],[Facs]],4),facs_rezone_max) + tech_6_4*TblTech[[#This Row],[6-4]] + tech_10_2*TblTech[[#This Row],[10-2]] - IF(TblMagic[[#This Row],[Active Mechanical Genius]]&gt;0,mech_genius_bonus,0) + race_rezone_cost) * TblRezone[[#This Row],[Plat/acre*]],0)</f>
        <v>322</v>
      </c>
      <c r="Y75" s="94">
        <f ca="1">TblRezone[[#This Row],[Total acres]]*TblRezone[[#This Row],[Plat/acre]]</f>
        <v>0</v>
      </c>
      <c r="Z75" s="215"/>
      <c r="AA75" s="94">
        <f ca="1">(250+0.6*(TblRezone[[#This Row],[Land]]-250))</f>
        <v>322</v>
      </c>
      <c r="AB75" s="215"/>
      <c r="AC75" s="157">
        <f ca="1">TblConstr[[#This Row],[Facs DB]]</f>
        <v>0</v>
      </c>
    </row>
    <row r="76" spans="1:29" x14ac:dyDescent="0.2">
      <c r="A76" s="214">
        <f ca="1">TblConstr[[#This Row],[Land]]</f>
        <v>370</v>
      </c>
      <c r="B76" s="216">
        <f ca="1">TblConstr[[#This Row],[Plain]]</f>
        <v>20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45817.999999999825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1109658</v>
      </c>
      <c r="W76" s="215"/>
      <c r="X76" s="430">
        <f ca="1">ROUNDUP( (1-MIN(ROUND(facs_rezone_factor*TblRezone[[#This Row],[Facs]],4),facs_rezone_max) + tech_6_4*TblTech[[#This Row],[6-4]] + tech_10_2*TblTech[[#This Row],[10-2]] - IF(TblMagic[[#This Row],[Active Mechanical Genius]]&gt;0,mech_genius_bonus,0) + race_rezone_cost) * TblRezone[[#This Row],[Plat/acre*]],0)</f>
        <v>322</v>
      </c>
      <c r="Y76" s="430">
        <f ca="1">TblRezone[[#This Row],[Total acres]]*TblRezone[[#This Row],[Plat/acre]]</f>
        <v>0</v>
      </c>
      <c r="Z76" s="215"/>
      <c r="AA76" s="430">
        <f ca="1">(250+0.6*(TblRezone[[#This Row],[Land]]-250))</f>
        <v>322</v>
      </c>
      <c r="AB76" s="215"/>
      <c r="AC76" s="442">
        <f ca="1">TblConstr[[#This Row],[Facs DB]]</f>
        <v>0</v>
      </c>
    </row>
    <row r="77" spans="1:29" x14ac:dyDescent="0.2">
      <c r="A77" s="214">
        <f ca="1">TblConstr[[#This Row],[Land]]</f>
        <v>370</v>
      </c>
      <c r="B77" s="216">
        <f ca="1">TblConstr[[#This Row],[Plain]]</f>
        <v>20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45818.04166666649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1119705</v>
      </c>
      <c r="W77" s="215"/>
      <c r="X77" s="94">
        <f ca="1">ROUNDUP( (1-MIN(ROUND(facs_rezone_factor*TblRezone[[#This Row],[Facs]],4),facs_rezone_max) + tech_6_4*TblTech[[#This Row],[6-4]] + tech_10_2*TblTech[[#This Row],[10-2]] - IF(TblMagic[[#This Row],[Active Mechanical Genius]]&gt;0,mech_genius_bonus,0) + race_rezone_cost) * TblRezone[[#This Row],[Plat/acre*]],0)</f>
        <v>322</v>
      </c>
      <c r="Y77" s="94">
        <f ca="1">TblRezone[[#This Row],[Total acres]]*TblRezone[[#This Row],[Plat/acre]]</f>
        <v>0</v>
      </c>
      <c r="Z77" s="215"/>
      <c r="AA77" s="94">
        <f ca="1">(250+0.6*(TblRezone[[#This Row],[Land]]-250))</f>
        <v>322</v>
      </c>
      <c r="AB77" s="215"/>
      <c r="AC77" s="157">
        <f ca="1">TblConstr[[#This Row],[Facs DB]]</f>
        <v>0</v>
      </c>
    </row>
    <row r="78" spans="1:29" x14ac:dyDescent="0.2">
      <c r="A78" s="214">
        <f ca="1">TblConstr[[#This Row],[Land]]</f>
        <v>370</v>
      </c>
      <c r="B78" s="216">
        <f ca="1">TblConstr[[#This Row],[Plain]]</f>
        <v>20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45818.083333333154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1129674</v>
      </c>
      <c r="W78" s="215"/>
      <c r="X78" s="94">
        <f ca="1">ROUNDUP( (1-MIN(ROUND(facs_rezone_factor*TblRezone[[#This Row],[Facs]],4),facs_rezone_max) + tech_6_4*TblTech[[#This Row],[6-4]] + tech_10_2*TblTech[[#This Row],[10-2]] - IF(TblMagic[[#This Row],[Active Mechanical Genius]]&gt;0,mech_genius_bonus,0) + race_rezone_cost) * TblRezone[[#This Row],[Plat/acre*]],0)</f>
        <v>322</v>
      </c>
      <c r="Y78" s="94">
        <f ca="1">TblRezone[[#This Row],[Total acres]]*TblRezone[[#This Row],[Plat/acre]]</f>
        <v>0</v>
      </c>
      <c r="Z78" s="215"/>
      <c r="AA78" s="94">
        <f ca="1">(250+0.6*(TblRezone[[#This Row],[Land]]-250))</f>
        <v>322</v>
      </c>
      <c r="AB78" s="215"/>
      <c r="AC78" s="157">
        <f ca="1">TblConstr[[#This Row],[Facs DB]]</f>
        <v>0</v>
      </c>
    </row>
    <row r="79" spans="1:29" x14ac:dyDescent="0.2">
      <c r="A79" s="214">
        <f ca="1">TblConstr[[#This Row],[Land]]</f>
        <v>370</v>
      </c>
      <c r="B79" s="216">
        <f ca="1">TblConstr[[#This Row],[Plain]]</f>
        <v>20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45818.124999999818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1139565</v>
      </c>
      <c r="W79" s="215"/>
      <c r="X79" s="94">
        <f ca="1">ROUNDUP( (1-MIN(ROUND(facs_rezone_factor*TblRezone[[#This Row],[Facs]],4),facs_rezone_max) + tech_6_4*TblTech[[#This Row],[6-4]] + tech_10_2*TblTech[[#This Row],[10-2]] - IF(TblMagic[[#This Row],[Active Mechanical Genius]]&gt;0,mech_genius_bonus,0) + race_rezone_cost) * TblRezone[[#This Row],[Plat/acre*]],0)</f>
        <v>322</v>
      </c>
      <c r="Y79" s="94">
        <f ca="1">TblRezone[[#This Row],[Total acres]]*TblRezone[[#This Row],[Plat/acre]]</f>
        <v>0</v>
      </c>
      <c r="Z79" s="215"/>
      <c r="AA79" s="94">
        <f ca="1">(250+0.6*(TblRezone[[#This Row],[Land]]-250))</f>
        <v>322</v>
      </c>
      <c r="AB79" s="215"/>
      <c r="AC79" s="157">
        <f ca="1">TblConstr[[#This Row],[Facs DB]]</f>
        <v>0</v>
      </c>
    </row>
    <row r="80" spans="1:29" x14ac:dyDescent="0.2">
      <c r="A80" s="214">
        <f ca="1">TblConstr[[#This Row],[Land]]</f>
        <v>370</v>
      </c>
      <c r="B80" s="216">
        <f ca="1">TblConstr[[#This Row],[Plain]]</f>
        <v>20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45818.166666666482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1149380</v>
      </c>
      <c r="W80" s="215"/>
      <c r="X80" s="94">
        <f ca="1">ROUNDUP( (1-MIN(ROUND(facs_rezone_factor*TblRezone[[#This Row],[Facs]],4),facs_rezone_max) + tech_6_4*TblTech[[#This Row],[6-4]] + tech_10_2*TblTech[[#This Row],[10-2]] - IF(TblMagic[[#This Row],[Active Mechanical Genius]]&gt;0,mech_genius_bonus,0) + race_rezone_cost) * TblRezone[[#This Row],[Plat/acre*]],0)</f>
        <v>322</v>
      </c>
      <c r="Y80" s="94">
        <f ca="1">TblRezone[[#This Row],[Total acres]]*TblRezone[[#This Row],[Plat/acre]]</f>
        <v>0</v>
      </c>
      <c r="Z80" s="215"/>
      <c r="AA80" s="94">
        <f ca="1">(250+0.6*(TblRezone[[#This Row],[Land]]-250))</f>
        <v>322</v>
      </c>
      <c r="AB80" s="215"/>
      <c r="AC80" s="157">
        <f ca="1">TblConstr[[#This Row],[Facs DB]]</f>
        <v>0</v>
      </c>
    </row>
    <row r="81" spans="1:29" x14ac:dyDescent="0.2">
      <c r="A81" s="214">
        <f ca="1">TblConstr[[#This Row],[Land]]</f>
        <v>370</v>
      </c>
      <c r="B81" s="216">
        <f ca="1">TblConstr[[#This Row],[Plain]]</f>
        <v>20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45818.208333333147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1159119</v>
      </c>
      <c r="W81" s="215"/>
      <c r="X81" s="94">
        <f ca="1">ROUNDUP( (1-MIN(ROUND(facs_rezone_factor*TblRezone[[#This Row],[Facs]],4),facs_rezone_max) + tech_6_4*TblTech[[#This Row],[6-4]] + tech_10_2*TblTech[[#This Row],[10-2]] - IF(TblMagic[[#This Row],[Active Mechanical Genius]]&gt;0,mech_genius_bonus,0) + race_rezone_cost) * TblRezone[[#This Row],[Plat/acre*]],0)</f>
        <v>322</v>
      </c>
      <c r="Y81" s="94">
        <f ca="1">TblRezone[[#This Row],[Total acres]]*TblRezone[[#This Row],[Plat/acre]]</f>
        <v>0</v>
      </c>
      <c r="Z81" s="215"/>
      <c r="AA81" s="94">
        <f ca="1">(250+0.6*(TblRezone[[#This Row],[Land]]-250))</f>
        <v>322</v>
      </c>
      <c r="AB81" s="215"/>
      <c r="AC81" s="157">
        <f ca="1">TblConstr[[#This Row],[Facs DB]]</f>
        <v>0</v>
      </c>
    </row>
    <row r="82" spans="1:29" x14ac:dyDescent="0.2">
      <c r="A82" s="214">
        <f ca="1">TblConstr[[#This Row],[Land]]</f>
        <v>370</v>
      </c>
      <c r="B82" s="216">
        <f ca="1">TblConstr[[#This Row],[Plain]]</f>
        <v>20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45818.249999999811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1168783</v>
      </c>
      <c r="W82" s="215"/>
      <c r="X82" s="94">
        <f ca="1">ROUNDUP( (1-MIN(ROUND(facs_rezone_factor*TblRezone[[#This Row],[Facs]],4),facs_rezone_max) + tech_6_4*TblTech[[#This Row],[6-4]] + tech_10_2*TblTech[[#This Row],[10-2]] - IF(TblMagic[[#This Row],[Active Mechanical Genius]]&gt;0,mech_genius_bonus,0) + race_rezone_cost) * TblRezone[[#This Row],[Plat/acre*]],0)</f>
        <v>322</v>
      </c>
      <c r="Y82" s="94">
        <f ca="1">TblRezone[[#This Row],[Total acres]]*TblRezone[[#This Row],[Plat/acre]]</f>
        <v>0</v>
      </c>
      <c r="Z82" s="215"/>
      <c r="AA82" s="94">
        <f ca="1">(250+0.6*(TblRezone[[#This Row],[Land]]-250))</f>
        <v>322</v>
      </c>
      <c r="AB82" s="215"/>
      <c r="AC82" s="157">
        <f ca="1">TblConstr[[#This Row],[Facs DB]]</f>
        <v>0</v>
      </c>
    </row>
    <row r="83" spans="1:29" x14ac:dyDescent="0.2">
      <c r="A83" s="214">
        <f ca="1">TblConstr[[#This Row],[Land]]</f>
        <v>370</v>
      </c>
      <c r="B83" s="216">
        <f ca="1">TblConstr[[#This Row],[Plain]]</f>
        <v>20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45818.291666666475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1178374</v>
      </c>
      <c r="W83" s="215"/>
      <c r="X83" s="94">
        <f ca="1">ROUNDUP( (1-MIN(ROUND(facs_rezone_factor*TblRezone[[#This Row],[Facs]],4),facs_rezone_max) + tech_6_4*TblTech[[#This Row],[6-4]] + tech_10_2*TblTech[[#This Row],[10-2]] - IF(TblMagic[[#This Row],[Active Mechanical Genius]]&gt;0,mech_genius_bonus,0) + race_rezone_cost) * TblRezone[[#This Row],[Plat/acre*]],0)</f>
        <v>322</v>
      </c>
      <c r="Y83" s="94">
        <f ca="1">TblRezone[[#This Row],[Total acres]]*TblRezone[[#This Row],[Plat/acre]]</f>
        <v>0</v>
      </c>
      <c r="Z83" s="215"/>
      <c r="AA83" s="94">
        <f ca="1">(250+0.6*(TblRezone[[#This Row],[Land]]-250))</f>
        <v>322</v>
      </c>
      <c r="AB83" s="215"/>
      <c r="AC83" s="157">
        <f ca="1">TblConstr[[#This Row],[Facs DB]]</f>
        <v>0</v>
      </c>
    </row>
    <row r="84" spans="1:29" x14ac:dyDescent="0.2">
      <c r="A84" s="214">
        <f ca="1">TblConstr[[#This Row],[Land]]</f>
        <v>370</v>
      </c>
      <c r="B84" s="216">
        <f ca="1">TblConstr[[#This Row],[Plain]]</f>
        <v>20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45818.333333333139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1187892</v>
      </c>
      <c r="W84" s="215"/>
      <c r="X84" s="94">
        <f ca="1">ROUNDUP( (1-MIN(ROUND(facs_rezone_factor*TblRezone[[#This Row],[Facs]],4),facs_rezone_max) + tech_6_4*TblTech[[#This Row],[6-4]] + tech_10_2*TblTech[[#This Row],[10-2]] - IF(TblMagic[[#This Row],[Active Mechanical Genius]]&gt;0,mech_genius_bonus,0) + race_rezone_cost) * TblRezone[[#This Row],[Plat/acre*]],0)</f>
        <v>322</v>
      </c>
      <c r="Y84" s="94">
        <f ca="1">TblRezone[[#This Row],[Total acres]]*TblRezone[[#This Row],[Plat/acre]]</f>
        <v>0</v>
      </c>
      <c r="Z84" s="215"/>
      <c r="AA84" s="94">
        <f ca="1">(250+0.6*(TblRezone[[#This Row],[Land]]-250))</f>
        <v>322</v>
      </c>
      <c r="AB84" s="215"/>
      <c r="AC84" s="157">
        <f ca="1">TblConstr[[#This Row],[Facs DB]]</f>
        <v>0</v>
      </c>
    </row>
    <row r="85" spans="1:29" x14ac:dyDescent="0.2">
      <c r="A85" s="214">
        <f ca="1">TblConstr[[#This Row],[Land]]</f>
        <v>370</v>
      </c>
      <c r="B85" s="216">
        <f ca="1">TblConstr[[#This Row],[Plain]]</f>
        <v>20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45818.374999999804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1197337</v>
      </c>
      <c r="W85" s="215"/>
      <c r="X85" s="94">
        <f ca="1">ROUNDUP( (1-MIN(ROUND(facs_rezone_factor*TblRezone[[#This Row],[Facs]],4),facs_rezone_max) + tech_6_4*TblTech[[#This Row],[6-4]] + tech_10_2*TblTech[[#This Row],[10-2]] - IF(TblMagic[[#This Row],[Active Mechanical Genius]]&gt;0,mech_genius_bonus,0) + race_rezone_cost) * TblRezone[[#This Row],[Plat/acre*]],0)</f>
        <v>322</v>
      </c>
      <c r="Y85" s="94">
        <f ca="1">TblRezone[[#This Row],[Total acres]]*TblRezone[[#This Row],[Plat/acre]]</f>
        <v>0</v>
      </c>
      <c r="Z85" s="215"/>
      <c r="AA85" s="94">
        <f ca="1">(250+0.6*(TblRezone[[#This Row],[Land]]-250))</f>
        <v>322</v>
      </c>
      <c r="AB85" s="215"/>
      <c r="AC85" s="157">
        <f ca="1">TblConstr[[#This Row],[Facs DB]]</f>
        <v>0</v>
      </c>
    </row>
    <row r="86" spans="1:29" x14ac:dyDescent="0.2">
      <c r="A86" s="214">
        <f ca="1">TblConstr[[#This Row],[Land]]</f>
        <v>370</v>
      </c>
      <c r="B86" s="216">
        <f ca="1">TblConstr[[#This Row],[Plain]]</f>
        <v>20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45818.416666666468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1206709</v>
      </c>
      <c r="W86" s="215"/>
      <c r="X86" s="94">
        <f ca="1">ROUNDUP( (1-MIN(ROUND(facs_rezone_factor*TblRezone[[#This Row],[Facs]],4),facs_rezone_max) + tech_6_4*TblTech[[#This Row],[6-4]] + tech_10_2*TblTech[[#This Row],[10-2]] - IF(TblMagic[[#This Row],[Active Mechanical Genius]]&gt;0,mech_genius_bonus,0) + race_rezone_cost) * TblRezone[[#This Row],[Plat/acre*]],0)</f>
        <v>322</v>
      </c>
      <c r="Y86" s="94">
        <f ca="1">TblRezone[[#This Row],[Total acres]]*TblRezone[[#This Row],[Plat/acre]]</f>
        <v>0</v>
      </c>
      <c r="Z86" s="215"/>
      <c r="AA86" s="94">
        <f ca="1">(250+0.6*(TblRezone[[#This Row],[Land]]-250))</f>
        <v>322</v>
      </c>
      <c r="AB86" s="215"/>
      <c r="AC86" s="157">
        <f ca="1">TblConstr[[#This Row],[Facs DB]]</f>
        <v>0</v>
      </c>
    </row>
    <row r="87" spans="1:29" x14ac:dyDescent="0.2">
      <c r="A87" s="214">
        <f ca="1">TblConstr[[#This Row],[Land]]</f>
        <v>370</v>
      </c>
      <c r="B87" s="216">
        <f ca="1">TblConstr[[#This Row],[Plain]]</f>
        <v>20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45818.458333333132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1216011</v>
      </c>
      <c r="W87" s="215"/>
      <c r="X87" s="94">
        <f ca="1">ROUNDUP( (1-MIN(ROUND(facs_rezone_factor*TblRezone[[#This Row],[Facs]],4),facs_rezone_max) + tech_6_4*TblTech[[#This Row],[6-4]] + tech_10_2*TblTech[[#This Row],[10-2]] - IF(TblMagic[[#This Row],[Active Mechanical Genius]]&gt;0,mech_genius_bonus,0) + race_rezone_cost) * TblRezone[[#This Row],[Plat/acre*]],0)</f>
        <v>322</v>
      </c>
      <c r="Y87" s="94">
        <f ca="1">TblRezone[[#This Row],[Total acres]]*TblRezone[[#This Row],[Plat/acre]]</f>
        <v>0</v>
      </c>
      <c r="Z87" s="215"/>
      <c r="AA87" s="94">
        <f ca="1">(250+0.6*(TblRezone[[#This Row],[Land]]-250))</f>
        <v>322</v>
      </c>
      <c r="AB87" s="215"/>
      <c r="AC87" s="157">
        <f ca="1">TblConstr[[#This Row],[Facs DB]]</f>
        <v>0</v>
      </c>
    </row>
    <row r="88" spans="1:29" x14ac:dyDescent="0.2">
      <c r="A88" s="214">
        <f ca="1">TblConstr[[#This Row],[Land]]</f>
        <v>370</v>
      </c>
      <c r="B88" s="216">
        <f ca="1">TblConstr[[#This Row],[Plain]]</f>
        <v>20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45818.499999999796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1225243</v>
      </c>
      <c r="W88" s="215"/>
      <c r="X88" s="94">
        <f ca="1">ROUNDUP( (1-MIN(ROUND(facs_rezone_factor*TblRezone[[#This Row],[Facs]],4),facs_rezone_max) + tech_6_4*TblTech[[#This Row],[6-4]] + tech_10_2*TblTech[[#This Row],[10-2]] - IF(TblMagic[[#This Row],[Active Mechanical Genius]]&gt;0,mech_genius_bonus,0) + race_rezone_cost) * TblRezone[[#This Row],[Plat/acre*]],0)</f>
        <v>322</v>
      </c>
      <c r="Y88" s="94">
        <f ca="1">TblRezone[[#This Row],[Total acres]]*TblRezone[[#This Row],[Plat/acre]]</f>
        <v>0</v>
      </c>
      <c r="Z88" s="215"/>
      <c r="AA88" s="94">
        <f ca="1">(250+0.6*(TblRezone[[#This Row],[Land]]-250))</f>
        <v>322</v>
      </c>
      <c r="AB88" s="215"/>
      <c r="AC88" s="157">
        <f ca="1">TblConstr[[#This Row],[Facs DB]]</f>
        <v>0</v>
      </c>
    </row>
    <row r="89" spans="1:29" x14ac:dyDescent="0.2">
      <c r="A89" s="214">
        <f ca="1">TblConstr[[#This Row],[Land]]</f>
        <v>370</v>
      </c>
      <c r="B89" s="216">
        <f ca="1">TblConstr[[#This Row],[Plain]]</f>
        <v>20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45818.541666666461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1234405</v>
      </c>
      <c r="W89" s="215"/>
      <c r="X89" s="94">
        <f ca="1">ROUNDUP( (1-MIN(ROUND(facs_rezone_factor*TblRezone[[#This Row],[Facs]],4),facs_rezone_max) + tech_6_4*TblTech[[#This Row],[6-4]] + tech_10_2*TblTech[[#This Row],[10-2]] - IF(TblMagic[[#This Row],[Active Mechanical Genius]]&gt;0,mech_genius_bonus,0) + race_rezone_cost) * TblRezone[[#This Row],[Plat/acre*]],0)</f>
        <v>322</v>
      </c>
      <c r="Y89" s="94">
        <f ca="1">TblRezone[[#This Row],[Total acres]]*TblRezone[[#This Row],[Plat/acre]]</f>
        <v>0</v>
      </c>
      <c r="Z89" s="215"/>
      <c r="AA89" s="94">
        <f ca="1">(250+0.6*(TblRezone[[#This Row],[Land]]-250))</f>
        <v>322</v>
      </c>
      <c r="AB89" s="215"/>
      <c r="AC89" s="157">
        <f ca="1">TblConstr[[#This Row],[Facs DB]]</f>
        <v>0</v>
      </c>
    </row>
    <row r="90" spans="1:29" x14ac:dyDescent="0.2">
      <c r="A90" s="214">
        <f ca="1">TblConstr[[#This Row],[Land]]</f>
        <v>370</v>
      </c>
      <c r="B90" s="216">
        <f ca="1">TblConstr[[#This Row],[Plain]]</f>
        <v>20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45818.583333333125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1243496</v>
      </c>
      <c r="W90" s="215"/>
      <c r="X90" s="94">
        <f ca="1">ROUNDUP( (1-MIN(ROUND(facs_rezone_factor*TblRezone[[#This Row],[Facs]],4),facs_rezone_max) + tech_6_4*TblTech[[#This Row],[6-4]] + tech_10_2*TblTech[[#This Row],[10-2]] - IF(TblMagic[[#This Row],[Active Mechanical Genius]]&gt;0,mech_genius_bonus,0) + race_rezone_cost) * TblRezone[[#This Row],[Plat/acre*]],0)</f>
        <v>322</v>
      </c>
      <c r="Y90" s="94">
        <f ca="1">TblRezone[[#This Row],[Total acres]]*TblRezone[[#This Row],[Plat/acre]]</f>
        <v>0</v>
      </c>
      <c r="Z90" s="215"/>
      <c r="AA90" s="94">
        <f ca="1">(250+0.6*(TblRezone[[#This Row],[Land]]-250))</f>
        <v>322</v>
      </c>
      <c r="AB90" s="215"/>
      <c r="AC90" s="157">
        <f ca="1">TblConstr[[#This Row],[Facs DB]]</f>
        <v>0</v>
      </c>
    </row>
    <row r="91" spans="1:29" x14ac:dyDescent="0.2">
      <c r="A91" s="214">
        <f ca="1">TblConstr[[#This Row],[Land]]</f>
        <v>370</v>
      </c>
      <c r="B91" s="216">
        <f ca="1">TblConstr[[#This Row],[Plain]]</f>
        <v>20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45818.624999999789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1252520</v>
      </c>
      <c r="W91" s="215"/>
      <c r="X91" s="94">
        <f ca="1">ROUNDUP( (1-MIN(ROUND(facs_rezone_factor*TblRezone[[#This Row],[Facs]],4),facs_rezone_max) + tech_6_4*TblTech[[#This Row],[6-4]] + tech_10_2*TblTech[[#This Row],[10-2]] - IF(TblMagic[[#This Row],[Active Mechanical Genius]]&gt;0,mech_genius_bonus,0) + race_rezone_cost) * TblRezone[[#This Row],[Plat/acre*]],0)</f>
        <v>322</v>
      </c>
      <c r="Y91" s="94">
        <f ca="1">TblRezone[[#This Row],[Total acres]]*TblRezone[[#This Row],[Plat/acre]]</f>
        <v>0</v>
      </c>
      <c r="Z91" s="215"/>
      <c r="AA91" s="94">
        <f ca="1">(250+0.6*(TblRezone[[#This Row],[Land]]-250))</f>
        <v>322</v>
      </c>
      <c r="AB91" s="215"/>
      <c r="AC91" s="157">
        <f ca="1">TblConstr[[#This Row],[Facs DB]]</f>
        <v>0</v>
      </c>
    </row>
    <row r="92" spans="1:29" x14ac:dyDescent="0.2">
      <c r="A92" s="214">
        <f ca="1">TblConstr[[#This Row],[Land]]</f>
        <v>370</v>
      </c>
      <c r="B92" s="216">
        <f ca="1">TblConstr[[#This Row],[Plain]]</f>
        <v>20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45818.666666666453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1261476</v>
      </c>
      <c r="W92" s="215"/>
      <c r="X92" s="94">
        <f ca="1">ROUNDUP( (1-MIN(ROUND(facs_rezone_factor*TblRezone[[#This Row],[Facs]],4),facs_rezone_max) + tech_6_4*TblTech[[#This Row],[6-4]] + tech_10_2*TblTech[[#This Row],[10-2]] - IF(TblMagic[[#This Row],[Active Mechanical Genius]]&gt;0,mech_genius_bonus,0) + race_rezone_cost) * TblRezone[[#This Row],[Plat/acre*]],0)</f>
        <v>322</v>
      </c>
      <c r="Y92" s="94">
        <f ca="1">TblRezone[[#This Row],[Total acres]]*TblRezone[[#This Row],[Plat/acre]]</f>
        <v>0</v>
      </c>
      <c r="Z92" s="215"/>
      <c r="AA92" s="94">
        <f ca="1">(250+0.6*(TblRezone[[#This Row],[Land]]-250))</f>
        <v>322</v>
      </c>
      <c r="AB92" s="215"/>
      <c r="AC92" s="157">
        <f ca="1">TblConstr[[#This Row],[Facs DB]]</f>
        <v>0</v>
      </c>
    </row>
    <row r="93" spans="1:29" x14ac:dyDescent="0.2">
      <c r="A93" s="214">
        <f ca="1">TblConstr[[#This Row],[Land]]</f>
        <v>370</v>
      </c>
      <c r="B93" s="216">
        <f ca="1">TblConstr[[#This Row],[Plain]]</f>
        <v>20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45818.708333333117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1270365</v>
      </c>
      <c r="W93" s="215"/>
      <c r="X93" s="94">
        <f ca="1">ROUNDUP( (1-MIN(ROUND(facs_rezone_factor*TblRezone[[#This Row],[Facs]],4),facs_rezone_max) + tech_6_4*TblTech[[#This Row],[6-4]] + tech_10_2*TblTech[[#This Row],[10-2]] - IF(TblMagic[[#This Row],[Active Mechanical Genius]]&gt;0,mech_genius_bonus,0) + race_rezone_cost) * TblRezone[[#This Row],[Plat/acre*]],0)</f>
        <v>322</v>
      </c>
      <c r="Y93" s="94">
        <f ca="1">TblRezone[[#This Row],[Total acres]]*TblRezone[[#This Row],[Plat/acre]]</f>
        <v>0</v>
      </c>
      <c r="Z93" s="215"/>
      <c r="AA93" s="94">
        <f ca="1">(250+0.6*(TblRezone[[#This Row],[Land]]-250))</f>
        <v>322</v>
      </c>
      <c r="AB93" s="215"/>
      <c r="AC93" s="157">
        <f ca="1">TblConstr[[#This Row],[Facs DB]]</f>
        <v>0</v>
      </c>
    </row>
    <row r="94" spans="1:29" x14ac:dyDescent="0.2">
      <c r="A94" s="214">
        <f ca="1">TblConstr[[#This Row],[Land]]</f>
        <v>370</v>
      </c>
      <c r="B94" s="216">
        <f ca="1">TblConstr[[#This Row],[Plain]]</f>
        <v>20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45818.749999999782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1279186</v>
      </c>
      <c r="W94" s="215"/>
      <c r="X94" s="94">
        <f ca="1">ROUNDUP( (1-MIN(ROUND(facs_rezone_factor*TblRezone[[#This Row],[Facs]],4),facs_rezone_max) + tech_6_4*TblTech[[#This Row],[6-4]] + tech_10_2*TblTech[[#This Row],[10-2]] - IF(TblMagic[[#This Row],[Active Mechanical Genius]]&gt;0,mech_genius_bonus,0) + race_rezone_cost) * TblRezone[[#This Row],[Plat/acre*]],0)</f>
        <v>322</v>
      </c>
      <c r="Y94" s="94">
        <f ca="1">TblRezone[[#This Row],[Total acres]]*TblRezone[[#This Row],[Plat/acre]]</f>
        <v>0</v>
      </c>
      <c r="Z94" s="215"/>
      <c r="AA94" s="94">
        <f ca="1">(250+0.6*(TblRezone[[#This Row],[Land]]-250))</f>
        <v>322</v>
      </c>
      <c r="AB94" s="215"/>
      <c r="AC94" s="157">
        <f ca="1">TblConstr[[#This Row],[Facs DB]]</f>
        <v>0</v>
      </c>
    </row>
    <row r="95" spans="1:29" x14ac:dyDescent="0.2">
      <c r="A95" s="214">
        <f ca="1">TblConstr[[#This Row],[Land]]</f>
        <v>370</v>
      </c>
      <c r="B95" s="216">
        <f ca="1">TblConstr[[#This Row],[Plain]]</f>
        <v>20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45818.791666666446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1287943</v>
      </c>
      <c r="W95" s="215"/>
      <c r="X95" s="94">
        <f ca="1">ROUNDUP( (1-MIN(ROUND(facs_rezone_factor*TblRezone[[#This Row],[Facs]],4),facs_rezone_max) + tech_6_4*TblTech[[#This Row],[6-4]] + tech_10_2*TblTech[[#This Row],[10-2]] - IF(TblMagic[[#This Row],[Active Mechanical Genius]]&gt;0,mech_genius_bonus,0) + race_rezone_cost) * TblRezone[[#This Row],[Plat/acre*]],0)</f>
        <v>322</v>
      </c>
      <c r="Y95" s="94">
        <f ca="1">TblRezone[[#This Row],[Total acres]]*TblRezone[[#This Row],[Plat/acre]]</f>
        <v>0</v>
      </c>
      <c r="Z95" s="215"/>
      <c r="AA95" s="94">
        <f ca="1">(250+0.6*(TblRezone[[#This Row],[Land]]-250))</f>
        <v>322</v>
      </c>
      <c r="AB95" s="215"/>
      <c r="AC95" s="157">
        <f ca="1">TblConstr[[#This Row],[Facs DB]]</f>
        <v>0</v>
      </c>
    </row>
    <row r="96" spans="1:29" x14ac:dyDescent="0.2">
      <c r="A96" s="214">
        <f ca="1">TblConstr[[#This Row],[Land]]</f>
        <v>370</v>
      </c>
      <c r="B96" s="216">
        <f ca="1">TblConstr[[#This Row],[Plain]]</f>
        <v>20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45818.83333333311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1296635</v>
      </c>
      <c r="W96" s="215"/>
      <c r="X96" s="94">
        <f ca="1">ROUNDUP( (1-MIN(ROUND(facs_rezone_factor*TblRezone[[#This Row],[Facs]],4),facs_rezone_max) + tech_6_4*TblTech[[#This Row],[6-4]] + tech_10_2*TblTech[[#This Row],[10-2]] - IF(TblMagic[[#This Row],[Active Mechanical Genius]]&gt;0,mech_genius_bonus,0) + race_rezone_cost) * TblRezone[[#This Row],[Plat/acre*]],0)</f>
        <v>322</v>
      </c>
      <c r="Y96" s="94">
        <f ca="1">TblRezone[[#This Row],[Total acres]]*TblRezone[[#This Row],[Plat/acre]]</f>
        <v>0</v>
      </c>
      <c r="Z96" s="215"/>
      <c r="AA96" s="94">
        <f ca="1">(250+0.6*(TblRezone[[#This Row],[Land]]-250))</f>
        <v>322</v>
      </c>
      <c r="AB96" s="215"/>
      <c r="AC96" s="157">
        <f ca="1">TblConstr[[#This Row],[Facs DB]]</f>
        <v>0</v>
      </c>
    </row>
    <row r="97" spans="1:29" x14ac:dyDescent="0.2">
      <c r="A97" s="214">
        <f ca="1">TblConstr[[#This Row],[Land]]</f>
        <v>370</v>
      </c>
      <c r="B97" s="216">
        <f ca="1">TblConstr[[#This Row],[Plain]]</f>
        <v>20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45818.874999999774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1305262</v>
      </c>
      <c r="W97" s="215"/>
      <c r="X97" s="94">
        <f ca="1">ROUNDUP( (1-MIN(ROUND(facs_rezone_factor*TblRezone[[#This Row],[Facs]],4),facs_rezone_max) + tech_6_4*TblTech[[#This Row],[6-4]] + tech_10_2*TblTech[[#This Row],[10-2]] - IF(TblMagic[[#This Row],[Active Mechanical Genius]]&gt;0,mech_genius_bonus,0) + race_rezone_cost) * TblRezone[[#This Row],[Plat/acre*]],0)</f>
        <v>322</v>
      </c>
      <c r="Y97" s="94">
        <f ca="1">TblRezone[[#This Row],[Total acres]]*TblRezone[[#This Row],[Plat/acre]]</f>
        <v>0</v>
      </c>
      <c r="Z97" s="215"/>
      <c r="AA97" s="94">
        <f ca="1">(250+0.6*(TblRezone[[#This Row],[Land]]-250))</f>
        <v>322</v>
      </c>
      <c r="AB97" s="215"/>
      <c r="AC97" s="157">
        <f ca="1">TblConstr[[#This Row],[Facs DB]]</f>
        <v>0</v>
      </c>
    </row>
    <row r="98" spans="1:29" x14ac:dyDescent="0.2">
      <c r="A98" s="214">
        <f ca="1">TblConstr[[#This Row],[Land]]</f>
        <v>370</v>
      </c>
      <c r="B98" s="216">
        <f ca="1">TblConstr[[#This Row],[Plain]]</f>
        <v>20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45818.916666666439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1313824</v>
      </c>
      <c r="W98" s="215"/>
      <c r="X98" s="94">
        <f ca="1">ROUNDUP( (1-MIN(ROUND(facs_rezone_factor*TblRezone[[#This Row],[Facs]],4),facs_rezone_max) + tech_6_4*TblTech[[#This Row],[6-4]] + tech_10_2*TblTech[[#This Row],[10-2]] - IF(TblMagic[[#This Row],[Active Mechanical Genius]]&gt;0,mech_genius_bonus,0) + race_rezone_cost) * TblRezone[[#This Row],[Plat/acre*]],0)</f>
        <v>322</v>
      </c>
      <c r="Y98" s="94">
        <f ca="1">TblRezone[[#This Row],[Total acres]]*TblRezone[[#This Row],[Plat/acre]]</f>
        <v>0</v>
      </c>
      <c r="Z98" s="215"/>
      <c r="AA98" s="94">
        <f ca="1">(250+0.6*(TblRezone[[#This Row],[Land]]-250))</f>
        <v>322</v>
      </c>
      <c r="AB98" s="215"/>
      <c r="AC98" s="157">
        <f ca="1">TblConstr[[#This Row],[Facs DB]]</f>
        <v>0</v>
      </c>
    </row>
    <row r="99" spans="1:29" x14ac:dyDescent="0.2">
      <c r="A99" s="214">
        <f ca="1">TblConstr[[#This Row],[Land]]</f>
        <v>370</v>
      </c>
      <c r="B99" s="216">
        <f ca="1">TblConstr[[#This Row],[Plain]]</f>
        <v>20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45818.958333333103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1322324</v>
      </c>
      <c r="W99" s="215"/>
      <c r="X99" s="94">
        <f ca="1">ROUNDUP( (1-MIN(ROUND(facs_rezone_factor*TblRezone[[#This Row],[Facs]],4),facs_rezone_max) + tech_6_4*TblTech[[#This Row],[6-4]] + tech_10_2*TblTech[[#This Row],[10-2]] - IF(TblMagic[[#This Row],[Active Mechanical Genius]]&gt;0,mech_genius_bonus,0) + race_rezone_cost) * TblRezone[[#This Row],[Plat/acre*]],0)</f>
        <v>322</v>
      </c>
      <c r="Y99" s="94">
        <f ca="1">TblRezone[[#This Row],[Total acres]]*TblRezone[[#This Row],[Plat/acre]]</f>
        <v>0</v>
      </c>
      <c r="Z99" s="215"/>
      <c r="AA99" s="94">
        <f ca="1">(250+0.6*(TblRezone[[#This Row],[Land]]-250))</f>
        <v>322</v>
      </c>
      <c r="AB99" s="215"/>
      <c r="AC99" s="157">
        <f ca="1">TblConstr[[#This Row],[Facs DB]]</f>
        <v>0</v>
      </c>
    </row>
    <row r="100" spans="1:29" x14ac:dyDescent="0.2">
      <c r="A100" s="214">
        <f ca="1">TblConstr[[#This Row],[Land]]</f>
        <v>370</v>
      </c>
      <c r="B100" s="216">
        <f ca="1">TblConstr[[#This Row],[Plain]]</f>
        <v>20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45818.999999999767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1330762</v>
      </c>
      <c r="W100" s="215"/>
      <c r="X100" s="94">
        <f ca="1">ROUNDUP( (1-MIN(ROUND(facs_rezone_factor*TblRezone[[#This Row],[Facs]],4),facs_rezone_max) + tech_6_4*TblTech[[#This Row],[6-4]] + tech_10_2*TblTech[[#This Row],[10-2]] - IF(TblMagic[[#This Row],[Active Mechanical Genius]]&gt;0,mech_genius_bonus,0) + race_rezone_cost) * TblRezone[[#This Row],[Plat/acre*]],0)</f>
        <v>322</v>
      </c>
      <c r="Y100" s="94">
        <f ca="1">TblRezone[[#This Row],[Total acres]]*TblRezone[[#This Row],[Plat/acre]]</f>
        <v>0</v>
      </c>
      <c r="Z100" s="215"/>
      <c r="AA100" s="94">
        <f ca="1">(250+0.6*(TblRezone[[#This Row],[Land]]-250))</f>
        <v>322</v>
      </c>
      <c r="AB100" s="215"/>
      <c r="AC100" s="157">
        <f ca="1">TblConstr[[#This Row],[Facs DB]]</f>
        <v>0</v>
      </c>
    </row>
    <row r="101" spans="1:29" x14ac:dyDescent="0.2">
      <c r="A101" s="214">
        <f ca="1">TblConstr[[#This Row],[Land]]</f>
        <v>370</v>
      </c>
      <c r="B101" s="216">
        <f ca="1">TblConstr[[#This Row],[Plain]]</f>
        <v>20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45819.041666666431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1339138</v>
      </c>
      <c r="W101" s="215"/>
      <c r="X101" s="94">
        <f ca="1">ROUNDUP( (1-MIN(ROUND(facs_rezone_factor*TblRezone[[#This Row],[Facs]],4),facs_rezone_max) + tech_6_4*TblTech[[#This Row],[6-4]] + tech_10_2*TblTech[[#This Row],[10-2]] - IF(TblMagic[[#This Row],[Active Mechanical Genius]]&gt;0,mech_genius_bonus,0) + race_rezone_cost) * TblRezone[[#This Row],[Plat/acre*]],0)</f>
        <v>322</v>
      </c>
      <c r="Y101" s="94">
        <f ca="1">TblRezone[[#This Row],[Total acres]]*TblRezone[[#This Row],[Plat/acre]]</f>
        <v>0</v>
      </c>
      <c r="Z101" s="215"/>
      <c r="AA101" s="94">
        <f ca="1">(250+0.6*(TblRezone[[#This Row],[Land]]-250))</f>
        <v>322</v>
      </c>
      <c r="AB101" s="215"/>
      <c r="AC101" s="157">
        <f ca="1">TblConstr[[#This Row],[Facs DB]]</f>
        <v>0</v>
      </c>
    </row>
    <row r="102" spans="1:29" x14ac:dyDescent="0.2">
      <c r="A102" s="214">
        <f ca="1">TblConstr[[#This Row],[Land]]</f>
        <v>370</v>
      </c>
      <c r="B102" s="216">
        <f ca="1">TblConstr[[#This Row],[Plain]]</f>
        <v>20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45819.083333333096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1347452</v>
      </c>
      <c r="W102" s="215"/>
      <c r="X102" s="94">
        <f ca="1">ROUNDUP( (1-MIN(ROUND(facs_rezone_factor*TblRezone[[#This Row],[Facs]],4),facs_rezone_max) + tech_6_4*TblTech[[#This Row],[6-4]] + tech_10_2*TblTech[[#This Row],[10-2]] - IF(TblMagic[[#This Row],[Active Mechanical Genius]]&gt;0,mech_genius_bonus,0) + race_rezone_cost) * TblRezone[[#This Row],[Plat/acre*]],0)</f>
        <v>322</v>
      </c>
      <c r="Y102" s="94">
        <f ca="1">TblRezone[[#This Row],[Total acres]]*TblRezone[[#This Row],[Plat/acre]]</f>
        <v>0</v>
      </c>
      <c r="Z102" s="215"/>
      <c r="AA102" s="94">
        <f ca="1">(250+0.6*(TblRezone[[#This Row],[Land]]-250))</f>
        <v>322</v>
      </c>
      <c r="AB102" s="215"/>
      <c r="AC102" s="157">
        <f ca="1">TblConstr[[#This Row],[Facs DB]]</f>
        <v>0</v>
      </c>
    </row>
    <row r="103" spans="1:29" x14ac:dyDescent="0.2">
      <c r="A103" s="214">
        <f ca="1">TblConstr[[#This Row],[Land]]</f>
        <v>370</v>
      </c>
      <c r="B103" s="216">
        <f ca="1">TblConstr[[#This Row],[Plain]]</f>
        <v>20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45819.12499999976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1355706</v>
      </c>
      <c r="W103" s="215"/>
      <c r="X103" s="94">
        <f ca="1">ROUNDUP( (1-MIN(ROUND(facs_rezone_factor*TblRezone[[#This Row],[Facs]],4),facs_rezone_max) + tech_6_4*TblTech[[#This Row],[6-4]] + tech_10_2*TblTech[[#This Row],[10-2]] - IF(TblMagic[[#This Row],[Active Mechanical Genius]]&gt;0,mech_genius_bonus,0) + race_rezone_cost) * TblRezone[[#This Row],[Plat/acre*]],0)</f>
        <v>322</v>
      </c>
      <c r="Y103" s="94">
        <f ca="1">TblRezone[[#This Row],[Total acres]]*TblRezone[[#This Row],[Plat/acre]]</f>
        <v>0</v>
      </c>
      <c r="Z103" s="215"/>
      <c r="AA103" s="94">
        <f ca="1">(250+0.6*(TblRezone[[#This Row],[Land]]-250))</f>
        <v>322</v>
      </c>
      <c r="AB103" s="215"/>
      <c r="AC103" s="157">
        <f ca="1">TblConstr[[#This Row],[Facs DB]]</f>
        <v>0</v>
      </c>
    </row>
    <row r="104" spans="1:29" x14ac:dyDescent="0.2">
      <c r="A104" s="214">
        <f ca="1">TblConstr[[#This Row],[Land]]</f>
        <v>370</v>
      </c>
      <c r="B104" s="216">
        <f ca="1">TblConstr[[#This Row],[Plain]]</f>
        <v>20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45819.166666666424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1363901</v>
      </c>
      <c r="W104" s="215"/>
      <c r="X104" s="94">
        <f ca="1">ROUNDUP( (1-MIN(ROUND(facs_rezone_factor*TblRezone[[#This Row],[Facs]],4),facs_rezone_max) + tech_6_4*TblTech[[#This Row],[6-4]] + tech_10_2*TblTech[[#This Row],[10-2]] - IF(TblMagic[[#This Row],[Active Mechanical Genius]]&gt;0,mech_genius_bonus,0) + race_rezone_cost) * TblRezone[[#This Row],[Plat/acre*]],0)</f>
        <v>322</v>
      </c>
      <c r="Y104" s="94">
        <f ca="1">TblRezone[[#This Row],[Total acres]]*TblRezone[[#This Row],[Plat/acre]]</f>
        <v>0</v>
      </c>
      <c r="Z104" s="215"/>
      <c r="AA104" s="94">
        <f ca="1">(250+0.6*(TblRezone[[#This Row],[Land]]-250))</f>
        <v>322</v>
      </c>
      <c r="AB104" s="215"/>
      <c r="AC104" s="157">
        <f ca="1">TblConstr[[#This Row],[Facs DB]]</f>
        <v>0</v>
      </c>
    </row>
    <row r="105" spans="1:29" x14ac:dyDescent="0.2">
      <c r="A105" s="214">
        <f ca="1">TblConstr[[#This Row],[Land]]</f>
        <v>370</v>
      </c>
      <c r="B105" s="216">
        <f ca="1">TblConstr[[#This Row],[Plain]]</f>
        <v>20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45819.208333333088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1372037</v>
      </c>
      <c r="W105" s="215"/>
      <c r="X105" s="94">
        <f ca="1">ROUNDUP( (1-MIN(ROUND(facs_rezone_factor*TblRezone[[#This Row],[Facs]],4),facs_rezone_max) + tech_6_4*TblTech[[#This Row],[6-4]] + tech_10_2*TblTech[[#This Row],[10-2]] - IF(TblMagic[[#This Row],[Active Mechanical Genius]]&gt;0,mech_genius_bonus,0) + race_rezone_cost) * TblRezone[[#This Row],[Plat/acre*]],0)</f>
        <v>322</v>
      </c>
      <c r="Y105" s="94">
        <f ca="1">TblRezone[[#This Row],[Total acres]]*TblRezone[[#This Row],[Plat/acre]]</f>
        <v>0</v>
      </c>
      <c r="Z105" s="215"/>
      <c r="AA105" s="94">
        <f ca="1">(250+0.6*(TblRezone[[#This Row],[Land]]-250))</f>
        <v>322</v>
      </c>
      <c r="AB105" s="215"/>
      <c r="AC105" s="157">
        <f ca="1">TblConstr[[#This Row],[Facs DB]]</f>
        <v>0</v>
      </c>
    </row>
    <row r="106" spans="1:29" x14ac:dyDescent="0.2">
      <c r="A106" s="214">
        <f ca="1">TblConstr[[#This Row],[Land]]</f>
        <v>370</v>
      </c>
      <c r="B106" s="216">
        <f ca="1">TblConstr[[#This Row],[Plain]]</f>
        <v>20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45819.249999999753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1380113</v>
      </c>
      <c r="W106" s="215"/>
      <c r="X106" s="94">
        <f ca="1">ROUNDUP( (1-MIN(ROUND(facs_rezone_factor*TblRezone[[#This Row],[Facs]],4),facs_rezone_max) + tech_6_4*TblTech[[#This Row],[6-4]] + tech_10_2*TblTech[[#This Row],[10-2]] - IF(TblMagic[[#This Row],[Active Mechanical Genius]]&gt;0,mech_genius_bonus,0) + race_rezone_cost) * TblRezone[[#This Row],[Plat/acre*]],0)</f>
        <v>322</v>
      </c>
      <c r="Y106" s="94">
        <f ca="1">TblRezone[[#This Row],[Total acres]]*TblRezone[[#This Row],[Plat/acre]]</f>
        <v>0</v>
      </c>
      <c r="Z106" s="215"/>
      <c r="AA106" s="94">
        <f ca="1">(250+0.6*(TblRezone[[#This Row],[Land]]-250))</f>
        <v>322</v>
      </c>
      <c r="AB106" s="215"/>
      <c r="AC106" s="157">
        <f ca="1">TblConstr[[#This Row],[Facs DB]]</f>
        <v>0</v>
      </c>
    </row>
    <row r="107" spans="1:29" x14ac:dyDescent="0.2">
      <c r="A107" s="214">
        <f ca="1">TblConstr[[#This Row],[Land]]</f>
        <v>370</v>
      </c>
      <c r="B107" s="216">
        <f ca="1">TblConstr[[#This Row],[Plain]]</f>
        <v>20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45819.291666666417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1388130</v>
      </c>
      <c r="W107" s="215"/>
      <c r="X107" s="94">
        <f ca="1">ROUNDUP( (1-MIN(ROUND(facs_rezone_factor*TblRezone[[#This Row],[Facs]],4),facs_rezone_max) + tech_6_4*TblTech[[#This Row],[6-4]] + tech_10_2*TblTech[[#This Row],[10-2]] - IF(TblMagic[[#This Row],[Active Mechanical Genius]]&gt;0,mech_genius_bonus,0) + race_rezone_cost) * TblRezone[[#This Row],[Plat/acre*]],0)</f>
        <v>322</v>
      </c>
      <c r="Y107" s="94">
        <f ca="1">TblRezone[[#This Row],[Total acres]]*TblRezone[[#This Row],[Plat/acre]]</f>
        <v>0</v>
      </c>
      <c r="Z107" s="215"/>
      <c r="AA107" s="94">
        <f ca="1">(250+0.6*(TblRezone[[#This Row],[Land]]-250))</f>
        <v>322</v>
      </c>
      <c r="AB107" s="215"/>
      <c r="AC107" s="157">
        <f ca="1">TblConstr[[#This Row],[Facs DB]]</f>
        <v>0</v>
      </c>
    </row>
    <row r="108" spans="1:29" x14ac:dyDescent="0.2">
      <c r="A108" s="214">
        <f ca="1">TblConstr[[#This Row],[Land]]</f>
        <v>370</v>
      </c>
      <c r="B108" s="216">
        <f ca="1">TblConstr[[#This Row],[Plain]]</f>
        <v>20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45819.333333333081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1396090</v>
      </c>
      <c r="W108" s="215"/>
      <c r="X108" s="94">
        <f ca="1">ROUNDUP( (1-MIN(ROUND(facs_rezone_factor*TblRezone[[#This Row],[Facs]],4),facs_rezone_max) + tech_6_4*TblTech[[#This Row],[6-4]] + tech_10_2*TblTech[[#This Row],[10-2]] - IF(TblMagic[[#This Row],[Active Mechanical Genius]]&gt;0,mech_genius_bonus,0) + race_rezone_cost) * TblRezone[[#This Row],[Plat/acre*]],0)</f>
        <v>322</v>
      </c>
      <c r="Y108" s="94">
        <f ca="1">TblRezone[[#This Row],[Total acres]]*TblRezone[[#This Row],[Plat/acre]]</f>
        <v>0</v>
      </c>
      <c r="Z108" s="215"/>
      <c r="AA108" s="94">
        <f ca="1">(250+0.6*(TblRezone[[#This Row],[Land]]-250))</f>
        <v>322</v>
      </c>
      <c r="AB108" s="215"/>
      <c r="AC108" s="157">
        <f ca="1">TblConstr[[#This Row],[Facs DB]]</f>
        <v>0</v>
      </c>
    </row>
    <row r="109" spans="1:29" x14ac:dyDescent="0.2">
      <c r="A109" s="214">
        <f ca="1">TblConstr[[#This Row],[Land]]</f>
        <v>370</v>
      </c>
      <c r="B109" s="216">
        <f ca="1">TblConstr[[#This Row],[Plain]]</f>
        <v>20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45819.374999999745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1403993</v>
      </c>
      <c r="W109" s="215"/>
      <c r="X109" s="94">
        <f ca="1">ROUNDUP( (1-MIN(ROUND(facs_rezone_factor*TblRezone[[#This Row],[Facs]],4),facs_rezone_max) + tech_6_4*TblTech[[#This Row],[6-4]] + tech_10_2*TblTech[[#This Row],[10-2]] - IF(TblMagic[[#This Row],[Active Mechanical Genius]]&gt;0,mech_genius_bonus,0) + race_rezone_cost) * TblRezone[[#This Row],[Plat/acre*]],0)</f>
        <v>322</v>
      </c>
      <c r="Y109" s="94">
        <f ca="1">TblRezone[[#This Row],[Total acres]]*TblRezone[[#This Row],[Plat/acre]]</f>
        <v>0</v>
      </c>
      <c r="Z109" s="215"/>
      <c r="AA109" s="94">
        <f ca="1">(250+0.6*(TblRezone[[#This Row],[Land]]-250))</f>
        <v>322</v>
      </c>
      <c r="AB109" s="215"/>
      <c r="AC109" s="157">
        <f ca="1">TblConstr[[#This Row],[Facs DB]]</f>
        <v>0</v>
      </c>
    </row>
    <row r="110" spans="1:29" x14ac:dyDescent="0.2">
      <c r="A110" s="214">
        <f ca="1">TblConstr[[#This Row],[Land]]</f>
        <v>370</v>
      </c>
      <c r="B110" s="216">
        <f ca="1">TblConstr[[#This Row],[Plain]]</f>
        <v>20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45819.41666666641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1411840</v>
      </c>
      <c r="W110" s="215"/>
      <c r="X110" s="94">
        <f ca="1">ROUNDUP( (1-MIN(ROUND(facs_rezone_factor*TblRezone[[#This Row],[Facs]],4),facs_rezone_max) + tech_6_4*TblTech[[#This Row],[6-4]] + tech_10_2*TblTech[[#This Row],[10-2]] - IF(TblMagic[[#This Row],[Active Mechanical Genius]]&gt;0,mech_genius_bonus,0) + race_rezone_cost) * TblRezone[[#This Row],[Plat/acre*]],0)</f>
        <v>322</v>
      </c>
      <c r="Y110" s="94">
        <f ca="1">TblRezone[[#This Row],[Total acres]]*TblRezone[[#This Row],[Plat/acre]]</f>
        <v>0</v>
      </c>
      <c r="Z110" s="215"/>
      <c r="AA110" s="94">
        <f ca="1">(250+0.6*(TblRezone[[#This Row],[Land]]-250))</f>
        <v>322</v>
      </c>
      <c r="AB110" s="215"/>
      <c r="AC110" s="157">
        <f ca="1">TblConstr[[#This Row],[Facs DB]]</f>
        <v>0</v>
      </c>
    </row>
    <row r="111" spans="1:29" x14ac:dyDescent="0.2">
      <c r="A111" s="214">
        <f ca="1">TblConstr[[#This Row],[Land]]</f>
        <v>370</v>
      </c>
      <c r="B111" s="216">
        <f ca="1">TblConstr[[#This Row],[Plain]]</f>
        <v>20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45819.458333333074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1419630</v>
      </c>
      <c r="W111" s="215"/>
      <c r="X111" s="94">
        <f ca="1">ROUNDUP( (1-MIN(ROUND(facs_rezone_factor*TblRezone[[#This Row],[Facs]],4),facs_rezone_max) + tech_6_4*TblTech[[#This Row],[6-4]] + tech_10_2*TblTech[[#This Row],[10-2]] - IF(TblMagic[[#This Row],[Active Mechanical Genius]]&gt;0,mech_genius_bonus,0) + race_rezone_cost) * TblRezone[[#This Row],[Plat/acre*]],0)</f>
        <v>322</v>
      </c>
      <c r="Y111" s="94">
        <f ca="1">TblRezone[[#This Row],[Total acres]]*TblRezone[[#This Row],[Plat/acre]]</f>
        <v>0</v>
      </c>
      <c r="Z111" s="215"/>
      <c r="AA111" s="94">
        <f ca="1">(250+0.6*(TblRezone[[#This Row],[Land]]-250))</f>
        <v>322</v>
      </c>
      <c r="AB111" s="215"/>
      <c r="AC111" s="157">
        <f ca="1">TblConstr[[#This Row],[Facs DB]]</f>
        <v>0</v>
      </c>
    </row>
    <row r="112" spans="1:29" x14ac:dyDescent="0.2">
      <c r="A112" s="214">
        <f ca="1">TblConstr[[#This Row],[Land]]</f>
        <v>370</v>
      </c>
      <c r="B112" s="216">
        <f ca="1">TblConstr[[#This Row],[Plain]]</f>
        <v>20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45819.499999999738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1427363</v>
      </c>
      <c r="W112" s="215"/>
      <c r="X112" s="94">
        <f ca="1">ROUNDUP( (1-MIN(ROUND(facs_rezone_factor*TblRezone[[#This Row],[Facs]],4),facs_rezone_max) + tech_6_4*TblTech[[#This Row],[6-4]] + tech_10_2*TblTech[[#This Row],[10-2]] - IF(TblMagic[[#This Row],[Active Mechanical Genius]]&gt;0,mech_genius_bonus,0) + race_rezone_cost) * TblRezone[[#This Row],[Plat/acre*]],0)</f>
        <v>322</v>
      </c>
      <c r="Y112" s="94">
        <f ca="1">TblRezone[[#This Row],[Total acres]]*TblRezone[[#This Row],[Plat/acre]]</f>
        <v>0</v>
      </c>
      <c r="Z112" s="215"/>
      <c r="AA112" s="94">
        <f ca="1">(250+0.6*(TblRezone[[#This Row],[Land]]-250))</f>
        <v>322</v>
      </c>
      <c r="AB112" s="215"/>
      <c r="AC112" s="157">
        <f ca="1">TblConstr[[#This Row],[Facs DB]]</f>
        <v>0</v>
      </c>
    </row>
    <row r="113" spans="1:29" x14ac:dyDescent="0.2">
      <c r="A113" s="214">
        <f ca="1">TblConstr[[#This Row],[Land]]</f>
        <v>370</v>
      </c>
      <c r="B113" s="216">
        <f ca="1">TblConstr[[#This Row],[Plain]]</f>
        <v>20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45819.541666666402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1435042</v>
      </c>
      <c r="W113" s="215"/>
      <c r="X113" s="94">
        <f ca="1">ROUNDUP( (1-MIN(ROUND(facs_rezone_factor*TblRezone[[#This Row],[Facs]],4),facs_rezone_max) + tech_6_4*TblTech[[#This Row],[6-4]] + tech_10_2*TblTech[[#This Row],[10-2]] - IF(TblMagic[[#This Row],[Active Mechanical Genius]]&gt;0,mech_genius_bonus,0) + race_rezone_cost) * TblRezone[[#This Row],[Plat/acre*]],0)</f>
        <v>322</v>
      </c>
      <c r="Y113" s="94">
        <f ca="1">TblRezone[[#This Row],[Total acres]]*TblRezone[[#This Row],[Plat/acre]]</f>
        <v>0</v>
      </c>
      <c r="Z113" s="215"/>
      <c r="AA113" s="94">
        <f ca="1">(250+0.6*(TblRezone[[#This Row],[Land]]-250))</f>
        <v>322</v>
      </c>
      <c r="AB113" s="215"/>
      <c r="AC113" s="157">
        <f ca="1">TblConstr[[#This Row],[Facs DB]]</f>
        <v>0</v>
      </c>
    </row>
    <row r="114" spans="1:29" x14ac:dyDescent="0.2">
      <c r="A114" s="214">
        <f ca="1">TblConstr[[#This Row],[Land]]</f>
        <v>370</v>
      </c>
      <c r="B114" s="216">
        <f ca="1">TblConstr[[#This Row],[Plain]]</f>
        <v>20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45819.583333333067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1442667</v>
      </c>
      <c r="W114" s="215"/>
      <c r="X114" s="94">
        <f ca="1">ROUNDUP( (1-MIN(ROUND(facs_rezone_factor*TblRezone[[#This Row],[Facs]],4),facs_rezone_max) + tech_6_4*TblTech[[#This Row],[6-4]] + tech_10_2*TblTech[[#This Row],[10-2]] - IF(TblMagic[[#This Row],[Active Mechanical Genius]]&gt;0,mech_genius_bonus,0) + race_rezone_cost) * TblRezone[[#This Row],[Plat/acre*]],0)</f>
        <v>322</v>
      </c>
      <c r="Y114" s="94">
        <f ca="1">TblRezone[[#This Row],[Total acres]]*TblRezone[[#This Row],[Plat/acre]]</f>
        <v>0</v>
      </c>
      <c r="Z114" s="215"/>
      <c r="AA114" s="94">
        <f ca="1">(250+0.6*(TblRezone[[#This Row],[Land]]-250))</f>
        <v>322</v>
      </c>
      <c r="AB114" s="215"/>
      <c r="AC114" s="157">
        <f ca="1">TblConstr[[#This Row],[Facs DB]]</f>
        <v>0</v>
      </c>
    </row>
    <row r="115" spans="1:29" x14ac:dyDescent="0.2">
      <c r="A115" s="214">
        <f ca="1">TblConstr[[#This Row],[Land]]</f>
        <v>370</v>
      </c>
      <c r="B115" s="216">
        <f ca="1">TblConstr[[#This Row],[Plain]]</f>
        <v>20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45819.624999999731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1450238</v>
      </c>
      <c r="W115" s="215"/>
      <c r="X115" s="94">
        <f ca="1">ROUNDUP( (1-MIN(ROUND(facs_rezone_factor*TblRezone[[#This Row],[Facs]],4),facs_rezone_max) + tech_6_4*TblTech[[#This Row],[6-4]] + tech_10_2*TblTech[[#This Row],[10-2]] - IF(TblMagic[[#This Row],[Active Mechanical Genius]]&gt;0,mech_genius_bonus,0) + race_rezone_cost) * TblRezone[[#This Row],[Plat/acre*]],0)</f>
        <v>322</v>
      </c>
      <c r="Y115" s="94">
        <f ca="1">TblRezone[[#This Row],[Total acres]]*TblRezone[[#This Row],[Plat/acre]]</f>
        <v>0</v>
      </c>
      <c r="Z115" s="215"/>
      <c r="AA115" s="94">
        <f ca="1">(250+0.6*(TblRezone[[#This Row],[Land]]-250))</f>
        <v>322</v>
      </c>
      <c r="AB115" s="215"/>
      <c r="AC115" s="157">
        <f ca="1">TblConstr[[#This Row],[Facs DB]]</f>
        <v>0</v>
      </c>
    </row>
    <row r="116" spans="1:29" x14ac:dyDescent="0.2">
      <c r="A116" s="214">
        <f ca="1">TblConstr[[#This Row],[Land]]</f>
        <v>370</v>
      </c>
      <c r="B116" s="216">
        <f ca="1">TblConstr[[#This Row],[Plain]]</f>
        <v>20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45819.666666666395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1457755</v>
      </c>
      <c r="W116" s="215"/>
      <c r="X116" s="94">
        <f ca="1">ROUNDUP( (1-MIN(ROUND(facs_rezone_factor*TblRezone[[#This Row],[Facs]],4),facs_rezone_max) + tech_6_4*TblTech[[#This Row],[6-4]] + tech_10_2*TblTech[[#This Row],[10-2]] - IF(TblMagic[[#This Row],[Active Mechanical Genius]]&gt;0,mech_genius_bonus,0) + race_rezone_cost) * TblRezone[[#This Row],[Plat/acre*]],0)</f>
        <v>322</v>
      </c>
      <c r="Y116" s="94">
        <f ca="1">TblRezone[[#This Row],[Total acres]]*TblRezone[[#This Row],[Plat/acre]]</f>
        <v>0</v>
      </c>
      <c r="Z116" s="215"/>
      <c r="AA116" s="94">
        <f ca="1">(250+0.6*(TblRezone[[#This Row],[Land]]-250))</f>
        <v>322</v>
      </c>
      <c r="AB116" s="215"/>
      <c r="AC116" s="157">
        <f ca="1">TblConstr[[#This Row],[Facs DB]]</f>
        <v>0</v>
      </c>
    </row>
    <row r="117" spans="1:29" x14ac:dyDescent="0.2">
      <c r="A117" s="214">
        <f ca="1">TblConstr[[#This Row],[Land]]</f>
        <v>370</v>
      </c>
      <c r="B117" s="216">
        <f ca="1">TblConstr[[#This Row],[Plain]]</f>
        <v>20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45819.708333333059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1465218</v>
      </c>
      <c r="W117" s="215"/>
      <c r="X117" s="94">
        <f ca="1">ROUNDUP( (1-MIN(ROUND(facs_rezone_factor*TblRezone[[#This Row],[Facs]],4),facs_rezone_max) + tech_6_4*TblTech[[#This Row],[6-4]] + tech_10_2*TblTech[[#This Row],[10-2]] - IF(TblMagic[[#This Row],[Active Mechanical Genius]]&gt;0,mech_genius_bonus,0) + race_rezone_cost) * TblRezone[[#This Row],[Plat/acre*]],0)</f>
        <v>322</v>
      </c>
      <c r="Y117" s="94">
        <f ca="1">TblRezone[[#This Row],[Total acres]]*TblRezone[[#This Row],[Plat/acre]]</f>
        <v>0</v>
      </c>
      <c r="Z117" s="215"/>
      <c r="AA117" s="94">
        <f ca="1">(250+0.6*(TblRezone[[#This Row],[Land]]-250))</f>
        <v>322</v>
      </c>
      <c r="AB117" s="215"/>
      <c r="AC117" s="157">
        <f ca="1">TblConstr[[#This Row],[Facs DB]]</f>
        <v>0</v>
      </c>
    </row>
    <row r="118" spans="1:29" x14ac:dyDescent="0.2">
      <c r="A118" s="214">
        <f ca="1">TblConstr[[#This Row],[Land]]</f>
        <v>370</v>
      </c>
      <c r="B118" s="216">
        <f ca="1">TblConstr[[#This Row],[Plain]]</f>
        <v>20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45819.749999999724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1472630</v>
      </c>
      <c r="W118" s="215"/>
      <c r="X118" s="94">
        <f ca="1">ROUNDUP( (1-MIN(ROUND(facs_rezone_factor*TblRezone[[#This Row],[Facs]],4),facs_rezone_max) + tech_6_4*TblTech[[#This Row],[6-4]] + tech_10_2*TblTech[[#This Row],[10-2]] - IF(TblMagic[[#This Row],[Active Mechanical Genius]]&gt;0,mech_genius_bonus,0) + race_rezone_cost) * TblRezone[[#This Row],[Plat/acre*]],0)</f>
        <v>322</v>
      </c>
      <c r="Y118" s="94">
        <f ca="1">TblRezone[[#This Row],[Total acres]]*TblRezone[[#This Row],[Plat/acre]]</f>
        <v>0</v>
      </c>
      <c r="Z118" s="215"/>
      <c r="AA118" s="94">
        <f ca="1">(250+0.6*(TblRezone[[#This Row],[Land]]-250))</f>
        <v>322</v>
      </c>
      <c r="AB118" s="215"/>
      <c r="AC118" s="157">
        <f ca="1">TblConstr[[#This Row],[Facs DB]]</f>
        <v>0</v>
      </c>
    </row>
    <row r="119" spans="1:29" x14ac:dyDescent="0.2">
      <c r="A119" s="214">
        <f ca="1">TblConstr[[#This Row],[Land]]</f>
        <v>370</v>
      </c>
      <c r="B119" s="216">
        <f ca="1">TblConstr[[#This Row],[Plain]]</f>
        <v>20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45819.791666666388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1479991</v>
      </c>
      <c r="W119" s="215"/>
      <c r="X119" s="94">
        <f ca="1">ROUNDUP( (1-MIN(ROUND(facs_rezone_factor*TblRezone[[#This Row],[Facs]],4),facs_rezone_max) + tech_6_4*TblTech[[#This Row],[6-4]] + tech_10_2*TblTech[[#This Row],[10-2]] - IF(TblMagic[[#This Row],[Active Mechanical Genius]]&gt;0,mech_genius_bonus,0) + race_rezone_cost) * TblRezone[[#This Row],[Plat/acre*]],0)</f>
        <v>322</v>
      </c>
      <c r="Y119" s="94">
        <f ca="1">TblRezone[[#This Row],[Total acres]]*TblRezone[[#This Row],[Plat/acre]]</f>
        <v>0</v>
      </c>
      <c r="Z119" s="215"/>
      <c r="AA119" s="94">
        <f ca="1">(250+0.6*(TblRezone[[#This Row],[Land]]-250))</f>
        <v>322</v>
      </c>
      <c r="AB119" s="215"/>
      <c r="AC119" s="157">
        <f ca="1">TblConstr[[#This Row],[Facs DB]]</f>
        <v>0</v>
      </c>
    </row>
    <row r="120" spans="1:29" x14ac:dyDescent="0.2">
      <c r="A120" s="214">
        <f ca="1">TblConstr[[#This Row],[Land]]</f>
        <v>370</v>
      </c>
      <c r="B120" s="216">
        <f ca="1">TblConstr[[#This Row],[Plain]]</f>
        <v>20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45819.833333333052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1487300</v>
      </c>
      <c r="W120" s="215"/>
      <c r="X120" s="94">
        <f ca="1">ROUNDUP( (1-MIN(ROUND(facs_rezone_factor*TblRezone[[#This Row],[Facs]],4),facs_rezone_max) + tech_6_4*TblTech[[#This Row],[6-4]] + tech_10_2*TblTech[[#This Row],[10-2]] - IF(TblMagic[[#This Row],[Active Mechanical Genius]]&gt;0,mech_genius_bonus,0) + race_rezone_cost) * TblRezone[[#This Row],[Plat/acre*]],0)</f>
        <v>322</v>
      </c>
      <c r="Y120" s="94">
        <f ca="1">TblRezone[[#This Row],[Total acres]]*TblRezone[[#This Row],[Plat/acre]]</f>
        <v>0</v>
      </c>
      <c r="Z120" s="215"/>
      <c r="AA120" s="94">
        <f ca="1">(250+0.6*(TblRezone[[#This Row],[Land]]-250))</f>
        <v>322</v>
      </c>
      <c r="AB120" s="215"/>
      <c r="AC120" s="157">
        <f ca="1">TblConstr[[#This Row],[Facs DB]]</f>
        <v>0</v>
      </c>
    </row>
    <row r="121" spans="1:29" x14ac:dyDescent="0.2">
      <c r="A121" s="214">
        <f ca="1">TblConstr[[#This Row],[Land]]</f>
        <v>370</v>
      </c>
      <c r="B121" s="216">
        <f ca="1">TblConstr[[#This Row],[Plain]]</f>
        <v>20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45819.874999999716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1494558</v>
      </c>
      <c r="W121" s="215"/>
      <c r="X121" s="94">
        <f ca="1">ROUNDUP( (1-MIN(ROUND(facs_rezone_factor*TblRezone[[#This Row],[Facs]],4),facs_rezone_max) + tech_6_4*TblTech[[#This Row],[6-4]] + tech_10_2*TblTech[[#This Row],[10-2]] - IF(TblMagic[[#This Row],[Active Mechanical Genius]]&gt;0,mech_genius_bonus,0) + race_rezone_cost) * TblRezone[[#This Row],[Plat/acre*]],0)</f>
        <v>322</v>
      </c>
      <c r="Y121" s="94">
        <f ca="1">TblRezone[[#This Row],[Total acres]]*TblRezone[[#This Row],[Plat/acre]]</f>
        <v>0</v>
      </c>
      <c r="Z121" s="215"/>
      <c r="AA121" s="94">
        <f ca="1">(250+0.6*(TblRezone[[#This Row],[Land]]-250))</f>
        <v>322</v>
      </c>
      <c r="AB121" s="215"/>
      <c r="AC121" s="157">
        <f ca="1">TblConstr[[#This Row],[Facs DB]]</f>
        <v>0</v>
      </c>
    </row>
    <row r="122" spans="1:29" x14ac:dyDescent="0.2">
      <c r="A122" s="214">
        <f ca="1">TblConstr[[#This Row],[Land]]</f>
        <v>370</v>
      </c>
      <c r="B122" s="216">
        <f ca="1">TblConstr[[#This Row],[Plain]]</f>
        <v>20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45819.91666666638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1501765</v>
      </c>
      <c r="W122" s="215"/>
      <c r="X122" s="94">
        <f ca="1">ROUNDUP( (1-MIN(ROUND(facs_rezone_factor*TblRezone[[#This Row],[Facs]],4),facs_rezone_max) + tech_6_4*TblTech[[#This Row],[6-4]] + tech_10_2*TblTech[[#This Row],[10-2]] - IF(TblMagic[[#This Row],[Active Mechanical Genius]]&gt;0,mech_genius_bonus,0) + race_rezone_cost) * TblRezone[[#This Row],[Plat/acre*]],0)</f>
        <v>322</v>
      </c>
      <c r="Y122" s="94">
        <f ca="1">TblRezone[[#This Row],[Total acres]]*TblRezone[[#This Row],[Plat/acre]]</f>
        <v>0</v>
      </c>
      <c r="Z122" s="215"/>
      <c r="AA122" s="94">
        <f ca="1">(250+0.6*(TblRezone[[#This Row],[Land]]-250))</f>
        <v>322</v>
      </c>
      <c r="AB122" s="215"/>
      <c r="AC122" s="157">
        <f ca="1">TblConstr[[#This Row],[Facs DB]]</f>
        <v>0</v>
      </c>
    </row>
    <row r="123" spans="1:29" x14ac:dyDescent="0.2">
      <c r="A123" s="214">
        <f ca="1">TblConstr[[#This Row],[Land]]</f>
        <v>370</v>
      </c>
      <c r="B123" s="216">
        <f ca="1">TblConstr[[#This Row],[Plain]]</f>
        <v>20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45819.958333333045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1508923</v>
      </c>
      <c r="W123" s="215"/>
      <c r="X123" s="94">
        <f ca="1">ROUNDUP( (1-MIN(ROUND(facs_rezone_factor*TblRezone[[#This Row],[Facs]],4),facs_rezone_max) + tech_6_4*TblTech[[#This Row],[6-4]] + tech_10_2*TblTech[[#This Row],[10-2]] - IF(TblMagic[[#This Row],[Active Mechanical Genius]]&gt;0,mech_genius_bonus,0) + race_rezone_cost) * TblRezone[[#This Row],[Plat/acre*]],0)</f>
        <v>322</v>
      </c>
      <c r="Y123" s="94">
        <f ca="1">TblRezone[[#This Row],[Total acres]]*TblRezone[[#This Row],[Plat/acre]]</f>
        <v>0</v>
      </c>
      <c r="Z123" s="215"/>
      <c r="AA123" s="94">
        <f ca="1">(250+0.6*(TblRezone[[#This Row],[Land]]-250))</f>
        <v>322</v>
      </c>
      <c r="AB123" s="215"/>
      <c r="AC123" s="157">
        <f ca="1">TblConstr[[#This Row],[Facs DB]]</f>
        <v>0</v>
      </c>
    </row>
    <row r="124" spans="1:29" x14ac:dyDescent="0.2">
      <c r="A124" s="214">
        <f ca="1">TblConstr[[#This Row],[Land]]</f>
        <v>370</v>
      </c>
      <c r="B124" s="216">
        <f ca="1">TblConstr[[#This Row],[Plain]]</f>
        <v>20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45819.999999999709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1516033</v>
      </c>
      <c r="W124" s="215"/>
      <c r="X124" s="94">
        <f ca="1">ROUNDUP( (1-MIN(ROUND(facs_rezone_factor*TblRezone[[#This Row],[Facs]],4),facs_rezone_max) + tech_6_4*TblTech[[#This Row],[6-4]] + tech_10_2*TblTech[[#This Row],[10-2]] - IF(TblMagic[[#This Row],[Active Mechanical Genius]]&gt;0,mech_genius_bonus,0) + race_rezone_cost) * TblRezone[[#This Row],[Plat/acre*]],0)</f>
        <v>322</v>
      </c>
      <c r="Y124" s="94">
        <f ca="1">TblRezone[[#This Row],[Total acres]]*TblRezone[[#This Row],[Plat/acre]]</f>
        <v>0</v>
      </c>
      <c r="Z124" s="215"/>
      <c r="AA124" s="94">
        <f ca="1">(250+0.6*(TblRezone[[#This Row],[Land]]-250))</f>
        <v>322</v>
      </c>
      <c r="AB124" s="215"/>
      <c r="AC124" s="157">
        <f ca="1">TblConstr[[#This Row],[Facs DB]]</f>
        <v>0</v>
      </c>
    </row>
    <row r="125" spans="1:29" x14ac:dyDescent="0.2">
      <c r="A125" s="214">
        <f ca="1">TblConstr[[#This Row],[Land]]</f>
        <v>370</v>
      </c>
      <c r="B125" s="216">
        <f ca="1">TblConstr[[#This Row],[Plain]]</f>
        <v>20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45820.041666666373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1523094</v>
      </c>
      <c r="W125" s="215"/>
      <c r="X125" s="94">
        <f ca="1">ROUNDUP( (1-MIN(ROUND(facs_rezone_factor*TblRezone[[#This Row],[Facs]],4),facs_rezone_max) + tech_6_4*TblTech[[#This Row],[6-4]] + tech_10_2*TblTech[[#This Row],[10-2]] - IF(TblMagic[[#This Row],[Active Mechanical Genius]]&gt;0,mech_genius_bonus,0) + race_rezone_cost) * TblRezone[[#This Row],[Plat/acre*]],0)</f>
        <v>322</v>
      </c>
      <c r="Y125" s="94">
        <f ca="1">TblRezone[[#This Row],[Total acres]]*TblRezone[[#This Row],[Plat/acre]]</f>
        <v>0</v>
      </c>
      <c r="Z125" s="215"/>
      <c r="AA125" s="94">
        <f ca="1">(250+0.6*(TblRezone[[#This Row],[Land]]-250))</f>
        <v>322</v>
      </c>
      <c r="AB125" s="215"/>
      <c r="AC125" s="157">
        <f ca="1">TblConstr[[#This Row],[Facs DB]]</f>
        <v>0</v>
      </c>
    </row>
    <row r="126" spans="1:29" x14ac:dyDescent="0.2">
      <c r="A126" s="214">
        <f ca="1">TblConstr[[#This Row],[Land]]</f>
        <v>370</v>
      </c>
      <c r="B126" s="216">
        <f ca="1">TblConstr[[#This Row],[Plain]]</f>
        <v>20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45820.083333333037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1530106</v>
      </c>
      <c r="W126" s="215"/>
      <c r="X126" s="94">
        <f ca="1">ROUNDUP( (1-MIN(ROUND(facs_rezone_factor*TblRezone[[#This Row],[Facs]],4),facs_rezone_max) + tech_6_4*TblTech[[#This Row],[6-4]] + tech_10_2*TblTech[[#This Row],[10-2]] - IF(TblMagic[[#This Row],[Active Mechanical Genius]]&gt;0,mech_genius_bonus,0) + race_rezone_cost) * TblRezone[[#This Row],[Plat/acre*]],0)</f>
        <v>322</v>
      </c>
      <c r="Y126" s="94">
        <f ca="1">TblRezone[[#This Row],[Total acres]]*TblRezone[[#This Row],[Plat/acre]]</f>
        <v>0</v>
      </c>
      <c r="Z126" s="215"/>
      <c r="AA126" s="94">
        <f ca="1">(250+0.6*(TblRezone[[#This Row],[Land]]-250))</f>
        <v>322</v>
      </c>
      <c r="AB126" s="215"/>
      <c r="AC126" s="157">
        <f ca="1">TblConstr[[#This Row],[Facs DB]]</f>
        <v>0</v>
      </c>
    </row>
    <row r="127" spans="1:29" x14ac:dyDescent="0.2">
      <c r="A127" s="214">
        <f ca="1">TblConstr[[#This Row],[Land]]</f>
        <v>370</v>
      </c>
      <c r="B127" s="216">
        <f ca="1">TblConstr[[#This Row],[Plain]]</f>
        <v>20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45820.124999999702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1537070</v>
      </c>
      <c r="W127" s="215"/>
      <c r="X127" s="94">
        <f ca="1">ROUNDUP( (1-MIN(ROUND(facs_rezone_factor*TblRezone[[#This Row],[Facs]],4),facs_rezone_max) + tech_6_4*TblTech[[#This Row],[6-4]] + tech_10_2*TblTech[[#This Row],[10-2]] - IF(TblMagic[[#This Row],[Active Mechanical Genius]]&gt;0,mech_genius_bonus,0) + race_rezone_cost) * TblRezone[[#This Row],[Plat/acre*]],0)</f>
        <v>322</v>
      </c>
      <c r="Y127" s="94">
        <f ca="1">TblRezone[[#This Row],[Total acres]]*TblRezone[[#This Row],[Plat/acre]]</f>
        <v>0</v>
      </c>
      <c r="Z127" s="215"/>
      <c r="AA127" s="94">
        <f ca="1">(250+0.6*(TblRezone[[#This Row],[Land]]-250))</f>
        <v>322</v>
      </c>
      <c r="AB127" s="215"/>
      <c r="AC127" s="157">
        <f ca="1">TblConstr[[#This Row],[Facs DB]]</f>
        <v>0</v>
      </c>
    </row>
    <row r="128" spans="1:29" x14ac:dyDescent="0.2">
      <c r="A128" s="214">
        <f ca="1">TblConstr[[#This Row],[Land]]</f>
        <v>370</v>
      </c>
      <c r="B128" s="216">
        <f ca="1">TblConstr[[#This Row],[Plain]]</f>
        <v>20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45820.166666666366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1543988</v>
      </c>
      <c r="W128" s="215"/>
      <c r="X128" s="94">
        <f ca="1">ROUNDUP( (1-MIN(ROUND(facs_rezone_factor*TblRezone[[#This Row],[Facs]],4),facs_rezone_max) + tech_6_4*TblTech[[#This Row],[6-4]] + tech_10_2*TblTech[[#This Row],[10-2]] - IF(TblMagic[[#This Row],[Active Mechanical Genius]]&gt;0,mech_genius_bonus,0) + race_rezone_cost) * TblRezone[[#This Row],[Plat/acre*]],0)</f>
        <v>322</v>
      </c>
      <c r="Y128" s="94">
        <f ca="1">TblRezone[[#This Row],[Total acres]]*TblRezone[[#This Row],[Plat/acre]]</f>
        <v>0</v>
      </c>
      <c r="Z128" s="215"/>
      <c r="AA128" s="94">
        <f ca="1">(250+0.6*(TblRezone[[#This Row],[Land]]-250))</f>
        <v>322</v>
      </c>
      <c r="AB128" s="215"/>
      <c r="AC128" s="157">
        <f ca="1">TblConstr[[#This Row],[Facs DB]]</f>
        <v>0</v>
      </c>
    </row>
    <row r="129" spans="1:29" x14ac:dyDescent="0.2">
      <c r="A129" s="214">
        <f ca="1">TblConstr[[#This Row],[Land]]</f>
        <v>370</v>
      </c>
      <c r="B129" s="216">
        <f ca="1">TblConstr[[#This Row],[Plain]]</f>
        <v>20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45820.20833333303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1550860</v>
      </c>
      <c r="W129" s="215"/>
      <c r="X129" s="94">
        <f ca="1">ROUNDUP( (1-MIN(ROUND(facs_rezone_factor*TblRezone[[#This Row],[Facs]],4),facs_rezone_max) + tech_6_4*TblTech[[#This Row],[6-4]] + tech_10_2*TblTech[[#This Row],[10-2]] - IF(TblMagic[[#This Row],[Active Mechanical Genius]]&gt;0,mech_genius_bonus,0) + race_rezone_cost) * TblRezone[[#This Row],[Plat/acre*]],0)</f>
        <v>322</v>
      </c>
      <c r="Y129" s="94">
        <f ca="1">TblRezone[[#This Row],[Total acres]]*TblRezone[[#This Row],[Plat/acre]]</f>
        <v>0</v>
      </c>
      <c r="Z129" s="215"/>
      <c r="AA129" s="94">
        <f ca="1">(250+0.6*(TblRezone[[#This Row],[Land]]-250))</f>
        <v>322</v>
      </c>
      <c r="AB129" s="215"/>
      <c r="AC129" s="157">
        <f ca="1">TblConstr[[#This Row],[Facs DB]]</f>
        <v>0</v>
      </c>
    </row>
    <row r="130" spans="1:29" x14ac:dyDescent="0.2">
      <c r="A130" s="214">
        <f ca="1">TblConstr[[#This Row],[Land]]</f>
        <v>370</v>
      </c>
      <c r="B130" s="216">
        <f ca="1">TblConstr[[#This Row],[Plain]]</f>
        <v>20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45820.249999999694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1557686</v>
      </c>
      <c r="W130" s="215"/>
      <c r="X130" s="94">
        <f ca="1">ROUNDUP( (1-MIN(ROUND(facs_rezone_factor*TblRezone[[#This Row],[Facs]],4),facs_rezone_max) + tech_6_4*TblTech[[#This Row],[6-4]] + tech_10_2*TblTech[[#This Row],[10-2]] - IF(TblMagic[[#This Row],[Active Mechanical Genius]]&gt;0,mech_genius_bonus,0) + race_rezone_cost) * TblRezone[[#This Row],[Plat/acre*]],0)</f>
        <v>322</v>
      </c>
      <c r="Y130" s="94">
        <f ca="1">TblRezone[[#This Row],[Total acres]]*TblRezone[[#This Row],[Plat/acre]]</f>
        <v>0</v>
      </c>
      <c r="Z130" s="215"/>
      <c r="AA130" s="94">
        <f ca="1">(250+0.6*(TblRezone[[#This Row],[Land]]-250))</f>
        <v>322</v>
      </c>
      <c r="AB130" s="215"/>
      <c r="AC130" s="157">
        <f ca="1">TblConstr[[#This Row],[Facs DB]]</f>
        <v>0</v>
      </c>
    </row>
    <row r="131" spans="1:29" x14ac:dyDescent="0.2">
      <c r="A131" s="214">
        <f ca="1">TblConstr[[#This Row],[Land]]</f>
        <v>370</v>
      </c>
      <c r="B131" s="216">
        <f ca="1">TblConstr[[#This Row],[Plain]]</f>
        <v>20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45820.291666666359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1564466</v>
      </c>
      <c r="W131" s="215"/>
      <c r="X131" s="94">
        <f ca="1">ROUNDUP( (1-MIN(ROUND(facs_rezone_factor*TblRezone[[#This Row],[Facs]],4),facs_rezone_max) + tech_6_4*TblTech[[#This Row],[6-4]] + tech_10_2*TblTech[[#This Row],[10-2]] - IF(TblMagic[[#This Row],[Active Mechanical Genius]]&gt;0,mech_genius_bonus,0) + race_rezone_cost) * TblRezone[[#This Row],[Plat/acre*]],0)</f>
        <v>322</v>
      </c>
      <c r="Y131" s="94">
        <f ca="1">TblRezone[[#This Row],[Total acres]]*TblRezone[[#This Row],[Plat/acre]]</f>
        <v>0</v>
      </c>
      <c r="Z131" s="215"/>
      <c r="AA131" s="94">
        <f ca="1">(250+0.6*(TblRezone[[#This Row],[Land]]-250))</f>
        <v>322</v>
      </c>
      <c r="AB131" s="215"/>
      <c r="AC131" s="157">
        <f ca="1">TblConstr[[#This Row],[Facs DB]]</f>
        <v>0</v>
      </c>
    </row>
    <row r="132" spans="1:29" x14ac:dyDescent="0.2">
      <c r="A132" s="214">
        <f ca="1">TblConstr[[#This Row],[Land]]</f>
        <v>370</v>
      </c>
      <c r="B132" s="216">
        <f ca="1">TblConstr[[#This Row],[Plain]]</f>
        <v>20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45820.333333333023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1571200</v>
      </c>
      <c r="W132" s="215"/>
      <c r="X132" s="94">
        <f ca="1">ROUNDUP( (1-MIN(ROUND(facs_rezone_factor*TblRezone[[#This Row],[Facs]],4),facs_rezone_max) + tech_6_4*TblTech[[#This Row],[6-4]] + tech_10_2*TblTech[[#This Row],[10-2]] - IF(TblMagic[[#This Row],[Active Mechanical Genius]]&gt;0,mech_genius_bonus,0) + race_rezone_cost) * TblRezone[[#This Row],[Plat/acre*]],0)</f>
        <v>322</v>
      </c>
      <c r="Y132" s="94">
        <f ca="1">TblRezone[[#This Row],[Total acres]]*TblRezone[[#This Row],[Plat/acre]]</f>
        <v>0</v>
      </c>
      <c r="Z132" s="215"/>
      <c r="AA132" s="94">
        <f ca="1">(250+0.6*(TblRezone[[#This Row],[Land]]-250))</f>
        <v>322</v>
      </c>
      <c r="AB132" s="215"/>
      <c r="AC132" s="157">
        <f ca="1">TblConstr[[#This Row],[Facs DB]]</f>
        <v>0</v>
      </c>
    </row>
    <row r="133" spans="1:29" x14ac:dyDescent="0.2">
      <c r="A133" s="214">
        <f ca="1">TblConstr[[#This Row],[Land]]</f>
        <v>370</v>
      </c>
      <c r="B133" s="216">
        <f ca="1">TblConstr[[#This Row],[Plain]]</f>
        <v>20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45820.374999999687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1577888</v>
      </c>
      <c r="W133" s="215"/>
      <c r="X133" s="94">
        <f ca="1">ROUNDUP( (1-MIN(ROUND(facs_rezone_factor*TblRezone[[#This Row],[Facs]],4),facs_rezone_max) + tech_6_4*TblTech[[#This Row],[6-4]] + tech_10_2*TblTech[[#This Row],[10-2]] - IF(TblMagic[[#This Row],[Active Mechanical Genius]]&gt;0,mech_genius_bonus,0) + race_rezone_cost) * TblRezone[[#This Row],[Plat/acre*]],0)</f>
        <v>322</v>
      </c>
      <c r="Y133" s="94">
        <f ca="1">TblRezone[[#This Row],[Total acres]]*TblRezone[[#This Row],[Plat/acre]]</f>
        <v>0</v>
      </c>
      <c r="Z133" s="215"/>
      <c r="AA133" s="94">
        <f ca="1">(250+0.6*(TblRezone[[#This Row],[Land]]-250))</f>
        <v>322</v>
      </c>
      <c r="AB133" s="215"/>
      <c r="AC133" s="157">
        <f ca="1">TblConstr[[#This Row],[Facs DB]]</f>
        <v>0</v>
      </c>
    </row>
    <row r="134" spans="1:29" x14ac:dyDescent="0.2">
      <c r="A134" s="214">
        <f ca="1">TblConstr[[#This Row],[Land]]</f>
        <v>370</v>
      </c>
      <c r="B134" s="216">
        <f ca="1">TblConstr[[#This Row],[Plain]]</f>
        <v>20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45820.416666666351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1584533</v>
      </c>
      <c r="W134" s="215"/>
      <c r="X134" s="94">
        <f ca="1">ROUNDUP( (1-MIN(ROUND(facs_rezone_factor*TblRezone[[#This Row],[Facs]],4),facs_rezone_max) + tech_6_4*TblTech[[#This Row],[6-4]] + tech_10_2*TblTech[[#This Row],[10-2]] - IF(TblMagic[[#This Row],[Active Mechanical Genius]]&gt;0,mech_genius_bonus,0) + race_rezone_cost) * TblRezone[[#This Row],[Plat/acre*]],0)</f>
        <v>322</v>
      </c>
      <c r="Y134" s="94">
        <f ca="1">TblRezone[[#This Row],[Total acres]]*TblRezone[[#This Row],[Plat/acre]]</f>
        <v>0</v>
      </c>
      <c r="Z134" s="215"/>
      <c r="AA134" s="94">
        <f ca="1">(250+0.6*(TblRezone[[#This Row],[Land]]-250))</f>
        <v>322</v>
      </c>
      <c r="AB134" s="215"/>
      <c r="AC134" s="157">
        <f ca="1">TblConstr[[#This Row],[Facs DB]]</f>
        <v>0</v>
      </c>
    </row>
    <row r="135" spans="1:29" x14ac:dyDescent="0.2">
      <c r="A135" s="214">
        <f ca="1">TblConstr[[#This Row],[Land]]</f>
        <v>370</v>
      </c>
      <c r="B135" s="216">
        <f ca="1">TblConstr[[#This Row],[Plain]]</f>
        <v>20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45820.458333333016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1591135</v>
      </c>
      <c r="W135" s="215"/>
      <c r="X135" s="94">
        <f ca="1">ROUNDUP( (1-MIN(ROUND(facs_rezone_factor*TblRezone[[#This Row],[Facs]],4),facs_rezone_max) + tech_6_4*TblTech[[#This Row],[6-4]] + tech_10_2*TblTech[[#This Row],[10-2]] - IF(TblMagic[[#This Row],[Active Mechanical Genius]]&gt;0,mech_genius_bonus,0) + race_rezone_cost) * TblRezone[[#This Row],[Plat/acre*]],0)</f>
        <v>322</v>
      </c>
      <c r="Y135" s="94">
        <f ca="1">TblRezone[[#This Row],[Total acres]]*TblRezone[[#This Row],[Plat/acre]]</f>
        <v>0</v>
      </c>
      <c r="Z135" s="215"/>
      <c r="AA135" s="94">
        <f ca="1">(250+0.6*(TblRezone[[#This Row],[Land]]-250))</f>
        <v>322</v>
      </c>
      <c r="AB135" s="215"/>
      <c r="AC135" s="157">
        <f ca="1">TblConstr[[#This Row],[Facs DB]]</f>
        <v>0</v>
      </c>
    </row>
    <row r="136" spans="1:29" x14ac:dyDescent="0.2">
      <c r="A136" s="214">
        <f ca="1">TblConstr[[#This Row],[Land]]</f>
        <v>370</v>
      </c>
      <c r="B136" s="216">
        <f ca="1">TblConstr[[#This Row],[Plain]]</f>
        <v>20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45820.49999999968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1597694</v>
      </c>
      <c r="W136" s="215"/>
      <c r="X136" s="94">
        <f ca="1">ROUNDUP( (1-MIN(ROUND(facs_rezone_factor*TblRezone[[#This Row],[Facs]],4),facs_rezone_max) + tech_6_4*TblTech[[#This Row],[6-4]] + tech_10_2*TblTech[[#This Row],[10-2]] - IF(TblMagic[[#This Row],[Active Mechanical Genius]]&gt;0,mech_genius_bonus,0) + race_rezone_cost) * TblRezone[[#This Row],[Plat/acre*]],0)</f>
        <v>322</v>
      </c>
      <c r="Y136" s="94">
        <f ca="1">TblRezone[[#This Row],[Total acres]]*TblRezone[[#This Row],[Plat/acre]]</f>
        <v>0</v>
      </c>
      <c r="Z136" s="215"/>
      <c r="AA136" s="94">
        <f ca="1">(250+0.6*(TblRezone[[#This Row],[Land]]-250))</f>
        <v>322</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$J4=49</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1144</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1141</v>
      </c>
      <c r="CM3" s="135" t="s">
        <v>1140</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300</v>
      </c>
      <c r="C4" s="157">
        <f ca="1">TblPop[[#This Row],[Military%]]</f>
        <v>4.878048780487805E-2</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9150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370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45815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45815</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0.40540540540540543</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2.0270270270270272</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2.0270270270270272</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1</v>
      </c>
      <c r="CM4" s="251">
        <f>IF(TblMagic[[#This Row],[Active Demonic Pact]]&gt;0,MIN(TblMili[[#This Row],[Unit 1]],TblMili[[#This Row],[Unit 4]])*demonic_pact_oppair,0)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-0.95135135135135052</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4.3986486486486491</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5.405405405405405E-2</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359</v>
      </c>
      <c r="C5" s="157">
        <f ca="1">TblPop[[#This Row],[Military%]]</f>
        <v>5.7412442027826645E-2</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9150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359</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359</v>
      </c>
      <c r="X5" s="247">
        <f ca="1">TblConstr[[#This Row],[Land]]</f>
        <v>370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5" s="154"/>
      <c r="AC5" s="180">
        <f ca="1">(TblConstr[[#This Row],[Tot Smi]]+TblConstr[[#This Row],[Dest Smi]])/(TblConstr[[#This Row],[Land]]-TblExplore[[#This Row],[Land Bonus]]*20)</f>
        <v>0</v>
      </c>
      <c r="AD5" s="137"/>
      <c r="AE5" s="246">
        <f>TblMili[[#This Row],[Hour]]</f>
        <v>2</v>
      </c>
      <c r="AF5" s="138">
        <f ca="1">TblExplore[[#This Row],[Time]]</f>
        <v>45815.041666666664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138045</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45815.041666666664</v>
      </c>
      <c r="AW5" s="94">
        <f ca="1">TblMili[[#This Row],[Draftees]]</f>
        <v>359</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0.40540540540540543</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2.0270270270270272</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2.0270270270270272</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1</v>
      </c>
      <c r="CM5" s="251">
        <f ca="1">IF(TblMagic[[#This Row],[Active Demonic Pact]]&gt;0,MIN(TblMili[[#This Row],[Unit 1]],TblMili[[#This Row],[Unit 4]])*demonic_pact_oppair,0)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-0.95135135135135052</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4.3986486486486491</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5.405405405405405E-2</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418</v>
      </c>
      <c r="C6" s="157">
        <f ca="1">TblPop[[#This Row],[Military%]]</f>
        <v>6.6847913001759157E-2</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9150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418</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418</v>
      </c>
      <c r="X6" s="247">
        <f ca="1">TblConstr[[#This Row],[Land]]</f>
        <v>370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418</v>
      </c>
      <c r="AB6" s="154"/>
      <c r="AC6" s="180">
        <f ca="1">(TblConstr[[#This Row],[Tot Smi]]+TblConstr[[#This Row],[Dest Smi]])/(TblConstr[[#This Row],[Land]]-TblExplore[[#This Row],[Land Bonus]]*20)</f>
        <v>0</v>
      </c>
      <c r="AD6" s="137"/>
      <c r="AE6" s="246">
        <f>TblMili[[#This Row],[Hour]]</f>
        <v>3</v>
      </c>
      <c r="AF6" s="138">
        <f ca="1">TblExplore[[#This Row],[Time]]</f>
        <v>45815.083333333328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156208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45815.083333333328</v>
      </c>
      <c r="AW6" s="94">
        <f ca="1">TblMili[[#This Row],[Draftees]]</f>
        <v>418</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0.40540540540540543</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2.0270270270270272</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2.0270270270270272</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1</v>
      </c>
      <c r="CM6" s="251">
        <f ca="1">IF(TblMagic[[#This Row],[Active Demonic Pact]]&gt;0,MIN(TblMili[[#This Row],[Unit 1]],TblMili[[#This Row],[Unit 4]])*demonic_pact_oppair,0)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-0.95135135135135052</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4.3986486486486491</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5.405405405405405E-2</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476</v>
      </c>
      <c r="C7" s="157">
        <f ca="1">TblPop[[#This Row],[Military%]]</f>
        <v>7.612346073884535E-2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9150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476</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476</v>
      </c>
      <c r="X7" s="247">
        <f ca="1">TblConstr[[#This Row],[Land]]</f>
        <v>370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476</v>
      </c>
      <c r="AB7" s="154"/>
      <c r="AC7" s="180">
        <f ca="1">(TblConstr[[#This Row],[Tot Smi]]+TblConstr[[#This Row],[Dest Smi]])/(TblConstr[[#This Row],[Land]]-TblExplore[[#This Row],[Land Bonus]]*20)</f>
        <v>0</v>
      </c>
      <c r="AD7" s="137"/>
      <c r="AE7" s="246">
        <f>TblMili[[#This Row],[Hour]]</f>
        <v>4</v>
      </c>
      <c r="AF7" s="138">
        <f ca="1">TblExplore[[#This Row],[Time]]</f>
        <v>45815.124999999993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174212</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45815.124999999993</v>
      </c>
      <c r="AW7" s="94">
        <f ca="1">TblMili[[#This Row],[Draftees]]</f>
        <v>476</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0.40540540540540543</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2.0270270270270272</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2.0270270270270272</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1</v>
      </c>
      <c r="CM7" s="251">
        <f ca="1">IF(TblMagic[[#This Row],[Active Demonic Pact]]&gt;0,MIN(TblMili[[#This Row],[Unit 1]],TblMili[[#This Row],[Unit 4]])*demonic_pact_oppair,0)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-0.95135135135135052</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4.3986486486486491</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5.405405405405405E-2</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534</v>
      </c>
      <c r="C8" s="157">
        <f ca="1">TblPop[[#This Row],[Military%]]</f>
        <v>8.5399008475931557E-2</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9150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534</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534</v>
      </c>
      <c r="X8" s="247">
        <f ca="1">TblConstr[[#This Row],[Land]]</f>
        <v>370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8" s="154"/>
      <c r="AC8" s="180">
        <f ca="1">(TblConstr[[#This Row],[Tot Smi]]+TblConstr[[#This Row],[Dest Smi]])/(TblConstr[[#This Row],[Land]]-TblExplore[[#This Row],[Land Bonus]]*20)</f>
        <v>0</v>
      </c>
      <c r="AD8" s="137"/>
      <c r="AE8" s="246">
        <f>TblMili[[#This Row],[Hour]]</f>
        <v>5</v>
      </c>
      <c r="AF8" s="138">
        <f ca="1">TblExplore[[#This Row],[Time]]</f>
        <v>45815.166666666657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192059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45815.166666666657</v>
      </c>
      <c r="AW8" s="94">
        <f ca="1">TblMili[[#This Row],[Draftees]]</f>
        <v>534</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0.40540540540540543</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2.0270270270270272</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2.0270270270270272</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1</v>
      </c>
      <c r="CM8" s="251">
        <f ca="1">IF(TblMagic[[#This Row],[Active Demonic Pact]]&gt;0,MIN(TblMili[[#This Row],[Unit 1]],TblMili[[#This Row],[Unit 4]])*demonic_pact_oppair,0)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-0.95135135135135052</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4.3986486486486491</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5.405405405405405E-2</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591</v>
      </c>
      <c r="C9" s="157">
        <f ca="1">TblPop[[#This Row],[Military%]]</f>
        <v>9.4514632976171437E-2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9150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591</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591</v>
      </c>
      <c r="X9" s="247">
        <f ca="1">TblConstr[[#This Row],[Land]]</f>
        <v>370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591</v>
      </c>
      <c r="AB9" s="154"/>
      <c r="AC9" s="180">
        <f ca="1">(TblConstr[[#This Row],[Tot Smi]]+TblConstr[[#This Row],[Dest Smi]])/(TblConstr[[#This Row],[Land]]-TblExplore[[#This Row],[Land Bonus]]*20)</f>
        <v>0</v>
      </c>
      <c r="AD9" s="137"/>
      <c r="AE9" s="246">
        <f>TblMili[[#This Row],[Hour]]</f>
        <v>6</v>
      </c>
      <c r="AF9" s="138">
        <f ca="1">TblExplore[[#This Row],[Time]]</f>
        <v>45815.208333333321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209750</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45815.208333333321</v>
      </c>
      <c r="AW9" s="94">
        <f ca="1">TblMili[[#This Row],[Draftees]]</f>
        <v>591</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0.40540540540540543</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2.0270270270270272</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2.0270270270270272</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1</v>
      </c>
      <c r="CM9" s="251">
        <f ca="1">IF(TblMagic[[#This Row],[Active Demonic Pact]]&gt;0,MIN(TblMili[[#This Row],[Unit 1]],TblMili[[#This Row],[Unit 4]])*demonic_pact_oppair,0)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-0.95135135135135052</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4.3986486486486491</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5.405405405405405E-2</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648</v>
      </c>
      <c r="C10" s="157">
        <f ca="1">TblPop[[#This Row],[Military%]]</f>
        <v>0.10363025747641132</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9150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648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648</v>
      </c>
      <c r="X10" s="247">
        <f ca="1">TblConstr[[#This Row],[Land]]</f>
        <v>370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648</v>
      </c>
      <c r="AB10" s="154"/>
      <c r="AC10" s="180">
        <f ca="1">(TblConstr[[#This Row],[Tot Smi]]+TblConstr[[#This Row],[Dest Smi]])/(TblConstr[[#This Row],[Land]]-TblExplore[[#This Row],[Land Bonus]]*20)</f>
        <v>0</v>
      </c>
      <c r="AD10" s="137"/>
      <c r="AE10" s="246">
        <f>TblMili[[#This Row],[Hour]]</f>
        <v>7</v>
      </c>
      <c r="AF10" s="138">
        <f ca="1">TblExplore[[#This Row],[Time]]</f>
        <v>45815.249999999985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227287</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45815.249999999985</v>
      </c>
      <c r="AW10" s="94">
        <f ca="1">TblMili[[#This Row],[Draftees]]</f>
        <v>648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0.40540540540540543</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2.0270270270270272</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2.0270270270270272</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1</v>
      </c>
      <c r="CM10" s="251">
        <f ca="1">IF(TblMagic[[#This Row],[Active Demonic Pact]]&gt;0,MIN(TblMili[[#This Row],[Unit 1]],TblMili[[#This Row],[Unit 4]])*demonic_pact_oppair,0)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-0.95135135135135052</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4.3986486486486491</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5.405405405405405E-2</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704</v>
      </c>
      <c r="C11" s="157">
        <f ca="1">TblPop[[#This Row],[Military%]]</f>
        <v>0.1125859587398049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9150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704</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704</v>
      </c>
      <c r="X11" s="247">
        <f ca="1">TblConstr[[#This Row],[Land]]</f>
        <v>370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704</v>
      </c>
      <c r="AB11" s="154"/>
      <c r="AC11" s="180">
        <f ca="1">(TblConstr[[#This Row],[Tot Smi]]+TblConstr[[#This Row],[Dest Smi]])/(TblConstr[[#This Row],[Land]]-TblExplore[[#This Row],[Land Bonus]]*20)</f>
        <v>0</v>
      </c>
      <c r="AD11" s="137"/>
      <c r="AE11" s="246">
        <f>TblMili[[#This Row],[Hour]]</f>
        <v>8</v>
      </c>
      <c r="AF11" s="138">
        <f ca="1">TblExplore[[#This Row],[Time]]</f>
        <v>45815.29166666665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244670</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45815.29166666665</v>
      </c>
      <c r="AW11" s="94">
        <f ca="1">TblMili[[#This Row],[Draftees]]</f>
        <v>704</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0.40540540540540543</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2.0270270270270272</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2.0270270270270272</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1</v>
      </c>
      <c r="CM11" s="251">
        <f ca="1">IF(TblMagic[[#This Row],[Active Demonic Pact]]&gt;0,MIN(TblMili[[#This Row],[Unit 1]],TblMili[[#This Row],[Unit 4]])*demonic_pact_oppair,0)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-0.95135135135135052</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4.3986486486486491</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5.405405405405405E-2</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759</v>
      </c>
      <c r="C12" s="157">
        <f ca="1">TblPop[[#This Row],[Military%]]</f>
        <v>0.12138173676635215</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9150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759</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759</v>
      </c>
      <c r="X12" s="247">
        <f ca="1">TblConstr[[#This Row],[Land]]</f>
        <v>370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2" s="154"/>
      <c r="AC12" s="180">
        <f ca="1">(TblConstr[[#This Row],[Tot Smi]]+TblConstr[[#This Row],[Dest Smi]])/(TblConstr[[#This Row],[Land]]-TblExplore[[#This Row],[Land Bonus]]*20)</f>
        <v>0</v>
      </c>
      <c r="AD12" s="137"/>
      <c r="AE12" s="246">
        <f>TblMili[[#This Row],[Hour]]</f>
        <v>9</v>
      </c>
      <c r="AF12" s="138">
        <f ca="1">TblExplore[[#This Row],[Time]]</f>
        <v>45815.333333333314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261902</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45815.333333333314</v>
      </c>
      <c r="AW12" s="94">
        <f ca="1">TblMili[[#This Row],[Draftees]]</f>
        <v>759</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0.40540540540540543</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2.0270270270270272</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2.0270270270270272</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1</v>
      </c>
      <c r="CM12" s="251">
        <f ca="1">IF(TblMagic[[#This Row],[Active Demonic Pact]]&gt;0,MIN(TblMili[[#This Row],[Unit 1]],TblMili[[#This Row],[Unit 4]])*demonic_pact_oppair,0)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-0.95135135135135052</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4.3986486486486491</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5.405405405405405E-2</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814</v>
      </c>
      <c r="C13" s="157">
        <f ca="1">TblPop[[#This Row],[Military%]]</f>
        <v>0.13017751479289941</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9150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814</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814</v>
      </c>
      <c r="X13" s="247">
        <f ca="1">TblConstr[[#This Row],[Land]]</f>
        <v>370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814</v>
      </c>
      <c r="AB13" s="154"/>
      <c r="AC13" s="180">
        <f ca="1">(TblConstr[[#This Row],[Tot Smi]]+TblConstr[[#This Row],[Dest Smi]])/(TblConstr[[#This Row],[Land]]-TblExplore[[#This Row],[Land Bonus]]*20)</f>
        <v>0</v>
      </c>
      <c r="AD13" s="137"/>
      <c r="AE13" s="246">
        <f>TblMili[[#This Row],[Hour]]</f>
        <v>10</v>
      </c>
      <c r="AF13" s="138">
        <f ca="1">TblExplore[[#This Row],[Time]]</f>
        <v>45815.374999999978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278985</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45815.374999999978</v>
      </c>
      <c r="AW13" s="94">
        <f ca="1">TblMili[[#This Row],[Draftees]]</f>
        <v>814</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0.40540540540540543</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2.0270270270270272</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2.0270270270270272</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1</v>
      </c>
      <c r="CM13" s="251">
        <f ca="1">IF(TblMagic[[#This Row],[Active Demonic Pact]]&gt;0,MIN(TblMili[[#This Row],[Unit 1]],TblMili[[#This Row],[Unit 4]])*demonic_pact_oppair,0)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-0.95135135135135052</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4.3986486486486491</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5.405405405405405E-2</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868</v>
      </c>
      <c r="C14" s="157">
        <f ca="1">TblPop[[#This Row],[Military%]]</f>
        <v>0.13881336958260035</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9150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868</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868</v>
      </c>
      <c r="X14" s="247">
        <f ca="1">TblConstr[[#This Row],[Land]]</f>
        <v>370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868</v>
      </c>
      <c r="AB14" s="154"/>
      <c r="AC14" s="180">
        <f ca="1">(TblConstr[[#This Row],[Tot Smi]]+TblConstr[[#This Row],[Dest Smi]])/(TblConstr[[#This Row],[Land]]-TblExplore[[#This Row],[Land Bonus]]*20)</f>
        <v>0</v>
      </c>
      <c r="AD14" s="137"/>
      <c r="AE14" s="246">
        <f>TblMili[[#This Row],[Hour]]</f>
        <v>11</v>
      </c>
      <c r="AF14" s="138">
        <f ca="1">TblExplore[[#This Row],[Time]]</f>
        <v>45815.416666666642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295920</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45815.416666666642</v>
      </c>
      <c r="AW14" s="94">
        <f ca="1">TblMili[[#This Row],[Draftees]]</f>
        <v>868</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0.40540540540540543</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2.0270270270270272</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2.0270270270270272</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1</v>
      </c>
      <c r="CM14" s="251">
        <f ca="1">IF(TblMagic[[#This Row],[Active Demonic Pact]]&gt;0,MIN(TblMili[[#This Row],[Unit 1]],TblMili[[#This Row],[Unit 4]])*demonic_pact_oppair,0)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-0.95135135135135052</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4.3986486486486491</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5.405405405405405E-2</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922</v>
      </c>
      <c r="C15" s="157">
        <f ca="1">TblPop[[#This Row],[Military%]]</f>
        <v>0.14744922437230129</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9150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922</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922</v>
      </c>
      <c r="X15" s="247">
        <f ca="1">TblConstr[[#This Row],[Land]]</f>
        <v>370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922</v>
      </c>
      <c r="AB15" s="154"/>
      <c r="AC15" s="180">
        <f ca="1">(TblConstr[[#This Row],[Tot Smi]]+TblConstr[[#This Row],[Dest Smi]])/(TblConstr[[#This Row],[Land]]-TblExplore[[#This Row],[Land Bonus]]*20)</f>
        <v>0</v>
      </c>
      <c r="AD15" s="137"/>
      <c r="AE15" s="246">
        <f>TblMili[[#This Row],[Hour]]</f>
        <v>12</v>
      </c>
      <c r="AF15" s="138">
        <f ca="1">TblExplore[[#This Row],[Time]]</f>
        <v>45815.458333333307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312709</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45815.458333333307</v>
      </c>
      <c r="AW15" s="94">
        <f ca="1">TblMili[[#This Row],[Draftees]]</f>
        <v>922</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0.40540540540540543</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2.0270270270270272</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2.0270270270270272</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1</v>
      </c>
      <c r="CM15" s="251">
        <f ca="1">IF(TblMagic[[#This Row],[Active Demonic Pact]]&gt;0,MIN(TblMili[[#This Row],[Unit 1]],TblMili[[#This Row],[Unit 4]])*demonic_pact_oppair,0)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-0.95135135135135052</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4.3986486486486491</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5.405405405405405E-2</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975</v>
      </c>
      <c r="C16" s="157">
        <f ca="1">TblPop[[#This Row],[Military%]]</f>
        <v>0.15592515592515593</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9150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975</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975</v>
      </c>
      <c r="X16" s="247">
        <f ca="1">TblConstr[[#This Row],[Land]]</f>
        <v>370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975</v>
      </c>
      <c r="AB16" s="154"/>
      <c r="AC16" s="180">
        <f ca="1">(TblConstr[[#This Row],[Tot Smi]]+TblConstr[[#This Row],[Dest Smi]])/(TblConstr[[#This Row],[Land]]-TblExplore[[#This Row],[Land Bonus]]*20)</f>
        <v>0</v>
      </c>
      <c r="AD16" s="246"/>
      <c r="AE16" s="246">
        <f>TblMili[[#This Row],[Hour]]</f>
        <v>13</v>
      </c>
      <c r="AF16" s="138">
        <f ca="1">TblExplore[[#This Row],[Time]]</f>
        <v>45815.499999999971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329352</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45815.499999999971</v>
      </c>
      <c r="AW16" s="94">
        <f ca="1">TblMili[[#This Row],[Draftees]]</f>
        <v>975</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0.40540540540540543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2.0270270270270272</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2.0270270270270272</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1</v>
      </c>
      <c r="CM16" s="251">
        <f ca="1">IF(TblMagic[[#This Row],[Active Demonic Pact]]&gt;0,MIN(TblMili[[#This Row],[Unit 1]],TblMili[[#This Row],[Unit 4]])*demonic_pact_oppair,0)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-0.95135135135135052</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4.3986486486486491</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5.405405405405405E-2</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1028</v>
      </c>
      <c r="C17" s="157">
        <f ca="1">TblPop[[#This Row],[Military%]]</f>
        <v>0.16440108747801055</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9150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1028</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1028</v>
      </c>
      <c r="X17" s="247">
        <f ca="1">TblConstr[[#This Row],[Land]]</f>
        <v>370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1028</v>
      </c>
      <c r="AB17" s="154"/>
      <c r="AC17" s="180">
        <f ca="1">(TblConstr[[#This Row],[Tot Smi]]+TblConstr[[#This Row],[Dest Smi]])/(TblConstr[[#This Row],[Land]]-TblExplore[[#This Row],[Land Bonus]]*20)</f>
        <v>0</v>
      </c>
      <c r="AD17" s="137"/>
      <c r="AE17" s="246">
        <f>TblMili[[#This Row],[Hour]]</f>
        <v>14</v>
      </c>
      <c r="AF17" s="138">
        <f ca="1">TblExplore[[#This Row],[Time]]</f>
        <v>45815.541666666635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345852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45815.541666666635</v>
      </c>
      <c r="AW17" s="94">
        <f ca="1">TblMili[[#This Row],[Draftees]]</f>
        <v>1028</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0.40540540540540543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2.0270270270270272</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2.0270270270270272</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1</v>
      </c>
      <c r="CM17" s="251">
        <f ca="1">IF(TblMagic[[#This Row],[Active Demonic Pact]]&gt;0,MIN(TblMili[[#This Row],[Unit 1]],TblMili[[#This Row],[Unit 4]])*demonic_pact_oppair,0)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-0.95135135135135052</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4.3986486486486491</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5.405405405405405E-2</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1080</v>
      </c>
      <c r="C18" s="157">
        <f ca="1">TblPop[[#This Row],[Military%]]</f>
        <v>0.17271709579401887</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9150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1080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1080</v>
      </c>
      <c r="X18" s="247">
        <f ca="1">TblConstr[[#This Row],[Land]]</f>
        <v>370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1080</v>
      </c>
      <c r="AB18" s="154"/>
      <c r="AC18" s="180">
        <f ca="1">(TblConstr[[#This Row],[Tot Smi]]+TblConstr[[#This Row],[Dest Smi]])/(TblConstr[[#This Row],[Land]]-TblExplore[[#This Row],[Land Bonus]]*20)</f>
        <v>0</v>
      </c>
      <c r="AD18" s="137"/>
      <c r="AE18" s="246">
        <f>TblMili[[#This Row],[Hour]]</f>
        <v>15</v>
      </c>
      <c r="AF18" s="138">
        <f ca="1">TblExplore[[#This Row],[Time]]</f>
        <v>45815.583333333299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362209</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45815.583333333299</v>
      </c>
      <c r="AW18" s="94">
        <f ca="1">TblMili[[#This Row],[Draftees]]</f>
        <v>1080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0.40540540540540543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2.0270270270270272</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2.0270270270270272</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1</v>
      </c>
      <c r="CM18" s="251">
        <f ca="1">IF(TblMagic[[#This Row],[Active Demonic Pact]]&gt;0,MIN(TblMili[[#This Row],[Unit 1]],TblMili[[#This Row],[Unit 4]])*demonic_pact_oppair,0)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-0.95135135135135052</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4.3986486486486491</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5.405405405405405E-2</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1132</v>
      </c>
      <c r="C19" s="157">
        <f ca="1">TblPop[[#This Row],[Military%]]</f>
        <v>0.18103310411002718</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9150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1132</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1132</v>
      </c>
      <c r="X19" s="247">
        <f ca="1">TblConstr[[#This Row],[Land]]</f>
        <v>370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1132</v>
      </c>
      <c r="AB19" s="154"/>
      <c r="AC19" s="180">
        <f ca="1">(TblConstr[[#This Row],[Tot Smi]]+TblConstr[[#This Row],[Dest Smi]])/(TblConstr[[#This Row],[Land]]-TblExplore[[#This Row],[Land Bonus]]*20)</f>
        <v>0</v>
      </c>
      <c r="AD19" s="137"/>
      <c r="AE19" s="246">
        <f>TblMili[[#This Row],[Hour]]</f>
        <v>16</v>
      </c>
      <c r="AF19" s="138">
        <f ca="1">TblExplore[[#This Row],[Time]]</f>
        <v>45815.624999999964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378426</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45815.624999999964</v>
      </c>
      <c r="AW19" s="94">
        <f ca="1">TblMili[[#This Row],[Draftees]]</f>
        <v>1132</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0.40540540540540543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2.0270270270270272</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2.0270270270270272</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1</v>
      </c>
      <c r="CM19" s="251">
        <f ca="1">IF(TblMagic[[#This Row],[Active Demonic Pact]]&gt;0,MIN(TblMili[[#This Row],[Unit 1]],TblMili[[#This Row],[Unit 4]])*demonic_pact_oppair,0)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-0.95135135135135052</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4.3986486486486491</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5.405405405405405E-2</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1183</v>
      </c>
      <c r="C20" s="157">
        <f ca="1">TblPop[[#This Row],[Military%]]</f>
        <v>0.1891891891891892</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9150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1183</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1183</v>
      </c>
      <c r="X20" s="247">
        <f ca="1">TblConstr[[#This Row],[Land]]</f>
        <v>370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1183</v>
      </c>
      <c r="AB20" s="154"/>
      <c r="AC20" s="180">
        <f ca="1">(TblConstr[[#This Row],[Tot Smi]]+TblConstr[[#This Row],[Dest Smi]])/(TblConstr[[#This Row],[Land]]-TblExplore[[#This Row],[Land Bonus]]*20)</f>
        <v>0</v>
      </c>
      <c r="AD20" s="137"/>
      <c r="AE20" s="246">
        <f>TblMili[[#This Row],[Hour]]</f>
        <v>17</v>
      </c>
      <c r="AF20" s="138">
        <f ca="1">TblExplore[[#This Row],[Time]]</f>
        <v>45815.666666666628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394502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45815.666666666628</v>
      </c>
      <c r="AW20" s="94">
        <f ca="1">TblMili[[#This Row],[Draftees]]</f>
        <v>1183</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0.40540540540540543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2.0270270270270272</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2.0270270270270272</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1</v>
      </c>
      <c r="CM20" s="251">
        <f ca="1">IF(TblMagic[[#This Row],[Active Demonic Pact]]&gt;0,MIN(TblMili[[#This Row],[Unit 1]],TblMili[[#This Row],[Unit 4]])*demonic_pact_oppair,0)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-0.95135135135135052</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4.3986486486486491</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5.405405405405405E-2</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1234</v>
      </c>
      <c r="C21" s="157">
        <f ca="1">TblPop[[#This Row],[Military%]]</f>
        <v>0.19734527426835119</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9150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1234</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1234</v>
      </c>
      <c r="X21" s="247">
        <f ca="1">TblConstr[[#This Row],[Land]]</f>
        <v>370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1234</v>
      </c>
      <c r="AB21" s="154"/>
      <c r="AC21" s="180">
        <f ca="1">(TblConstr[[#This Row],[Tot Smi]]+TblConstr[[#This Row],[Dest Smi]])/(TblConstr[[#This Row],[Land]]-TblExplore[[#This Row],[Land Bonus]]*20)</f>
        <v>0</v>
      </c>
      <c r="AD21" s="137"/>
      <c r="AE21" s="246">
        <f>TblMili[[#This Row],[Hour]]</f>
        <v>18</v>
      </c>
      <c r="AF21" s="138">
        <f ca="1">TblExplore[[#This Row],[Time]]</f>
        <v>45815.708333333292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410441</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45815.708333333292</v>
      </c>
      <c r="AW21" s="94">
        <f ca="1">TblMili[[#This Row],[Draftees]]</f>
        <v>1234</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0.40540540540540543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2.0270270270270272</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2.0270270270270272</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1</v>
      </c>
      <c r="CM21" s="251">
        <f ca="1">IF(TblMagic[[#This Row],[Active Demonic Pact]]&gt;0,MIN(TblMili[[#This Row],[Unit 1]],TblMili[[#This Row],[Unit 4]])*demonic_pact_oppair,0)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-0.95135135135135052</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4.3986486486486491</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5.405405405405405E-2</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1284</v>
      </c>
      <c r="C22" s="157">
        <f ca="1">TblPop[[#This Row],[Military%]]</f>
        <v>0.20534143611066688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9150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1284</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1284</v>
      </c>
      <c r="X22" s="247">
        <f ca="1">TblConstr[[#This Row],[Land]]</f>
        <v>370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1284</v>
      </c>
      <c r="AB22" s="154"/>
      <c r="AC22" s="180">
        <f ca="1">(TblConstr[[#This Row],[Tot Smi]]+TblConstr[[#This Row],[Dest Smi]])/(TblConstr[[#This Row],[Land]]-TblExplore[[#This Row],[Land Bonus]]*20)</f>
        <v>0</v>
      </c>
      <c r="AD22" s="137"/>
      <c r="AE22" s="246">
        <f>TblMili[[#This Row],[Hour]]</f>
        <v>19</v>
      </c>
      <c r="AF22" s="138">
        <f ca="1">TblExplore[[#This Row],[Time]]</f>
        <v>45815.749999999956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426242</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45815.749999999956</v>
      </c>
      <c r="AW22" s="94">
        <f ca="1">TblMili[[#This Row],[Draftees]]</f>
        <v>1284</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0.40540540540540543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2.0270270270270272</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2.0270270270270272</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1</v>
      </c>
      <c r="CM22" s="251">
        <f ca="1">IF(TblMagic[[#This Row],[Active Demonic Pact]]&gt;0,MIN(TblMili[[#This Row],[Unit 1]],TblMili[[#This Row],[Unit 4]])*demonic_pact_oppair,0)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-0.95135135135135052</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4.3986486486486491</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5.405405405405405E-2</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1334</v>
      </c>
      <c r="C23" s="157">
        <f ca="1">TblPop[[#This Row],[Military%]]</f>
        <v>0.21333759795298257</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9150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1334</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1334</v>
      </c>
      <c r="X23" s="247">
        <f ca="1">TblConstr[[#This Row],[Land]]</f>
        <v>370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1334</v>
      </c>
      <c r="AB23" s="154"/>
      <c r="AC23" s="180">
        <f ca="1">(TblConstr[[#This Row],[Tot Smi]]+TblConstr[[#This Row],[Dest Smi]])/(TblConstr[[#This Row],[Land]]-TblExplore[[#This Row],[Land Bonus]]*20)</f>
        <v>0</v>
      </c>
      <c r="AD23" s="137"/>
      <c r="AE23" s="246">
        <f>TblMili[[#This Row],[Hour]]</f>
        <v>20</v>
      </c>
      <c r="AF23" s="138">
        <f ca="1">TblExplore[[#This Row],[Time]]</f>
        <v>45815.791666666621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441908</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45815.791666666621</v>
      </c>
      <c r="AW23" s="94">
        <f ca="1">TblMili[[#This Row],[Draftees]]</f>
        <v>1334</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0.40540540540540543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2.0270270270270272</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2.0270270270270272</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1</v>
      </c>
      <c r="CM23" s="251">
        <f ca="1">IF(TblMagic[[#This Row],[Active Demonic Pact]]&gt;0,MIN(TblMili[[#This Row],[Unit 1]],TblMili[[#This Row],[Unit 4]])*demonic_pact_oppair,0)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-0.95135135135135052</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4.3986486486486491</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5.405405405405405E-2</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1383</v>
      </c>
      <c r="C24" s="157">
        <f ca="1">TblPop[[#This Row],[Military%]]</f>
        <v>0.22117383655845194</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9150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1383</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1383</v>
      </c>
      <c r="X24" s="247">
        <f ca="1">TblConstr[[#This Row],[Land]]</f>
        <v>370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1383</v>
      </c>
      <c r="AB24" s="154"/>
      <c r="AC24" s="180">
        <f ca="1">(TblConstr[[#This Row],[Tot Smi]]+TblConstr[[#This Row],[Dest Smi]])/(TblConstr[[#This Row],[Land]]-TblExplore[[#This Row],[Land Bonus]]*20)</f>
        <v>0</v>
      </c>
      <c r="AD24" s="137"/>
      <c r="AE24" s="246">
        <f>TblMili[[#This Row],[Hour]]</f>
        <v>21</v>
      </c>
      <c r="AF24" s="138">
        <f ca="1">TblExplore[[#This Row],[Time]]</f>
        <v>45815.833333333285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457439</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45815.833333333285</v>
      </c>
      <c r="AW24" s="94">
        <f ca="1">TblMili[[#This Row],[Draftees]]</f>
        <v>1383</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0.40540540540540543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2.0270270270270272</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2.0270270270270272</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1</v>
      </c>
      <c r="CM24" s="251">
        <f ca="1">IF(TblMagic[[#This Row],[Active Demonic Pact]]&gt;0,MIN(TblMili[[#This Row],[Unit 1]],TblMili[[#This Row],[Unit 4]])*demonic_pact_oppair,0)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-0.95135135135135052</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4.3986486486486491</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5.405405405405405E-2</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1432</v>
      </c>
      <c r="C25" s="157">
        <f ca="1">TblPop[[#This Row],[Military%]]</f>
        <v>0.22901007516392133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9150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1432</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1432</v>
      </c>
      <c r="X25" s="247">
        <f ca="1">TblConstr[[#This Row],[Land]]</f>
        <v>370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1432</v>
      </c>
      <c r="AB25" s="154"/>
      <c r="AC25" s="180">
        <f ca="1">(TblConstr[[#This Row],[Tot Smi]]+TblConstr[[#This Row],[Dest Smi]])/(TblConstr[[#This Row],[Land]]-TblExplore[[#This Row],[Land Bonus]]*20)</f>
        <v>0</v>
      </c>
      <c r="AD25" s="137"/>
      <c r="AE25" s="246">
        <f>TblMili[[#This Row],[Hour]]</f>
        <v>22</v>
      </c>
      <c r="AF25" s="138">
        <f ca="1">TblExplore[[#This Row],[Time]]</f>
        <v>45815.874999999949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472838</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45815.874999999949</v>
      </c>
      <c r="AW25" s="94">
        <f ca="1">TblMili[[#This Row],[Draftees]]</f>
        <v>1432</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0.40540540540540543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2.0270270270270272</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2.0270270270270272</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1</v>
      </c>
      <c r="CM25" s="251">
        <f ca="1">IF(TblMagic[[#This Row],[Active Demonic Pact]]&gt;0,MIN(TblMili[[#This Row],[Unit 1]],TblMili[[#This Row],[Unit 4]])*demonic_pact_oppair,0)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-0.95135135135135052</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4.3986486486486491</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5.405405405405405E-2</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1480</v>
      </c>
      <c r="C26" s="157">
        <f ca="1">TblPop[[#This Row],[Military%]]</f>
        <v>0.23668639053254437</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9150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1480</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1480</v>
      </c>
      <c r="X26" s="247">
        <f ca="1">TblConstr[[#This Row],[Land]]</f>
        <v>370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1480</v>
      </c>
      <c r="AB26" s="154"/>
      <c r="AC26" s="180">
        <f ca="1">(TblConstr[[#This Row],[Tot Smi]]+TblConstr[[#This Row],[Dest Smi]])/(TblConstr[[#This Row],[Land]]-TblExplore[[#This Row],[Land Bonus]]*20)</f>
        <v>0</v>
      </c>
      <c r="AD26" s="137"/>
      <c r="AE26" s="246">
        <f>TblMili[[#This Row],[Hour]]</f>
        <v>23</v>
      </c>
      <c r="AF26" s="138">
        <f ca="1">TblExplore[[#This Row],[Time]]</f>
        <v>45815.916666666613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488104</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45815.916666666613</v>
      </c>
      <c r="AW26" s="94">
        <f ca="1">TblMili[[#This Row],[Draftees]]</f>
        <v>1480</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0.40540540540540543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2.0270270270270272</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2.0270270270270272</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1</v>
      </c>
      <c r="CM26" s="251">
        <f ca="1">IF(TblMagic[[#This Row],[Active Demonic Pact]]&gt;0,MIN(TblMili[[#This Row],[Unit 1]],TblMili[[#This Row],[Unit 4]])*demonic_pact_oppair,0)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-0.95135135135135052</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4.3986486486486491</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5.405405405405405E-2</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1528</v>
      </c>
      <c r="C27" s="157">
        <f ca="1">TblPop[[#This Row],[Military%]]</f>
        <v>0.24436270590116743</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9150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1528</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1528</v>
      </c>
      <c r="X27" s="247">
        <f ca="1">TblConstr[[#This Row],[Land]]</f>
        <v>370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1528</v>
      </c>
      <c r="AB27" s="154"/>
      <c r="AC27" s="180">
        <f ca="1">(TblConstr[[#This Row],[Tot Smi]]+TblConstr[[#This Row],[Dest Smi]])/(TblConstr[[#This Row],[Land]]-TblExplore[[#This Row],[Land Bonus]]*20)</f>
        <v>0</v>
      </c>
      <c r="AD27" s="137"/>
      <c r="AE27" s="246">
        <f>TblMili[[#This Row],[Hour]]</f>
        <v>24</v>
      </c>
      <c r="AF27" s="138">
        <f ca="1">TblExplore[[#This Row],[Time]]</f>
        <v>45815.958333333278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503241</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45815.958333333278</v>
      </c>
      <c r="AW27" s="94">
        <f ca="1">TblMili[[#This Row],[Draftees]]</f>
        <v>1528</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0.40540540540540543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2.0270270270270272</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2.0270270270270272</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1</v>
      </c>
      <c r="CM27" s="251">
        <f ca="1">IF(TblMagic[[#This Row],[Active Demonic Pact]]&gt;0,MIN(TblMili[[#This Row],[Unit 1]],TblMili[[#This Row],[Unit 4]])*demonic_pact_oppair,0)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-0.95135135135135052</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4.3986486486486491</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5.405405405405405E-2</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1575</v>
      </c>
      <c r="C28" s="157">
        <f ca="1">TblPop[[#This Row],[Military%]]</f>
        <v>0.25187909803294417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9150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1575</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1575</v>
      </c>
      <c r="X28" s="247">
        <f ca="1">TblConstr[[#This Row],[Land]]</f>
        <v>370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1575</v>
      </c>
      <c r="AB28" s="154"/>
      <c r="AC28" s="180">
        <f ca="1">(TblConstr[[#This Row],[Tot Smi]]+TblConstr[[#This Row],[Dest Smi]])/(TblConstr[[#This Row],[Land]]-TblExplore[[#This Row],[Land Bonus]]*20)</f>
        <v>0</v>
      </c>
      <c r="AD28" s="137"/>
      <c r="AE28" s="246">
        <f>TblMili[[#This Row],[Hour]]</f>
        <v>25</v>
      </c>
      <c r="AF28" s="138">
        <f ca="1">TblExplore[[#This Row],[Time]]</f>
        <v>45815.999999999942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518248</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45815.999999999942</v>
      </c>
      <c r="AW28" s="94">
        <f ca="1">TblMili[[#This Row],[Draftees]]</f>
        <v>1575</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0.40540540540540543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2.0270270270270272</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2.0270270270270272</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1</v>
      </c>
      <c r="CM28" s="251">
        <f ca="1">IF(TblMagic[[#This Row],[Active Demonic Pact]]&gt;0,MIN(TblMili[[#This Row],[Unit 1]],TblMili[[#This Row],[Unit 4]])*demonic_pact_oppair,0)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-0.95135135135135052</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4.3986486486486491</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5.405405405405405E-2</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1622</v>
      </c>
      <c r="C29" s="157">
        <f ca="1">TblPop[[#This Row],[Military%]]</f>
        <v>0.25939549016472091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9150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1622</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1622</v>
      </c>
      <c r="X29" s="247">
        <f ca="1">TblConstr[[#This Row],[Land]]</f>
        <v>370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1622</v>
      </c>
      <c r="AB29" s="154"/>
      <c r="AC29" s="180">
        <f ca="1">(TblConstr[[#This Row],[Tot Smi]]+TblConstr[[#This Row],[Dest Smi]])/(TblConstr[[#This Row],[Land]]-TblExplore[[#This Row],[Land Bonus]]*20)</f>
        <v>0</v>
      </c>
      <c r="AD29" s="137"/>
      <c r="AE29" s="246">
        <f>TblMili[[#This Row],[Hour]]</f>
        <v>26</v>
      </c>
      <c r="AF29" s="138">
        <f ca="1">TblExplore[[#This Row],[Time]]</f>
        <v>45816.041666666606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533128</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45816.041666666606</v>
      </c>
      <c r="AW29" s="94">
        <f ca="1">TblMili[[#This Row],[Draftees]]</f>
        <v>1622</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0.40540540540540543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2.0270270270270272</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2.0270270270270272</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1</v>
      </c>
      <c r="CM29" s="251">
        <f ca="1">IF(TblMagic[[#This Row],[Active Demonic Pact]]&gt;0,MIN(TblMili[[#This Row],[Unit 1]],TblMili[[#This Row],[Unit 4]])*demonic_pact_oppair,0)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-0.95135135135135052</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4.3986486486486491</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5.405405405405405E-2</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1668</v>
      </c>
      <c r="C30" s="157">
        <f ca="1">TblPop[[#This Row],[Military%]]</f>
        <v>0.26675195905965138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9150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1668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1668</v>
      </c>
      <c r="X30" s="247">
        <f ca="1">TblConstr[[#This Row],[Land]]</f>
        <v>370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1668</v>
      </c>
      <c r="AB30" s="154"/>
      <c r="AC30" s="180">
        <f ca="1">(TblConstr[[#This Row],[Tot Smi]]+TblConstr[[#This Row],[Dest Smi]])/(TblConstr[[#This Row],[Land]]-TblExplore[[#This Row],[Land Bonus]]*20)</f>
        <v>0</v>
      </c>
      <c r="AD30" s="137"/>
      <c r="AE30" s="246">
        <f>TblMili[[#This Row],[Hour]]</f>
        <v>27</v>
      </c>
      <c r="AF30" s="138">
        <f ca="1">TblExplore[[#This Row],[Time]]</f>
        <v>45816.08333333327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547881</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45816.08333333327</v>
      </c>
      <c r="AW30" s="94">
        <f ca="1">TblMili[[#This Row],[Draftees]]</f>
        <v>1668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0.40540540540540543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2.0270270270270272</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2.0270270270270272</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1</v>
      </c>
      <c r="CM30" s="251">
        <f ca="1">IF(TblMagic[[#This Row],[Active Demonic Pact]]&gt;0,MIN(TblMili[[#This Row],[Unit 1]],TblMili[[#This Row],[Unit 4]])*demonic_pact_oppair,0)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-0.95135135135135052</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4.3986486486486491</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5.405405405405405E-2</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1714</v>
      </c>
      <c r="C31" s="157">
        <f ca="1">TblPop[[#This Row],[Military%]]</f>
        <v>0.27410842795458179</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9150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1714</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1714</v>
      </c>
      <c r="X31" s="247">
        <f ca="1">TblConstr[[#This Row],[Land]]</f>
        <v>370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1714</v>
      </c>
      <c r="AB31" s="154"/>
      <c r="AC31" s="180">
        <f ca="1">(TblConstr[[#This Row],[Tot Smi]]+TblConstr[[#This Row],[Dest Smi]])/(TblConstr[[#This Row],[Land]]-TblExplore[[#This Row],[Land Bonus]]*20)</f>
        <v>0</v>
      </c>
      <c r="AD31" s="137"/>
      <c r="AE31" s="246">
        <f>TblMili[[#This Row],[Hour]]</f>
        <v>28</v>
      </c>
      <c r="AF31" s="138">
        <f ca="1">TblExplore[[#This Row],[Time]]</f>
        <v>45816.124999999935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562510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45816.124999999935</v>
      </c>
      <c r="AW31" s="94">
        <f ca="1">TblMili[[#This Row],[Draftees]]</f>
        <v>1714</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0.40540540540540543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2.0270270270270272</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2.0270270270270272</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1</v>
      </c>
      <c r="CM31" s="251">
        <f ca="1">IF(TblMagic[[#This Row],[Active Demonic Pact]]&gt;0,MIN(TblMili[[#This Row],[Unit 1]],TblMili[[#This Row],[Unit 4]])*demonic_pact_oppair,0)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-0.95135135135135052</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4.3986486486486491</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5.405405405405405E-2</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1759</v>
      </c>
      <c r="C32" s="157">
        <f ca="1">TblPop[[#This Row],[Military%]]</f>
        <v>0.28130497361266593</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9150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1759</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1759</v>
      </c>
      <c r="X32" s="247">
        <f ca="1">TblConstr[[#This Row],[Land]]</f>
        <v>370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1759</v>
      </c>
      <c r="AB32" s="154"/>
      <c r="AC32" s="180">
        <f ca="1">(TblConstr[[#This Row],[Tot Smi]]+TblConstr[[#This Row],[Dest Smi]])/(TblConstr[[#This Row],[Land]]-TblExplore[[#This Row],[Land Bonus]]*20)</f>
        <v>0</v>
      </c>
      <c r="AD32" s="137"/>
      <c r="AE32" s="246">
        <f>TblMili[[#This Row],[Hour]]</f>
        <v>29</v>
      </c>
      <c r="AF32" s="138">
        <f ca="1">TblExplore[[#This Row],[Time]]</f>
        <v>45816.166666666599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577015</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45816.166666666599</v>
      </c>
      <c r="AW32" s="94">
        <f ca="1">TblMili[[#This Row],[Draftees]]</f>
        <v>1759</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0.40540540540540543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2.0270270270270272</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2.0270270270270272</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1</v>
      </c>
      <c r="CM32" s="251">
        <f ca="1">IF(TblMagic[[#This Row],[Active Demonic Pact]]&gt;0,MIN(TblMili[[#This Row],[Unit 1]],TblMili[[#This Row],[Unit 4]])*demonic_pact_oppair,0)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-0.95135135135135052</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4.3986486486486491</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5.405405405405405E-2</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1804</v>
      </c>
      <c r="C33" s="157">
        <f ca="1">TblPop[[#This Row],[Military%]]</f>
        <v>0.28850151927075002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9150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1804</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1804</v>
      </c>
      <c r="X33" s="247">
        <f ca="1">TblConstr[[#This Row],[Land]]</f>
        <v>370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1804</v>
      </c>
      <c r="AB33" s="154"/>
      <c r="AC33" s="180">
        <f ca="1">(TblConstr[[#This Row],[Tot Smi]]+TblConstr[[#This Row],[Dest Smi]])/(TblConstr[[#This Row],[Land]]-TblExplore[[#This Row],[Land Bonus]]*20)</f>
        <v>0</v>
      </c>
      <c r="AD33" s="137"/>
      <c r="AE33" s="246">
        <f>TblMili[[#This Row],[Hour]]</f>
        <v>30</v>
      </c>
      <c r="AF33" s="138">
        <f ca="1">TblExplore[[#This Row],[Time]]</f>
        <v>45816.208333333263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591398</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45816.208333333263</v>
      </c>
      <c r="AW33" s="94">
        <f ca="1">TblMili[[#This Row],[Draftees]]</f>
        <v>1804</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0.40540540540540543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2.0270270270270272</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2.0270270270270272</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1</v>
      </c>
      <c r="CM33" s="251">
        <f ca="1">IF(TblMagic[[#This Row],[Active Demonic Pact]]&gt;0,MIN(TblMili[[#This Row],[Unit 1]],TblMili[[#This Row],[Unit 4]])*demonic_pact_oppair,0)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-0.95135135135135052</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4.3986486486486491</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5.405405405405405E-2</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1848</v>
      </c>
      <c r="C34" s="157">
        <f ca="1">TblPop[[#This Row],[Military%]]</f>
        <v>0.29553814169198783</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9150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1848</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1848</v>
      </c>
      <c r="X34" s="247">
        <f ca="1">TblConstr[[#This Row],[Land]]</f>
        <v>370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1848</v>
      </c>
      <c r="AB34" s="154"/>
      <c r="AC34" s="180">
        <f ca="1">(TblConstr[[#This Row],[Tot Smi]]+TblConstr[[#This Row],[Dest Smi]])/(TblConstr[[#This Row],[Land]]-TblExplore[[#This Row],[Land Bonus]]*20)</f>
        <v>0</v>
      </c>
      <c r="AD34" s="137"/>
      <c r="AE34" s="246">
        <f>TblMili[[#This Row],[Hour]]</f>
        <v>31</v>
      </c>
      <c r="AF34" s="138">
        <f ca="1">TblExplore[[#This Row],[Time]]</f>
        <v>45816.249999999927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605660</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45816.249999999927</v>
      </c>
      <c r="AW34" s="94">
        <f ca="1">TblMili[[#This Row],[Draftees]]</f>
        <v>1848</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0.40540540540540543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2.0270270270270272</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2.0270270270270272</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1</v>
      </c>
      <c r="CM34" s="251">
        <f ca="1">IF(TblMagic[[#This Row],[Active Demonic Pact]]&gt;0,MIN(TblMili[[#This Row],[Unit 1]],TblMili[[#This Row],[Unit 4]])*demonic_pact_oppair,0)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-0.95135135135135052</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4.3986486486486491</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5.405405405405405E-2</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1892</v>
      </c>
      <c r="C35" s="157">
        <f ca="1">TblPop[[#This Row],[Military%]]</f>
        <v>0.30257476411322565</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9150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1892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1892</v>
      </c>
      <c r="X35" s="247">
        <f ca="1">TblConstr[[#This Row],[Land]]</f>
        <v>370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1892</v>
      </c>
      <c r="AB35" s="154"/>
      <c r="AC35" s="180">
        <f ca="1">(TblConstr[[#This Row],[Tot Smi]]+TblConstr[[#This Row],[Dest Smi]])/(TblConstr[[#This Row],[Land]]-TblExplore[[#This Row],[Land Bonus]]*20)</f>
        <v>0</v>
      </c>
      <c r="AD35" s="137"/>
      <c r="AE35" s="246">
        <f>TblMili[[#This Row],[Hour]]</f>
        <v>32</v>
      </c>
      <c r="AF35" s="138">
        <f ca="1">TblExplore[[#This Row],[Time]]</f>
        <v>45816.291666666591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619803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45816.291666666591</v>
      </c>
      <c r="AW35" s="94">
        <f ca="1">TblMili[[#This Row],[Draftees]]</f>
        <v>1892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0.40540540540540543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2.0270270270270272</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2.0270270270270272</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1</v>
      </c>
      <c r="CM35" s="251">
        <f ca="1">IF(TblMagic[[#This Row],[Active Demonic Pact]]&gt;0,MIN(TblMili[[#This Row],[Unit 1]],TblMili[[#This Row],[Unit 4]])*demonic_pact_oppair,0)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-0.95135135135135052</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4.3986486486486491</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5.405405405405405E-2</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1936</v>
      </c>
      <c r="C36" s="157">
        <f ca="1">TblPop[[#This Row],[Military%]]</f>
        <v>0.30961138653446346</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9150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1936</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1936</v>
      </c>
      <c r="X36" s="247">
        <f ca="1">TblConstr[[#This Row],[Land]]</f>
        <v>370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1936</v>
      </c>
      <c r="AB36" s="154"/>
      <c r="AC36" s="180">
        <f ca="1">(TblConstr[[#This Row],[Tot Smi]]+TblConstr[[#This Row],[Dest Smi]])/(TblConstr[[#This Row],[Land]]-TblExplore[[#This Row],[Land Bonus]]*20)</f>
        <v>0</v>
      </c>
      <c r="AD36" s="137"/>
      <c r="AE36" s="246">
        <f>TblMili[[#This Row],[Hour]]</f>
        <v>33</v>
      </c>
      <c r="AF36" s="138">
        <f ca="1">TblExplore[[#This Row],[Time]]</f>
        <v>45816.333333333256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633827</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45816.333333333256</v>
      </c>
      <c r="AW36" s="94">
        <f ca="1">TblMili[[#This Row],[Draftees]]</f>
        <v>1936</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0.40540540540540543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2.0270270270270272</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2.0270270270270272</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1</v>
      </c>
      <c r="CM36" s="251">
        <f ca="1">IF(TblMagic[[#This Row],[Active Demonic Pact]]&gt;0,MIN(TblMili[[#This Row],[Unit 1]],TblMili[[#This Row],[Unit 4]])*demonic_pact_oppair,0)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-0.95135135135135052</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4.3986486486486491</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5.405405405405405E-2</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1979</v>
      </c>
      <c r="C37" s="157">
        <f ca="1">TblPop[[#This Row],[Military%]]</f>
        <v>0.31648808571885495</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9150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1979</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1979</v>
      </c>
      <c r="X37" s="247">
        <f ca="1">TblConstr[[#This Row],[Land]]</f>
        <v>370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1979</v>
      </c>
      <c r="AB37" s="154"/>
      <c r="AC37" s="180">
        <f ca="1">(TblConstr[[#This Row],[Tot Smi]]+TblConstr[[#This Row],[Dest Smi]])/(TblConstr[[#This Row],[Land]]-TblExplore[[#This Row],[Land Bonus]]*20)</f>
        <v>0</v>
      </c>
      <c r="AD37" s="137"/>
      <c r="AE37" s="246">
        <f>TblMili[[#This Row],[Hour]]</f>
        <v>34</v>
      </c>
      <c r="AF37" s="138">
        <f ca="1">TblExplore[[#This Row],[Time]]</f>
        <v>45816.37499999992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647732</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45816.37499999992</v>
      </c>
      <c r="AW37" s="94">
        <f ca="1">TblMili[[#This Row],[Draftees]]</f>
        <v>1979</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0.40540540540540543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2.0270270270270272</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2.0270270270270272</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1</v>
      </c>
      <c r="CM37" s="251">
        <f ca="1">IF(TblMagic[[#This Row],[Active Demonic Pact]]&gt;0,MIN(TblMili[[#This Row],[Unit 1]],TblMili[[#This Row],[Unit 4]])*demonic_pact_oppair,0)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-0.95135135135135052</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4.3986486486486491</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5.405405405405405E-2</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2022</v>
      </c>
      <c r="C38" s="157">
        <f ca="1">TblPop[[#This Row],[Military%]]</f>
        <v>0.32336478490324644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9150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2022</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2022</v>
      </c>
      <c r="X38" s="247">
        <f ca="1">TblConstr[[#This Row],[Land]]</f>
        <v>370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2022</v>
      </c>
      <c r="AB38" s="154"/>
      <c r="AC38" s="180">
        <f ca="1">(TblConstr[[#This Row],[Tot Smi]]+TblConstr[[#This Row],[Dest Smi]])/(TblConstr[[#This Row],[Land]]-TblExplore[[#This Row],[Land Bonus]]*20)</f>
        <v>0</v>
      </c>
      <c r="AD38" s="137"/>
      <c r="AE38" s="246">
        <f>TblMili[[#This Row],[Hour]]</f>
        <v>35</v>
      </c>
      <c r="AF38" s="138">
        <f ca="1">TblExplore[[#This Row],[Time]]</f>
        <v>45816.416666666584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661521</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45816.416666666584</v>
      </c>
      <c r="AW38" s="94">
        <f ca="1">TblMili[[#This Row],[Draftees]]</f>
        <v>2022</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0.40540540540540543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2.0270270270270272</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2.0270270270270272</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1</v>
      </c>
      <c r="CM38" s="251">
        <f ca="1">IF(TblMagic[[#This Row],[Active Demonic Pact]]&gt;0,MIN(TblMili[[#This Row],[Unit 1]],TblMili[[#This Row],[Unit 4]])*demonic_pact_oppair,0)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-0.95135135135135052</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4.3986486486486491</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5.405405405405405E-2</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2064</v>
      </c>
      <c r="C39" s="157">
        <f ca="1">TblPop[[#This Row],[Military%]]</f>
        <v>0.3300815608507916</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9150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2064</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2064</v>
      </c>
      <c r="X39" s="247">
        <f ca="1">TblConstr[[#This Row],[Land]]</f>
        <v>370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2064</v>
      </c>
      <c r="AB39" s="154"/>
      <c r="AC39" s="180">
        <f ca="1">(TblConstr[[#This Row],[Tot Smi]]+TblConstr[[#This Row],[Dest Smi]])/(TblConstr[[#This Row],[Land]]-TblExplore[[#This Row],[Land Bonus]]*20)</f>
        <v>0</v>
      </c>
      <c r="AD39" s="137"/>
      <c r="AE39" s="246">
        <f>TblMili[[#This Row],[Hour]]</f>
        <v>36</v>
      </c>
      <c r="AF39" s="138">
        <f ca="1">TblExplore[[#This Row],[Time]]</f>
        <v>45816.458333333248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675194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45816.458333333248</v>
      </c>
      <c r="AW39" s="94">
        <f ca="1">TblMili[[#This Row],[Draftees]]</f>
        <v>2064</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0.40540540540540543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2.0270270270270272</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2.0270270270270272</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1</v>
      </c>
      <c r="CM39" s="251">
        <f ca="1">IF(TblMagic[[#This Row],[Active Demonic Pact]]&gt;0,MIN(TblMili[[#This Row],[Unit 1]],TblMili[[#This Row],[Unit 4]])*demonic_pact_oppair,0)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-0.95135135135135052</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4.3986486486486491</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5.405405405405405E-2</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2106</v>
      </c>
      <c r="C40" s="157">
        <f ca="1">TblPop[[#This Row],[Military%]]</f>
        <v>0.33679833679833682</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9150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2106</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2106</v>
      </c>
      <c r="X40" s="247">
        <f ca="1">TblConstr[[#This Row],[Land]]</f>
        <v>370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2106</v>
      </c>
      <c r="AB40" s="154"/>
      <c r="AC40" s="180">
        <f ca="1">(TblConstr[[#This Row],[Tot Smi]]+TblConstr[[#This Row],[Dest Smi]])/(TblConstr[[#This Row],[Land]]-TblExplore[[#This Row],[Land Bonus]]*20)</f>
        <v>0</v>
      </c>
      <c r="AD40" s="137"/>
      <c r="AE40" s="246">
        <f>TblMili[[#This Row],[Hour]]</f>
        <v>37</v>
      </c>
      <c r="AF40" s="138">
        <f ca="1">TblExplore[[#This Row],[Time]]</f>
        <v>45816.499999999913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688754</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45816.499999999913</v>
      </c>
      <c r="AW40" s="94">
        <f ca="1">TblMili[[#This Row],[Draftees]]</f>
        <v>2106</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275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0.40540540540540543</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2.0270270270270272</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2.0270270270270272</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1</v>
      </c>
      <c r="CM40" s="251">
        <f ca="1">IF(TblMagic[[#This Row],[Active Demonic Pact]]&gt;0,MIN(TblMili[[#This Row],[Unit 1]],TblMili[[#This Row],[Unit 4]])*demonic_pact_oppair,0)</f>
        <v>0</v>
      </c>
      <c r="CN40" s="252"/>
      <c r="CO40" s="252"/>
      <c r="CP40" s="252"/>
      <c r="CQ40" s="251">
        <f ca="1">MIN(6,TblMili[[#This Row],[Mystic]]+Races!$F$19)*1.8 +  IF(TblMili[[#This Row],[Mystic]]+Races!$F$19&gt;6,(TblMili[[#This Row],[Mystic]]+Races!$F$19-6)*0.2,0) - Races!$I$19</f>
        <v>1</v>
      </c>
      <c r="CR4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4">
        <f ca="1">TblMili[[#This Row],[Mystic bonus]]*TblMili[[#This Row],[Unit 3]]+TblMili[[#This Row],[Druid bonus]]*TblMili[[#This Row],[Unit 4]]</f>
        <v>0</v>
      </c>
      <c r="CT40" s="155">
        <f ca="1">MIN(6,TblMili[[#This Row],[Dryad]]+Races!$F$35)*1.8 +  IF(TblMili[[#This Row],[Dryad]]+Races!$F$35&gt;6,(TblMili[[#This Row],[Dryad]]+Races!$F$35-6)*0.2,0) - Races!$I$19</f>
        <v>-0.95135135135135052</v>
      </c>
      <c r="CU40" s="94">
        <f ca="1">sylvan*(TblMili[[#This Row],[Mystic bonus]]*TblMili[[#This Row],[Unit 3]])</f>
        <v>0</v>
      </c>
      <c r="CV40" s="155">
        <f ca="1">1.8 * MIN(MAX(Races!$E$27,TblMili[[#This Row],[Rockapult]]+Races!$F$27),6)  +  0.45 * MIN(MIN(Races!$E$27,TblMili[[#This Row],[Rockapult]]+Races!$F$27),6)  +  0.2 * ( MAX(Races!$E$27-6,0) + MAX(TblMili[[#This Row],[Rockapult]]+Races!$F$27-6,0) )  -  Races!$I$20</f>
        <v>3.7000000000000011</v>
      </c>
      <c r="CW40" s="94">
        <f ca="1">gnome*(TblMili[[#This Row],[Rockapult bonus]]*TblMili[[#This Row],[Unit 3]])</f>
        <v>0</v>
      </c>
      <c r="CX4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4">
        <f ca="1">dark_elf*(TblMili[[#This Row],[Adept bonus]]*TblMili[[#This Row],[Unit 3]])</f>
        <v>0</v>
      </c>
      <c r="CZ40" s="155">
        <f ca="1">1.8 * MIN(MAX(TblMili[[#This Row],[Frost Mage]]+Races!$F$71,Races!$E$71),6)  +  0.45 * MIN(MIN(TblMili[[#This Row],[Frost Mage]]+Races!$F$71,Races!$E$71),6)  +  0.2 * ( MAX(TblMili[[#This Row],[Frost Mage]]+Races!$F$71-6,0) + MAX(Races!$E$71-6,0) )  -  Races!$I$71</f>
        <v>4.3986486486486491</v>
      </c>
      <c r="DA40" s="155">
        <f ca="1">1.8 * MIN(MAX(TblMili[[#This Row],[Ice Elemental]]+Races!$E$71,Races!$F$71),6)  +  0.45 * MIN(MIN(TblMili[[#This Row],[Ice Elemental]]+Races!$E$71,Races!$F$71),6)  +  0.2 * ( MAX(TblMili[[#This Row],[Ice Elemental]]+Races!$E$71-6,0) + MAX(Races!$F$71-6,0) )  -  Races!$I$71</f>
        <v>0.75</v>
      </c>
      <c r="DB40" s="94">
        <f ca="1">TblMili[[#This Row],[Frost Mage bonus]]*TblMili[[#This Row],[Unit 3]]+TblMili[[#This Row],[Ice Elemental bonus]]*TblMili[[#This Row],[Unit 4]]</f>
        <v>0</v>
      </c>
      <c r="DC40" s="253"/>
      <c r="DD40" s="143">
        <f ca="1">MIN(SUM(TblConstr[[#This Row],[Plain]:[Water]])/TblMili[[#This Row],[Land]]/favorable_terrain_bonus/100,favorable_terrain_max)</f>
        <v>5.405405405405405E-2</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2147</v>
      </c>
      <c r="C41" s="157">
        <f ca="1">TblPop[[#This Row],[Military%]]</f>
        <v>0.34335518950903565</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9150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2147</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2147</v>
      </c>
      <c r="X41" s="247">
        <f ca="1">TblConstr[[#This Row],[Land]]</f>
        <v>370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2147</v>
      </c>
      <c r="AB41" s="154"/>
      <c r="AC41" s="180">
        <f ca="1">(TblConstr[[#This Row],[Tot Smi]]+TblConstr[[#This Row],[Dest Smi]])/(TblConstr[[#This Row],[Land]]-TblExplore[[#This Row],[Land Bonus]]*20)</f>
        <v>0</v>
      </c>
      <c r="AD41" s="137"/>
      <c r="AE41" s="246">
        <f>TblMili[[#This Row],[Hour]]</f>
        <v>38</v>
      </c>
      <c r="AF41" s="138">
        <f ca="1">TblExplore[[#This Row],[Time]]</f>
        <v>45816.541666666577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702200</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45816.541666666577</v>
      </c>
      <c r="AW41" s="94">
        <f ca="1">TblMili[[#This Row],[Draftees]]</f>
        <v>2147</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0.40540540540540543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2.0270270270270272</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2.0270270270270272</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1</v>
      </c>
      <c r="CM41" s="251">
        <f ca="1">IF(TblMagic[[#This Row],[Active Demonic Pact]]&gt;0,MIN(TblMili[[#This Row],[Unit 1]],TblMili[[#This Row],[Unit 4]])*demonic_pact_oppair,0)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-0.95135135135135052</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4.3986486486486491</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5.405405405405405E-2</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2188</v>
      </c>
      <c r="C42" s="157">
        <f ca="1">TblPop[[#This Row],[Military%]]</f>
        <v>0.34991204221973454</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9150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2188</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2188</v>
      </c>
      <c r="X42" s="247">
        <f ca="1">TblConstr[[#This Row],[Land]]</f>
        <v>370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2188</v>
      </c>
      <c r="AB42" s="154"/>
      <c r="AC42" s="180">
        <f ca="1">(TblConstr[[#This Row],[Tot Smi]]+TblConstr[[#This Row],[Dest Smi]])/(TblConstr[[#This Row],[Land]]-TblExplore[[#This Row],[Land Bonus]]*20)</f>
        <v>0</v>
      </c>
      <c r="AD42" s="137"/>
      <c r="AE42" s="246">
        <f>TblMili[[#This Row],[Hour]]</f>
        <v>39</v>
      </c>
      <c r="AF42" s="138">
        <f ca="1">TblExplore[[#This Row],[Time]]</f>
        <v>45816.583333333241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715536</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45816.583333333241</v>
      </c>
      <c r="AW42" s="94">
        <f ca="1">TblMili[[#This Row],[Draftees]]</f>
        <v>2188</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0.40540540540540543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2.0270270270270272</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2.0270270270270272</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1</v>
      </c>
      <c r="CM42" s="251">
        <f ca="1">IF(TblMagic[[#This Row],[Active Demonic Pact]]&gt;0,MIN(TblMili[[#This Row],[Unit 1]],TblMili[[#This Row],[Unit 4]])*demonic_pact_oppair,0)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-0.95135135135135052</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4.3986486486486491</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5.405405405405405E-2</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2229</v>
      </c>
      <c r="C43" s="157">
        <f ca="1">TblPop[[#This Row],[Military%]]</f>
        <v>0.35646889493043338</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9150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2229</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2229</v>
      </c>
      <c r="X43" s="247">
        <f ca="1">TblConstr[[#This Row],[Land]]</f>
        <v>370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2229</v>
      </c>
      <c r="AB43" s="154"/>
      <c r="AC43" s="180">
        <f ca="1">(TblConstr[[#This Row],[Tot Smi]]+TblConstr[[#This Row],[Dest Smi]])/(TblConstr[[#This Row],[Land]]-TblExplore[[#This Row],[Land Bonus]]*20)</f>
        <v>0</v>
      </c>
      <c r="AD43" s="137"/>
      <c r="AE43" s="246">
        <f>TblMili[[#This Row],[Hour]]</f>
        <v>40</v>
      </c>
      <c r="AF43" s="138">
        <f ca="1">TblExplore[[#This Row],[Time]]</f>
        <v>45816.624999999905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728761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45816.624999999905</v>
      </c>
      <c r="AW43" s="94">
        <f ca="1">TblMili[[#This Row],[Draftees]]</f>
        <v>2229</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0.40540540540540543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2.0270270270270272</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2.0270270270270272</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1</v>
      </c>
      <c r="CM43" s="251">
        <f ca="1">IF(TblMagic[[#This Row],[Active Demonic Pact]]&gt;0,MIN(TblMili[[#This Row],[Unit 1]],TblMili[[#This Row],[Unit 4]])*demonic_pact_oppair,0)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-0.95135135135135052</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4.3986486486486491</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5.405405405405405E-2</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2269</v>
      </c>
      <c r="C44" s="157">
        <f ca="1">TblPop[[#This Row],[Military%]]</f>
        <v>0.36286582440428594</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9150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2269</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2269</v>
      </c>
      <c r="X44" s="247">
        <f ca="1">TblConstr[[#This Row],[Land]]</f>
        <v>370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2269</v>
      </c>
      <c r="AB44" s="154"/>
      <c r="AC44" s="180">
        <f ca="1">(TblConstr[[#This Row],[Tot Smi]]+TblConstr[[#This Row],[Dest Smi]])/(TblConstr[[#This Row],[Land]]-TblExplore[[#This Row],[Land Bonus]]*20)</f>
        <v>0</v>
      </c>
      <c r="AD44" s="137"/>
      <c r="AE44" s="246">
        <f>TblMili[[#This Row],[Hour]]</f>
        <v>41</v>
      </c>
      <c r="AF44" s="138">
        <f ca="1">TblExplore[[#This Row],[Time]]</f>
        <v>45816.66666666657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741875</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45816.66666666657</v>
      </c>
      <c r="AW44" s="94">
        <f ca="1">TblMili[[#This Row],[Draftees]]</f>
        <v>2269</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0.40540540540540543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2.0270270270270272</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2.0270270270270272</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1</v>
      </c>
      <c r="CM44" s="251">
        <f ca="1">IF(TblMagic[[#This Row],[Active Demonic Pact]]&gt;0,MIN(TblMili[[#This Row],[Unit 1]],TblMili[[#This Row],[Unit 4]])*demonic_pact_oppair,0)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-0.95135135135135052</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4.3986486486486491</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5.405405405405405E-2</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2309</v>
      </c>
      <c r="C45" s="157">
        <f ca="1">TblPop[[#This Row],[Military%]]</f>
        <v>0.36926275387813851</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9150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2309</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2309</v>
      </c>
      <c r="X45" s="247">
        <f ca="1">TblConstr[[#This Row],[Land]]</f>
        <v>370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2309</v>
      </c>
      <c r="AB45" s="154"/>
      <c r="AC45" s="180">
        <f ca="1">(TblConstr[[#This Row],[Tot Smi]]+TblConstr[[#This Row],[Dest Smi]])/(TblConstr[[#This Row],[Land]]-TblExplore[[#This Row],[Land Bonus]]*20)</f>
        <v>0</v>
      </c>
      <c r="AD45" s="137"/>
      <c r="AE45" s="246">
        <f>TblMili[[#This Row],[Hour]]</f>
        <v>42</v>
      </c>
      <c r="AF45" s="138">
        <f ca="1">TblExplore[[#This Row],[Time]]</f>
        <v>45816.708333333234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754881</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45816.708333333234</v>
      </c>
      <c r="AW45" s="94">
        <f ca="1">TblMili[[#This Row],[Draftees]]</f>
        <v>2309</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0.40540540540540543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2.0270270270270272</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2.0270270270270272</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1</v>
      </c>
      <c r="CM45" s="251">
        <f ca="1">IF(TblMagic[[#This Row],[Active Demonic Pact]]&gt;0,MIN(TblMili[[#This Row],[Unit 1]],TblMili[[#This Row],[Unit 4]])*demonic_pact_oppair,0)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-0.95135135135135052</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4.3986486486486491</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5.405405405405405E-2</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2348</v>
      </c>
      <c r="C46" s="157">
        <f ca="1">TblPop[[#This Row],[Military%]]</f>
        <v>0.37549976011514474</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9150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2348</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2348</v>
      </c>
      <c r="X46" s="247">
        <f ca="1">TblConstr[[#This Row],[Land]]</f>
        <v>370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2348</v>
      </c>
      <c r="AB46" s="154"/>
      <c r="AC46" s="180">
        <f ca="1">(TblConstr[[#This Row],[Tot Smi]]+TblConstr[[#This Row],[Dest Smi]])/(TblConstr[[#This Row],[Land]]-TblExplore[[#This Row],[Land Bonus]]*20)</f>
        <v>0</v>
      </c>
      <c r="AD46" s="137"/>
      <c r="AE46" s="246">
        <f>TblMili[[#This Row],[Hour]]</f>
        <v>43</v>
      </c>
      <c r="AF46" s="138">
        <f ca="1">TblExplore[[#This Row],[Time]]</f>
        <v>45816.749999999898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767779</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45816.749999999898</v>
      </c>
      <c r="AW46" s="94">
        <f ca="1">TblMili[[#This Row],[Draftees]]</f>
        <v>2348</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0.40540540540540543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2.0270270270270272</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2.0270270270270272</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1</v>
      </c>
      <c r="CM46" s="251">
        <f ca="1">IF(TblMagic[[#This Row],[Active Demonic Pact]]&gt;0,MIN(TblMili[[#This Row],[Unit 1]],TblMili[[#This Row],[Unit 4]])*demonic_pact_oppair,0)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-0.95135135135135052</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4.3986486486486491</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5.405405405405405E-2</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2387</v>
      </c>
      <c r="C47" s="157">
        <f ca="1">TblPop[[#This Row],[Military%]]</f>
        <v>0.38173676635215098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9150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2387</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2387</v>
      </c>
      <c r="X47" s="247">
        <f ca="1">TblConstr[[#This Row],[Land]]</f>
        <v>370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2387</v>
      </c>
      <c r="AB47" s="154"/>
      <c r="AC47" s="180">
        <f ca="1">(TblConstr[[#This Row],[Tot Smi]]+TblConstr[[#This Row],[Dest Smi]])/(TblConstr[[#This Row],[Land]]-TblExplore[[#This Row],[Land Bonus]]*20)</f>
        <v>0</v>
      </c>
      <c r="AD47" s="137"/>
      <c r="AE47" s="246">
        <f>TblMili[[#This Row],[Hour]]</f>
        <v>44</v>
      </c>
      <c r="AF47" s="138">
        <f ca="1">TblExplore[[#This Row],[Time]]</f>
        <v>45816.791666666562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780572</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45816.791666666562</v>
      </c>
      <c r="AW47" s="94">
        <f ca="1">TblMili[[#This Row],[Draftees]]</f>
        <v>2387</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0.40540540540540543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2.0270270270270272</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2.0270270270270272</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1</v>
      </c>
      <c r="CM47" s="251">
        <f ca="1">IF(TblMagic[[#This Row],[Active Demonic Pact]]&gt;0,MIN(TblMili[[#This Row],[Unit 1]],TblMili[[#This Row],[Unit 4]])*demonic_pact_oppair,0)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-0.95135135135135052</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4.3986486486486491</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5.405405405405405E-2</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2426</v>
      </c>
      <c r="C48" s="157">
        <f ca="1">TblPop[[#This Row],[Military%]]</f>
        <v>0.38797377258915722</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9150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2426</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2426</v>
      </c>
      <c r="X48" s="247">
        <f ca="1">TblConstr[[#This Row],[Land]]</f>
        <v>370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2426</v>
      </c>
      <c r="AB48" s="154"/>
      <c r="AC48" s="180">
        <f ca="1">(TblConstr[[#This Row],[Tot Smi]]+TblConstr[[#This Row],[Dest Smi]])/(TblConstr[[#This Row],[Land]]-TblExplore[[#This Row],[Land Bonus]]*20)</f>
        <v>0</v>
      </c>
      <c r="AD48" s="137"/>
      <c r="AE48" s="246">
        <f>TblMili[[#This Row],[Hour]]</f>
        <v>45</v>
      </c>
      <c r="AF48" s="138">
        <f ca="1">TblExplore[[#This Row],[Time]]</f>
        <v>45816.833333333227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793260</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45816.833333333227</v>
      </c>
      <c r="AW48" s="94">
        <f ca="1">TblMili[[#This Row],[Draftees]]</f>
        <v>2426</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0.40540540540540543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2.0270270270270272</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2.0270270270270272</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1</v>
      </c>
      <c r="CM48" s="251">
        <f ca="1">IF(TblMagic[[#This Row],[Active Demonic Pact]]&gt;0,MIN(TblMili[[#This Row],[Unit 1]],TblMili[[#This Row],[Unit 4]])*demonic_pact_oppair,0)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-0.95135135135135052</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4.3986486486486491</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5.405405405405405E-2</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2464</v>
      </c>
      <c r="C49" s="157">
        <f ca="1">TblPop[[#This Row],[Military%]]</f>
        <v>0.39405085558931713</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9150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2464</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2464</v>
      </c>
      <c r="X49" s="247">
        <f ca="1">TblConstr[[#This Row],[Land]]</f>
        <v>370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2464</v>
      </c>
      <c r="AB49" s="154"/>
      <c r="AC49" s="180">
        <f ca="1">(TblConstr[[#This Row],[Tot Smi]]+TblConstr[[#This Row],[Dest Smi]])/(TblConstr[[#This Row],[Land]]-TblExplore[[#This Row],[Land Bonus]]*20)</f>
        <v>0</v>
      </c>
      <c r="AD49" s="137"/>
      <c r="AE49" s="246">
        <f>TblMili[[#This Row],[Hour]]</f>
        <v>46</v>
      </c>
      <c r="AF49" s="138">
        <f ca="1">TblExplore[[#This Row],[Time]]</f>
        <v>45816.874999999891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805842</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45816.874999999891</v>
      </c>
      <c r="AW49" s="94">
        <f ca="1">TblMili[[#This Row],[Draftees]]</f>
        <v>2464</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0.40540540540540543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2.0270270270270272</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2.0270270270270272</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1</v>
      </c>
      <c r="CM49" s="251">
        <f ca="1">IF(TblMagic[[#This Row],[Active Demonic Pact]]&gt;0,MIN(TblMili[[#This Row],[Unit 1]],TblMili[[#This Row],[Unit 4]])*demonic_pact_oppair,0)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-0.95135135135135052</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4.3986486486486491</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5.405405405405405E-2</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2502</v>
      </c>
      <c r="C50" s="157">
        <f ca="1">TblPop[[#This Row],[Military%]]</f>
        <v>0.40012793858947704</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9150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2502</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2502</v>
      </c>
      <c r="X50" s="247">
        <f ca="1">TblConstr[[#This Row],[Land]]</f>
        <v>370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2502</v>
      </c>
      <c r="AB50" s="154"/>
      <c r="AC50" s="180">
        <f ca="1">(TblConstr[[#This Row],[Tot Smi]]+TblConstr[[#This Row],[Dest Smi]])/(TblConstr[[#This Row],[Land]]-TblExplore[[#This Row],[Land Bonus]]*20)</f>
        <v>0</v>
      </c>
      <c r="AD50" s="137"/>
      <c r="AE50" s="246">
        <f>TblMili[[#This Row],[Hour]]</f>
        <v>47</v>
      </c>
      <c r="AF50" s="138">
        <f ca="1">TblExplore[[#This Row],[Time]]</f>
        <v>45816.916666666555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818322</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45816.916666666555</v>
      </c>
      <c r="AW50" s="94">
        <f ca="1">TblMili[[#This Row],[Draftees]]</f>
        <v>2502</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0.40540540540540543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2.0270270270270272</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2.0270270270270272</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1</v>
      </c>
      <c r="CM50" s="251">
        <f ca="1">IF(TblMagic[[#This Row],[Active Demonic Pact]]&gt;0,MIN(TblMili[[#This Row],[Unit 1]],TblMili[[#This Row],[Unit 4]])*demonic_pact_oppair,0)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-0.95135135135135052</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4.3986486486486491</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5.405405405405405E-2</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2540</v>
      </c>
      <c r="C51" s="157">
        <f ca="1">TblPop[[#This Row],[Military%]]</f>
        <v>0.40620502158963695</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9150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2540</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2540</v>
      </c>
      <c r="X51" s="247">
        <f ca="1">TblConstr[[#This Row],[Land]]</f>
        <v>370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2540</v>
      </c>
      <c r="AB51" s="154"/>
      <c r="AC51" s="180">
        <f ca="1">(TblConstr[[#This Row],[Tot Smi]]+TblConstr[[#This Row],[Dest Smi]])/(TblConstr[[#This Row],[Land]]-TblExplore[[#This Row],[Land Bonus]]*20)</f>
        <v>0</v>
      </c>
      <c r="AD51" s="137"/>
      <c r="AE51" s="246">
        <f>TblMili[[#This Row],[Hour]]</f>
        <v>48</v>
      </c>
      <c r="AF51" s="138">
        <f ca="1">TblExplore[[#This Row],[Time]]</f>
        <v>45816.958333333219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830699</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45816.958333333219</v>
      </c>
      <c r="AW51" s="94">
        <f ca="1">TblMili[[#This Row],[Draftees]]</f>
        <v>2540</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0.40540540540540543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2.0270270270270272</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2.0270270270270272</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1</v>
      </c>
      <c r="CM51" s="251">
        <f ca="1">IF(TblMagic[[#This Row],[Active Demonic Pact]]&gt;0,MIN(TblMili[[#This Row],[Unit 1]],TblMili[[#This Row],[Unit 4]])*demonic_pact_oppair,0)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-0.95135135135135052</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4.3986486486486491</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5.405405405405405E-2</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2577</v>
      </c>
      <c r="C52" s="165">
        <f ca="1">TblPop[[#This Row],[Military%]]</f>
        <v>0.41212218135295059</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9150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2577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2577</v>
      </c>
      <c r="X52" s="450">
        <f ca="1">TblConstr[[#This Row],[Land]]</f>
        <v>370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2577</v>
      </c>
      <c r="AB52" s="162"/>
      <c r="AC52" s="436">
        <f ca="1">(TblConstr[[#This Row],[Tot Smi]]+TblConstr[[#This Row],[Dest Smi]])/(TblConstr[[#This Row],[Land]]-TblExplore[[#This Row],[Land Bonus]]*20)</f>
        <v>0</v>
      </c>
      <c r="AD52" s="454"/>
      <c r="AE52" s="455">
        <f>TblMili[[#This Row],[Hour]]</f>
        <v>49</v>
      </c>
      <c r="AF52" s="145">
        <f ca="1">TblExplore[[#This Row],[Time]]</f>
        <v>45816.999999999884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842974</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45816.999999999884</v>
      </c>
      <c r="AW52" s="35">
        <f ca="1">TblMili[[#This Row],[Draftees]]</f>
        <v>2577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0.40540540540540543</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2.0270270270270272</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2.0270270270270272</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1</v>
      </c>
      <c r="CM52" s="456">
        <f ca="1">IF(TblMagic[[#This Row],[Active Demonic Pact]]&gt;0,MIN(TblMili[[#This Row],[Unit 1]],TblMili[[#This Row],[Unit 4]])*demonic_pact_oppair,0)</f>
        <v>0</v>
      </c>
      <c r="CN52" s="260"/>
      <c r="CO52" s="260"/>
      <c r="CP52" s="260"/>
      <c r="CQ52" s="456">
        <f ca="1">MIN(6,TblMili[[#This Row],[Mystic]]+Races!$F$19)*1.8 +  IF(TblMili[[#This Row],[Mystic]]+Races!$F$19&gt;6,(TblMili[[#This Row],[Mystic]]+Races!$F$19-6)*0.2,0) - Races!$I$19</f>
        <v>1</v>
      </c>
      <c r="CR52" s="456">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3">
        <f ca="1">MIN(6,TblMili[[#This Row],[Dryad]]+Races!$F$35)*1.8 +  IF(TblMili[[#This Row],[Dryad]]+Races!$F$35&gt;6,(TblMili[[#This Row],[Dryad]]+Races!$F$35-6)*0.2,0) - Races!$I$19</f>
        <v>-0.95135135135135052</v>
      </c>
      <c r="CU52" s="35">
        <f ca="1">sylvan*(TblMili[[#This Row],[Mystic bonus]]*TblMili[[#This Row],[Unit 3]])</f>
        <v>0</v>
      </c>
      <c r="CV52" s="163">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3">
        <f ca="1">1.8 * MIN(MAX(TblMili[[#This Row],[Frost Mage]]+Races!$F$71,Races!$E$71),6)  +  0.45 * MIN(MIN(TblMili[[#This Row],[Frost Mage]]+Races!$F$71,Races!$E$71),6)  +  0.2 * ( MAX(TblMili[[#This Row],[Frost Mage]]+Races!$F$71-6,0) + MAX(Races!$E$71-6,0) )  -  Races!$I$71</f>
        <v>4.3986486486486491</v>
      </c>
      <c r="DA52" s="163">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1"/>
      <c r="DD52" s="150">
        <f ca="1">MIN(SUM(TblConstr[[#This Row],[Plain]:[Water]])/TblMili[[#This Row],[Land]]/favorable_terrain_bonus/100,favorable_terrain_max)</f>
        <v>5.405405405405405E-2</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2614</v>
      </c>
      <c r="C53" s="157">
        <f ca="1">TblPop[[#This Row],[Military%]]</f>
        <v>0.41803934111626417</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9150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2614</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2614</v>
      </c>
      <c r="X53" s="247">
        <f ca="1">TblConstr[[#This Row],[Land]]</f>
        <v>370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2614</v>
      </c>
      <c r="AB53" s="154"/>
      <c r="AC53" s="180">
        <f ca="1">(TblConstr[[#This Row],[Tot Smi]]+TblConstr[[#This Row],[Dest Smi]])/(TblConstr[[#This Row],[Land]]-TblExplore[[#This Row],[Land Bonus]]*20)</f>
        <v>0</v>
      </c>
      <c r="AD53" s="137"/>
      <c r="AE53" s="246">
        <f>TblMili[[#This Row],[Hour]]</f>
        <v>50</v>
      </c>
      <c r="AF53" s="138">
        <f ca="1">TblExplore[[#This Row],[Time]]</f>
        <v>45817.041666666548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855149</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45817.041666666548</v>
      </c>
      <c r="AW53" s="94">
        <f ca="1">TblMili[[#This Row],[Draftees]]</f>
        <v>2614</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0.40540540540540543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2.0270270270270272</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2.0270270270270272</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1</v>
      </c>
      <c r="CM53" s="251">
        <f ca="1">IF(TblMagic[[#This Row],[Active Demonic Pact]]&gt;0,MIN(TblMili[[#This Row],[Unit 1]],TblMili[[#This Row],[Unit 4]])*demonic_pact_oppair,0)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-0.95135135135135052</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4.3986486486486491</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5.405405405405405E-2</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2650</v>
      </c>
      <c r="C54" s="157">
        <f ca="1">TblPop[[#This Row],[Military%]]</f>
        <v>0.42379657764273149</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9150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2650</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2650</v>
      </c>
      <c r="X54" s="247">
        <f ca="1">TblConstr[[#This Row],[Land]]</f>
        <v>370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2650</v>
      </c>
      <c r="AB54" s="154"/>
      <c r="AC54" s="180">
        <f ca="1">(TblConstr[[#This Row],[Tot Smi]]+TblConstr[[#This Row],[Dest Smi]])/(TblConstr[[#This Row],[Land]]-TblExplore[[#This Row],[Land Bonus]]*20)</f>
        <v>0</v>
      </c>
      <c r="AD54" s="137"/>
      <c r="AE54" s="246">
        <f>TblMili[[#This Row],[Hour]]</f>
        <v>51</v>
      </c>
      <c r="AF54" s="138">
        <f ca="1">TblExplore[[#This Row],[Time]]</f>
        <v>45817.083333333212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867224</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45817.083333333212</v>
      </c>
      <c r="AW54" s="94">
        <f ca="1">TblMili[[#This Row],[Draftees]]</f>
        <v>2650</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0.40540540540540543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2.0270270270270272</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2.0270270270270272</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1</v>
      </c>
      <c r="CM54" s="251">
        <f ca="1">IF(TblMagic[[#This Row],[Active Demonic Pact]]&gt;0,MIN(TblMili[[#This Row],[Unit 1]],TblMili[[#This Row],[Unit 4]])*demonic_pact_oppair,0)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-0.95135135135135052</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4.3986486486486491</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5.405405405405405E-2</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2686</v>
      </c>
      <c r="C55" s="157">
        <f ca="1">TblPop[[#This Row],[Military%]]</f>
        <v>0.4295538141691988</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9150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2686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2686</v>
      </c>
      <c r="X55" s="247">
        <f ca="1">TblConstr[[#This Row],[Land]]</f>
        <v>370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2686</v>
      </c>
      <c r="AB55" s="154"/>
      <c r="AC55" s="180">
        <f ca="1">(TblConstr[[#This Row],[Tot Smi]]+TblConstr[[#This Row],[Dest Smi]])/(TblConstr[[#This Row],[Land]]-TblExplore[[#This Row],[Land Bonus]]*20)</f>
        <v>0</v>
      </c>
      <c r="AD55" s="137"/>
      <c r="AE55" s="246">
        <f>TblMili[[#This Row],[Hour]]</f>
        <v>52</v>
      </c>
      <c r="AF55" s="138">
        <f ca="1">TblExplore[[#This Row],[Time]]</f>
        <v>45817.124999999876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879202</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45817.124999999876</v>
      </c>
      <c r="AW55" s="94">
        <f ca="1">TblMili[[#This Row],[Draftees]]</f>
        <v>2686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0.40540540540540543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2.0270270270270272</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2.0270270270270272</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1</v>
      </c>
      <c r="CM55" s="251">
        <f ca="1">IF(TblMagic[[#This Row],[Active Demonic Pact]]&gt;0,MIN(TblMili[[#This Row],[Unit 1]],TblMili[[#This Row],[Unit 4]])*demonic_pact_oppair,0)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-0.95135135135135052</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4.3986486486486491</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5.405405405405405E-2</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2722</v>
      </c>
      <c r="C56" s="157">
        <f ca="1">TblPop[[#This Row],[Military%]]</f>
        <v>0.43531105069566606</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9150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2722</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2722</v>
      </c>
      <c r="X56" s="247">
        <f ca="1">TblConstr[[#This Row],[Land]]</f>
        <v>370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2722</v>
      </c>
      <c r="AB56" s="154"/>
      <c r="AC56" s="180">
        <f ca="1">(TblConstr[[#This Row],[Tot Smi]]+TblConstr[[#This Row],[Dest Smi]])/(TblConstr[[#This Row],[Land]]-TblExplore[[#This Row],[Land Bonus]]*20)</f>
        <v>0</v>
      </c>
      <c r="AD56" s="137"/>
      <c r="AE56" s="246">
        <f>TblMili[[#This Row],[Hour]]</f>
        <v>53</v>
      </c>
      <c r="AF56" s="138">
        <f ca="1">TblExplore[[#This Row],[Time]]</f>
        <v>45817.166666666541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891082</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45817.166666666541</v>
      </c>
      <c r="AW56" s="94">
        <f ca="1">TblMili[[#This Row],[Draftees]]</f>
        <v>2722</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0.40540540540540543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2.0270270270270272</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2.0270270270270272</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1</v>
      </c>
      <c r="CM56" s="251">
        <f ca="1">IF(TblMagic[[#This Row],[Active Demonic Pact]]&gt;0,MIN(TblMili[[#This Row],[Unit 1]],TblMili[[#This Row],[Unit 4]])*demonic_pact_oppair,0)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-0.95135135135135052</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4.3986486486486491</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5.405405405405405E-2</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2757</v>
      </c>
      <c r="C57" s="157">
        <f ca="1">TblPop[[#This Row],[Military%]]</f>
        <v>0.44090836398528704</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9150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2757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2757</v>
      </c>
      <c r="X57" s="247">
        <f ca="1">TblConstr[[#This Row],[Land]]</f>
        <v>370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2757</v>
      </c>
      <c r="AB57" s="154"/>
      <c r="AC57" s="180">
        <f ca="1">(TblConstr[[#This Row],[Tot Smi]]+TblConstr[[#This Row],[Dest Smi]])/(TblConstr[[#This Row],[Land]]-TblExplore[[#This Row],[Land Bonus]]*20)</f>
        <v>0</v>
      </c>
      <c r="AD57" s="137"/>
      <c r="AE57" s="246">
        <f>TblMili[[#This Row],[Hour]]</f>
        <v>54</v>
      </c>
      <c r="AF57" s="138">
        <f ca="1">TblExplore[[#This Row],[Time]]</f>
        <v>45817.208333333205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902865</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45817.208333333205</v>
      </c>
      <c r="AW57" s="94">
        <f ca="1">TblMili[[#This Row],[Draftees]]</f>
        <v>2757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0.40540540540540543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2.0270270270270272</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2.0270270270270272</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1</v>
      </c>
      <c r="CM57" s="251">
        <f ca="1">IF(TblMagic[[#This Row],[Active Demonic Pact]]&gt;0,MIN(TblMili[[#This Row],[Unit 1]],TblMili[[#This Row],[Unit 4]])*demonic_pact_oppair,0)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-0.95135135135135052</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4.3986486486486491</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5.405405405405405E-2</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2792</v>
      </c>
      <c r="C58" s="157">
        <f ca="1">TblPop[[#This Row],[Military%]]</f>
        <v>0.44650567727490803</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9150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2792</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2792</v>
      </c>
      <c r="X58" s="247">
        <f ca="1">TblConstr[[#This Row],[Land]]</f>
        <v>370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2792</v>
      </c>
      <c r="AB58" s="154"/>
      <c r="AC58" s="180">
        <f ca="1">(TblConstr[[#This Row],[Tot Smi]]+TblConstr[[#This Row],[Dest Smi]])/(TblConstr[[#This Row],[Land]]-TblExplore[[#This Row],[Land Bonus]]*20)</f>
        <v>0</v>
      </c>
      <c r="AD58" s="137"/>
      <c r="AE58" s="246">
        <f>TblMili[[#This Row],[Hour]]</f>
        <v>55</v>
      </c>
      <c r="AF58" s="138">
        <f ca="1">TblExplore[[#This Row],[Time]]</f>
        <v>45817.249999999869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914554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45817.249999999869</v>
      </c>
      <c r="AW58" s="94">
        <f ca="1">TblMili[[#This Row],[Draftees]]</f>
        <v>2792</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0.40540540540540543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2.0270270270270272</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2.0270270270270272</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1</v>
      </c>
      <c r="CM58" s="251">
        <f ca="1">IF(TblMagic[[#This Row],[Active Demonic Pact]]&gt;0,MIN(TblMili[[#This Row],[Unit 1]],TblMili[[#This Row],[Unit 4]])*demonic_pact_oppair,0)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-0.95135135135135052</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4.3986486486486491</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5.405405405405405E-2</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2827</v>
      </c>
      <c r="C59" s="157">
        <f ca="1">TblPop[[#This Row],[Military%]]</f>
        <v>0.45210299056452902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9150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2827</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2827</v>
      </c>
      <c r="X59" s="247">
        <f ca="1">TblConstr[[#This Row],[Land]]</f>
        <v>370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2827</v>
      </c>
      <c r="AB59" s="154"/>
      <c r="AC59" s="180">
        <f ca="1">(TblConstr[[#This Row],[Tot Smi]]+TblConstr[[#This Row],[Dest Smi]])/(TblConstr[[#This Row],[Land]]-TblExplore[[#This Row],[Land Bonus]]*20)</f>
        <v>0</v>
      </c>
      <c r="AD59" s="137"/>
      <c r="AE59" s="246">
        <f>TblMili[[#This Row],[Hour]]</f>
        <v>56</v>
      </c>
      <c r="AF59" s="138">
        <f ca="1">TblExplore[[#This Row],[Time]]</f>
        <v>45817.291666666533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926148</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45817.291666666533</v>
      </c>
      <c r="AW59" s="94">
        <f ca="1">TblMili[[#This Row],[Draftees]]</f>
        <v>2827</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0.40540540540540543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2.0270270270270272</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2.0270270270270272</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1</v>
      </c>
      <c r="CM59" s="251">
        <f ca="1">IF(TblMagic[[#This Row],[Active Demonic Pact]]&gt;0,MIN(TblMili[[#This Row],[Unit 1]],TblMili[[#This Row],[Unit 4]])*demonic_pact_oppair,0)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-0.95135135135135052</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4.3986486486486491</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5.405405405405405E-2</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2861</v>
      </c>
      <c r="C60" s="157">
        <f ca="1">TblPop[[#This Row],[Military%]]</f>
        <v>0.45754038061730368</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9150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2861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2861</v>
      </c>
      <c r="X60" s="247">
        <f ca="1">TblConstr[[#This Row],[Land]]</f>
        <v>370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2861</v>
      </c>
      <c r="AB60" s="154"/>
      <c r="AC60" s="180">
        <f ca="1">(TblConstr[[#This Row],[Tot Smi]]+TblConstr[[#This Row],[Dest Smi]])/(TblConstr[[#This Row],[Land]]-TblExplore[[#This Row],[Land Bonus]]*20)</f>
        <v>0</v>
      </c>
      <c r="AD60" s="137"/>
      <c r="AE60" s="246">
        <f>TblMili[[#This Row],[Hour]]</f>
        <v>57</v>
      </c>
      <c r="AF60" s="138">
        <f ca="1">TblExplore[[#This Row],[Time]]</f>
        <v>45817.333333333198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937648</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45817.333333333198</v>
      </c>
      <c r="AW60" s="94">
        <f ca="1">TblMili[[#This Row],[Draftees]]</f>
        <v>2861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0.40540540540540543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2.0270270270270272</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2.0270270270270272</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1</v>
      </c>
      <c r="CM60" s="251">
        <f ca="1">IF(TblMagic[[#This Row],[Active Demonic Pact]]&gt;0,MIN(TblMili[[#This Row],[Unit 1]],TblMili[[#This Row],[Unit 4]])*demonic_pact_oppair,0)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-0.95135135135135052</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4.3986486486486491</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5.405405405405405E-2</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2895</v>
      </c>
      <c r="C61" s="157">
        <f ca="1">TblPop[[#This Row],[Military%]]</f>
        <v>0.46297777067007834</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9150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2895</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2895</v>
      </c>
      <c r="X61" s="247">
        <f ca="1">TblConstr[[#This Row],[Land]]</f>
        <v>370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2895</v>
      </c>
      <c r="AB61" s="154"/>
      <c r="AC61" s="180">
        <f ca="1">(TblConstr[[#This Row],[Tot Smi]]+TblConstr[[#This Row],[Dest Smi]])/(TblConstr[[#This Row],[Land]]-TblExplore[[#This Row],[Land Bonus]]*20)</f>
        <v>0</v>
      </c>
      <c r="AD61" s="137"/>
      <c r="AE61" s="246">
        <f>TblMili[[#This Row],[Hour]]</f>
        <v>58</v>
      </c>
      <c r="AF61" s="138">
        <f ca="1">TblExplore[[#This Row],[Time]]</f>
        <v>45817.374999999862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949056</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45817.374999999862</v>
      </c>
      <c r="AW61" s="94">
        <f ca="1">TblMili[[#This Row],[Draftees]]</f>
        <v>2895</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0.40540540540540543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2.0270270270270272</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2.0270270270270272</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1</v>
      </c>
      <c r="CM61" s="251">
        <f ca="1">IF(TblMagic[[#This Row],[Active Demonic Pact]]&gt;0,MIN(TblMili[[#This Row],[Unit 1]],TblMili[[#This Row],[Unit 4]])*demonic_pact_oppair,0)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-0.95135135135135052</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4.3986486486486491</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5.405405405405405E-2</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2929</v>
      </c>
      <c r="C62" s="157">
        <f ca="1">TblPop[[#This Row],[Military%]]</f>
        <v>0.46841516072285305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9150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2929</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2929</v>
      </c>
      <c r="X62" s="247">
        <f ca="1">TblConstr[[#This Row],[Land]]</f>
        <v>370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2929</v>
      </c>
      <c r="AB62" s="154"/>
      <c r="AC62" s="180">
        <f ca="1">(TblConstr[[#This Row],[Tot Smi]]+TblConstr[[#This Row],[Dest Smi]])/(TblConstr[[#This Row],[Land]]-TblExplore[[#This Row],[Land Bonus]]*20)</f>
        <v>0</v>
      </c>
      <c r="AD62" s="137"/>
      <c r="AE62" s="246">
        <f>TblMili[[#This Row],[Hour]]</f>
        <v>59</v>
      </c>
      <c r="AF62" s="138">
        <f ca="1">TblExplore[[#This Row],[Time]]</f>
        <v>45817.416666666526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960372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45817.416666666526</v>
      </c>
      <c r="AW62" s="94">
        <f ca="1">TblMili[[#This Row],[Draftees]]</f>
        <v>2929</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0.40540540540540543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2.0270270270270272</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2.0270270270270272</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1</v>
      </c>
      <c r="CM62" s="251">
        <f ca="1">IF(TblMagic[[#This Row],[Active Demonic Pact]]&gt;0,MIN(TblMili[[#This Row],[Unit 1]],TblMili[[#This Row],[Unit 4]])*demonic_pact_oppair,0)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-0.95135135135135052</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4.3986486486486491</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5.405405405405405E-2</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2962</v>
      </c>
      <c r="C63" s="157">
        <f ca="1">TblPop[[#This Row],[Military%]]</f>
        <v>0.47369262753878139</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9150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2962</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2962</v>
      </c>
      <c r="X63" s="247">
        <f ca="1">TblConstr[[#This Row],[Land]]</f>
        <v>370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2962</v>
      </c>
      <c r="AB63" s="154"/>
      <c r="AC63" s="180">
        <f ca="1">(TblConstr[[#This Row],[Tot Smi]]+TblConstr[[#This Row],[Dest Smi]])/(TblConstr[[#This Row],[Land]]-TblExplore[[#This Row],[Land Bonus]]*20)</f>
        <v>0</v>
      </c>
      <c r="AD63" s="137"/>
      <c r="AE63" s="246">
        <f>TblMili[[#This Row],[Hour]]</f>
        <v>60</v>
      </c>
      <c r="AF63" s="138">
        <f ca="1">TblExplore[[#This Row],[Time]]</f>
        <v>45817.45833333319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971596</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45817.45833333319</v>
      </c>
      <c r="AW63" s="94">
        <f ca="1">TblMili[[#This Row],[Draftees]]</f>
        <v>2962</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0.40540540540540543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2.0270270270270272</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2.0270270270270272</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1</v>
      </c>
      <c r="CM63" s="251">
        <f ca="1">IF(TblMagic[[#This Row],[Active Demonic Pact]]&gt;0,MIN(TblMili[[#This Row],[Unit 1]],TblMili[[#This Row],[Unit 4]])*demonic_pact_oppair,0)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-0.95135135135135052</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4.3986486486486491</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5.405405405405405E-2</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2995</v>
      </c>
      <c r="C64" s="157">
        <f ca="1">TblPop[[#This Row],[Military%]]</f>
        <v>0.47897009435470972</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9150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2995</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2995</v>
      </c>
      <c r="X64" s="247">
        <f ca="1">TblConstr[[#This Row],[Land]]</f>
        <v>370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2995</v>
      </c>
      <c r="AB64" s="154"/>
      <c r="AC64" s="180">
        <f ca="1">(TblConstr[[#This Row],[Tot Smi]]+TblConstr[[#This Row],[Dest Smi]])/(TblConstr[[#This Row],[Land]]-TblExplore[[#This Row],[Land Bonus]]*20)</f>
        <v>0</v>
      </c>
      <c r="AD64" s="246"/>
      <c r="AE64" s="246">
        <f>TblMili[[#This Row],[Hour]]</f>
        <v>61</v>
      </c>
      <c r="AF64" s="138">
        <f ca="1">TblExplore[[#This Row],[Time]]</f>
        <v>45817.499999999854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982731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45817.499999999854</v>
      </c>
      <c r="AW64" s="94">
        <f ca="1">TblMili[[#This Row],[Draftees]]</f>
        <v>2995</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0.40540540540540543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2.0270270270270272</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2.0270270270270272</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1</v>
      </c>
      <c r="CM64" s="251">
        <f ca="1">IF(TblMagic[[#This Row],[Active Demonic Pact]]&gt;0,MIN(TblMili[[#This Row],[Unit 1]],TblMili[[#This Row],[Unit 4]])*demonic_pact_oppair,0)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-0.95135135135135052</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4.3986486486486491</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5.405405405405405E-2</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3028</v>
      </c>
      <c r="C65" s="157">
        <f ca="1">TblPop[[#This Row],[Military%]]</f>
        <v>0.48424756117063811</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9150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3028</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3028</v>
      </c>
      <c r="X65" s="247">
        <f ca="1">TblConstr[[#This Row],[Land]]</f>
        <v>370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3028</v>
      </c>
      <c r="AB65" s="154"/>
      <c r="AC65" s="180">
        <f ca="1">(TblConstr[[#This Row],[Tot Smi]]+TblConstr[[#This Row],[Dest Smi]])/(TblConstr[[#This Row],[Land]]-TblExplore[[#This Row],[Land Bonus]]*20)</f>
        <v>0</v>
      </c>
      <c r="AD65" s="137"/>
      <c r="AE65" s="246">
        <f>TblMili[[#This Row],[Hour]]</f>
        <v>62</v>
      </c>
      <c r="AF65" s="138">
        <f ca="1">TblExplore[[#This Row],[Time]]</f>
        <v>45817.541666666519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993777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45817.541666666519</v>
      </c>
      <c r="AW65" s="94">
        <f ca="1">TblMili[[#This Row],[Draftees]]</f>
        <v>3028</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0.40540540540540543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2.0270270270270272</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2.0270270270270272</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1</v>
      </c>
      <c r="CM65" s="251">
        <f ca="1">IF(TblMagic[[#This Row],[Active Demonic Pact]]&gt;0,MIN(TblMili[[#This Row],[Unit 1]],TblMili[[#This Row],[Unit 4]])*demonic_pact_oppair,0)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-0.95135135135135052</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4.3986486486486491</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5.405405405405405E-2</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3060</v>
      </c>
      <c r="C66" s="157">
        <f ca="1">TblPop[[#This Row],[Military%]]</f>
        <v>0.48936510474972011</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9150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3060</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3060</v>
      </c>
      <c r="X66" s="247">
        <f ca="1">TblConstr[[#This Row],[Land]]</f>
        <v>370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3060</v>
      </c>
      <c r="AB66" s="154"/>
      <c r="AC66" s="180">
        <f ca="1">(TblConstr[[#This Row],[Tot Smi]]+TblConstr[[#This Row],[Dest Smi]])/(TblConstr[[#This Row],[Land]]-TblExplore[[#This Row],[Land Bonus]]*20)</f>
        <v>0</v>
      </c>
      <c r="AD66" s="137"/>
      <c r="AE66" s="246">
        <f>TblMili[[#This Row],[Hour]]</f>
        <v>63</v>
      </c>
      <c r="AF66" s="138">
        <f ca="1">TblExplore[[#This Row],[Time]]</f>
        <v>45817.583333333183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1004734</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45817.583333333183</v>
      </c>
      <c r="AW66" s="94">
        <f ca="1">TblMili[[#This Row],[Draftees]]</f>
        <v>3060</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0.40540540540540543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2.0270270270270272</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2.0270270270270272</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1</v>
      </c>
      <c r="CM66" s="251">
        <f ca="1">IF(TblMagic[[#This Row],[Active Demonic Pact]]&gt;0,MIN(TblMili[[#This Row],[Unit 1]],TblMili[[#This Row],[Unit 4]])*demonic_pact_oppair,0)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-0.95135135135135052</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4.3986486486486491</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5.405405405405405E-2</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3092</v>
      </c>
      <c r="C67" s="157">
        <f ca="1">TblPop[[#This Row],[Military%]]</f>
        <v>0.49448264832880218</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9150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3092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3092</v>
      </c>
      <c r="X67" s="247">
        <f ca="1">TblConstr[[#This Row],[Land]]</f>
        <v>370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3092</v>
      </c>
      <c r="AB67" s="154"/>
      <c r="AC67" s="180">
        <f ca="1">(TblConstr[[#This Row],[Tot Smi]]+TblConstr[[#This Row],[Dest Smi]])/(TblConstr[[#This Row],[Land]]-TblExplore[[#This Row],[Land Bonus]]*20)</f>
        <v>0</v>
      </c>
      <c r="AD67" s="137"/>
      <c r="AE67" s="246">
        <f>TblMili[[#This Row],[Hour]]</f>
        <v>64</v>
      </c>
      <c r="AF67" s="138">
        <f ca="1">TblExplore[[#This Row],[Time]]</f>
        <v>45817.624999999847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1015605</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45817.624999999847</v>
      </c>
      <c r="AW67" s="94">
        <f ca="1">TblMili[[#This Row],[Draftees]]</f>
        <v>3092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0.40540540540540543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2.0270270270270272</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2.0270270270270272</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1</v>
      </c>
      <c r="CM67" s="251">
        <f ca="1">IF(TblMagic[[#This Row],[Active Demonic Pact]]&gt;0,MIN(TblMili[[#This Row],[Unit 1]],TblMili[[#This Row],[Unit 4]])*demonic_pact_oppair,0)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-0.95135135135135052</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4.3986486486486491</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5.405405405405405E-2</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3124</v>
      </c>
      <c r="C68" s="157">
        <f ca="1">TblPop[[#This Row],[Military%]]</f>
        <v>0.49960019190788424</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9150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3124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3124</v>
      </c>
      <c r="X68" s="247">
        <f ca="1">TblConstr[[#This Row],[Land]]</f>
        <v>370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3124</v>
      </c>
      <c r="AB68" s="154"/>
      <c r="AC68" s="180">
        <f ca="1">(TblConstr[[#This Row],[Tot Smi]]+TblConstr[[#This Row],[Dest Smi]])/(TblConstr[[#This Row],[Land]]-TblExplore[[#This Row],[Land Bonus]]*20)</f>
        <v>0</v>
      </c>
      <c r="AD68" s="137"/>
      <c r="AE68" s="246">
        <f>TblMili[[#This Row],[Hour]]</f>
        <v>65</v>
      </c>
      <c r="AF68" s="138">
        <f ca="1">TblExplore[[#This Row],[Time]]</f>
        <v>45817.666666666511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1026389</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45817.666666666511</v>
      </c>
      <c r="AW68" s="94">
        <f ca="1">TblMili[[#This Row],[Draftees]]</f>
        <v>3124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0.40540540540540543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2.0270270270270272</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2.0270270270270272</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1</v>
      </c>
      <c r="CM68" s="251">
        <f ca="1">IF(TblMagic[[#This Row],[Active Demonic Pact]]&gt;0,MIN(TblMili[[#This Row],[Unit 1]],TblMili[[#This Row],[Unit 4]])*demonic_pact_oppair,0)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-0.95135135135135052</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4.3986486486486491</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5.405405405405405E-2</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3155</v>
      </c>
      <c r="C69" s="157">
        <f ca="1">TblPop[[#This Row],[Military%]]</f>
        <v>0.50455781225011997</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9150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3155</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3155</v>
      </c>
      <c r="X69" s="247">
        <f ca="1">TblConstr[[#This Row],[Land]]</f>
        <v>370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3155</v>
      </c>
      <c r="AB69" s="154"/>
      <c r="AC69" s="180">
        <f ca="1">(TblConstr[[#This Row],[Tot Smi]]+TblConstr[[#This Row],[Dest Smi]])/(TblConstr[[#This Row],[Land]]-TblExplore[[#This Row],[Land Bonus]]*20)</f>
        <v>0</v>
      </c>
      <c r="AD69" s="137"/>
      <c r="AE69" s="246">
        <f>TblMili[[#This Row],[Hour]]</f>
        <v>66</v>
      </c>
      <c r="AF69" s="138">
        <f ca="1">TblExplore[[#This Row],[Time]]</f>
        <v>45817.708333333176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1037087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45817.708333333176</v>
      </c>
      <c r="AW69" s="94">
        <f ca="1">TblMili[[#This Row],[Draftees]]</f>
        <v>3155</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0.40540540540540543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2.0270270270270272</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2.0270270270270272</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1</v>
      </c>
      <c r="CM69" s="251">
        <f ca="1">IF(TblMagic[[#This Row],[Active Demonic Pact]]&gt;0,MIN(TblMili[[#This Row],[Unit 1]],TblMili[[#This Row],[Unit 4]])*demonic_pact_oppair,0)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-0.95135135135135052</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4.3986486486486491</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5.405405405405405E-2</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3186</v>
      </c>
      <c r="C70" s="157">
        <f ca="1">TblPop[[#This Row],[Military%]]</f>
        <v>0.50951543259235565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9150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3186</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3186</v>
      </c>
      <c r="X70" s="247">
        <f ca="1">TblConstr[[#This Row],[Land]]</f>
        <v>370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3186</v>
      </c>
      <c r="AB70" s="154"/>
      <c r="AC70" s="180">
        <f ca="1">(TblConstr[[#This Row],[Tot Smi]]+TblConstr[[#This Row],[Dest Smi]])/(TblConstr[[#This Row],[Land]]-TblExplore[[#This Row],[Land Bonus]]*20)</f>
        <v>0</v>
      </c>
      <c r="AD70" s="137"/>
      <c r="AE70" s="246">
        <f>TblMili[[#This Row],[Hour]]</f>
        <v>67</v>
      </c>
      <c r="AF70" s="138">
        <f ca="1">TblExplore[[#This Row],[Time]]</f>
        <v>45817.74999999984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1047701</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45817.74999999984</v>
      </c>
      <c r="AW70" s="94">
        <f ca="1">TblMili[[#This Row],[Draftees]]</f>
        <v>3186</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0.40540540540540543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2.0270270270270272</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2.0270270270270272</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1</v>
      </c>
      <c r="CM70" s="251">
        <f ca="1">IF(TblMagic[[#This Row],[Active Demonic Pact]]&gt;0,MIN(TblMili[[#This Row],[Unit 1]],TblMili[[#This Row],[Unit 4]])*demonic_pact_oppair,0)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-0.95135135135135052</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4.3986486486486491</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5.405405405405405E-2</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3217</v>
      </c>
      <c r="C71" s="157">
        <f ca="1">TblPop[[#This Row],[Military%]]</f>
        <v>0.51447305293459145</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9150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3217</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3217</v>
      </c>
      <c r="X71" s="247">
        <f ca="1">TblConstr[[#This Row],[Land]]</f>
        <v>370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3217</v>
      </c>
      <c r="AB71" s="154"/>
      <c r="AC71" s="180">
        <f ca="1">(TblConstr[[#This Row],[Tot Smi]]+TblConstr[[#This Row],[Dest Smi]])/(TblConstr[[#This Row],[Land]]-TblExplore[[#This Row],[Land Bonus]]*20)</f>
        <v>0</v>
      </c>
      <c r="AD71" s="137"/>
      <c r="AE71" s="246">
        <f>TblMili[[#This Row],[Hour]]</f>
        <v>68</v>
      </c>
      <c r="AF71" s="138">
        <f ca="1">TblExplore[[#This Row],[Time]]</f>
        <v>45817.791666666504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1058231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45817.791666666504</v>
      </c>
      <c r="AW71" s="94">
        <f ca="1">TblMili[[#This Row],[Draftees]]</f>
        <v>3217</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0.40540540540540543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2.0270270270270272</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2.0270270270270272</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1</v>
      </c>
      <c r="CM71" s="251">
        <f ca="1">IF(TblMagic[[#This Row],[Active Demonic Pact]]&gt;0,MIN(TblMili[[#This Row],[Unit 1]],TblMili[[#This Row],[Unit 4]])*demonic_pact_oppair,0)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-0.95135135135135052</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4.3986486486486491</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5.405405405405405E-2</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3247</v>
      </c>
      <c r="C72" s="157">
        <f ca="1">TblPop[[#This Row],[Military%]]</f>
        <v>0.5192707500399808</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9150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3247</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3247</v>
      </c>
      <c r="X72" s="247">
        <f ca="1">TblConstr[[#This Row],[Land]]</f>
        <v>370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3247</v>
      </c>
      <c r="AB72" s="154"/>
      <c r="AC72" s="180">
        <f ca="1">(TblConstr[[#This Row],[Tot Smi]]+TblConstr[[#This Row],[Dest Smi]])/(TblConstr[[#This Row],[Land]]-TblExplore[[#This Row],[Land Bonus]]*20)</f>
        <v>0</v>
      </c>
      <c r="AD72" s="137"/>
      <c r="AE72" s="246">
        <f>TblMili[[#This Row],[Hour]]</f>
        <v>69</v>
      </c>
      <c r="AF72" s="138">
        <f ca="1">TblExplore[[#This Row],[Time]]</f>
        <v>45817.833333333168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1068678</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45817.833333333168</v>
      </c>
      <c r="AW72" s="94">
        <f ca="1">TblMili[[#This Row],[Draftees]]</f>
        <v>3247</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0.40540540540540543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2.0270270270270272</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2.0270270270270272</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1</v>
      </c>
      <c r="CM72" s="251">
        <f ca="1">IF(TblMagic[[#This Row],[Active Demonic Pact]]&gt;0,MIN(TblMili[[#This Row],[Unit 1]],TblMili[[#This Row],[Unit 4]])*demonic_pact_oppair,0)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-0.95135135135135052</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4.3986486486486491</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5.405405405405405E-2</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3277</v>
      </c>
      <c r="C73" s="157">
        <f ca="1">TblPop[[#This Row],[Military%]]</f>
        <v>0.52406844714537026</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9150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3277</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3277</v>
      </c>
      <c r="X73" s="247">
        <f ca="1">TblConstr[[#This Row],[Land]]</f>
        <v>370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3277</v>
      </c>
      <c r="AB73" s="154"/>
      <c r="AC73" s="180">
        <f ca="1">(TblConstr[[#This Row],[Tot Smi]]+TblConstr[[#This Row],[Dest Smi]])/(TblConstr[[#This Row],[Land]]-TblExplore[[#This Row],[Land Bonus]]*20)</f>
        <v>0</v>
      </c>
      <c r="AD73" s="137"/>
      <c r="AE73" s="246">
        <f>TblMili[[#This Row],[Hour]]</f>
        <v>70</v>
      </c>
      <c r="AF73" s="138">
        <f ca="1">TblExplore[[#This Row],[Time]]</f>
        <v>45817.874999999833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1079044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45817.874999999833</v>
      </c>
      <c r="AW73" s="94">
        <f ca="1">TblMili[[#This Row],[Draftees]]</f>
        <v>3277</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0.40540540540540543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2.0270270270270272</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2.0270270270270272</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1</v>
      </c>
      <c r="CM73" s="251">
        <f ca="1">IF(TblMagic[[#This Row],[Active Demonic Pact]]&gt;0,MIN(TblMili[[#This Row],[Unit 1]],TblMili[[#This Row],[Unit 4]])*demonic_pact_oppair,0)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-0.95135135135135052</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4.3986486486486491</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5.405405405405405E-2</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3307</v>
      </c>
      <c r="C74" s="157">
        <f ca="1">TblPop[[#This Row],[Military%]]</f>
        <v>0.52886614425075962</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9150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3307</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3307</v>
      </c>
      <c r="X74" s="247">
        <f ca="1">TblConstr[[#This Row],[Land]]</f>
        <v>370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3307</v>
      </c>
      <c r="AB74" s="154"/>
      <c r="AC74" s="180">
        <f ca="1">(TblConstr[[#This Row],[Tot Smi]]+TblConstr[[#This Row],[Dest Smi]])/(TblConstr[[#This Row],[Land]]-TblExplore[[#This Row],[Land Bonus]]*20)</f>
        <v>0</v>
      </c>
      <c r="AD74" s="137"/>
      <c r="AE74" s="246">
        <f>TblMili[[#This Row],[Hour]]</f>
        <v>71</v>
      </c>
      <c r="AF74" s="138">
        <f ca="1">TblExplore[[#This Row],[Time]]</f>
        <v>45817.916666666497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1089329</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45817.916666666497</v>
      </c>
      <c r="AW74" s="94">
        <f ca="1">TblMili[[#This Row],[Draftees]]</f>
        <v>3307</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0.40540540540540543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2.0270270270270272</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2.0270270270270272</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1</v>
      </c>
      <c r="CM74" s="251">
        <f ca="1">IF(TblMagic[[#This Row],[Active Demonic Pact]]&gt;0,MIN(TblMili[[#This Row],[Unit 1]],TblMili[[#This Row],[Unit 4]])*demonic_pact_oppair,0)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-0.95135135135135052</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4.3986486486486491</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5.405405405405405E-2</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3336</v>
      </c>
      <c r="C75" s="157">
        <f ca="1">TblPop[[#This Row],[Military%]]</f>
        <v>0.53350391811930276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9150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3336</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3336</v>
      </c>
      <c r="X75" s="247">
        <f ca="1">TblConstr[[#This Row],[Land]]</f>
        <v>370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3336</v>
      </c>
      <c r="AB75" s="154"/>
      <c r="AC75" s="180">
        <f ca="1">(TblConstr[[#This Row],[Tot Smi]]+TblConstr[[#This Row],[Dest Smi]])/(TblConstr[[#This Row],[Land]]-TblExplore[[#This Row],[Land Bonus]]*20)</f>
        <v>0</v>
      </c>
      <c r="AD75" s="137"/>
      <c r="AE75" s="246">
        <f>TblMili[[#This Row],[Hour]]</f>
        <v>72</v>
      </c>
      <c r="AF75" s="138">
        <f ca="1">TblExplore[[#This Row],[Time]]</f>
        <v>45817.958333333161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1099533</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45817.958333333161</v>
      </c>
      <c r="AW75" s="94">
        <f ca="1">TblMili[[#This Row],[Draftees]]</f>
        <v>3336</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0.40540540540540543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2.0270270270270272</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2.0270270270270272</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1</v>
      </c>
      <c r="CM75" s="251">
        <f ca="1">IF(TblMagic[[#This Row],[Active Demonic Pact]]&gt;0,MIN(TblMili[[#This Row],[Unit 1]],TblMili[[#This Row],[Unit 4]])*demonic_pact_oppair,0)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-0.95135135135135052</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4.3986486486486491</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5.405405405405405E-2</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3365</v>
      </c>
      <c r="C76" s="442">
        <f ca="1">TblPop[[#This Row],[Military%]]</f>
        <v>0.53814169198784578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9150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3365</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3365</v>
      </c>
      <c r="X76" s="443">
        <f ca="1">TblConstr[[#This Row],[Land]]</f>
        <v>370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3365</v>
      </c>
      <c r="AB76" s="154"/>
      <c r="AC76" s="429">
        <f ca="1">(TblConstr[[#This Row],[Tot Smi]]+TblConstr[[#This Row],[Dest Smi]])/(TblConstr[[#This Row],[Land]]-TblExplore[[#This Row],[Land Bonus]]*20)</f>
        <v>0</v>
      </c>
      <c r="AD76" s="137"/>
      <c r="AE76" s="246">
        <f>TblMili[[#This Row],[Hour]]</f>
        <v>73</v>
      </c>
      <c r="AF76" s="138">
        <f ca="1">TblExplore[[#This Row],[Time]]</f>
        <v>45817.999999999825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1109658</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45817.999999999825</v>
      </c>
      <c r="AW76" s="430">
        <f ca="1">TblMili[[#This Row],[Draftees]]</f>
        <v>3365</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0.40540540540540543</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2.0270270270270272</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2.0270270270270272</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1</v>
      </c>
      <c r="CM76" s="447">
        <f ca="1">IF(TblMagic[[#This Row],[Active Demonic Pact]]&gt;0,MIN(TblMili[[#This Row],[Unit 1]],TblMili[[#This Row],[Unit 4]])*demonic_pact_oppair,0)</f>
        <v>0</v>
      </c>
      <c r="CN76" s="252"/>
      <c r="CO76" s="252"/>
      <c r="CP76" s="252"/>
      <c r="CQ76" s="447">
        <f ca="1">MIN(6,TblMili[[#This Row],[Mystic]]+Races!$F$19)*1.8 +  IF(TblMili[[#This Row],[Mystic]]+Races!$F$19&gt;6,(TblMili[[#This Row],[Mystic]]+Races!$F$19-6)*0.2,0) - Races!$I$19</f>
        <v>1</v>
      </c>
      <c r="CR76" s="447">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8">
        <f ca="1">MIN(6,TblMili[[#This Row],[Dryad]]+Races!$F$35)*1.8 +  IF(TblMili[[#This Row],[Dryad]]+Races!$F$35&gt;6,(TblMili[[#This Row],[Dryad]]+Races!$F$35-6)*0.2,0) - Races!$I$19</f>
        <v>-0.95135135135135052</v>
      </c>
      <c r="CU76" s="430">
        <f ca="1">sylvan*(TblMili[[#This Row],[Mystic bonus]]*TblMili[[#This Row],[Unit 3]])</f>
        <v>0</v>
      </c>
      <c r="CV76" s="448">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8">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8">
        <f ca="1">1.8 * MIN(MAX(TblMili[[#This Row],[Frost Mage]]+Races!$F$71,Races!$E$71),6)  +  0.45 * MIN(MIN(TblMili[[#This Row],[Frost Mage]]+Races!$F$71,Races!$E$71),6)  +  0.2 * ( MAX(TblMili[[#This Row],[Frost Mage]]+Races!$F$71-6,0) + MAX(Races!$E$71-6,0) )  -  Races!$I$71</f>
        <v>4.3986486486486491</v>
      </c>
      <c r="DA76" s="448">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5.405405405405405E-2</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3394</v>
      </c>
      <c r="C77" s="157">
        <f ca="1">TblPop[[#This Row],[Military%]]</f>
        <v>0.54277946585638892</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9150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3394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3394</v>
      </c>
      <c r="X77" s="247">
        <f ca="1">TblConstr[[#This Row],[Land]]</f>
        <v>370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3394</v>
      </c>
      <c r="AB77" s="154"/>
      <c r="AC77" s="180">
        <f ca="1">(TblConstr[[#This Row],[Tot Smi]]+TblConstr[[#This Row],[Dest Smi]])/(TblConstr[[#This Row],[Land]]-TblExplore[[#This Row],[Land Bonus]]*20)</f>
        <v>0</v>
      </c>
      <c r="AD77" s="137"/>
      <c r="AE77" s="246">
        <f>TblMili[[#This Row],[Hour]]</f>
        <v>74</v>
      </c>
      <c r="AF77" s="138">
        <f ca="1">TblExplore[[#This Row],[Time]]</f>
        <v>45818.04166666649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1119705</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45818.04166666649</v>
      </c>
      <c r="AW77" s="94">
        <f ca="1">TblMili[[#This Row],[Draftees]]</f>
        <v>3394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0.40540540540540543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2.0270270270270272</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2.0270270270270272</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1</v>
      </c>
      <c r="CM77" s="251">
        <f ca="1">IF(TblMagic[[#This Row],[Active Demonic Pact]]&gt;0,MIN(TblMili[[#This Row],[Unit 1]],TblMili[[#This Row],[Unit 4]])*demonic_pact_oppair,0)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-0.95135135135135052</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4.3986486486486491</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5.405405405405405E-2</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3423</v>
      </c>
      <c r="C78" s="157">
        <f ca="1">TblPop[[#This Row],[Military%]]</f>
        <v>0.54741723972493206</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9150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3423</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3423</v>
      </c>
      <c r="X78" s="247">
        <f ca="1">TblConstr[[#This Row],[Land]]</f>
        <v>370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3423</v>
      </c>
      <c r="AB78" s="154"/>
      <c r="AC78" s="180">
        <f ca="1">(TblConstr[[#This Row],[Tot Smi]]+TblConstr[[#This Row],[Dest Smi]])/(TblConstr[[#This Row],[Land]]-TblExplore[[#This Row],[Land Bonus]]*20)</f>
        <v>0</v>
      </c>
      <c r="AD78" s="137"/>
      <c r="AE78" s="246">
        <f>TblMili[[#This Row],[Hour]]</f>
        <v>75</v>
      </c>
      <c r="AF78" s="138">
        <f ca="1">TblExplore[[#This Row],[Time]]</f>
        <v>45818.083333333154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1129674</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45818.083333333154</v>
      </c>
      <c r="AW78" s="94">
        <f ca="1">TblMili[[#This Row],[Draftees]]</f>
        <v>3423</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0.40540540540540543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2.0270270270270272</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2.0270270270270272</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1</v>
      </c>
      <c r="CM78" s="251">
        <f ca="1">IF(TblMagic[[#This Row],[Active Demonic Pact]]&gt;0,MIN(TblMili[[#This Row],[Unit 1]],TblMili[[#This Row],[Unit 4]])*demonic_pact_oppair,0)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-0.95135135135135052</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4.3986486486486491</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5.405405405405405E-2</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3451</v>
      </c>
      <c r="C79" s="157">
        <f ca="1">TblPop[[#This Row],[Military%]]</f>
        <v>0.55189509035662887</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9150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3451</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3451</v>
      </c>
      <c r="X79" s="247">
        <f ca="1">TblConstr[[#This Row],[Land]]</f>
        <v>370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3451</v>
      </c>
      <c r="AB79" s="154"/>
      <c r="AC79" s="180">
        <f ca="1">(TblConstr[[#This Row],[Tot Smi]]+TblConstr[[#This Row],[Dest Smi]])/(TblConstr[[#This Row],[Land]]-TblExplore[[#This Row],[Land Bonus]]*20)</f>
        <v>0</v>
      </c>
      <c r="AD79" s="137"/>
      <c r="AE79" s="246">
        <f>TblMili[[#This Row],[Hour]]</f>
        <v>76</v>
      </c>
      <c r="AF79" s="138">
        <f ca="1">TblExplore[[#This Row],[Time]]</f>
        <v>45818.124999999818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1139565</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45818.124999999818</v>
      </c>
      <c r="AW79" s="94">
        <f ca="1">TblMili[[#This Row],[Draftees]]</f>
        <v>3451</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0.40540540540540543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2.0270270270270272</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2.0270270270270272</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1</v>
      </c>
      <c r="CM79" s="251">
        <f ca="1">IF(TblMagic[[#This Row],[Active Demonic Pact]]&gt;0,MIN(TblMili[[#This Row],[Unit 1]],TblMili[[#This Row],[Unit 4]])*demonic_pact_oppair,0)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-0.95135135135135052</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4.3986486486486491</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5.405405405405405E-2</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3479</v>
      </c>
      <c r="C80" s="157">
        <f ca="1">TblPop[[#This Row],[Military%]]</f>
        <v>0.55637294098832557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9150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3479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3479</v>
      </c>
      <c r="X80" s="247">
        <f ca="1">TblConstr[[#This Row],[Land]]</f>
        <v>370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3479</v>
      </c>
      <c r="AB80" s="154"/>
      <c r="AC80" s="180">
        <f ca="1">(TblConstr[[#This Row],[Tot Smi]]+TblConstr[[#This Row],[Dest Smi]])/(TblConstr[[#This Row],[Land]]-TblExplore[[#This Row],[Land Bonus]]*20)</f>
        <v>0</v>
      </c>
      <c r="AD80" s="137"/>
      <c r="AE80" s="246">
        <f>TblMili[[#This Row],[Hour]]</f>
        <v>77</v>
      </c>
      <c r="AF80" s="138">
        <f ca="1">TblExplore[[#This Row],[Time]]</f>
        <v>45818.166666666482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1149380</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45818.166666666482</v>
      </c>
      <c r="AW80" s="94">
        <f ca="1">TblMili[[#This Row],[Draftees]]</f>
        <v>3479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0.40540540540540543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2.0270270270270272</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2.0270270270270272</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1</v>
      </c>
      <c r="CM80" s="251">
        <f ca="1">IF(TblMagic[[#This Row],[Active Demonic Pact]]&gt;0,MIN(TblMili[[#This Row],[Unit 1]],TblMili[[#This Row],[Unit 4]])*demonic_pact_oppair,0)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-0.95135135135135052</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4.3986486486486491</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5.405405405405405E-2</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3507</v>
      </c>
      <c r="C81" s="157">
        <f ca="1">TblPop[[#This Row],[Military%]]</f>
        <v>0.56085079162002238</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9150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3507</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3507</v>
      </c>
      <c r="X81" s="247">
        <f ca="1">TblConstr[[#This Row],[Land]]</f>
        <v>370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3507</v>
      </c>
      <c r="AB81" s="154"/>
      <c r="AC81" s="180">
        <f ca="1">(TblConstr[[#This Row],[Tot Smi]]+TblConstr[[#This Row],[Dest Smi]])/(TblConstr[[#This Row],[Land]]-TblExplore[[#This Row],[Land Bonus]]*20)</f>
        <v>0</v>
      </c>
      <c r="AD81" s="137"/>
      <c r="AE81" s="246">
        <f>TblMili[[#This Row],[Hour]]</f>
        <v>78</v>
      </c>
      <c r="AF81" s="138">
        <f ca="1">TblExplore[[#This Row],[Time]]</f>
        <v>45818.208333333147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1159119</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45818.208333333147</v>
      </c>
      <c r="AW81" s="94">
        <f ca="1">TblMili[[#This Row],[Draftees]]</f>
        <v>3507</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0.40540540540540543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2.0270270270270272</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2.0270270270270272</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1</v>
      </c>
      <c r="CM81" s="251">
        <f ca="1">IF(TblMagic[[#This Row],[Active Demonic Pact]]&gt;0,MIN(TblMili[[#This Row],[Unit 1]],TblMili[[#This Row],[Unit 4]])*demonic_pact_oppair,0)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-0.95135135135135052</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4.3986486486486491</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5.405405405405405E-2</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3534</v>
      </c>
      <c r="C82" s="157">
        <f ca="1">TblPop[[#This Row],[Military%]]</f>
        <v>0.56516871901487287</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9150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3534</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3534</v>
      </c>
      <c r="X82" s="247">
        <f ca="1">TblConstr[[#This Row],[Land]]</f>
        <v>370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3534</v>
      </c>
      <c r="AB82" s="154"/>
      <c r="AC82" s="180">
        <f ca="1">(TblConstr[[#This Row],[Tot Smi]]+TblConstr[[#This Row],[Dest Smi]])/(TblConstr[[#This Row],[Land]]-TblExplore[[#This Row],[Land Bonus]]*20)</f>
        <v>0</v>
      </c>
      <c r="AD82" s="137"/>
      <c r="AE82" s="246">
        <f>TblMili[[#This Row],[Hour]]</f>
        <v>79</v>
      </c>
      <c r="AF82" s="138">
        <f ca="1">TblExplore[[#This Row],[Time]]</f>
        <v>45818.249999999811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1168783</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45818.249999999811</v>
      </c>
      <c r="AW82" s="94">
        <f ca="1">TblMili[[#This Row],[Draftees]]</f>
        <v>3534</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0.40540540540540543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2.0270270270270272</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2.0270270270270272</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1</v>
      </c>
      <c r="CM82" s="251">
        <f ca="1">IF(TblMagic[[#This Row],[Active Demonic Pact]]&gt;0,MIN(TblMili[[#This Row],[Unit 1]],TblMili[[#This Row],[Unit 4]])*demonic_pact_oppair,0)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-0.95135135135135052</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4.3986486486486491</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5.405405405405405E-2</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3561</v>
      </c>
      <c r="C83" s="157">
        <f ca="1">TblPop[[#This Row],[Military%]]</f>
        <v>0.56948664640972335</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9150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3561</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3561</v>
      </c>
      <c r="X83" s="247">
        <f ca="1">TblConstr[[#This Row],[Land]]</f>
        <v>370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3561</v>
      </c>
      <c r="AB83" s="154"/>
      <c r="AC83" s="180">
        <f ca="1">(TblConstr[[#This Row],[Tot Smi]]+TblConstr[[#This Row],[Dest Smi]])/(TblConstr[[#This Row],[Land]]-TblExplore[[#This Row],[Land Bonus]]*20)</f>
        <v>0</v>
      </c>
      <c r="AD83" s="137"/>
      <c r="AE83" s="246">
        <f>TblMili[[#This Row],[Hour]]</f>
        <v>80</v>
      </c>
      <c r="AF83" s="138">
        <f ca="1">TblExplore[[#This Row],[Time]]</f>
        <v>45818.291666666475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1178374</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45818.291666666475</v>
      </c>
      <c r="AW83" s="94">
        <f ca="1">TblMili[[#This Row],[Draftees]]</f>
        <v>3561</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0.40540540540540543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2.0270270270270272</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2.0270270270270272</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1</v>
      </c>
      <c r="CM83" s="251">
        <f ca="1">IF(TblMagic[[#This Row],[Active Demonic Pact]]&gt;0,MIN(TblMili[[#This Row],[Unit 1]],TblMili[[#This Row],[Unit 4]])*demonic_pact_oppair,0)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-0.95135135135135052</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4.3986486486486491</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5.405405405405405E-2</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3588</v>
      </c>
      <c r="C84" s="157">
        <f ca="1">TblPop[[#This Row],[Military%]]</f>
        <v>0.57380457380457384</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9150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3588</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3588</v>
      </c>
      <c r="X84" s="247">
        <f ca="1">TblConstr[[#This Row],[Land]]</f>
        <v>370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3588</v>
      </c>
      <c r="AB84" s="154"/>
      <c r="AC84" s="180">
        <f ca="1">(TblConstr[[#This Row],[Tot Smi]]+TblConstr[[#This Row],[Dest Smi]])/(TblConstr[[#This Row],[Land]]-TblExplore[[#This Row],[Land Bonus]]*20)</f>
        <v>0</v>
      </c>
      <c r="AD84" s="137"/>
      <c r="AE84" s="246">
        <f>TblMili[[#This Row],[Hour]]</f>
        <v>81</v>
      </c>
      <c r="AF84" s="138">
        <f ca="1">TblExplore[[#This Row],[Time]]</f>
        <v>45818.333333333139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1187892</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45818.333333333139</v>
      </c>
      <c r="AW84" s="94">
        <f ca="1">TblMili[[#This Row],[Draftees]]</f>
        <v>3588</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0.40540540540540543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2.0270270270270272</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2.0270270270270272</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1</v>
      </c>
      <c r="CM84" s="251">
        <f ca="1">IF(TblMagic[[#This Row],[Active Demonic Pact]]&gt;0,MIN(TblMili[[#This Row],[Unit 1]],TblMili[[#This Row],[Unit 4]])*demonic_pact_oppair,0)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-0.95135135135135052</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4.3986486486486491</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5.405405405405405E-2</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3615</v>
      </c>
      <c r="C85" s="157">
        <f ca="1">TblPop[[#This Row],[Military%]]</f>
        <v>0.57812250119942432</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9150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3615</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3615</v>
      </c>
      <c r="X85" s="247">
        <f ca="1">TblConstr[[#This Row],[Land]]</f>
        <v>370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3615</v>
      </c>
      <c r="AB85" s="154"/>
      <c r="AC85" s="180">
        <f ca="1">(TblConstr[[#This Row],[Tot Smi]]+TblConstr[[#This Row],[Dest Smi]])/(TblConstr[[#This Row],[Land]]-TblExplore[[#This Row],[Land Bonus]]*20)</f>
        <v>0</v>
      </c>
      <c r="AD85" s="137"/>
      <c r="AE85" s="246">
        <f>TblMili[[#This Row],[Hour]]</f>
        <v>82</v>
      </c>
      <c r="AF85" s="138">
        <f ca="1">TblExplore[[#This Row],[Time]]</f>
        <v>45818.374999999804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1197337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45818.374999999804</v>
      </c>
      <c r="AW85" s="94">
        <f ca="1">TblMili[[#This Row],[Draftees]]</f>
        <v>3615</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0.40540540540540543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2.0270270270270272</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2.0270270270270272</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1</v>
      </c>
      <c r="CM85" s="251">
        <f ca="1">IF(TblMagic[[#This Row],[Active Demonic Pact]]&gt;0,MIN(TblMili[[#This Row],[Unit 1]],TblMili[[#This Row],[Unit 4]])*demonic_pact_oppair,0)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-0.95135135135135052</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4.3986486486486491</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5.405405405405405E-2</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3641</v>
      </c>
      <c r="C86" s="157">
        <f ca="1">TblPop[[#This Row],[Military%]]</f>
        <v>0.58228050535742848</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9150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3641</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3641</v>
      </c>
      <c r="X86" s="247">
        <f ca="1">TblConstr[[#This Row],[Land]]</f>
        <v>370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3641</v>
      </c>
      <c r="AB86" s="154"/>
      <c r="AC86" s="180">
        <f ca="1">(TblConstr[[#This Row],[Tot Smi]]+TblConstr[[#This Row],[Dest Smi]])/(TblConstr[[#This Row],[Land]]-TblExplore[[#This Row],[Land Bonus]]*20)</f>
        <v>0</v>
      </c>
      <c r="AD86" s="137"/>
      <c r="AE86" s="246">
        <f>TblMili[[#This Row],[Hour]]</f>
        <v>83</v>
      </c>
      <c r="AF86" s="138">
        <f ca="1">TblExplore[[#This Row],[Time]]</f>
        <v>45818.416666666468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1206709</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45818.416666666468</v>
      </c>
      <c r="AW86" s="94">
        <f ca="1">TblMili[[#This Row],[Draftees]]</f>
        <v>3641</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0.40540540540540543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2.0270270270270272</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2.0270270270270272</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1</v>
      </c>
      <c r="CM86" s="251">
        <f ca="1">IF(TblMagic[[#This Row],[Active Demonic Pact]]&gt;0,MIN(TblMili[[#This Row],[Unit 1]],TblMili[[#This Row],[Unit 4]])*demonic_pact_oppair,0)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-0.95135135135135052</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4.3986486486486491</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5.405405405405405E-2</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3667</v>
      </c>
      <c r="C87" s="157">
        <f ca="1">TblPop[[#This Row],[Military%]]</f>
        <v>0.58643850951543264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9150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3667</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3667</v>
      </c>
      <c r="X87" s="247">
        <f ca="1">TblConstr[[#This Row],[Land]]</f>
        <v>370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3667</v>
      </c>
      <c r="AB87" s="154"/>
      <c r="AC87" s="180">
        <f ca="1">(TblConstr[[#This Row],[Tot Smi]]+TblConstr[[#This Row],[Dest Smi]])/(TblConstr[[#This Row],[Land]]-TblExplore[[#This Row],[Land Bonus]]*20)</f>
        <v>0</v>
      </c>
      <c r="AD87" s="137"/>
      <c r="AE87" s="246">
        <f>TblMili[[#This Row],[Hour]]</f>
        <v>84</v>
      </c>
      <c r="AF87" s="138">
        <f ca="1">TblExplore[[#This Row],[Time]]</f>
        <v>45818.458333333132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1216011</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45818.458333333132</v>
      </c>
      <c r="AW87" s="94">
        <f ca="1">TblMili[[#This Row],[Draftees]]</f>
        <v>3667</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0.40540540540540543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2.0270270270270272</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2.0270270270270272</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1</v>
      </c>
      <c r="CM87" s="251">
        <f ca="1">IF(TblMagic[[#This Row],[Active Demonic Pact]]&gt;0,MIN(TblMili[[#This Row],[Unit 1]],TblMili[[#This Row],[Unit 4]])*demonic_pact_oppair,0)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-0.95135135135135052</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4.3986486486486491</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5.405405405405405E-2</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3693</v>
      </c>
      <c r="C88" s="157">
        <f ca="1">TblPop[[#This Row],[Military%]]</f>
        <v>0.5905965136734368</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9150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3693</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3693</v>
      </c>
      <c r="X88" s="247">
        <f ca="1">TblConstr[[#This Row],[Land]]</f>
        <v>370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3693</v>
      </c>
      <c r="AB88" s="154"/>
      <c r="AC88" s="180">
        <f ca="1">(TblConstr[[#This Row],[Tot Smi]]+TblConstr[[#This Row],[Dest Smi]])/(TblConstr[[#This Row],[Land]]-TblExplore[[#This Row],[Land Bonus]]*20)</f>
        <v>0</v>
      </c>
      <c r="AD88" s="246"/>
      <c r="AE88" s="246">
        <f>TblMili[[#This Row],[Hour]]</f>
        <v>85</v>
      </c>
      <c r="AF88" s="138">
        <f ca="1">TblExplore[[#This Row],[Time]]</f>
        <v>45818.499999999796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1225243</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45818.499999999796</v>
      </c>
      <c r="AW88" s="94">
        <f ca="1">TblMili[[#This Row],[Draftees]]</f>
        <v>3693</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0.40540540540540543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2.0270270270270272</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2.0270270270270272</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1</v>
      </c>
      <c r="CM88" s="251">
        <f ca="1">IF(TblMagic[[#This Row],[Active Demonic Pact]]&gt;0,MIN(TblMili[[#This Row],[Unit 1]],TblMili[[#This Row],[Unit 4]])*demonic_pact_oppair,0)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-0.95135135135135052</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4.3986486486486491</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5.405405405405405E-2</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3719</v>
      </c>
      <c r="C89" s="157">
        <f ca="1">TblPop[[#This Row],[Military%]]</f>
        <v>0.59475451783144095</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9150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3719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3719</v>
      </c>
      <c r="X89" s="247">
        <f ca="1">TblConstr[[#This Row],[Land]]</f>
        <v>370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3719</v>
      </c>
      <c r="AB89" s="154"/>
      <c r="AC89" s="180">
        <f ca="1">(TblConstr[[#This Row],[Tot Smi]]+TblConstr[[#This Row],[Dest Smi]])/(TblConstr[[#This Row],[Land]]-TblExplore[[#This Row],[Land Bonus]]*20)</f>
        <v>0</v>
      </c>
      <c r="AD89" s="137"/>
      <c r="AE89" s="246">
        <f>TblMili[[#This Row],[Hour]]</f>
        <v>86</v>
      </c>
      <c r="AF89" s="138">
        <f ca="1">TblExplore[[#This Row],[Time]]</f>
        <v>45818.541666666461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1234405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45818.541666666461</v>
      </c>
      <c r="AW89" s="94">
        <f ca="1">TblMili[[#This Row],[Draftees]]</f>
        <v>3719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0.40540540540540543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2.0270270270270272</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2.0270270270270272</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1</v>
      </c>
      <c r="CM89" s="251">
        <f ca="1">IF(TblMagic[[#This Row],[Active Demonic Pact]]&gt;0,MIN(TblMili[[#This Row],[Unit 1]],TblMili[[#This Row],[Unit 4]])*demonic_pact_oppair,0)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-0.95135135135135052</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4.3986486486486491</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5.405405405405405E-2</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3744</v>
      </c>
      <c r="C90" s="157">
        <f ca="1">TblPop[[#This Row],[Military%]]</f>
        <v>0.59875259875259879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9150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3744</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3744</v>
      </c>
      <c r="X90" s="247">
        <f ca="1">TblConstr[[#This Row],[Land]]</f>
        <v>370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3744</v>
      </c>
      <c r="AB90" s="154"/>
      <c r="AC90" s="180">
        <f ca="1">(TblConstr[[#This Row],[Tot Smi]]+TblConstr[[#This Row],[Dest Smi]])/(TblConstr[[#This Row],[Land]]-TblExplore[[#This Row],[Land Bonus]]*20)</f>
        <v>0</v>
      </c>
      <c r="AD90" s="137"/>
      <c r="AE90" s="246">
        <f>TblMili[[#This Row],[Hour]]</f>
        <v>87</v>
      </c>
      <c r="AF90" s="138">
        <f ca="1">TblExplore[[#This Row],[Time]]</f>
        <v>45818.583333333125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1243496</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45818.583333333125</v>
      </c>
      <c r="AW90" s="94">
        <f ca="1">TblMili[[#This Row],[Draftees]]</f>
        <v>3744</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0.40540540540540543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2.0270270270270272</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2.0270270270270272</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1</v>
      </c>
      <c r="CM90" s="251">
        <f ca="1">IF(TblMagic[[#This Row],[Active Demonic Pact]]&gt;0,MIN(TblMili[[#This Row],[Unit 1]],TblMili[[#This Row],[Unit 4]])*demonic_pact_oppair,0)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-0.95135135135135052</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4.3986486486486491</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5.405405405405405E-2</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3769</v>
      </c>
      <c r="C91" s="157">
        <f ca="1">TblPop[[#This Row],[Military%]]</f>
        <v>0.60275067967375662</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9150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3769</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3769</v>
      </c>
      <c r="X91" s="247">
        <f ca="1">TblConstr[[#This Row],[Land]]</f>
        <v>370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3769</v>
      </c>
      <c r="AB91" s="154"/>
      <c r="AC91" s="180">
        <f ca="1">(TblConstr[[#This Row],[Tot Smi]]+TblConstr[[#This Row],[Dest Smi]])/(TblConstr[[#This Row],[Land]]-TblExplore[[#This Row],[Land Bonus]]*20)</f>
        <v>0</v>
      </c>
      <c r="AD91" s="137"/>
      <c r="AE91" s="246">
        <f>TblMili[[#This Row],[Hour]]</f>
        <v>88</v>
      </c>
      <c r="AF91" s="138">
        <f ca="1">TblExplore[[#This Row],[Time]]</f>
        <v>45818.624999999789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1252520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45818.624999999789</v>
      </c>
      <c r="AW91" s="94">
        <f ca="1">TblMili[[#This Row],[Draftees]]</f>
        <v>3769</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0.40540540540540543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2.0270270270270272</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2.0270270270270272</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1</v>
      </c>
      <c r="CM91" s="251">
        <f ca="1">IF(TblMagic[[#This Row],[Active Demonic Pact]]&gt;0,MIN(TblMili[[#This Row],[Unit 1]],TblMili[[#This Row],[Unit 4]])*demonic_pact_oppair,0)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-0.95135135135135052</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4.3986486486486491</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5.405405405405405E-2</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3794</v>
      </c>
      <c r="C92" s="157">
        <f ca="1">TblPop[[#This Row],[Military%]]</f>
        <v>0.60674876059491445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9150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3794</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3794</v>
      </c>
      <c r="X92" s="247">
        <f ca="1">TblConstr[[#This Row],[Land]]</f>
        <v>370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3794</v>
      </c>
      <c r="AB92" s="154"/>
      <c r="AC92" s="180">
        <f ca="1">(TblConstr[[#This Row],[Tot Smi]]+TblConstr[[#This Row],[Dest Smi]])/(TblConstr[[#This Row],[Land]]-TblExplore[[#This Row],[Land Bonus]]*20)</f>
        <v>0</v>
      </c>
      <c r="AD92" s="137"/>
      <c r="AE92" s="246">
        <f>TblMili[[#This Row],[Hour]]</f>
        <v>89</v>
      </c>
      <c r="AF92" s="138">
        <f ca="1">TblExplore[[#This Row],[Time]]</f>
        <v>45818.666666666453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1261476</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45818.666666666453</v>
      </c>
      <c r="AW92" s="94">
        <f ca="1">TblMili[[#This Row],[Draftees]]</f>
        <v>3794</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0.40540540540540543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2.0270270270270272</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2.0270270270270272</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1</v>
      </c>
      <c r="CM92" s="251">
        <f ca="1">IF(TblMagic[[#This Row],[Active Demonic Pact]]&gt;0,MIN(TblMili[[#This Row],[Unit 1]],TblMili[[#This Row],[Unit 4]])*demonic_pact_oppair,0)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-0.95135135135135052</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4.3986486486486491</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5.405405405405405E-2</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3819</v>
      </c>
      <c r="C93" s="157">
        <f ca="1">TblPop[[#This Row],[Military%]]</f>
        <v>0.61074684151607228</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9150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3819</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3819</v>
      </c>
      <c r="X93" s="247">
        <f ca="1">TblConstr[[#This Row],[Land]]</f>
        <v>370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3819</v>
      </c>
      <c r="AB93" s="154"/>
      <c r="AC93" s="180">
        <f ca="1">(TblConstr[[#This Row],[Tot Smi]]+TblConstr[[#This Row],[Dest Smi]])/(TblConstr[[#This Row],[Land]]-TblExplore[[#This Row],[Land Bonus]]*20)</f>
        <v>0</v>
      </c>
      <c r="AD93" s="137"/>
      <c r="AE93" s="246">
        <f>TblMili[[#This Row],[Hour]]</f>
        <v>90</v>
      </c>
      <c r="AF93" s="138">
        <f ca="1">TblExplore[[#This Row],[Time]]</f>
        <v>45818.708333333117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1270365</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45818.708333333117</v>
      </c>
      <c r="AW93" s="94">
        <f ca="1">TblMili[[#This Row],[Draftees]]</f>
        <v>3819</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0.40540540540540543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2.0270270270270272</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2.0270270270270272</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1</v>
      </c>
      <c r="CM93" s="251">
        <f ca="1">IF(TblMagic[[#This Row],[Active Demonic Pact]]&gt;0,MIN(TblMili[[#This Row],[Unit 1]],TblMili[[#This Row],[Unit 4]])*demonic_pact_oppair,0)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-0.95135135135135052</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4.3986486486486491</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5.405405405405405E-2</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3843</v>
      </c>
      <c r="C94" s="157">
        <f ca="1">TblPop[[#This Row],[Military%]]</f>
        <v>0.61458499920038379</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9150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3843</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3843</v>
      </c>
      <c r="X94" s="247">
        <f ca="1">TblConstr[[#This Row],[Land]]</f>
        <v>370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3843</v>
      </c>
      <c r="AB94" s="154"/>
      <c r="AC94" s="180">
        <f ca="1">(TblConstr[[#This Row],[Tot Smi]]+TblConstr[[#This Row],[Dest Smi]])/(TblConstr[[#This Row],[Land]]-TblExplore[[#This Row],[Land Bonus]]*20)</f>
        <v>0</v>
      </c>
      <c r="AD94" s="137"/>
      <c r="AE94" s="246">
        <f>TblMili[[#This Row],[Hour]]</f>
        <v>91</v>
      </c>
      <c r="AF94" s="138">
        <f ca="1">TblExplore[[#This Row],[Time]]</f>
        <v>45818.749999999782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1279186</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45818.749999999782</v>
      </c>
      <c r="AW94" s="94">
        <f ca="1">TblMili[[#This Row],[Draftees]]</f>
        <v>3843</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0.40540540540540543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2.0270270270270272</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2.0270270270270272</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1</v>
      </c>
      <c r="CM94" s="251">
        <f ca="1">IF(TblMagic[[#This Row],[Active Demonic Pact]]&gt;0,MIN(TblMili[[#This Row],[Unit 1]],TblMili[[#This Row],[Unit 4]])*demonic_pact_oppair,0)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-0.95135135135135052</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4.3986486486486491</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5.405405405405405E-2</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3867</v>
      </c>
      <c r="C95" s="157">
        <f ca="1">TblPop[[#This Row],[Military%]]</f>
        <v>0.61842315688469529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9150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3867</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3867</v>
      </c>
      <c r="X95" s="247">
        <f ca="1">TblConstr[[#This Row],[Land]]</f>
        <v>370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3867</v>
      </c>
      <c r="AB95" s="154"/>
      <c r="AC95" s="180">
        <f ca="1">(TblConstr[[#This Row],[Tot Smi]]+TblConstr[[#This Row],[Dest Smi]])/(TblConstr[[#This Row],[Land]]-TblExplore[[#This Row],[Land Bonus]]*20)</f>
        <v>0</v>
      </c>
      <c r="AD95" s="137"/>
      <c r="AE95" s="246">
        <f>TblMili[[#This Row],[Hour]]</f>
        <v>92</v>
      </c>
      <c r="AF95" s="138">
        <f ca="1">TblExplore[[#This Row],[Time]]</f>
        <v>45818.791666666446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1287943</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45818.791666666446</v>
      </c>
      <c r="AW95" s="94">
        <f ca="1">TblMili[[#This Row],[Draftees]]</f>
        <v>3867</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0.40540540540540543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2.0270270270270272</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2.0270270270270272</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1</v>
      </c>
      <c r="CM95" s="251">
        <f ca="1">IF(TblMagic[[#This Row],[Active Demonic Pact]]&gt;0,MIN(TblMili[[#This Row],[Unit 1]],TblMili[[#This Row],[Unit 4]])*demonic_pact_oppair,0)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-0.95135135135135052</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4.3986486486486491</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5.405405405405405E-2</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3891</v>
      </c>
      <c r="C96" s="157">
        <f ca="1">TblPop[[#This Row],[Military%]]</f>
        <v>0.62226131456900691</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9150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3891</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3891</v>
      </c>
      <c r="X96" s="247">
        <f ca="1">TblConstr[[#This Row],[Land]]</f>
        <v>370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3891</v>
      </c>
      <c r="AB96" s="154"/>
      <c r="AC96" s="180">
        <f ca="1">(TblConstr[[#This Row],[Tot Smi]]+TblConstr[[#This Row],[Dest Smi]])/(TblConstr[[#This Row],[Land]]-TblExplore[[#This Row],[Land Bonus]]*20)</f>
        <v>0</v>
      </c>
      <c r="AD96" s="137"/>
      <c r="AE96" s="246">
        <f>TblMili[[#This Row],[Hour]]</f>
        <v>93</v>
      </c>
      <c r="AF96" s="138">
        <f ca="1">TblExplore[[#This Row],[Time]]</f>
        <v>45818.83333333311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1296635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45818.83333333311</v>
      </c>
      <c r="AW96" s="94">
        <f ca="1">TblMili[[#This Row],[Draftees]]</f>
        <v>3891</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0.40540540540540543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2.0270270270270272</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2.0270270270270272</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1</v>
      </c>
      <c r="CM96" s="251">
        <f ca="1">IF(TblMagic[[#This Row],[Active Demonic Pact]]&gt;0,MIN(TblMili[[#This Row],[Unit 1]],TblMili[[#This Row],[Unit 4]])*demonic_pact_oppair,0)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-0.95135135135135052</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4.3986486486486491</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5.405405405405405E-2</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3915</v>
      </c>
      <c r="C97" s="157">
        <f ca="1">TblPop[[#This Row],[Military%]]</f>
        <v>0.62609947225331841</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9150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3915</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3915</v>
      </c>
      <c r="X97" s="247">
        <f ca="1">TblConstr[[#This Row],[Land]]</f>
        <v>370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3915</v>
      </c>
      <c r="AB97" s="154"/>
      <c r="AC97" s="180">
        <f ca="1">(TblConstr[[#This Row],[Tot Smi]]+TblConstr[[#This Row],[Dest Smi]])/(TblConstr[[#This Row],[Land]]-TblExplore[[#This Row],[Land Bonus]]*20)</f>
        <v>0</v>
      </c>
      <c r="AD97" s="137"/>
      <c r="AE97" s="246">
        <f>TblMili[[#This Row],[Hour]]</f>
        <v>94</v>
      </c>
      <c r="AF97" s="138">
        <f ca="1">TblExplore[[#This Row],[Time]]</f>
        <v>45818.874999999774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1305262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45818.874999999774</v>
      </c>
      <c r="AW97" s="94">
        <f ca="1">TblMili[[#This Row],[Draftees]]</f>
        <v>3915</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0.40540540540540543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2.0270270270270272</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2.0270270270270272</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1</v>
      </c>
      <c r="CM97" s="251">
        <f ca="1">IF(TblMagic[[#This Row],[Active Demonic Pact]]&gt;0,MIN(TblMili[[#This Row],[Unit 1]],TblMili[[#This Row],[Unit 4]])*demonic_pact_oppair,0)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-0.95135135135135052</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4.3986486486486491</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5.405405405405405E-2</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3938</v>
      </c>
      <c r="C98" s="157">
        <f ca="1">TblPop[[#This Row],[Military%]]</f>
        <v>0.62977770670078359</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9150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3938</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3938</v>
      </c>
      <c r="X98" s="247">
        <f ca="1">TblConstr[[#This Row],[Land]]</f>
        <v>370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3938</v>
      </c>
      <c r="AB98" s="154"/>
      <c r="AC98" s="180">
        <f ca="1">(TblConstr[[#This Row],[Tot Smi]]+TblConstr[[#This Row],[Dest Smi]])/(TblConstr[[#This Row],[Land]]-TblExplore[[#This Row],[Land Bonus]]*20)</f>
        <v>0</v>
      </c>
      <c r="AD98" s="137"/>
      <c r="AE98" s="246">
        <f>TblMili[[#This Row],[Hour]]</f>
        <v>95</v>
      </c>
      <c r="AF98" s="138">
        <f ca="1">TblExplore[[#This Row],[Time]]</f>
        <v>45818.916666666439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1313824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45818.916666666439</v>
      </c>
      <c r="AW98" s="94">
        <f ca="1">TblMili[[#This Row],[Draftees]]</f>
        <v>3938</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0.40540540540540543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2.0270270270270272</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2.0270270270270272</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1</v>
      </c>
      <c r="CM98" s="251">
        <f ca="1">IF(TblMagic[[#This Row],[Active Demonic Pact]]&gt;0,MIN(TblMili[[#This Row],[Unit 1]],TblMili[[#This Row],[Unit 4]])*demonic_pact_oppair,0)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-0.95135135135135052</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4.3986486486486491</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5.405405405405405E-2</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3961</v>
      </c>
      <c r="C99" s="157">
        <f ca="1">TblPop[[#This Row],[Military%]]</f>
        <v>0.63345594114824888</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9150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3961</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3961</v>
      </c>
      <c r="X99" s="247">
        <f ca="1">TblConstr[[#This Row],[Land]]</f>
        <v>370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3961</v>
      </c>
      <c r="AB99" s="154"/>
      <c r="AC99" s="180">
        <f ca="1">(TblConstr[[#This Row],[Tot Smi]]+TblConstr[[#This Row],[Dest Smi]])/(TblConstr[[#This Row],[Land]]-TblExplore[[#This Row],[Land Bonus]]*20)</f>
        <v>0</v>
      </c>
      <c r="AD99" s="137"/>
      <c r="AE99" s="246">
        <f>TblMili[[#This Row],[Hour]]</f>
        <v>96</v>
      </c>
      <c r="AF99" s="138">
        <f ca="1">TblExplore[[#This Row],[Time]]</f>
        <v>45818.958333333103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1322324</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45818.958333333103</v>
      </c>
      <c r="AW99" s="94">
        <f ca="1">TblMili[[#This Row],[Draftees]]</f>
        <v>3961</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0.40540540540540543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2.0270270270270272</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2.0270270270270272</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1</v>
      </c>
      <c r="CM99" s="251">
        <f ca="1">IF(TblMagic[[#This Row],[Active Demonic Pact]]&gt;0,MIN(TblMili[[#This Row],[Unit 1]],TblMili[[#This Row],[Unit 4]])*demonic_pact_oppair,0)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-0.95135135135135052</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4.3986486486486491</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5.405405405405405E-2</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3984</v>
      </c>
      <c r="C100" s="157">
        <f ca="1">TblPop[[#This Row],[Military%]]</f>
        <v>0.63713417559571406</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9150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3984</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3984</v>
      </c>
      <c r="X100" s="247">
        <f ca="1">TblConstr[[#This Row],[Land]]</f>
        <v>370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3984</v>
      </c>
      <c r="AB100" s="154"/>
      <c r="AC100" s="180">
        <f ca="1">(TblConstr[[#This Row],[Tot Smi]]+TblConstr[[#This Row],[Dest Smi]])/(TblConstr[[#This Row],[Land]]-TblExplore[[#This Row],[Land Bonus]]*20)</f>
        <v>0</v>
      </c>
      <c r="AD100" s="137"/>
      <c r="AE100" s="246">
        <f>TblMili[[#This Row],[Hour]]</f>
        <v>97</v>
      </c>
      <c r="AF100" s="138">
        <f ca="1">TblExplore[[#This Row],[Time]]</f>
        <v>45818.999999999767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1330762</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45818.999999999767</v>
      </c>
      <c r="AW100" s="94">
        <f ca="1">TblMili[[#This Row],[Draftees]]</f>
        <v>3984</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0.40540540540540543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2.0270270270270272</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2.0270270270270272</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1</v>
      </c>
      <c r="CM100" s="251">
        <f ca="1">IF(TblMagic[[#This Row],[Active Demonic Pact]]&gt;0,MIN(TblMili[[#This Row],[Unit 1]],TblMili[[#This Row],[Unit 4]])*demonic_pact_oppair,0)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-0.95135135135135052</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4.3986486486486491</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5.405405405405405E-2</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4007</v>
      </c>
      <c r="C101" s="157">
        <f ca="1">TblPop[[#This Row],[Military%]]</f>
        <v>0.64081241004317924</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9150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4007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4007</v>
      </c>
      <c r="X101" s="247">
        <f ca="1">TblConstr[[#This Row],[Land]]</f>
        <v>370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4007</v>
      </c>
      <c r="AB101" s="154"/>
      <c r="AC101" s="180">
        <f ca="1">(TblConstr[[#This Row],[Tot Smi]]+TblConstr[[#This Row],[Dest Smi]])/(TblConstr[[#This Row],[Land]]-TblExplore[[#This Row],[Land Bonus]]*20)</f>
        <v>0</v>
      </c>
      <c r="AD101" s="137"/>
      <c r="AE101" s="246">
        <f>TblMili[[#This Row],[Hour]]</f>
        <v>98</v>
      </c>
      <c r="AF101" s="138">
        <f ca="1">TblExplore[[#This Row],[Time]]</f>
        <v>45819.041666666431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1339138</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45819.041666666431</v>
      </c>
      <c r="AW101" s="94">
        <f ca="1">TblMili[[#This Row],[Draftees]]</f>
        <v>4007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0.40540540540540543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2.0270270270270272</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2.0270270270270272</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1</v>
      </c>
      <c r="CM101" s="251">
        <f ca="1">IF(TblMagic[[#This Row],[Active Demonic Pact]]&gt;0,MIN(TblMili[[#This Row],[Unit 1]],TblMili[[#This Row],[Unit 4]])*demonic_pact_oppair,0)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-0.95135135135135052</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4.3986486486486491</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5.405405405405405E-2</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4029</v>
      </c>
      <c r="C102" s="157">
        <f ca="1">TblPop[[#This Row],[Military%]]</f>
        <v>0.6443307212537982</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9150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4029</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4029</v>
      </c>
      <c r="X102" s="247">
        <f ca="1">TblConstr[[#This Row],[Land]]</f>
        <v>370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4029</v>
      </c>
      <c r="AB102" s="154"/>
      <c r="AC102" s="180">
        <f ca="1">(TblConstr[[#This Row],[Tot Smi]]+TblConstr[[#This Row],[Dest Smi]])/(TblConstr[[#This Row],[Land]]-TblExplore[[#This Row],[Land Bonus]]*20)</f>
        <v>0</v>
      </c>
      <c r="AD102" s="137"/>
      <c r="AE102" s="246">
        <f>TblMili[[#This Row],[Hour]]</f>
        <v>99</v>
      </c>
      <c r="AF102" s="138">
        <f ca="1">TblExplore[[#This Row],[Time]]</f>
        <v>45819.083333333096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1347452</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45819.083333333096</v>
      </c>
      <c r="AW102" s="94">
        <f ca="1">TblMili[[#This Row],[Draftees]]</f>
        <v>4029</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0.40540540540540543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2.0270270270270272</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2.0270270270270272</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1</v>
      </c>
      <c r="CM102" s="251">
        <f ca="1">IF(TblMagic[[#This Row],[Active Demonic Pact]]&gt;0,MIN(TblMili[[#This Row],[Unit 1]],TblMili[[#This Row],[Unit 4]])*demonic_pact_oppair,0)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-0.95135135135135052</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4.3986486486486491</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5.405405405405405E-2</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4051</v>
      </c>
      <c r="C103" s="157">
        <f ca="1">TblPop[[#This Row],[Military%]]</f>
        <v>0.64784903246441705</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9150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4051</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4051</v>
      </c>
      <c r="X103" s="247">
        <f ca="1">TblConstr[[#This Row],[Land]]</f>
        <v>370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4051</v>
      </c>
      <c r="AB103" s="154"/>
      <c r="AC103" s="180">
        <f ca="1">(TblConstr[[#This Row],[Tot Smi]]+TblConstr[[#This Row],[Dest Smi]])/(TblConstr[[#This Row],[Land]]-TblExplore[[#This Row],[Land Bonus]]*20)</f>
        <v>0</v>
      </c>
      <c r="AD103" s="137"/>
      <c r="AE103" s="246">
        <f>TblMili[[#This Row],[Hour]]</f>
        <v>100</v>
      </c>
      <c r="AF103" s="138">
        <f ca="1">TblExplore[[#This Row],[Time]]</f>
        <v>45819.12499999976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1355706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45819.12499999976</v>
      </c>
      <c r="AW103" s="94">
        <f ca="1">TblMili[[#This Row],[Draftees]]</f>
        <v>4051</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0.40540540540540543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2.0270270270270272</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2.0270270270270272</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1</v>
      </c>
      <c r="CM103" s="251">
        <f ca="1">IF(TblMagic[[#This Row],[Active Demonic Pact]]&gt;0,MIN(TblMili[[#This Row],[Unit 1]],TblMili[[#This Row],[Unit 4]])*demonic_pact_oppair,0)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-0.95135135135135052</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4.3986486486486491</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5.405405405405405E-2</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4073</v>
      </c>
      <c r="C104" s="157">
        <f ca="1">TblPop[[#This Row],[Military%]]</f>
        <v>0.65136734367503601</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9150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4073</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4073</v>
      </c>
      <c r="X104" s="247">
        <f ca="1">TblConstr[[#This Row],[Land]]</f>
        <v>370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4073</v>
      </c>
      <c r="AB104" s="154"/>
      <c r="AC104" s="180">
        <f ca="1">(TblConstr[[#This Row],[Tot Smi]]+TblConstr[[#This Row],[Dest Smi]])/(TblConstr[[#This Row],[Land]]-TblExplore[[#This Row],[Land Bonus]]*20)</f>
        <v>0</v>
      </c>
      <c r="AD104" s="137"/>
      <c r="AE104" s="246">
        <f>TblMili[[#This Row],[Hour]]</f>
        <v>101</v>
      </c>
      <c r="AF104" s="138">
        <f ca="1">TblExplore[[#This Row],[Time]]</f>
        <v>45819.166666666424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1363901</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45819.166666666424</v>
      </c>
      <c r="AW104" s="94">
        <f ca="1">TblMili[[#This Row],[Draftees]]</f>
        <v>4073</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0.40540540540540543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2.0270270270270272</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2.0270270270270272</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1</v>
      </c>
      <c r="CM104" s="251">
        <f ca="1">IF(TblMagic[[#This Row],[Active Demonic Pact]]&gt;0,MIN(TblMili[[#This Row],[Unit 1]],TblMili[[#This Row],[Unit 4]])*demonic_pact_oppair,0)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-0.95135135135135052</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4.3986486486486491</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5.405405405405405E-2</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4095</v>
      </c>
      <c r="C105" s="157">
        <f ca="1">TblPop[[#This Row],[Military%]]</f>
        <v>0.65488565488565487</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9150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4095</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4095</v>
      </c>
      <c r="X105" s="247">
        <f ca="1">TblConstr[[#This Row],[Land]]</f>
        <v>370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4095</v>
      </c>
      <c r="AB105" s="154"/>
      <c r="AC105" s="180">
        <f ca="1">(TblConstr[[#This Row],[Tot Smi]]+TblConstr[[#This Row],[Dest Smi]])/(TblConstr[[#This Row],[Land]]-TblExplore[[#This Row],[Land Bonus]]*20)</f>
        <v>0</v>
      </c>
      <c r="AD105" s="137"/>
      <c r="AE105" s="246">
        <f>TblMili[[#This Row],[Hour]]</f>
        <v>102</v>
      </c>
      <c r="AF105" s="138">
        <f ca="1">TblExplore[[#This Row],[Time]]</f>
        <v>45819.208333333088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1372037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45819.208333333088</v>
      </c>
      <c r="AW105" s="94">
        <f ca="1">TblMili[[#This Row],[Draftees]]</f>
        <v>4095</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0.40540540540540543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2.0270270270270272</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2.0270270270270272</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1</v>
      </c>
      <c r="CM105" s="251">
        <f ca="1">IF(TblMagic[[#This Row],[Active Demonic Pact]]&gt;0,MIN(TblMili[[#This Row],[Unit 1]],TblMili[[#This Row],[Unit 4]])*demonic_pact_oppair,0)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-0.95135135135135052</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4.3986486486486491</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5.405405405405405E-2</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4117</v>
      </c>
      <c r="C106" s="157">
        <f ca="1">TblPop[[#This Row],[Military%]]</f>
        <v>0.65840396609627383</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9150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4117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4117</v>
      </c>
      <c r="X106" s="247">
        <f ca="1">TblConstr[[#This Row],[Land]]</f>
        <v>370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4117</v>
      </c>
      <c r="AB106" s="154"/>
      <c r="AC106" s="180">
        <f ca="1">(TblConstr[[#This Row],[Tot Smi]]+TblConstr[[#This Row],[Dest Smi]])/(TblConstr[[#This Row],[Land]]-TblExplore[[#This Row],[Land Bonus]]*20)</f>
        <v>0</v>
      </c>
      <c r="AD106" s="137"/>
      <c r="AE106" s="246">
        <f>TblMili[[#This Row],[Hour]]</f>
        <v>103</v>
      </c>
      <c r="AF106" s="138">
        <f ca="1">TblExplore[[#This Row],[Time]]</f>
        <v>45819.249999999753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1380113</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45819.249999999753</v>
      </c>
      <c r="AW106" s="94">
        <f ca="1">TblMili[[#This Row],[Draftees]]</f>
        <v>4117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0.40540540540540543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2.0270270270270272</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2.0270270270270272</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1</v>
      </c>
      <c r="CM106" s="251">
        <f ca="1">IF(TblMagic[[#This Row],[Active Demonic Pact]]&gt;0,MIN(TblMili[[#This Row],[Unit 1]],TblMili[[#This Row],[Unit 4]])*demonic_pact_oppair,0)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-0.95135135135135052</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4.3986486486486491</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5.405405405405405E-2</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4138</v>
      </c>
      <c r="C107" s="157">
        <f ca="1">TblPop[[#This Row],[Military%]]</f>
        <v>0.66176235407004635</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9150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4138</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4138</v>
      </c>
      <c r="X107" s="247">
        <f ca="1">TblConstr[[#This Row],[Land]]</f>
        <v>370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4138</v>
      </c>
      <c r="AB107" s="154"/>
      <c r="AC107" s="180">
        <f ca="1">(TblConstr[[#This Row],[Tot Smi]]+TblConstr[[#This Row],[Dest Smi]])/(TblConstr[[#This Row],[Land]]-TblExplore[[#This Row],[Land Bonus]]*20)</f>
        <v>0</v>
      </c>
      <c r="AD107" s="137"/>
      <c r="AE107" s="246">
        <f>TblMili[[#This Row],[Hour]]</f>
        <v>104</v>
      </c>
      <c r="AF107" s="138">
        <f ca="1">TblExplore[[#This Row],[Time]]</f>
        <v>45819.291666666417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1388130</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45819.291666666417</v>
      </c>
      <c r="AW107" s="94">
        <f ca="1">TblMili[[#This Row],[Draftees]]</f>
        <v>4138</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0.40540540540540543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2.0270270270270272</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2.0270270270270272</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1</v>
      </c>
      <c r="CM107" s="251">
        <f ca="1">IF(TblMagic[[#This Row],[Active Demonic Pact]]&gt;0,MIN(TblMili[[#This Row],[Unit 1]],TblMili[[#This Row],[Unit 4]])*demonic_pact_oppair,0)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-0.95135135135135052</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4.3986486486486491</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5.405405405405405E-2</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4159</v>
      </c>
      <c r="C108" s="157">
        <f ca="1">TblPop[[#This Row],[Military%]]</f>
        <v>0.66512074204381899</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9150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4159</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4159</v>
      </c>
      <c r="X108" s="247">
        <f ca="1">TblConstr[[#This Row],[Land]]</f>
        <v>370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4159</v>
      </c>
      <c r="AB108" s="154"/>
      <c r="AC108" s="180">
        <f ca="1">(TblConstr[[#This Row],[Tot Smi]]+TblConstr[[#This Row],[Dest Smi]])/(TblConstr[[#This Row],[Land]]-TblExplore[[#This Row],[Land Bonus]]*20)</f>
        <v>0</v>
      </c>
      <c r="AD108" s="137"/>
      <c r="AE108" s="246">
        <f>TblMili[[#This Row],[Hour]]</f>
        <v>105</v>
      </c>
      <c r="AF108" s="138">
        <f ca="1">TblExplore[[#This Row],[Time]]</f>
        <v>45819.333333333081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1396090</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45819.333333333081</v>
      </c>
      <c r="AW108" s="94">
        <f ca="1">TblMili[[#This Row],[Draftees]]</f>
        <v>4159</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0.40540540540540543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2.0270270270270272</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2.0270270270270272</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1</v>
      </c>
      <c r="CM108" s="251">
        <f ca="1">IF(TblMagic[[#This Row],[Active Demonic Pact]]&gt;0,MIN(TblMili[[#This Row],[Unit 1]],TblMili[[#This Row],[Unit 4]])*demonic_pact_oppair,0)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-0.95135135135135052</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4.3986486486486491</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5.405405405405405E-2</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4180</v>
      </c>
      <c r="C109" s="157">
        <f ca="1">TblPop[[#This Row],[Military%]]</f>
        <v>0.66847913001759152</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9150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4180</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4180</v>
      </c>
      <c r="X109" s="247">
        <f ca="1">TblConstr[[#This Row],[Land]]</f>
        <v>370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4180</v>
      </c>
      <c r="AB109" s="154"/>
      <c r="AC109" s="180">
        <f ca="1">(TblConstr[[#This Row],[Tot Smi]]+TblConstr[[#This Row],[Dest Smi]])/(TblConstr[[#This Row],[Land]]-TblExplore[[#This Row],[Land Bonus]]*20)</f>
        <v>0</v>
      </c>
      <c r="AD109" s="137"/>
      <c r="AE109" s="246">
        <f>TblMili[[#This Row],[Hour]]</f>
        <v>106</v>
      </c>
      <c r="AF109" s="138">
        <f ca="1">TblExplore[[#This Row],[Time]]</f>
        <v>45819.374999999745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1403993</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45819.374999999745</v>
      </c>
      <c r="AW109" s="94">
        <f ca="1">TblMili[[#This Row],[Draftees]]</f>
        <v>4180</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0.40540540540540543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2.0270270270270272</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2.0270270270270272</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1</v>
      </c>
      <c r="CM109" s="251">
        <f ca="1">IF(TblMagic[[#This Row],[Active Demonic Pact]]&gt;0,MIN(TblMili[[#This Row],[Unit 1]],TblMili[[#This Row],[Unit 4]])*demonic_pact_oppair,0)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-0.95135135135135052</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4.3986486486486491</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5.405405405405405E-2</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4201</v>
      </c>
      <c r="C110" s="157">
        <f ca="1">TblPop[[#This Row],[Military%]]</f>
        <v>0.67183751799136415</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9150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4201</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4201</v>
      </c>
      <c r="X110" s="247">
        <f ca="1">TblConstr[[#This Row],[Land]]</f>
        <v>370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4201</v>
      </c>
      <c r="AB110" s="154"/>
      <c r="AC110" s="180">
        <f ca="1">(TblConstr[[#This Row],[Tot Smi]]+TblConstr[[#This Row],[Dest Smi]])/(TblConstr[[#This Row],[Land]]-TblExplore[[#This Row],[Land Bonus]]*20)</f>
        <v>0</v>
      </c>
      <c r="AD110" s="137"/>
      <c r="AE110" s="246">
        <f>TblMili[[#This Row],[Hour]]</f>
        <v>107</v>
      </c>
      <c r="AF110" s="138">
        <f ca="1">TblExplore[[#This Row],[Time]]</f>
        <v>45819.41666666641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1411840</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45819.41666666641</v>
      </c>
      <c r="AW110" s="94">
        <f ca="1">TblMili[[#This Row],[Draftees]]</f>
        <v>4201</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0.40540540540540543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2.0270270270270272</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2.0270270270270272</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1</v>
      </c>
      <c r="CM110" s="251">
        <f ca="1">IF(TblMagic[[#This Row],[Active Demonic Pact]]&gt;0,MIN(TblMili[[#This Row],[Unit 1]],TblMili[[#This Row],[Unit 4]])*demonic_pact_oppair,0)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-0.95135135135135052</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4.3986486486486491</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5.405405405405405E-2</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4222</v>
      </c>
      <c r="C111" s="157">
        <f ca="1">TblPop[[#This Row],[Military%]]</f>
        <v>0.67519590596513679</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9150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4222</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4222</v>
      </c>
      <c r="X111" s="247">
        <f ca="1">TblConstr[[#This Row],[Land]]</f>
        <v>370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4222</v>
      </c>
      <c r="AB111" s="154"/>
      <c r="AC111" s="180">
        <f ca="1">(TblConstr[[#This Row],[Tot Smi]]+TblConstr[[#This Row],[Dest Smi]])/(TblConstr[[#This Row],[Land]]-TblExplore[[#This Row],[Land Bonus]]*20)</f>
        <v>0</v>
      </c>
      <c r="AD111" s="137"/>
      <c r="AE111" s="246">
        <f>TblMili[[#This Row],[Hour]]</f>
        <v>108</v>
      </c>
      <c r="AF111" s="138">
        <f ca="1">TblExplore[[#This Row],[Time]]</f>
        <v>45819.458333333074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1419630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45819.458333333074</v>
      </c>
      <c r="AW111" s="94">
        <f ca="1">TblMili[[#This Row],[Draftees]]</f>
        <v>4222</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0.40540540540540543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2.0270270270270272</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2.0270270270270272</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1</v>
      </c>
      <c r="CM111" s="251">
        <f ca="1">IF(TblMagic[[#This Row],[Active Demonic Pact]]&gt;0,MIN(TblMili[[#This Row],[Unit 1]],TblMili[[#This Row],[Unit 4]])*demonic_pact_oppair,0)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-0.95135135135135052</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4.3986486486486491</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5.405405405405405E-2</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4242</v>
      </c>
      <c r="C112" s="157">
        <f ca="1">TblPop[[#This Row],[Military%]]</f>
        <v>0.67839437070206299</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9150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4242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4242</v>
      </c>
      <c r="X112" s="247">
        <f ca="1">TblConstr[[#This Row],[Land]]</f>
        <v>370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4242</v>
      </c>
      <c r="AB112" s="154"/>
      <c r="AC112" s="180">
        <f ca="1">(TblConstr[[#This Row],[Tot Smi]]+TblConstr[[#This Row],[Dest Smi]])/(TblConstr[[#This Row],[Land]]-TblExplore[[#This Row],[Land Bonus]]*20)</f>
        <v>0</v>
      </c>
      <c r="AD112" s="137"/>
      <c r="AE112" s="246">
        <f>TblMili[[#This Row],[Hour]]</f>
        <v>109</v>
      </c>
      <c r="AF112" s="138">
        <f ca="1">TblExplore[[#This Row],[Time]]</f>
        <v>45819.499999999738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1427363</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45819.499999999738</v>
      </c>
      <c r="AW112" s="94">
        <f ca="1">TblMili[[#This Row],[Draftees]]</f>
        <v>4242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0.40540540540540543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2.0270270270270272</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2.0270270270270272</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1</v>
      </c>
      <c r="CM112" s="251">
        <f ca="1">IF(TblMagic[[#This Row],[Active Demonic Pact]]&gt;0,MIN(TblMili[[#This Row],[Unit 1]],TblMili[[#This Row],[Unit 4]])*demonic_pact_oppair,0)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-0.95135135135135052</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4.3986486486486491</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5.405405405405405E-2</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4262</v>
      </c>
      <c r="C113" s="157">
        <f ca="1">TblPop[[#This Row],[Military%]]</f>
        <v>0.6815928354389893</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9150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4262</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4262</v>
      </c>
      <c r="X113" s="247">
        <f ca="1">TblConstr[[#This Row],[Land]]</f>
        <v>370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4262</v>
      </c>
      <c r="AB113" s="154"/>
      <c r="AC113" s="180">
        <f ca="1">(TblConstr[[#This Row],[Tot Smi]]+TblConstr[[#This Row],[Dest Smi]])/(TblConstr[[#This Row],[Land]]-TblExplore[[#This Row],[Land Bonus]]*20)</f>
        <v>0</v>
      </c>
      <c r="AD113" s="137"/>
      <c r="AE113" s="246">
        <f>TblMili[[#This Row],[Hour]]</f>
        <v>110</v>
      </c>
      <c r="AF113" s="138">
        <f ca="1">TblExplore[[#This Row],[Time]]</f>
        <v>45819.541666666402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1435042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45819.541666666402</v>
      </c>
      <c r="AW113" s="94">
        <f ca="1">TblMili[[#This Row],[Draftees]]</f>
        <v>4262</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0.40540540540540543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2.0270270270270272</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2.0270270270270272</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1</v>
      </c>
      <c r="CM113" s="251">
        <f ca="1">IF(TblMagic[[#This Row],[Active Demonic Pact]]&gt;0,MIN(TblMili[[#This Row],[Unit 1]],TblMili[[#This Row],[Unit 4]])*demonic_pact_oppair,0)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-0.95135135135135052</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4.3986486486486491</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5.405405405405405E-2</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4282</v>
      </c>
      <c r="C114" s="157">
        <f ca="1">TblPop[[#This Row],[Military%]]</f>
        <v>0.68479130017591561</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9150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4282</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4282</v>
      </c>
      <c r="X114" s="247">
        <f ca="1">TblConstr[[#This Row],[Land]]</f>
        <v>370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4282</v>
      </c>
      <c r="AB114" s="154"/>
      <c r="AC114" s="180">
        <f ca="1">(TblConstr[[#This Row],[Tot Smi]]+TblConstr[[#This Row],[Dest Smi]])/(TblConstr[[#This Row],[Land]]-TblExplore[[#This Row],[Land Bonus]]*20)</f>
        <v>0</v>
      </c>
      <c r="AD114" s="137"/>
      <c r="AE114" s="246">
        <f>TblMili[[#This Row],[Hour]]</f>
        <v>111</v>
      </c>
      <c r="AF114" s="138">
        <f ca="1">TblExplore[[#This Row],[Time]]</f>
        <v>45819.583333333067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1442667</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45819.583333333067</v>
      </c>
      <c r="AW114" s="94">
        <f ca="1">TblMili[[#This Row],[Draftees]]</f>
        <v>4282</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0.40540540540540543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2.0270270270270272</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2.0270270270270272</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1</v>
      </c>
      <c r="CM114" s="251">
        <f ca="1">IF(TblMagic[[#This Row],[Active Demonic Pact]]&gt;0,MIN(TblMili[[#This Row],[Unit 1]],TblMili[[#This Row],[Unit 4]])*demonic_pact_oppair,0)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-0.95135135135135052</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4.3986486486486491</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5.405405405405405E-2</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4302</v>
      </c>
      <c r="C115" s="157">
        <f ca="1">TblPop[[#This Row],[Military%]]</f>
        <v>0.68798976491284181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9150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4302</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4302</v>
      </c>
      <c r="X115" s="247">
        <f ca="1">TblConstr[[#This Row],[Land]]</f>
        <v>370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4302</v>
      </c>
      <c r="AB115" s="154"/>
      <c r="AC115" s="180">
        <f ca="1">(TblConstr[[#This Row],[Tot Smi]]+TblConstr[[#This Row],[Dest Smi]])/(TblConstr[[#This Row],[Land]]-TblExplore[[#This Row],[Land Bonus]]*20)</f>
        <v>0</v>
      </c>
      <c r="AD115" s="137"/>
      <c r="AE115" s="246">
        <f>TblMili[[#This Row],[Hour]]</f>
        <v>112</v>
      </c>
      <c r="AF115" s="138">
        <f ca="1">TblExplore[[#This Row],[Time]]</f>
        <v>45819.624999999731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1450238</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45819.624999999731</v>
      </c>
      <c r="AW115" s="94">
        <f ca="1">TblMili[[#This Row],[Draftees]]</f>
        <v>4302</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0.40540540540540543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2.0270270270270272</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2.0270270270270272</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1</v>
      </c>
      <c r="CM115" s="251">
        <f ca="1">IF(TblMagic[[#This Row],[Active Demonic Pact]]&gt;0,MIN(TblMili[[#This Row],[Unit 1]],TblMili[[#This Row],[Unit 4]])*demonic_pact_oppair,0)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-0.95135135135135052</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4.3986486486486491</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5.405405405405405E-2</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4322</v>
      </c>
      <c r="C116" s="157">
        <f ca="1">TblPop[[#This Row],[Military%]]</f>
        <v>0.69118822964976812</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9150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4322</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4322</v>
      </c>
      <c r="X116" s="247">
        <f ca="1">TblConstr[[#This Row],[Land]]</f>
        <v>370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4322</v>
      </c>
      <c r="AB116" s="154"/>
      <c r="AC116" s="180">
        <f ca="1">(TblConstr[[#This Row],[Tot Smi]]+TblConstr[[#This Row],[Dest Smi]])/(TblConstr[[#This Row],[Land]]-TblExplore[[#This Row],[Land Bonus]]*20)</f>
        <v>0</v>
      </c>
      <c r="AD116" s="137"/>
      <c r="AE116" s="246">
        <f>TblMili[[#This Row],[Hour]]</f>
        <v>113</v>
      </c>
      <c r="AF116" s="138">
        <f ca="1">TblExplore[[#This Row],[Time]]</f>
        <v>45819.666666666395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1457755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45819.666666666395</v>
      </c>
      <c r="AW116" s="94">
        <f ca="1">TblMili[[#This Row],[Draftees]]</f>
        <v>4322</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0.40540540540540543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2.0270270270270272</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2.0270270270270272</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1</v>
      </c>
      <c r="CM116" s="251">
        <f ca="1">IF(TblMagic[[#This Row],[Active Demonic Pact]]&gt;0,MIN(TblMili[[#This Row],[Unit 1]],TblMili[[#This Row],[Unit 4]])*demonic_pact_oppair,0)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-0.95135135135135052</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4.3986486486486491</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5.405405405405405E-2</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4341</v>
      </c>
      <c r="C117" s="157">
        <f ca="1">TblPop[[#This Row],[Military%]]</f>
        <v>0.6942267711498481</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9150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4341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4341</v>
      </c>
      <c r="X117" s="247">
        <f ca="1">TblConstr[[#This Row],[Land]]</f>
        <v>370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4341</v>
      </c>
      <c r="AB117" s="154"/>
      <c r="AC117" s="180">
        <f ca="1">(TblConstr[[#This Row],[Tot Smi]]+TblConstr[[#This Row],[Dest Smi]])/(TblConstr[[#This Row],[Land]]-TblExplore[[#This Row],[Land Bonus]]*20)</f>
        <v>0</v>
      </c>
      <c r="AD117" s="137"/>
      <c r="AE117" s="246">
        <f>TblMili[[#This Row],[Hour]]</f>
        <v>114</v>
      </c>
      <c r="AF117" s="138">
        <f ca="1">TblExplore[[#This Row],[Time]]</f>
        <v>45819.708333333059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1465218</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45819.708333333059</v>
      </c>
      <c r="AW117" s="94">
        <f ca="1">TblMili[[#This Row],[Draftees]]</f>
        <v>4341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0.40540540540540543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2.0270270270270272</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2.0270270270270272</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1</v>
      </c>
      <c r="CM117" s="251">
        <f ca="1">IF(TblMagic[[#This Row],[Active Demonic Pact]]&gt;0,MIN(TblMili[[#This Row],[Unit 1]],TblMili[[#This Row],[Unit 4]])*demonic_pact_oppair,0)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-0.95135135135135052</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4.3986486486486491</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5.405405405405405E-2</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4360</v>
      </c>
      <c r="C118" s="157">
        <f ca="1">TblPop[[#This Row],[Military%]]</f>
        <v>0.69726531264992808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9150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4360</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4360</v>
      </c>
      <c r="X118" s="247">
        <f ca="1">TblConstr[[#This Row],[Land]]</f>
        <v>370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4360</v>
      </c>
      <c r="AB118" s="154"/>
      <c r="AC118" s="180">
        <f ca="1">(TblConstr[[#This Row],[Tot Smi]]+TblConstr[[#This Row],[Dest Smi]])/(TblConstr[[#This Row],[Land]]-TblExplore[[#This Row],[Land Bonus]]*20)</f>
        <v>0</v>
      </c>
      <c r="AD118" s="137"/>
      <c r="AE118" s="246">
        <f>TblMili[[#This Row],[Hour]]</f>
        <v>115</v>
      </c>
      <c r="AF118" s="138">
        <f ca="1">TblExplore[[#This Row],[Time]]</f>
        <v>45819.749999999724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1472630</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45819.749999999724</v>
      </c>
      <c r="AW118" s="94">
        <f ca="1">TblMili[[#This Row],[Draftees]]</f>
        <v>4360</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0.40540540540540543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2.0270270270270272</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2.0270270270270272</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1</v>
      </c>
      <c r="CM118" s="251">
        <f ca="1">IF(TblMagic[[#This Row],[Active Demonic Pact]]&gt;0,MIN(TblMili[[#This Row],[Unit 1]],TblMili[[#This Row],[Unit 4]])*demonic_pact_oppair,0)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-0.95135135135135052</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4.3986486486486491</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5.405405405405405E-2</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4379</v>
      </c>
      <c r="C119" s="157">
        <f ca="1">TblPop[[#This Row],[Military%]]</f>
        <v>0.70030385415000795</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9150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4379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4379</v>
      </c>
      <c r="X119" s="247">
        <f ca="1">TblConstr[[#This Row],[Land]]</f>
        <v>370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4379</v>
      </c>
      <c r="AB119" s="154"/>
      <c r="AC119" s="180">
        <f ca="1">(TblConstr[[#This Row],[Tot Smi]]+TblConstr[[#This Row],[Dest Smi]])/(TblConstr[[#This Row],[Land]]-TblExplore[[#This Row],[Land Bonus]]*20)</f>
        <v>0</v>
      </c>
      <c r="AD119" s="137"/>
      <c r="AE119" s="246">
        <f>TblMili[[#This Row],[Hour]]</f>
        <v>116</v>
      </c>
      <c r="AF119" s="138">
        <f ca="1">TblExplore[[#This Row],[Time]]</f>
        <v>45819.791666666388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1479991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45819.791666666388</v>
      </c>
      <c r="AW119" s="94">
        <f ca="1">TblMili[[#This Row],[Draftees]]</f>
        <v>4379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0.40540540540540543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2.0270270270270272</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2.0270270270270272</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1</v>
      </c>
      <c r="CM119" s="251">
        <f ca="1">IF(TblMagic[[#This Row],[Active Demonic Pact]]&gt;0,MIN(TblMili[[#This Row],[Unit 1]],TblMili[[#This Row],[Unit 4]])*demonic_pact_oppair,0)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-0.95135135135135052</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4.3986486486486491</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5.405405405405405E-2</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4398</v>
      </c>
      <c r="C120" s="157">
        <f ca="1">TblPop[[#This Row],[Military%]]</f>
        <v>0.70334239565008794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9150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4398</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4398</v>
      </c>
      <c r="X120" s="247">
        <f ca="1">TblConstr[[#This Row],[Land]]</f>
        <v>370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4398</v>
      </c>
      <c r="AB120" s="154"/>
      <c r="AC120" s="180">
        <f ca="1">(TblConstr[[#This Row],[Tot Smi]]+TblConstr[[#This Row],[Dest Smi]])/(TblConstr[[#This Row],[Land]]-TblExplore[[#This Row],[Land Bonus]]*20)</f>
        <v>0</v>
      </c>
      <c r="AD120" s="137"/>
      <c r="AE120" s="246">
        <f>TblMili[[#This Row],[Hour]]</f>
        <v>117</v>
      </c>
      <c r="AF120" s="138">
        <f ca="1">TblExplore[[#This Row],[Time]]</f>
        <v>45819.833333333052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1487300</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45819.833333333052</v>
      </c>
      <c r="AW120" s="94">
        <f ca="1">TblMili[[#This Row],[Draftees]]</f>
        <v>4398</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0.40540540540540543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2.0270270270270272</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2.0270270270270272</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1</v>
      </c>
      <c r="CM120" s="251">
        <f ca="1">IF(TblMagic[[#This Row],[Active Demonic Pact]]&gt;0,MIN(TblMili[[#This Row],[Unit 1]],TblMili[[#This Row],[Unit 4]])*demonic_pact_oppair,0)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-0.95135135135135052</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4.3986486486486491</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5.405405405405405E-2</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4417</v>
      </c>
      <c r="C121" s="157">
        <f ca="1">TblPop[[#This Row],[Military%]]</f>
        <v>0.70638093715016792</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9150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4417</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4417</v>
      </c>
      <c r="X121" s="247">
        <f ca="1">TblConstr[[#This Row],[Land]]</f>
        <v>370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4417</v>
      </c>
      <c r="AB121" s="154"/>
      <c r="AC121" s="180">
        <f ca="1">(TblConstr[[#This Row],[Tot Smi]]+TblConstr[[#This Row],[Dest Smi]])/(TblConstr[[#This Row],[Land]]-TblExplore[[#This Row],[Land Bonus]]*20)</f>
        <v>0</v>
      </c>
      <c r="AD121" s="137"/>
      <c r="AE121" s="246">
        <f>TblMili[[#This Row],[Hour]]</f>
        <v>118</v>
      </c>
      <c r="AF121" s="138">
        <f ca="1">TblExplore[[#This Row],[Time]]</f>
        <v>45819.874999999716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1494558</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45819.874999999716</v>
      </c>
      <c r="AW121" s="94">
        <f ca="1">TblMili[[#This Row],[Draftees]]</f>
        <v>4417</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0.40540540540540543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2.0270270270270272</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2.0270270270270272</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1</v>
      </c>
      <c r="CM121" s="251">
        <f ca="1">IF(TblMagic[[#This Row],[Active Demonic Pact]]&gt;0,MIN(TblMili[[#This Row],[Unit 1]],TblMili[[#This Row],[Unit 4]])*demonic_pact_oppair,0)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-0.95135135135135052</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4.3986486486486491</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5.405405405405405E-2</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4435</v>
      </c>
      <c r="C122" s="157">
        <f ca="1">TblPop[[#This Row],[Military%]]</f>
        <v>0.70925955541340158</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9150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4435</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4435</v>
      </c>
      <c r="X122" s="247">
        <f ca="1">TblConstr[[#This Row],[Land]]</f>
        <v>370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4435</v>
      </c>
      <c r="AB122" s="154"/>
      <c r="AC122" s="180">
        <f ca="1">(TblConstr[[#This Row],[Tot Smi]]+TblConstr[[#This Row],[Dest Smi]])/(TblConstr[[#This Row],[Land]]-TblExplore[[#This Row],[Land Bonus]]*20)</f>
        <v>0</v>
      </c>
      <c r="AD122" s="137"/>
      <c r="AE122" s="246">
        <f>TblMili[[#This Row],[Hour]]</f>
        <v>119</v>
      </c>
      <c r="AF122" s="138">
        <f ca="1">TblExplore[[#This Row],[Time]]</f>
        <v>45819.91666666638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1501765</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45819.91666666638</v>
      </c>
      <c r="AW122" s="94">
        <f ca="1">TblMili[[#This Row],[Draftees]]</f>
        <v>4435</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0.40540540540540543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2.0270270270270272</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2.0270270270270272</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1</v>
      </c>
      <c r="CM122" s="251">
        <f ca="1">IF(TblMagic[[#This Row],[Active Demonic Pact]]&gt;0,MIN(TblMili[[#This Row],[Unit 1]],TblMili[[#This Row],[Unit 4]])*demonic_pact_oppair,0)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-0.95135135135135052</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4.3986486486486491</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5.405405405405405E-2</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4453</v>
      </c>
      <c r="C123" s="157">
        <f ca="1">TblPop[[#This Row],[Military%]]</f>
        <v>0.71213817367663523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9150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4453</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4453</v>
      </c>
      <c r="X123" s="247">
        <f ca="1">TblConstr[[#This Row],[Land]]</f>
        <v>370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4453</v>
      </c>
      <c r="AB123" s="154"/>
      <c r="AC123" s="180">
        <f ca="1">(TblConstr[[#This Row],[Tot Smi]]+TblConstr[[#This Row],[Dest Smi]])/(TblConstr[[#This Row],[Land]]-TblExplore[[#This Row],[Land Bonus]]*20)</f>
        <v>0</v>
      </c>
      <c r="AD123" s="137"/>
      <c r="AE123" s="246">
        <f>TblMili[[#This Row],[Hour]]</f>
        <v>120</v>
      </c>
      <c r="AF123" s="138">
        <f ca="1">TblExplore[[#This Row],[Time]]</f>
        <v>45819.958333333045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1508923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45819.958333333045</v>
      </c>
      <c r="AW123" s="94">
        <f ca="1">TblMili[[#This Row],[Draftees]]</f>
        <v>4453</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0.40540540540540543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2.0270270270270272</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2.0270270270270272</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1</v>
      </c>
      <c r="CM123" s="251">
        <f ca="1">IF(TblMagic[[#This Row],[Active Demonic Pact]]&gt;0,MIN(TblMili[[#This Row],[Unit 1]],TblMili[[#This Row],[Unit 4]])*demonic_pact_oppair,0)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-0.95135135135135052</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4.3986486486486491</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5.405405405405405E-2</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4471</v>
      </c>
      <c r="C124" s="157">
        <f ca="1">TblPop[[#This Row],[Military%]]</f>
        <v>0.71501679193986889</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9150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4471</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4471</v>
      </c>
      <c r="X124" s="247">
        <f ca="1">TblConstr[[#This Row],[Land]]</f>
        <v>370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4471</v>
      </c>
      <c r="AB124" s="154"/>
      <c r="AC124" s="180">
        <f ca="1">(TblConstr[[#This Row],[Tot Smi]]+TblConstr[[#This Row],[Dest Smi]])/(TblConstr[[#This Row],[Land]]-TblExplore[[#This Row],[Land Bonus]]*20)</f>
        <v>0</v>
      </c>
      <c r="AD124" s="256"/>
      <c r="AE124" s="257">
        <f>TblMili[[#This Row],[Hour]]</f>
        <v>121</v>
      </c>
      <c r="AF124" s="138">
        <f ca="1">TblExplore[[#This Row],[Time]]</f>
        <v>45819.999999999709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1516033</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45819.999999999709</v>
      </c>
      <c r="AW124" s="94">
        <f ca="1">TblMili[[#This Row],[Draftees]]</f>
        <v>4471</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0.40540540540540543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2.0270270270270272</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2.0270270270270272</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1</v>
      </c>
      <c r="CM124" s="251">
        <f ca="1">IF(TblMagic[[#This Row],[Active Demonic Pact]]&gt;0,MIN(TblMili[[#This Row],[Unit 1]],TblMili[[#This Row],[Unit 4]])*demonic_pact_oppair,0)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-0.95135135135135052</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4.3986486486486491</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5.405405405405405E-2</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4489</v>
      </c>
      <c r="C125" s="157">
        <f ca="1">TblPop[[#This Row],[Military%]]</f>
        <v>0.71789541020310255</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9150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4489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4489</v>
      </c>
      <c r="X125" s="247">
        <f ca="1">TblConstr[[#This Row],[Land]]</f>
        <v>370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4489</v>
      </c>
      <c r="AB125" s="154"/>
      <c r="AC125" s="180">
        <f ca="1">(TblConstr[[#This Row],[Tot Smi]]+TblConstr[[#This Row],[Dest Smi]])/(TblConstr[[#This Row],[Land]]-TblExplore[[#This Row],[Land Bonus]]*20)</f>
        <v>0</v>
      </c>
      <c r="AD125" s="137"/>
      <c r="AE125" s="246">
        <f>TblMili[[#This Row],[Hour]]</f>
        <v>122</v>
      </c>
      <c r="AF125" s="138">
        <f ca="1">TblExplore[[#This Row],[Time]]</f>
        <v>45820.041666666373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1523094</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45820.041666666373</v>
      </c>
      <c r="AW125" s="94">
        <f ca="1">TblMili[[#This Row],[Draftees]]</f>
        <v>4489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0.40540540540540543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2.0270270270270272</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2.0270270270270272</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1</v>
      </c>
      <c r="CM125" s="251">
        <f ca="1">IF(TblMagic[[#This Row],[Active Demonic Pact]]&gt;0,MIN(TblMili[[#This Row],[Unit 1]],TblMili[[#This Row],[Unit 4]])*demonic_pact_oppair,0)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-0.95135135135135052</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4.3986486486486491</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5.405405405405405E-2</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4507</v>
      </c>
      <c r="C126" s="157">
        <f ca="1">TblPop[[#This Row],[Military%]]</f>
        <v>0.7207740284663362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9150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4507</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4507</v>
      </c>
      <c r="X126" s="247">
        <f ca="1">TblConstr[[#This Row],[Land]]</f>
        <v>370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4507</v>
      </c>
      <c r="AB126" s="154"/>
      <c r="AC126" s="180">
        <f ca="1">(TblConstr[[#This Row],[Tot Smi]]+TblConstr[[#This Row],[Dest Smi]])/(TblConstr[[#This Row],[Land]]-TblExplore[[#This Row],[Land Bonus]]*20)</f>
        <v>0</v>
      </c>
      <c r="AD126" s="137"/>
      <c r="AE126" s="246">
        <f>TblMili[[#This Row],[Hour]]</f>
        <v>123</v>
      </c>
      <c r="AF126" s="138">
        <f ca="1">TblExplore[[#This Row],[Time]]</f>
        <v>45820.083333333037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1530106</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45820.083333333037</v>
      </c>
      <c r="AW126" s="94">
        <f ca="1">TblMili[[#This Row],[Draftees]]</f>
        <v>4507</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0.40540540540540543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2.0270270270270272</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2.0270270270270272</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1</v>
      </c>
      <c r="CM126" s="251">
        <f ca="1">IF(TblMagic[[#This Row],[Active Demonic Pact]]&gt;0,MIN(TblMili[[#This Row],[Unit 1]],TblMili[[#This Row],[Unit 4]])*demonic_pact_oppair,0)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-0.95135135135135052</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4.3986486486486491</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5.405405405405405E-2</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4524</v>
      </c>
      <c r="C127" s="157">
        <f ca="1">TblPop[[#This Row],[Military%]]</f>
        <v>0.72349272349272353</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9150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4524</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4524</v>
      </c>
      <c r="X127" s="247">
        <f ca="1">TblConstr[[#This Row],[Land]]</f>
        <v>370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4524</v>
      </c>
      <c r="AB127" s="154"/>
      <c r="AC127" s="180">
        <f ca="1">(TblConstr[[#This Row],[Tot Smi]]+TblConstr[[#This Row],[Dest Smi]])/(TblConstr[[#This Row],[Land]]-TblExplore[[#This Row],[Land Bonus]]*20)</f>
        <v>0</v>
      </c>
      <c r="AD127" s="137"/>
      <c r="AE127" s="246">
        <f>TblMili[[#This Row],[Hour]]</f>
        <v>124</v>
      </c>
      <c r="AF127" s="138">
        <f ca="1">TblExplore[[#This Row],[Time]]</f>
        <v>45820.124999999702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1537070</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45820.124999999702</v>
      </c>
      <c r="AW127" s="94">
        <f ca="1">TblMili[[#This Row],[Draftees]]</f>
        <v>4524</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0.40540540540540543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2.0270270270270272</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2.0270270270270272</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1</v>
      </c>
      <c r="CM127" s="251">
        <f ca="1">IF(TblMagic[[#This Row],[Active Demonic Pact]]&gt;0,MIN(TblMili[[#This Row],[Unit 1]],TblMili[[#This Row],[Unit 4]])*demonic_pact_oppair,0)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-0.95135135135135052</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4.3986486486486491</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5.405405405405405E-2</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4541</v>
      </c>
      <c r="C128" s="157">
        <f ca="1">TblPop[[#This Row],[Military%]]</f>
        <v>0.72621141851911086</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9150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4541</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4541</v>
      </c>
      <c r="X128" s="247">
        <f ca="1">TblConstr[[#This Row],[Land]]</f>
        <v>370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4541</v>
      </c>
      <c r="AB128" s="154"/>
      <c r="AC128" s="180">
        <f ca="1">(TblConstr[[#This Row],[Tot Smi]]+TblConstr[[#This Row],[Dest Smi]])/(TblConstr[[#This Row],[Land]]-TblExplore[[#This Row],[Land Bonus]]*20)</f>
        <v>0</v>
      </c>
      <c r="AD128" s="137"/>
      <c r="AE128" s="246">
        <f>TblMili[[#This Row],[Hour]]</f>
        <v>125</v>
      </c>
      <c r="AF128" s="138">
        <f ca="1">TblExplore[[#This Row],[Time]]</f>
        <v>45820.166666666366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1543988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45820.166666666366</v>
      </c>
      <c r="AW128" s="94">
        <f ca="1">TblMili[[#This Row],[Draftees]]</f>
        <v>4541</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0.40540540540540543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2.0270270270270272</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2.0270270270270272</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1</v>
      </c>
      <c r="CM128" s="251">
        <f ca="1">IF(TblMagic[[#This Row],[Active Demonic Pact]]&gt;0,MIN(TblMili[[#This Row],[Unit 1]],TblMili[[#This Row],[Unit 4]])*demonic_pact_oppair,0)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-0.95135135135135052</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4.3986486486486491</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5.405405405405405E-2</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4558</v>
      </c>
      <c r="C129" s="157">
        <f ca="1">TblPop[[#This Row],[Military%]]</f>
        <v>0.72893011354549819</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9150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4558</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4558</v>
      </c>
      <c r="X129" s="247">
        <f ca="1">TblConstr[[#This Row],[Land]]</f>
        <v>370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4558</v>
      </c>
      <c r="AB129" s="154"/>
      <c r="AC129" s="180">
        <f ca="1">(TblConstr[[#This Row],[Tot Smi]]+TblConstr[[#This Row],[Dest Smi]])/(TblConstr[[#This Row],[Land]]-TblExplore[[#This Row],[Land Bonus]]*20)</f>
        <v>0</v>
      </c>
      <c r="AD129" s="137"/>
      <c r="AE129" s="246">
        <f>TblMili[[#This Row],[Hour]]</f>
        <v>126</v>
      </c>
      <c r="AF129" s="138">
        <f ca="1">TblExplore[[#This Row],[Time]]</f>
        <v>45820.20833333303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1550860</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45820.20833333303</v>
      </c>
      <c r="AW129" s="94">
        <f ca="1">TblMili[[#This Row],[Draftees]]</f>
        <v>4558</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0.40540540540540543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2.0270270270270272</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2.0270270270270272</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1</v>
      </c>
      <c r="CM129" s="251">
        <f ca="1">IF(TblMagic[[#This Row],[Active Demonic Pact]]&gt;0,MIN(TblMili[[#This Row],[Unit 1]],TblMili[[#This Row],[Unit 4]])*demonic_pact_oppair,0)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-0.95135135135135052</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4.3986486486486491</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5.405405405405405E-2</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4575</v>
      </c>
      <c r="C130" s="157">
        <f ca="1">TblPop[[#This Row],[Military%]]</f>
        <v>0.73164880857188552</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9150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4575</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4575</v>
      </c>
      <c r="X130" s="247">
        <f ca="1">TblConstr[[#This Row],[Land]]</f>
        <v>370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4575</v>
      </c>
      <c r="AB130" s="154"/>
      <c r="AC130" s="180">
        <f ca="1">(TblConstr[[#This Row],[Tot Smi]]+TblConstr[[#This Row],[Dest Smi]])/(TblConstr[[#This Row],[Land]]-TblExplore[[#This Row],[Land Bonus]]*20)</f>
        <v>0</v>
      </c>
      <c r="AD130" s="137"/>
      <c r="AE130" s="246">
        <f>TblMili[[#This Row],[Hour]]</f>
        <v>127</v>
      </c>
      <c r="AF130" s="138">
        <f ca="1">TblExplore[[#This Row],[Time]]</f>
        <v>45820.249999999694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1557686</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45820.249999999694</v>
      </c>
      <c r="AW130" s="94">
        <f ca="1">TblMili[[#This Row],[Draftees]]</f>
        <v>4575</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0.40540540540540543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2.0270270270270272</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2.0270270270270272</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1</v>
      </c>
      <c r="CM130" s="251">
        <f ca="1">IF(TblMagic[[#This Row],[Active Demonic Pact]]&gt;0,MIN(TblMili[[#This Row],[Unit 1]],TblMili[[#This Row],[Unit 4]])*demonic_pact_oppair,0)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-0.95135135135135052</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4.3986486486486491</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5.405405405405405E-2</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4592</v>
      </c>
      <c r="C131" s="157">
        <f ca="1">TblPop[[#This Row],[Military%]]</f>
        <v>0.73436750359827285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9150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4592</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4592</v>
      </c>
      <c r="X131" s="247">
        <f ca="1">TblConstr[[#This Row],[Land]]</f>
        <v>370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4592</v>
      </c>
      <c r="AB131" s="154"/>
      <c r="AC131" s="180">
        <f ca="1">(TblConstr[[#This Row],[Tot Smi]]+TblConstr[[#This Row],[Dest Smi]])/(TblConstr[[#This Row],[Land]]-TblExplore[[#This Row],[Land Bonus]]*20)</f>
        <v>0</v>
      </c>
      <c r="AD131" s="137"/>
      <c r="AE131" s="246">
        <f>TblMili[[#This Row],[Hour]]</f>
        <v>128</v>
      </c>
      <c r="AF131" s="138">
        <f ca="1">TblExplore[[#This Row],[Time]]</f>
        <v>45820.291666666359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1564466</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45820.291666666359</v>
      </c>
      <c r="AW131" s="94">
        <f ca="1">TblMili[[#This Row],[Draftees]]</f>
        <v>4592</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0.40540540540540543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2.0270270270270272</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2.0270270270270272</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1</v>
      </c>
      <c r="CM131" s="251">
        <f ca="1">IF(TblMagic[[#This Row],[Active Demonic Pact]]&gt;0,MIN(TblMili[[#This Row],[Unit 1]],TblMili[[#This Row],[Unit 4]])*demonic_pact_oppair,0)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-0.95135135135135052</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4.3986486486486491</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5.405405405405405E-2</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4609</v>
      </c>
      <c r="C132" s="157">
        <f ca="1">TblPop[[#This Row],[Military%]]</f>
        <v>0.73708619862466018</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9150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4609</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4609</v>
      </c>
      <c r="X132" s="247">
        <f ca="1">TblConstr[[#This Row],[Land]]</f>
        <v>370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4609</v>
      </c>
      <c r="AB132" s="154"/>
      <c r="AC132" s="180">
        <f ca="1">(TblConstr[[#This Row],[Tot Smi]]+TblConstr[[#This Row],[Dest Smi]])/(TblConstr[[#This Row],[Land]]-TblExplore[[#This Row],[Land Bonus]]*20)</f>
        <v>0</v>
      </c>
      <c r="AD132" s="137"/>
      <c r="AE132" s="246">
        <f>TblMili[[#This Row],[Hour]]</f>
        <v>129</v>
      </c>
      <c r="AF132" s="138">
        <f ca="1">TblExplore[[#This Row],[Time]]</f>
        <v>45820.333333333023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1571200</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45820.333333333023</v>
      </c>
      <c r="AW132" s="94">
        <f ca="1">TblMili[[#This Row],[Draftees]]</f>
        <v>4609</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0.40540540540540543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2.0270270270270272</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2.0270270270270272</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1</v>
      </c>
      <c r="CM132" s="251">
        <f ca="1">IF(TblMagic[[#This Row],[Active Demonic Pact]]&gt;0,MIN(TblMili[[#This Row],[Unit 1]],TblMili[[#This Row],[Unit 4]])*demonic_pact_oppair,0)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-0.95135135135135052</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4.3986486486486491</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5.405405405405405E-2</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4625</v>
      </c>
      <c r="C133" s="157">
        <f ca="1">TblPop[[#This Row],[Military%]]</f>
        <v>0.73964497041420119</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9150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4625</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4625</v>
      </c>
      <c r="X133" s="247">
        <f ca="1">TblConstr[[#This Row],[Land]]</f>
        <v>370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4625</v>
      </c>
      <c r="AB133" s="154"/>
      <c r="AC133" s="180">
        <f ca="1">(TblConstr[[#This Row],[Tot Smi]]+TblConstr[[#This Row],[Dest Smi]])/(TblConstr[[#This Row],[Land]]-TblExplore[[#This Row],[Land Bonus]]*20)</f>
        <v>0</v>
      </c>
      <c r="AD133" s="137"/>
      <c r="AE133" s="246">
        <f>TblMili[[#This Row],[Hour]]</f>
        <v>130</v>
      </c>
      <c r="AF133" s="138">
        <f ca="1">TblExplore[[#This Row],[Time]]</f>
        <v>45820.374999999687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1577888</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45820.374999999687</v>
      </c>
      <c r="AW133" s="94">
        <f ca="1">TblMili[[#This Row],[Draftees]]</f>
        <v>4625</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0.40540540540540543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2.0270270270270272</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2.0270270270270272</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1</v>
      </c>
      <c r="CM133" s="251">
        <f ca="1">IF(TblMagic[[#This Row],[Active Demonic Pact]]&gt;0,MIN(TblMili[[#This Row],[Unit 1]],TblMili[[#This Row],[Unit 4]])*demonic_pact_oppair,0)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-0.95135135135135052</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4.3986486486486491</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5.405405405405405E-2</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4641</v>
      </c>
      <c r="C134" s="157">
        <f ca="1">TblPop[[#This Row],[Military%]]</f>
        <v>0.74220374220374219</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9150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4641</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4641</v>
      </c>
      <c r="X134" s="247">
        <f ca="1">TblConstr[[#This Row],[Land]]</f>
        <v>370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4641</v>
      </c>
      <c r="AB134" s="154"/>
      <c r="AC134" s="180">
        <f ca="1">(TblConstr[[#This Row],[Tot Smi]]+TblConstr[[#This Row],[Dest Smi]])/(TblConstr[[#This Row],[Land]]-TblExplore[[#This Row],[Land Bonus]]*20)</f>
        <v>0</v>
      </c>
      <c r="AD134" s="137"/>
      <c r="AE134" s="246">
        <f>TblMili[[#This Row],[Hour]]</f>
        <v>131</v>
      </c>
      <c r="AF134" s="138">
        <f ca="1">TblExplore[[#This Row],[Time]]</f>
        <v>45820.416666666351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1584533</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45820.416666666351</v>
      </c>
      <c r="AW134" s="94">
        <f ca="1">TblMili[[#This Row],[Draftees]]</f>
        <v>4641</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0.40540540540540543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2.0270270270270272</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2.0270270270270272</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1</v>
      </c>
      <c r="CM134" s="251">
        <f ca="1">IF(TblMagic[[#This Row],[Active Demonic Pact]]&gt;0,MIN(TblMili[[#This Row],[Unit 1]],TblMili[[#This Row],[Unit 4]])*demonic_pact_oppair,0)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-0.95135135135135052</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4.3986486486486491</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5.405405405405405E-2</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4657</v>
      </c>
      <c r="C135" s="157">
        <f ca="1">TblPop[[#This Row],[Military%]]</f>
        <v>0.74476251399328319</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9150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4657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4657</v>
      </c>
      <c r="X135" s="247">
        <f ca="1">TblConstr[[#This Row],[Land]]</f>
        <v>370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4657</v>
      </c>
      <c r="AB135" s="154"/>
      <c r="AC135" s="180">
        <f ca="1">(TblConstr[[#This Row],[Tot Smi]]+TblConstr[[#This Row],[Dest Smi]])/(TblConstr[[#This Row],[Land]]-TblExplore[[#This Row],[Land Bonus]]*20)</f>
        <v>0</v>
      </c>
      <c r="AD135" s="137"/>
      <c r="AE135" s="246">
        <f>TblMili[[#This Row],[Hour]]</f>
        <v>132</v>
      </c>
      <c r="AF135" s="138">
        <f ca="1">TblExplore[[#This Row],[Time]]</f>
        <v>45820.458333333016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1591135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45820.458333333016</v>
      </c>
      <c r="AW135" s="94">
        <f ca="1">TblMili[[#This Row],[Draftees]]</f>
        <v>4657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0.40540540540540543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2.0270270270270272</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2.0270270270270272</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1</v>
      </c>
      <c r="CM135" s="251">
        <f ca="1">IF(TblMagic[[#This Row],[Active Demonic Pact]]&gt;0,MIN(TblMili[[#This Row],[Unit 1]],TblMili[[#This Row],[Unit 4]])*demonic_pact_oppair,0)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-0.95135135135135052</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4.3986486486486491</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5.405405405405405E-2</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4673</v>
      </c>
      <c r="C136" s="157">
        <f ca="1">TblPop[[#This Row],[Military%]]</f>
        <v>0.7473212857828242</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9150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4673</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4673</v>
      </c>
      <c r="X136" s="247">
        <f ca="1">TblConstr[[#This Row],[Land]]</f>
        <v>370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4673</v>
      </c>
      <c r="AB136" s="154"/>
      <c r="AC136" s="180">
        <f ca="1">(TblConstr[[#This Row],[Tot Smi]]+TblConstr[[#This Row],[Dest Smi]])/(TblConstr[[#This Row],[Land]]-TblExplore[[#This Row],[Land Bonus]]*20)</f>
        <v>0</v>
      </c>
      <c r="AD136" s="246"/>
      <c r="AE136" s="246">
        <f>TblMili[[#This Row],[Hour]]</f>
        <v>133</v>
      </c>
      <c r="AF136" s="138">
        <f ca="1">TblExplore[[#This Row],[Time]]</f>
        <v>45820.49999999968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1597694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45820.49999999968</v>
      </c>
      <c r="AW136" s="94">
        <f ca="1">TblMili[[#This Row],[Draftees]]</f>
        <v>4673</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0.40540540540540543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2.0270270270270272</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2.0270270270270272</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1</v>
      </c>
      <c r="CM136" s="251">
        <f ca="1">IF(TblMagic[[#This Row],[Active Demonic Pact]]&gt;0,MIN(TblMili[[#This Row],[Unit 1]],TblMili[[#This Row],[Unit 4]])*demonic_pact_oppair,0)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-0.95135135135135052</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4.3986486486486491</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5.405405405405405E-2</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9150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$A4=49</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1136</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1137</v>
      </c>
    </row>
    <row r="4" spans="1:43" x14ac:dyDescent="0.2">
      <c r="A4" s="137">
        <f>TblRezone[[#This Row],[Hour]]</f>
        <v>1</v>
      </c>
      <c r="B4" s="154">
        <f ca="1">TblConstr[[#This Row],[Land]]</f>
        <v>370</v>
      </c>
      <c r="C4" s="94">
        <f ca="1">TblProd[[#This Row],[Mana]]</f>
        <v>0</v>
      </c>
      <c r="D4" s="397">
        <f>1-TblMagic[[#This Row],[Wiz str cost]]</f>
        <v>1</v>
      </c>
      <c r="E4" s="159">
        <f>Imps!L4</f>
        <v>45815</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Row],[Demonic Pact]]*12</f>
        <v>0</v>
      </c>
    </row>
    <row r="5" spans="1:43" x14ac:dyDescent="0.2">
      <c r="A5" s="137">
        <f>TblRezone[[#This Row],[Hour]]</f>
        <v>2</v>
      </c>
      <c r="B5" s="154">
        <f ca="1">TblConstr[[#This Row],[Land]]</f>
        <v>370</v>
      </c>
      <c r="C5" s="94">
        <f ca="1">TblProd[[#This Row],[Mana]]</f>
        <v>1250</v>
      </c>
      <c r="D5" s="156">
        <f ca="1">MIN(1,OFFSET(TblMagic[[#This Row],[Wiz str]],-1,0)+0.04+ROUNDDOWN(10*OFFSET(TblMili[[#This Row],[WG''s]],-1,0),0)+ tech_2_7*OFFSET(TblTech[[#This Row],[2-7]],-1,0) + tech_5_6*OFFSET(TblTech[[#This Row],[5-6]],-1,0) )-TblMagic[[#This Row],[Wiz str cost]]</f>
        <v>1</v>
      </c>
      <c r="E5" s="159">
        <f ca="1">OFFSET(TblMagic[[#This Row],[Time]],-1,0)+1/24</f>
        <v>45815.041666666664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7">
        <f>TblRezone[[#This Row],[Hour]]</f>
        <v>3</v>
      </c>
      <c r="B6" s="154">
        <f ca="1">TblConstr[[#This Row],[Land]]</f>
        <v>370</v>
      </c>
      <c r="C6" s="94">
        <f ca="1">TblProd[[#This Row],[Mana]]</f>
        <v>2475</v>
      </c>
      <c r="D6" s="156">
        <f ca="1">MIN(1,OFFSET(TblMagic[[#This Row],[Wiz str]],-1,0)+0.04+ROUNDDOWN(10*OFFSET(TblMili[[#This Row],[WG''s]],-1,0),0)+ tech_2_7*OFFSET(TblTech[[#This Row],[2-7]],-1,0) + tech_5_6*OFFSET(TblTech[[#This Row],[5-6]],-1,0) )-TblMagic[[#This Row],[Wiz str cost]]</f>
        <v>1</v>
      </c>
      <c r="E6" s="159">
        <f ca="1">OFFSET(TblMagic[[#This Row],[Time]],-1,0)+1/24</f>
        <v>45815.083333333328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7">
        <f>TblRezone[[#This Row],[Hour]]</f>
        <v>4</v>
      </c>
      <c r="B7" s="154">
        <f ca="1">TblConstr[[#This Row],[Land]]</f>
        <v>370</v>
      </c>
      <c r="C7" s="94">
        <f ca="1">TblProd[[#This Row],[Mana]]</f>
        <v>3676</v>
      </c>
      <c r="D7" s="156">
        <f ca="1">MIN(1,OFFSET(TblMagic[[#This Row],[Wiz str]],-1,0)+0.04+ROUNDDOWN(10*OFFSET(TblMili[[#This Row],[WG''s]],-1,0),0)+ tech_2_7*OFFSET(TblTech[[#This Row],[2-7]],-1,0) + tech_5_6*OFFSET(TblTech[[#This Row],[5-6]],-1,0) )-TblMagic[[#This Row],[Wiz str cost]]</f>
        <v>1</v>
      </c>
      <c r="E7" s="159">
        <f ca="1">OFFSET(TblMagic[[#This Row],[Time]],-1,0)+1/24</f>
        <v>45815.124999999993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7">
        <f>TblRezone[[#This Row],[Hour]]</f>
        <v>5</v>
      </c>
      <c r="B8" s="154">
        <f ca="1">TblConstr[[#This Row],[Land]]</f>
        <v>370</v>
      </c>
      <c r="C8" s="94">
        <f ca="1">TblProd[[#This Row],[Mana]]</f>
        <v>4852</v>
      </c>
      <c r="D8" s="156">
        <f ca="1">MIN(1,OFFSET(TblMagic[[#This Row],[Wiz str]],-1,0)+0.04+ROUNDDOWN(10*OFFSET(TblMili[[#This Row],[WG''s]],-1,0),0)+ tech_2_7*OFFSET(TblTech[[#This Row],[2-7]],-1,0) + tech_5_6*OFFSET(TblTech[[#This Row],[5-6]],-1,0) )-TblMagic[[#This Row],[Wiz str cost]]</f>
        <v>1</v>
      </c>
      <c r="E8" s="159">
        <f ca="1">OFFSET(TblMagic[[#This Row],[Time]],-1,0)+1/24</f>
        <v>45815.166666666657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7">
        <f>TblRezone[[#This Row],[Hour]]</f>
        <v>6</v>
      </c>
      <c r="B9" s="154">
        <f ca="1">TblConstr[[#This Row],[Land]]</f>
        <v>370</v>
      </c>
      <c r="C9" s="94">
        <f ca="1">TblProd[[#This Row],[Mana]]</f>
        <v>6005</v>
      </c>
      <c r="D9" s="156">
        <f ca="1">MIN(1,OFFSET(TblMagic[[#This Row],[Wiz str]],-1,0)+0.04+ROUNDDOWN(10*OFFSET(TblMili[[#This Row],[WG''s]],-1,0),0)+ tech_2_7*OFFSET(TblTech[[#This Row],[2-7]],-1,0) + tech_5_6*OFFSET(TblTech[[#This Row],[5-6]],-1,0) )-TblMagic[[#This Row],[Wiz str cost]]</f>
        <v>1</v>
      </c>
      <c r="E9" s="159">
        <f ca="1">OFFSET(TblMagic[[#This Row],[Time]],-1,0)+1/24</f>
        <v>45815.208333333321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7">
        <f>TblRezone[[#This Row],[Hour]]</f>
        <v>7</v>
      </c>
      <c r="B10" s="154">
        <f ca="1">TblConstr[[#This Row],[Land]]</f>
        <v>370</v>
      </c>
      <c r="C10" s="94">
        <f ca="1">TblProd[[#This Row],[Mana]]</f>
        <v>7135</v>
      </c>
      <c r="D10" s="156">
        <f ca="1">MIN(1,OFFSET(TblMagic[[#This Row],[Wiz str]],-1,0)+0.04+ROUNDDOWN(10*OFFSET(TblMili[[#This Row],[WG''s]],-1,0),0)+ tech_2_7*OFFSET(TblTech[[#This Row],[2-7]],-1,0) + tech_5_6*OFFSET(TblTech[[#This Row],[5-6]],-1,0) )-TblMagic[[#This Row],[Wiz str cost]]</f>
        <v>1</v>
      </c>
      <c r="E10" s="159">
        <f ca="1">OFFSET(TblMagic[[#This Row],[Time]],-1,0)+1/24</f>
        <v>45815.249999999985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7">
        <f>TblRezone[[#This Row],[Hour]]</f>
        <v>8</v>
      </c>
      <c r="B11" s="154">
        <f ca="1">TblConstr[[#This Row],[Land]]</f>
        <v>370</v>
      </c>
      <c r="C11" s="94">
        <f ca="1">TblProd[[#This Row],[Mana]]</f>
        <v>8242</v>
      </c>
      <c r="D11" s="156">
        <f ca="1">MIN(1,OFFSET(TblMagic[[#This Row],[Wiz str]],-1,0)+0.04+ROUNDDOWN(10*OFFSET(TblMili[[#This Row],[WG''s]],-1,0),0)+ tech_2_7*OFFSET(TblTech[[#This Row],[2-7]],-1,0) + tech_5_6*OFFSET(TblTech[[#This Row],[5-6]],-1,0) )-TblMagic[[#This Row],[Wiz str cost]]</f>
        <v>1</v>
      </c>
      <c r="E11" s="159">
        <f ca="1">OFFSET(TblMagic[[#This Row],[Time]],-1,0)+1/24</f>
        <v>45815.29166666665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7">
        <f>TblRezone[[#This Row],[Hour]]</f>
        <v>9</v>
      </c>
      <c r="B12" s="154">
        <f ca="1">TblConstr[[#This Row],[Land]]</f>
        <v>370</v>
      </c>
      <c r="C12" s="94">
        <f ca="1">TblProd[[#This Row],[Mana]]</f>
        <v>9327</v>
      </c>
      <c r="D12" s="156">
        <f ca="1">MIN(1,OFFSET(TblMagic[[#This Row],[Wiz str]],-1,0)+0.04+ROUNDDOWN(10*OFFSET(TblMili[[#This Row],[WG''s]],-1,0),0)+ tech_2_7*OFFSET(TblTech[[#This Row],[2-7]],-1,0) + tech_5_6*OFFSET(TblTech[[#This Row],[5-6]],-1,0) )-TblMagic[[#This Row],[Wiz str cost]]</f>
        <v>1</v>
      </c>
      <c r="E12" s="159">
        <f ca="1">OFFSET(TblMagic[[#This Row],[Time]],-1,0)+1/24</f>
        <v>45815.333333333314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7">
        <f>TblRezone[[#This Row],[Hour]]</f>
        <v>10</v>
      </c>
      <c r="B13" s="154">
        <f ca="1">TblConstr[[#This Row],[Land]]</f>
        <v>370</v>
      </c>
      <c r="C13" s="94">
        <f ca="1">TblProd[[#This Row],[Mana]]</f>
        <v>10390</v>
      </c>
      <c r="D13" s="156">
        <f ca="1">MIN(1,OFFSET(TblMagic[[#This Row],[Wiz str]],-1,0)+0.04+ROUNDDOWN(10*OFFSET(TblMili[[#This Row],[WG''s]],-1,0),0)+ tech_2_7*OFFSET(TblTech[[#This Row],[2-7]],-1,0) + tech_5_6*OFFSET(TblTech[[#This Row],[5-6]],-1,0) )-TblMagic[[#This Row],[Wiz str cost]]</f>
        <v>1</v>
      </c>
      <c r="E13" s="159">
        <f ca="1">OFFSET(TblMagic[[#This Row],[Time]],-1,0)+1/24</f>
        <v>45815.374999999978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7">
        <f>TblRezone[[#This Row],[Hour]]</f>
        <v>11</v>
      </c>
      <c r="B14" s="154">
        <f ca="1">TblConstr[[#This Row],[Land]]</f>
        <v>370</v>
      </c>
      <c r="C14" s="94">
        <f ca="1">TblProd[[#This Row],[Mana]]</f>
        <v>11432</v>
      </c>
      <c r="D14" s="156">
        <f ca="1">MIN(1,OFFSET(TblMagic[[#This Row],[Wiz str]],-1,0)+0.04+ROUNDDOWN(10*OFFSET(TblMili[[#This Row],[WG''s]],-1,0),0)+ tech_2_7*OFFSET(TblTech[[#This Row],[2-7]],-1,0) + tech_5_6*OFFSET(TblTech[[#This Row],[5-6]],-1,0) )-TblMagic[[#This Row],[Wiz str cost]]</f>
        <v>1</v>
      </c>
      <c r="E14" s="159">
        <f ca="1">OFFSET(TblMagic[[#This Row],[Time]],-1,0)+1/24</f>
        <v>45815.416666666642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7">
        <f>TblRezone[[#This Row],[Hour]]</f>
        <v>12</v>
      </c>
      <c r="B15" s="154">
        <f ca="1">TblConstr[[#This Row],[Land]]</f>
        <v>370</v>
      </c>
      <c r="C15" s="94">
        <f ca="1">TblProd[[#This Row],[Mana]]</f>
        <v>12453</v>
      </c>
      <c r="D15" s="156">
        <f ca="1">MIN(1,OFFSET(TblMagic[[#This Row],[Wiz str]],-1,0)+0.04+ROUNDDOWN(10*OFFSET(TblMili[[#This Row],[WG''s]],-1,0),0)+ tech_2_7*OFFSET(TblTech[[#This Row],[2-7]],-1,0) + tech_5_6*OFFSET(TblTech[[#This Row],[5-6]],-1,0) )-TblMagic[[#This Row],[Wiz str cost]]</f>
        <v>1</v>
      </c>
      <c r="E15" s="159">
        <f ca="1">OFFSET(TblMagic[[#This Row],[Time]],-1,0)+1/24</f>
        <v>45815.458333333307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7">
        <f>TblRezone[[#This Row],[Hour]]</f>
        <v>13</v>
      </c>
      <c r="B16" s="154">
        <f ca="1">TblConstr[[#This Row],[Land]]</f>
        <v>370</v>
      </c>
      <c r="C16" s="94">
        <f ca="1">TblProd[[#This Row],[Mana]]</f>
        <v>13454</v>
      </c>
      <c r="D16" s="156">
        <f ca="1">MIN(1,OFFSET(TblMagic[[#This Row],[Wiz str]],-1,0)+0.04+ROUNDDOWN(10*OFFSET(TblMili[[#This Row],[WG''s]],-1,0),0)+ tech_2_7*OFFSET(TblTech[[#This Row],[2-7]],-1,0) + tech_5_6*OFFSET(TblTech[[#This Row],[5-6]],-1,0) )-TblMagic[[#This Row],[Wiz str cost]]</f>
        <v>1</v>
      </c>
      <c r="E16" s="159">
        <f ca="1">OFFSET(TblMagic[[#This Row],[Time]],-1,0)+1/24</f>
        <v>45815.499999999971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7">
        <f>TblRezone[[#This Row],[Hour]]</f>
        <v>14</v>
      </c>
      <c r="B17" s="154">
        <f ca="1">TblConstr[[#This Row],[Land]]</f>
        <v>370</v>
      </c>
      <c r="C17" s="94">
        <f ca="1">TblProd[[#This Row],[Mana]]</f>
        <v>14435</v>
      </c>
      <c r="D17" s="156">
        <f ca="1">MIN(1,OFFSET(TblMagic[[#This Row],[Wiz str]],-1,0)+0.04+ROUNDDOWN(10*OFFSET(TblMili[[#This Row],[WG''s]],-1,0),0)+ tech_2_7*OFFSET(TblTech[[#This Row],[2-7]],-1,0) + tech_5_6*OFFSET(TblTech[[#This Row],[5-6]],-1,0) )-TblMagic[[#This Row],[Wiz str cost]]</f>
        <v>1</v>
      </c>
      <c r="E17" s="159">
        <f ca="1">OFFSET(TblMagic[[#This Row],[Time]],-1,0)+1/24</f>
        <v>45815.541666666635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7">
        <f>TblRezone[[#This Row],[Hour]]</f>
        <v>15</v>
      </c>
      <c r="B18" s="154">
        <f ca="1">TblConstr[[#This Row],[Land]]</f>
        <v>370</v>
      </c>
      <c r="C18" s="94">
        <f ca="1">TblProd[[#This Row],[Mana]]</f>
        <v>15396</v>
      </c>
      <c r="D18" s="156">
        <f ca="1">MIN(1,OFFSET(TblMagic[[#This Row],[Wiz str]],-1,0)+0.04+ROUNDDOWN(10*OFFSET(TblMili[[#This Row],[WG''s]],-1,0),0)+ tech_2_7*OFFSET(TblTech[[#This Row],[2-7]],-1,0) + tech_5_6*OFFSET(TblTech[[#This Row],[5-6]],-1,0) )-TblMagic[[#This Row],[Wiz str cost]]</f>
        <v>1</v>
      </c>
      <c r="E18" s="159">
        <f ca="1">OFFSET(TblMagic[[#This Row],[Time]],-1,0)+1/24</f>
        <v>45815.583333333299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7">
        <f>TblRezone[[#This Row],[Hour]]</f>
        <v>16</v>
      </c>
      <c r="B19" s="154">
        <f ca="1">TblConstr[[#This Row],[Land]]</f>
        <v>370</v>
      </c>
      <c r="C19" s="94">
        <f ca="1">TblProd[[#This Row],[Mana]]</f>
        <v>16338</v>
      </c>
      <c r="D19" s="156">
        <f ca="1">MIN(1,OFFSET(TblMagic[[#This Row],[Wiz str]],-1,0)+0.04+ROUNDDOWN(10*OFFSET(TblMili[[#This Row],[WG''s]],-1,0),0)+ tech_2_7*OFFSET(TblTech[[#This Row],[2-7]],-1,0) + tech_5_6*OFFSET(TblTech[[#This Row],[5-6]],-1,0) )-TblMagic[[#This Row],[Wiz str cost]]</f>
        <v>1</v>
      </c>
      <c r="E19" s="159">
        <f ca="1">OFFSET(TblMagic[[#This Row],[Time]],-1,0)+1/24</f>
        <v>45815.624999999964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7">
        <f>TblRezone[[#This Row],[Hour]]</f>
        <v>17</v>
      </c>
      <c r="B20" s="154">
        <f ca="1">TblConstr[[#This Row],[Land]]</f>
        <v>370</v>
      </c>
      <c r="C20" s="94">
        <f ca="1">TblProd[[#This Row],[Mana]]</f>
        <v>17261</v>
      </c>
      <c r="D20" s="156">
        <f ca="1">MIN(1,OFFSET(TblMagic[[#This Row],[Wiz str]],-1,0)+0.04+ROUNDDOWN(10*OFFSET(TblMili[[#This Row],[WG''s]],-1,0),0)+ tech_2_7*OFFSET(TblTech[[#This Row],[2-7]],-1,0) + tech_5_6*OFFSET(TblTech[[#This Row],[5-6]],-1,0) )-TblMagic[[#This Row],[Wiz str cost]]</f>
        <v>1</v>
      </c>
      <c r="E20" s="159">
        <f ca="1">OFFSET(TblMagic[[#This Row],[Time]],-1,0)+1/24</f>
        <v>45815.666666666628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7">
        <f>TblRezone[[#This Row],[Hour]]</f>
        <v>18</v>
      </c>
      <c r="B21" s="154">
        <f ca="1">TblConstr[[#This Row],[Land]]</f>
        <v>370</v>
      </c>
      <c r="C21" s="94">
        <f ca="1">TblProd[[#This Row],[Mana]]</f>
        <v>18166</v>
      </c>
      <c r="D21" s="156">
        <f ca="1">MIN(1,OFFSET(TblMagic[[#This Row],[Wiz str]],-1,0)+0.04+ROUNDDOWN(10*OFFSET(TblMili[[#This Row],[WG''s]],-1,0),0)+ tech_2_7*OFFSET(TblTech[[#This Row],[2-7]],-1,0) + tech_5_6*OFFSET(TblTech[[#This Row],[5-6]],-1,0) )-TblMagic[[#This Row],[Wiz str cost]]</f>
        <v>1</v>
      </c>
      <c r="E21" s="159">
        <f ca="1">OFFSET(TblMagic[[#This Row],[Time]],-1,0)+1/24</f>
        <v>45815.708333333292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7">
        <f>TblRezone[[#This Row],[Hour]]</f>
        <v>19</v>
      </c>
      <c r="B22" s="154">
        <f ca="1">TblConstr[[#This Row],[Land]]</f>
        <v>370</v>
      </c>
      <c r="C22" s="94">
        <f ca="1">TblProd[[#This Row],[Mana]]</f>
        <v>19053</v>
      </c>
      <c r="D22" s="156">
        <f ca="1">MIN(1,OFFSET(TblMagic[[#This Row],[Wiz str]],-1,0)+0.04+ROUNDDOWN(10*OFFSET(TblMili[[#This Row],[WG''s]],-1,0),0)+ tech_2_7*OFFSET(TblTech[[#This Row],[2-7]],-1,0) + tech_5_6*OFFSET(TblTech[[#This Row],[5-6]],-1,0) )-TblMagic[[#This Row],[Wiz str cost]]</f>
        <v>1</v>
      </c>
      <c r="E22" s="159">
        <f ca="1">OFFSET(TblMagic[[#This Row],[Time]],-1,0)+1/24</f>
        <v>45815.749999999956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7">
        <f>TblRezone[[#This Row],[Hour]]</f>
        <v>20</v>
      </c>
      <c r="B23" s="154">
        <f ca="1">TblConstr[[#This Row],[Land]]</f>
        <v>370</v>
      </c>
      <c r="C23" s="94">
        <f ca="1">TblProd[[#This Row],[Mana]]</f>
        <v>19922</v>
      </c>
      <c r="D23" s="156">
        <f ca="1">MIN(1,OFFSET(TblMagic[[#This Row],[Wiz str]],-1,0)+0.04+ROUNDDOWN(10*OFFSET(TblMili[[#This Row],[WG''s]],-1,0),0)+ tech_2_7*OFFSET(TblTech[[#This Row],[2-7]],-1,0) + tech_5_6*OFFSET(TblTech[[#This Row],[5-6]],-1,0) )-TblMagic[[#This Row],[Wiz str cost]]</f>
        <v>1</v>
      </c>
      <c r="E23" s="159">
        <f ca="1">OFFSET(TblMagic[[#This Row],[Time]],-1,0)+1/24</f>
        <v>45815.791666666621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7">
        <f>TblRezone[[#This Row],[Hour]]</f>
        <v>21</v>
      </c>
      <c r="B24" s="154">
        <f ca="1">TblConstr[[#This Row],[Land]]</f>
        <v>370</v>
      </c>
      <c r="C24" s="94">
        <f ca="1">TblProd[[#This Row],[Mana]]</f>
        <v>20774</v>
      </c>
      <c r="D24" s="156">
        <f ca="1">MIN(1,OFFSET(TblMagic[[#This Row],[Wiz str]],-1,0)+0.04+ROUNDDOWN(10*OFFSET(TblMili[[#This Row],[WG''s]],-1,0),0)+ tech_2_7*OFFSET(TblTech[[#This Row],[2-7]],-1,0) + tech_5_6*OFFSET(TblTech[[#This Row],[5-6]],-1,0) )-TblMagic[[#This Row],[Wiz str cost]]</f>
        <v>1</v>
      </c>
      <c r="E24" s="159">
        <f ca="1">OFFSET(TblMagic[[#This Row],[Time]],-1,0)+1/24</f>
        <v>45815.833333333285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7">
        <f>TblRezone[[#This Row],[Hour]]</f>
        <v>22</v>
      </c>
      <c r="B25" s="154">
        <f ca="1">TblConstr[[#This Row],[Land]]</f>
        <v>370</v>
      </c>
      <c r="C25" s="94">
        <f ca="1">TblProd[[#This Row],[Mana]]</f>
        <v>21609</v>
      </c>
      <c r="D25" s="156">
        <f ca="1">MIN(1,OFFSET(TblMagic[[#This Row],[Wiz str]],-1,0)+0.04+ROUNDDOWN(10*OFFSET(TblMili[[#This Row],[WG''s]],-1,0),0)+ tech_2_7*OFFSET(TblTech[[#This Row],[2-7]],-1,0) + tech_5_6*OFFSET(TblTech[[#This Row],[5-6]],-1,0) )-TblMagic[[#This Row],[Wiz str cost]]</f>
        <v>1</v>
      </c>
      <c r="E25" s="159">
        <f ca="1">OFFSET(TblMagic[[#This Row],[Time]],-1,0)+1/24</f>
        <v>45815.874999999949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7">
        <f>TblRezone[[#This Row],[Hour]]</f>
        <v>23</v>
      </c>
      <c r="B26" s="154">
        <f ca="1">TblConstr[[#This Row],[Land]]</f>
        <v>370</v>
      </c>
      <c r="C26" s="94">
        <f ca="1">TblProd[[#This Row],[Mana]]</f>
        <v>22427</v>
      </c>
      <c r="D26" s="156">
        <f ca="1">MIN(1,OFFSET(TblMagic[[#This Row],[Wiz str]],-1,0)+0.04+ROUNDDOWN(10*OFFSET(TblMili[[#This Row],[WG''s]],-1,0),0)+ tech_2_7*OFFSET(TblTech[[#This Row],[2-7]],-1,0) + tech_5_6*OFFSET(TblTech[[#This Row],[5-6]],-1,0) )-TblMagic[[#This Row],[Wiz str cost]]</f>
        <v>1</v>
      </c>
      <c r="E26" s="159">
        <f ca="1">OFFSET(TblMagic[[#This Row],[Time]],-1,0)+1/24</f>
        <v>45815.916666666613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7">
        <f>TblRezone[[#This Row],[Hour]]</f>
        <v>24</v>
      </c>
      <c r="B27" s="154">
        <f ca="1">TblConstr[[#This Row],[Land]]</f>
        <v>370</v>
      </c>
      <c r="C27" s="94">
        <f ca="1">TblProd[[#This Row],[Mana]]</f>
        <v>23228</v>
      </c>
      <c r="D27" s="156">
        <f ca="1">MIN(1,OFFSET(TblMagic[[#This Row],[Wiz str]],-1,0)+0.04+ROUNDDOWN(10*OFFSET(TblMili[[#This Row],[WG''s]],-1,0),0)+ tech_2_7*OFFSET(TblTech[[#This Row],[2-7]],-1,0) + tech_5_6*OFFSET(TblTech[[#This Row],[5-6]],-1,0) )-TblMagic[[#This Row],[Wiz str cost]]</f>
        <v>1</v>
      </c>
      <c r="E27" s="159">
        <f ca="1">OFFSET(TblMagic[[#This Row],[Time]],-1,0)+1/24</f>
        <v>45815.958333333278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7">
        <f>TblRezone[[#This Row],[Hour]]</f>
        <v>25</v>
      </c>
      <c r="B28" s="154">
        <f ca="1">TblConstr[[#This Row],[Land]]</f>
        <v>370</v>
      </c>
      <c r="C28" s="94">
        <f ca="1">TblProd[[#This Row],[Mana]]</f>
        <v>24013</v>
      </c>
      <c r="D28" s="156">
        <f ca="1">MIN(1,OFFSET(TblMagic[[#This Row],[Wiz str]],-1,0)+0.04+ROUNDDOWN(10*OFFSET(TblMili[[#This Row],[WG''s]],-1,0),0)+ tech_2_7*OFFSET(TblTech[[#This Row],[2-7]],-1,0) + tech_5_6*OFFSET(TblTech[[#This Row],[5-6]],-1,0) )-TblMagic[[#This Row],[Wiz str cost]]</f>
        <v>1</v>
      </c>
      <c r="E28" s="159">
        <f ca="1">OFFSET(TblMagic[[#This Row],[Time]],-1,0)+1/24</f>
        <v>45815.999999999942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7">
        <f>TblRezone[[#This Row],[Hour]]</f>
        <v>26</v>
      </c>
      <c r="B29" s="154">
        <f ca="1">TblConstr[[#This Row],[Land]]</f>
        <v>370</v>
      </c>
      <c r="C29" s="94">
        <f ca="1">TblProd[[#This Row],[Mana]]</f>
        <v>24783</v>
      </c>
      <c r="D29" s="156">
        <f ca="1">MIN(1,OFFSET(TblMagic[[#This Row],[Wiz str]],-1,0)+0.04+ROUNDDOWN(10*OFFSET(TblMili[[#This Row],[WG''s]],-1,0),0)+ tech_2_7*OFFSET(TblTech[[#This Row],[2-7]],-1,0) + tech_5_6*OFFSET(TblTech[[#This Row],[5-6]],-1,0) )-TblMagic[[#This Row],[Wiz str cost]]</f>
        <v>1</v>
      </c>
      <c r="E29" s="159">
        <f ca="1">OFFSET(TblMagic[[#This Row],[Time]],-1,0)+1/24</f>
        <v>45816.041666666606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7">
        <f>TblRezone[[#This Row],[Hour]]</f>
        <v>27</v>
      </c>
      <c r="B30" s="154">
        <f ca="1">TblConstr[[#This Row],[Land]]</f>
        <v>370</v>
      </c>
      <c r="C30" s="94">
        <f ca="1">TblProd[[#This Row],[Mana]]</f>
        <v>25537</v>
      </c>
      <c r="D30" s="156">
        <f ca="1">MIN(1,OFFSET(TblMagic[[#This Row],[Wiz str]],-1,0)+0.04+ROUNDDOWN(10*OFFSET(TblMili[[#This Row],[WG''s]],-1,0),0)+ tech_2_7*OFFSET(TblTech[[#This Row],[2-7]],-1,0) + tech_5_6*OFFSET(TblTech[[#This Row],[5-6]],-1,0) )-TblMagic[[#This Row],[Wiz str cost]]</f>
        <v>1</v>
      </c>
      <c r="E30" s="159">
        <f ca="1">OFFSET(TblMagic[[#This Row],[Time]],-1,0)+1/24</f>
        <v>45816.08333333327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7">
        <f>TblRezone[[#This Row],[Hour]]</f>
        <v>28</v>
      </c>
      <c r="B31" s="154">
        <f ca="1">TblConstr[[#This Row],[Land]]</f>
        <v>370</v>
      </c>
      <c r="C31" s="94">
        <f ca="1">TblProd[[#This Row],[Mana]]</f>
        <v>26276</v>
      </c>
      <c r="D31" s="156">
        <f ca="1">MIN(1,OFFSET(TblMagic[[#This Row],[Wiz str]],-1,0)+0.04+ROUNDDOWN(10*OFFSET(TblMili[[#This Row],[WG''s]],-1,0),0)+ tech_2_7*OFFSET(TblTech[[#This Row],[2-7]],-1,0) + tech_5_6*OFFSET(TblTech[[#This Row],[5-6]],-1,0) )-TblMagic[[#This Row],[Wiz str cost]]</f>
        <v>1</v>
      </c>
      <c r="E31" s="159">
        <f ca="1">OFFSET(TblMagic[[#This Row],[Time]],-1,0)+1/24</f>
        <v>45816.124999999935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7">
        <f>TblRezone[[#This Row],[Hour]]</f>
        <v>29</v>
      </c>
      <c r="B32" s="154">
        <f ca="1">TblConstr[[#This Row],[Land]]</f>
        <v>370</v>
      </c>
      <c r="C32" s="94">
        <f ca="1">TblProd[[#This Row],[Mana]]</f>
        <v>27000</v>
      </c>
      <c r="D32" s="156">
        <f ca="1">MIN(1,OFFSET(TblMagic[[#This Row],[Wiz str]],-1,0)+0.04+ROUNDDOWN(10*OFFSET(TblMili[[#This Row],[WG''s]],-1,0),0)+ tech_2_7*OFFSET(TblTech[[#This Row],[2-7]],-1,0) + tech_5_6*OFFSET(TblTech[[#This Row],[5-6]],-1,0) )-TblMagic[[#This Row],[Wiz str cost]]</f>
        <v>1</v>
      </c>
      <c r="E32" s="159">
        <f ca="1">OFFSET(TblMagic[[#This Row],[Time]],-1,0)+1/24</f>
        <v>45816.166666666599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7">
        <f>TblRezone[[#This Row],[Hour]]</f>
        <v>30</v>
      </c>
      <c r="B33" s="154">
        <f ca="1">TblConstr[[#This Row],[Land]]</f>
        <v>370</v>
      </c>
      <c r="C33" s="94">
        <f ca="1">TblProd[[#This Row],[Mana]]</f>
        <v>27710</v>
      </c>
      <c r="D33" s="156">
        <f ca="1">MIN(1,OFFSET(TblMagic[[#This Row],[Wiz str]],-1,0)+0.04+ROUNDDOWN(10*OFFSET(TblMili[[#This Row],[WG''s]],-1,0),0)+ tech_2_7*OFFSET(TblTech[[#This Row],[2-7]],-1,0) + tech_5_6*OFFSET(TblTech[[#This Row],[5-6]],-1,0) )-TblMagic[[#This Row],[Wiz str cost]]</f>
        <v>1</v>
      </c>
      <c r="E33" s="159">
        <f ca="1">OFFSET(TblMagic[[#This Row],[Time]],-1,0)+1/24</f>
        <v>45816.208333333263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7">
        <f>TblRezone[[#This Row],[Hour]]</f>
        <v>31</v>
      </c>
      <c r="B34" s="154">
        <f ca="1">TblConstr[[#This Row],[Land]]</f>
        <v>370</v>
      </c>
      <c r="C34" s="94">
        <f ca="1">TblProd[[#This Row],[Mana]]</f>
        <v>28406</v>
      </c>
      <c r="D34" s="156">
        <f ca="1">MIN(1,OFFSET(TblMagic[[#This Row],[Wiz str]],-1,0)+0.04+ROUNDDOWN(10*OFFSET(TblMili[[#This Row],[WG''s]],-1,0),0)+ tech_2_7*OFFSET(TblTech[[#This Row],[2-7]],-1,0) + tech_5_6*OFFSET(TblTech[[#This Row],[5-6]],-1,0) )-TblMagic[[#This Row],[Wiz str cost]]</f>
        <v>1</v>
      </c>
      <c r="E34" s="159">
        <f ca="1">OFFSET(TblMagic[[#This Row],[Time]],-1,0)+1/24</f>
        <v>45816.249999999927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7">
        <f>TblRezone[[#This Row],[Hour]]</f>
        <v>32</v>
      </c>
      <c r="B35" s="154">
        <f ca="1">TblConstr[[#This Row],[Land]]</f>
        <v>370</v>
      </c>
      <c r="C35" s="94">
        <f ca="1">TblProd[[#This Row],[Mana]]</f>
        <v>29088</v>
      </c>
      <c r="D35" s="156">
        <f ca="1">MIN(1,OFFSET(TblMagic[[#This Row],[Wiz str]],-1,0)+0.04+ROUNDDOWN(10*OFFSET(TblMili[[#This Row],[WG''s]],-1,0),0)+ tech_2_7*OFFSET(TblTech[[#This Row],[2-7]],-1,0) + tech_5_6*OFFSET(TblTech[[#This Row],[5-6]],-1,0) )-TblMagic[[#This Row],[Wiz str cost]]</f>
        <v>1</v>
      </c>
      <c r="E35" s="159">
        <f ca="1">OFFSET(TblMagic[[#This Row],[Time]],-1,0)+1/24</f>
        <v>45816.291666666591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7">
        <f>TblRezone[[#This Row],[Hour]]</f>
        <v>33</v>
      </c>
      <c r="B36" s="154">
        <f ca="1">TblConstr[[#This Row],[Land]]</f>
        <v>370</v>
      </c>
      <c r="C36" s="94">
        <f ca="1">TblProd[[#This Row],[Mana]]</f>
        <v>29756</v>
      </c>
      <c r="D36" s="156">
        <f ca="1">MIN(1,OFFSET(TblMagic[[#This Row],[Wiz str]],-1,0)+0.04+ROUNDDOWN(10*OFFSET(TblMili[[#This Row],[WG''s]],-1,0),0)+ tech_2_7*OFFSET(TblTech[[#This Row],[2-7]],-1,0) + tech_5_6*OFFSET(TblTech[[#This Row],[5-6]],-1,0) )-TblMagic[[#This Row],[Wiz str cost]]</f>
        <v>1</v>
      </c>
      <c r="E36" s="159">
        <f ca="1">OFFSET(TblMagic[[#This Row],[Time]],-1,0)+1/24</f>
        <v>45816.333333333256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7">
        <f>TblRezone[[#This Row],[Hour]]</f>
        <v>34</v>
      </c>
      <c r="B37" s="154">
        <f ca="1">TblConstr[[#This Row],[Land]]</f>
        <v>370</v>
      </c>
      <c r="C37" s="94">
        <f ca="1">TblProd[[#This Row],[Mana]]</f>
        <v>30411</v>
      </c>
      <c r="D37" s="156">
        <f ca="1">MIN(1,OFFSET(TblMagic[[#This Row],[Wiz str]],-1,0)+0.04+ROUNDDOWN(10*OFFSET(TblMili[[#This Row],[WG''s]],-1,0),0)+ tech_2_7*OFFSET(TblTech[[#This Row],[2-7]],-1,0) + tech_5_6*OFFSET(TblTech[[#This Row],[5-6]],-1,0) )-TblMagic[[#This Row],[Wiz str cost]]</f>
        <v>1</v>
      </c>
      <c r="E37" s="159">
        <f ca="1">OFFSET(TblMagic[[#This Row],[Time]],-1,0)+1/24</f>
        <v>45816.37499999992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7">
        <f>TblRezone[[#This Row],[Hour]]</f>
        <v>35</v>
      </c>
      <c r="B38" s="154">
        <f ca="1">TblConstr[[#This Row],[Land]]</f>
        <v>370</v>
      </c>
      <c r="C38" s="94">
        <f ca="1">TblProd[[#This Row],[Mana]]</f>
        <v>31053</v>
      </c>
      <c r="D38" s="156">
        <f ca="1">MIN(1,OFFSET(TblMagic[[#This Row],[Wiz str]],-1,0)+0.04+ROUNDDOWN(10*OFFSET(TblMili[[#This Row],[WG''s]],-1,0),0)+ tech_2_7*OFFSET(TblTech[[#This Row],[2-7]],-1,0) + tech_5_6*OFFSET(TblTech[[#This Row],[5-6]],-1,0) )-TblMagic[[#This Row],[Wiz str cost]]</f>
        <v>1</v>
      </c>
      <c r="E38" s="159">
        <f ca="1">OFFSET(TblMagic[[#This Row],[Time]],-1,0)+1/24</f>
        <v>45816.416666666584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7">
        <f>TblRezone[[#This Row],[Hour]]</f>
        <v>36</v>
      </c>
      <c r="B39" s="154">
        <f ca="1">TblConstr[[#This Row],[Land]]</f>
        <v>370</v>
      </c>
      <c r="C39" s="94">
        <f ca="1">TblProd[[#This Row],[Mana]]</f>
        <v>31682</v>
      </c>
      <c r="D39" s="156">
        <f ca="1">MIN(1,OFFSET(TblMagic[[#This Row],[Wiz str]],-1,0)+0.04+ROUNDDOWN(10*OFFSET(TblMili[[#This Row],[WG''s]],-1,0),0)+ tech_2_7*OFFSET(TblTech[[#This Row],[2-7]],-1,0) + tech_5_6*OFFSET(TblTech[[#This Row],[5-6]],-1,0) )-TblMagic[[#This Row],[Wiz str cost]]</f>
        <v>1</v>
      </c>
      <c r="E39" s="159">
        <f ca="1">OFFSET(TblMagic[[#This Row],[Time]],-1,0)+1/24</f>
        <v>45816.458333333248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7">
        <f>TblRezone[[#This Row],[Hour]]</f>
        <v>37</v>
      </c>
      <c r="B40" s="154">
        <f ca="1">TblConstr[[#This Row],[Land]]</f>
        <v>370</v>
      </c>
      <c r="C40" s="94">
        <f ca="1">TblProd[[#This Row],[Mana]]</f>
        <v>32298</v>
      </c>
      <c r="D40" s="156">
        <f ca="1">MIN(1,OFFSET(TblMagic[[#This Row],[Wiz str]],-1,0)+0.04+ROUNDDOWN(10*OFFSET(TblMili[[#This Row],[WG''s]],-1,0),0)+ tech_2_7*OFFSET(TblTech[[#This Row],[2-7]],-1,0) + tech_5_6*OFFSET(TblTech[[#This Row],[5-6]],-1,0) )-TblMagic[[#This Row],[Wiz str cost]]</f>
        <v>1</v>
      </c>
      <c r="E40" s="159">
        <f ca="1">OFFSET(TblMagic[[#This Row],[Time]],-1,0)+1/24</f>
        <v>45816.499999999913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7">
        <f>TblRezone[[#This Row],[Hour]]</f>
        <v>38</v>
      </c>
      <c r="B41" s="154">
        <f ca="1">TblConstr[[#This Row],[Land]]</f>
        <v>370</v>
      </c>
      <c r="C41" s="94">
        <f ca="1">TblProd[[#This Row],[Mana]]</f>
        <v>32902</v>
      </c>
      <c r="D41" s="156">
        <f ca="1">MIN(1,OFFSET(TblMagic[[#This Row],[Wiz str]],-1,0)+0.04+ROUNDDOWN(10*OFFSET(TblMili[[#This Row],[WG''s]],-1,0),0)+ tech_2_7*OFFSET(TblTech[[#This Row],[2-7]],-1,0) + tech_5_6*OFFSET(TblTech[[#This Row],[5-6]],-1,0) )-TblMagic[[#This Row],[Wiz str cost]]</f>
        <v>1</v>
      </c>
      <c r="E41" s="159">
        <f ca="1">OFFSET(TblMagic[[#This Row],[Time]],-1,0)+1/24</f>
        <v>45816.541666666577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7">
        <f>TblRezone[[#This Row],[Hour]]</f>
        <v>39</v>
      </c>
      <c r="B42" s="154">
        <f ca="1">TblConstr[[#This Row],[Land]]</f>
        <v>370</v>
      </c>
      <c r="C42" s="94">
        <f ca="1">TblProd[[#This Row],[Mana]]</f>
        <v>33494</v>
      </c>
      <c r="D42" s="156">
        <f ca="1">MIN(1,OFFSET(TblMagic[[#This Row],[Wiz str]],-1,0)+0.04+ROUNDDOWN(10*OFFSET(TblMili[[#This Row],[WG''s]],-1,0),0)+ tech_2_7*OFFSET(TblTech[[#This Row],[2-7]],-1,0) + tech_5_6*OFFSET(TblTech[[#This Row],[5-6]],-1,0) )-TblMagic[[#This Row],[Wiz str cost]]</f>
        <v>1</v>
      </c>
      <c r="E42" s="159">
        <f ca="1">OFFSET(TblMagic[[#This Row],[Time]],-1,0)+1/24</f>
        <v>45816.583333333241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7">
        <f>TblRezone[[#This Row],[Hour]]</f>
        <v>40</v>
      </c>
      <c r="B43" s="154">
        <f ca="1">TblConstr[[#This Row],[Land]]</f>
        <v>370</v>
      </c>
      <c r="C43" s="94">
        <f ca="1">TblProd[[#This Row],[Mana]]</f>
        <v>34074</v>
      </c>
      <c r="D43" s="156">
        <f ca="1">MIN(1,OFFSET(TblMagic[[#This Row],[Wiz str]],-1,0)+0.04+ROUNDDOWN(10*OFFSET(TblMili[[#This Row],[WG''s]],-1,0),0)+ tech_2_7*OFFSET(TblTech[[#This Row],[2-7]],-1,0) + tech_5_6*OFFSET(TblTech[[#This Row],[5-6]],-1,0) )-TblMagic[[#This Row],[Wiz str cost]]</f>
        <v>1</v>
      </c>
      <c r="E43" s="159">
        <f ca="1">OFFSET(TblMagic[[#This Row],[Time]],-1,0)+1/24</f>
        <v>45816.624999999905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7">
        <f>TblRezone[[#This Row],[Hour]]</f>
        <v>41</v>
      </c>
      <c r="B44" s="154">
        <f ca="1">TblConstr[[#This Row],[Land]]</f>
        <v>370</v>
      </c>
      <c r="C44" s="94">
        <f ca="1">TblProd[[#This Row],[Mana]]</f>
        <v>34643</v>
      </c>
      <c r="D44" s="156">
        <f ca="1">MIN(1,OFFSET(TblMagic[[#This Row],[Wiz str]],-1,0)+0.04+ROUNDDOWN(10*OFFSET(TblMili[[#This Row],[WG''s]],-1,0),0)+ tech_2_7*OFFSET(TblTech[[#This Row],[2-7]],-1,0) + tech_5_6*OFFSET(TblTech[[#This Row],[5-6]],-1,0) )-TblMagic[[#This Row],[Wiz str cost]]</f>
        <v>1</v>
      </c>
      <c r="E44" s="159">
        <f ca="1">OFFSET(TblMagic[[#This Row],[Time]],-1,0)+1/24</f>
        <v>45816.66666666657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7">
        <f>TblRezone[[#This Row],[Hour]]</f>
        <v>42</v>
      </c>
      <c r="B45" s="154">
        <f ca="1">TblConstr[[#This Row],[Land]]</f>
        <v>370</v>
      </c>
      <c r="C45" s="94">
        <f ca="1">TblProd[[#This Row],[Mana]]</f>
        <v>35200</v>
      </c>
      <c r="D45" s="156">
        <f ca="1">MIN(1,OFFSET(TblMagic[[#This Row],[Wiz str]],-1,0)+0.04+ROUNDDOWN(10*OFFSET(TblMili[[#This Row],[WG''s]],-1,0),0)+ tech_2_7*OFFSET(TblTech[[#This Row],[2-7]],-1,0) + tech_5_6*OFFSET(TblTech[[#This Row],[5-6]],-1,0) )-TblMagic[[#This Row],[Wiz str cost]]</f>
        <v>1</v>
      </c>
      <c r="E45" s="159">
        <f ca="1">OFFSET(TblMagic[[#This Row],[Time]],-1,0)+1/24</f>
        <v>45816.708333333234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7">
        <f>TblRezone[[#This Row],[Hour]]</f>
        <v>43</v>
      </c>
      <c r="B46" s="154">
        <f ca="1">TblConstr[[#This Row],[Land]]</f>
        <v>370</v>
      </c>
      <c r="C46" s="94">
        <f ca="1">TblProd[[#This Row],[Mana]]</f>
        <v>35746</v>
      </c>
      <c r="D46" s="156">
        <f ca="1">MIN(1,OFFSET(TblMagic[[#This Row],[Wiz str]],-1,0)+0.04+ROUNDDOWN(10*OFFSET(TblMili[[#This Row],[WG''s]],-1,0),0)+ tech_2_7*OFFSET(TblTech[[#This Row],[2-7]],-1,0) + tech_5_6*OFFSET(TblTech[[#This Row],[5-6]],-1,0) )-TblMagic[[#This Row],[Wiz str cost]]</f>
        <v>1</v>
      </c>
      <c r="E46" s="159">
        <f ca="1">OFFSET(TblMagic[[#This Row],[Time]],-1,0)+1/24</f>
        <v>45816.749999999898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7">
        <f>TblRezone[[#This Row],[Hour]]</f>
        <v>44</v>
      </c>
      <c r="B47" s="154">
        <f ca="1">TblConstr[[#This Row],[Land]]</f>
        <v>370</v>
      </c>
      <c r="C47" s="94">
        <f ca="1">TblProd[[#This Row],[Mana]]</f>
        <v>36281</v>
      </c>
      <c r="D47" s="156">
        <f ca="1">MIN(1,OFFSET(TblMagic[[#This Row],[Wiz str]],-1,0)+0.04+ROUNDDOWN(10*OFFSET(TblMili[[#This Row],[WG''s]],-1,0),0)+ tech_2_7*OFFSET(TblTech[[#This Row],[2-7]],-1,0) + tech_5_6*OFFSET(TblTech[[#This Row],[5-6]],-1,0) )-TblMagic[[#This Row],[Wiz str cost]]</f>
        <v>1</v>
      </c>
      <c r="E47" s="159">
        <f ca="1">OFFSET(TblMagic[[#This Row],[Time]],-1,0)+1/24</f>
        <v>45816.791666666562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7">
        <f>TblRezone[[#This Row],[Hour]]</f>
        <v>45</v>
      </c>
      <c r="B48" s="154">
        <f ca="1">TblConstr[[#This Row],[Land]]</f>
        <v>370</v>
      </c>
      <c r="C48" s="94">
        <f ca="1">TblProd[[#This Row],[Mana]]</f>
        <v>36805</v>
      </c>
      <c r="D48" s="156">
        <f ca="1">MIN(1,OFFSET(TblMagic[[#This Row],[Wiz str]],-1,0)+0.04+ROUNDDOWN(10*OFFSET(TblMili[[#This Row],[WG''s]],-1,0),0)+ tech_2_7*OFFSET(TblTech[[#This Row],[2-7]],-1,0) + tech_5_6*OFFSET(TblTech[[#This Row],[5-6]],-1,0) )-TblMagic[[#This Row],[Wiz str cost]]</f>
        <v>1</v>
      </c>
      <c r="E48" s="159">
        <f ca="1">OFFSET(TblMagic[[#This Row],[Time]],-1,0)+1/24</f>
        <v>45816.833333333227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7">
        <f>TblRezone[[#This Row],[Hour]]</f>
        <v>46</v>
      </c>
      <c r="B49" s="154">
        <f ca="1">TblConstr[[#This Row],[Land]]</f>
        <v>370</v>
      </c>
      <c r="C49" s="94">
        <f ca="1">TblProd[[#This Row],[Mana]]</f>
        <v>37319</v>
      </c>
      <c r="D49" s="156">
        <f ca="1">MIN(1,OFFSET(TblMagic[[#This Row],[Wiz str]],-1,0)+0.04+ROUNDDOWN(10*OFFSET(TblMili[[#This Row],[WG''s]],-1,0),0)+ tech_2_7*OFFSET(TblTech[[#This Row],[2-7]],-1,0) + tech_5_6*OFFSET(TblTech[[#This Row],[5-6]],-1,0) )-TblMagic[[#This Row],[Wiz str cost]]</f>
        <v>1</v>
      </c>
      <c r="E49" s="159">
        <f ca="1">OFFSET(TblMagic[[#This Row],[Time]],-1,0)+1/24</f>
        <v>45816.874999999891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7">
        <f>TblRezone[[#This Row],[Hour]]</f>
        <v>47</v>
      </c>
      <c r="B50" s="154">
        <f ca="1">TblConstr[[#This Row],[Land]]</f>
        <v>370</v>
      </c>
      <c r="C50" s="94">
        <f ca="1">TblProd[[#This Row],[Mana]]</f>
        <v>37823</v>
      </c>
      <c r="D50" s="156">
        <f ca="1">MIN(1,OFFSET(TblMagic[[#This Row],[Wiz str]],-1,0)+0.04+ROUNDDOWN(10*OFFSET(TblMili[[#This Row],[WG''s]],-1,0),0)+ tech_2_7*OFFSET(TblTech[[#This Row],[2-7]],-1,0) + tech_5_6*OFFSET(TblTech[[#This Row],[5-6]],-1,0) )-TblMagic[[#This Row],[Wiz str cost]]</f>
        <v>1</v>
      </c>
      <c r="E50" s="159">
        <f ca="1">OFFSET(TblMagic[[#This Row],[Time]],-1,0)+1/24</f>
        <v>45816.916666666555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7">
        <f>TblRezone[[#This Row],[Hour]]</f>
        <v>48</v>
      </c>
      <c r="B51" s="154">
        <f ca="1">TblConstr[[#This Row],[Land]]</f>
        <v>370</v>
      </c>
      <c r="C51" s="94">
        <f ca="1">TblProd[[#This Row],[Mana]]</f>
        <v>38317</v>
      </c>
      <c r="D51" s="156">
        <f ca="1">MIN(1,OFFSET(TblMagic[[#This Row],[Wiz str]],-1,0)+0.04+ROUNDDOWN(10*OFFSET(TblMili[[#This Row],[WG''s]],-1,0),0)+ tech_2_7*OFFSET(TblTech[[#This Row],[2-7]],-1,0) + tech_5_6*OFFSET(TblTech[[#This Row],[5-6]],-1,0) )-TblMagic[[#This Row],[Wiz str cost]]</f>
        <v>1</v>
      </c>
      <c r="E51" s="159">
        <f ca="1">OFFSET(TblMagic[[#This Row],[Time]],-1,0)+1/24</f>
        <v>45816.958333333219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s="5" customFormat="1" x14ac:dyDescent="0.2">
      <c r="A52" s="144">
        <f>TblRezone[[#This Row],[Hour]]</f>
        <v>49</v>
      </c>
      <c r="B52" s="162">
        <f ca="1">TblConstr[[#This Row],[Land]]</f>
        <v>370</v>
      </c>
      <c r="C52" s="35">
        <f ca="1">TblProd[[#This Row],[Mana]]</f>
        <v>38801</v>
      </c>
      <c r="D52" s="164">
        <f ca="1">MIN(1,OFFSET(TblMagic[[#This Row],[Wiz str]],-1,0)+0.04+ROUNDDOWN(10*OFFSET(TblMili[[#This Row],[WG''s]],-1,0),0)+ tech_2_7*OFFSET(TblTech[[#This Row],[2-7]],-1,0) + tech_5_6*OFFSET(TblTech[[#This Row],[5-6]],-1,0) )-TblMagic[[#This Row],[Wiz str cost]]</f>
        <v>1</v>
      </c>
      <c r="E52" s="167">
        <f ca="1">OFFSET(TblMagic[[#This Row],[Time]],-1,0)+1/24</f>
        <v>45816.999999999884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Row],[Demonic Pact]],12,IF(OFFSET(TblMagic[[#This Row],[Active Demonic Pact]],-1,0)&gt;0,OFFSET(TblMagic[[#This Row],[Active Demonic Pact]],-1,0)-1,0))</f>
        <v>0</v>
      </c>
    </row>
    <row r="53" spans="1:43" x14ac:dyDescent="0.2">
      <c r="A53" s="137">
        <f>TblRezone[[#This Row],[Hour]]</f>
        <v>50</v>
      </c>
      <c r="B53" s="154">
        <f ca="1">TblConstr[[#This Row],[Land]]</f>
        <v>370</v>
      </c>
      <c r="C53" s="94">
        <f ca="1">TblProd[[#This Row],[Mana]]</f>
        <v>39275</v>
      </c>
      <c r="D53" s="156">
        <f ca="1">MIN(1,OFFSET(TblMagic[[#This Row],[Wiz str]],-1,0)+0.04+ROUNDDOWN(10*OFFSET(TblMili[[#This Row],[WG''s]],-1,0),0)+ tech_2_7*OFFSET(TblTech[[#This Row],[2-7]],-1,0) + tech_5_6*OFFSET(TblTech[[#This Row],[5-6]],-1,0) )-TblMagic[[#This Row],[Wiz str cost]]</f>
        <v>1</v>
      </c>
      <c r="E53" s="159">
        <f ca="1">OFFSET(TblMagic[[#This Row],[Time]],-1,0)+1/24</f>
        <v>45817.041666666548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7">
        <f>TblRezone[[#This Row],[Hour]]</f>
        <v>51</v>
      </c>
      <c r="B54" s="154">
        <f ca="1">TblConstr[[#This Row],[Land]]</f>
        <v>370</v>
      </c>
      <c r="C54" s="94">
        <f ca="1">TblProd[[#This Row],[Mana]]</f>
        <v>39740</v>
      </c>
      <c r="D54" s="156">
        <f ca="1">MIN(1,OFFSET(TblMagic[[#This Row],[Wiz str]],-1,0)+0.04+ROUNDDOWN(10*OFFSET(TblMili[[#This Row],[WG''s]],-1,0),0)+ tech_2_7*OFFSET(TblTech[[#This Row],[2-7]],-1,0) + tech_5_6*OFFSET(TblTech[[#This Row],[5-6]],-1,0) )-TblMagic[[#This Row],[Wiz str cost]]</f>
        <v>1</v>
      </c>
      <c r="E54" s="159">
        <f ca="1">OFFSET(TblMagic[[#This Row],[Time]],-1,0)+1/24</f>
        <v>45817.083333333212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7">
        <f>TblRezone[[#This Row],[Hour]]</f>
        <v>52</v>
      </c>
      <c r="B55" s="154">
        <f ca="1">TblConstr[[#This Row],[Land]]</f>
        <v>370</v>
      </c>
      <c r="C55" s="94">
        <f ca="1">TblProd[[#This Row],[Mana]]</f>
        <v>40195</v>
      </c>
      <c r="D55" s="156">
        <f ca="1">MIN(1,OFFSET(TblMagic[[#This Row],[Wiz str]],-1,0)+0.04+ROUNDDOWN(10*OFFSET(TblMili[[#This Row],[WG''s]],-1,0),0)+ tech_2_7*OFFSET(TblTech[[#This Row],[2-7]],-1,0) + tech_5_6*OFFSET(TblTech[[#This Row],[5-6]],-1,0) )-TblMagic[[#This Row],[Wiz str cost]]</f>
        <v>1</v>
      </c>
      <c r="E55" s="159">
        <f ca="1">OFFSET(TblMagic[[#This Row],[Time]],-1,0)+1/24</f>
        <v>45817.124999999876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7">
        <f>TblRezone[[#This Row],[Hour]]</f>
        <v>53</v>
      </c>
      <c r="B56" s="154">
        <f ca="1">TblConstr[[#This Row],[Land]]</f>
        <v>370</v>
      </c>
      <c r="C56" s="94">
        <f ca="1">TblProd[[#This Row],[Mana]]</f>
        <v>40641</v>
      </c>
      <c r="D56" s="156">
        <f ca="1">MIN(1,OFFSET(TblMagic[[#This Row],[Wiz str]],-1,0)+0.04+ROUNDDOWN(10*OFFSET(TblMili[[#This Row],[WG''s]],-1,0),0)+ tech_2_7*OFFSET(TblTech[[#This Row],[2-7]],-1,0) + tech_5_6*OFFSET(TblTech[[#This Row],[5-6]],-1,0) )-TblMagic[[#This Row],[Wiz str cost]]</f>
        <v>1</v>
      </c>
      <c r="E56" s="159">
        <f ca="1">OFFSET(TblMagic[[#This Row],[Time]],-1,0)+1/24</f>
        <v>45817.166666666541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7">
        <f>TblRezone[[#This Row],[Hour]]</f>
        <v>54</v>
      </c>
      <c r="B57" s="154">
        <f ca="1">TblConstr[[#This Row],[Land]]</f>
        <v>370</v>
      </c>
      <c r="C57" s="94">
        <f ca="1">TblProd[[#This Row],[Mana]]</f>
        <v>41078</v>
      </c>
      <c r="D57" s="156">
        <f ca="1">MIN(1,OFFSET(TblMagic[[#This Row],[Wiz str]],-1,0)+0.04+ROUNDDOWN(10*OFFSET(TblMili[[#This Row],[WG''s]],-1,0),0)+ tech_2_7*OFFSET(TblTech[[#This Row],[2-7]],-1,0) + tech_5_6*OFFSET(TblTech[[#This Row],[5-6]],-1,0) )-TblMagic[[#This Row],[Wiz str cost]]</f>
        <v>1</v>
      </c>
      <c r="E57" s="159">
        <f ca="1">OFFSET(TblMagic[[#This Row],[Time]],-1,0)+1/24</f>
        <v>45817.208333333205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7">
        <f>TblRezone[[#This Row],[Hour]]</f>
        <v>55</v>
      </c>
      <c r="B58" s="154">
        <f ca="1">TblConstr[[#This Row],[Land]]</f>
        <v>370</v>
      </c>
      <c r="C58" s="94">
        <f ca="1">TblProd[[#This Row],[Mana]]</f>
        <v>41506</v>
      </c>
      <c r="D58" s="156">
        <f ca="1">MIN(1,OFFSET(TblMagic[[#This Row],[Wiz str]],-1,0)+0.04+ROUNDDOWN(10*OFFSET(TblMili[[#This Row],[WG''s]],-1,0),0)+ tech_2_7*OFFSET(TblTech[[#This Row],[2-7]],-1,0) + tech_5_6*OFFSET(TblTech[[#This Row],[5-6]],-1,0) )-TblMagic[[#This Row],[Wiz str cost]]</f>
        <v>1</v>
      </c>
      <c r="E58" s="159">
        <f ca="1">OFFSET(TblMagic[[#This Row],[Time]],-1,0)+1/24</f>
        <v>45817.249999999869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7">
        <f>TblRezone[[#This Row],[Hour]]</f>
        <v>56</v>
      </c>
      <c r="B59" s="154">
        <f ca="1">TblConstr[[#This Row],[Land]]</f>
        <v>370</v>
      </c>
      <c r="C59" s="94">
        <f ca="1">TblProd[[#This Row],[Mana]]</f>
        <v>41926</v>
      </c>
      <c r="D59" s="156">
        <f ca="1">MIN(1,OFFSET(TblMagic[[#This Row],[Wiz str]],-1,0)+0.04+ROUNDDOWN(10*OFFSET(TblMili[[#This Row],[WG''s]],-1,0),0)+ tech_2_7*OFFSET(TblTech[[#This Row],[2-7]],-1,0) + tech_5_6*OFFSET(TblTech[[#This Row],[5-6]],-1,0) )-TblMagic[[#This Row],[Wiz str cost]]</f>
        <v>1</v>
      </c>
      <c r="E59" s="159">
        <f ca="1">OFFSET(TblMagic[[#This Row],[Time]],-1,0)+1/24</f>
        <v>45817.291666666533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7">
        <f>TblRezone[[#This Row],[Hour]]</f>
        <v>57</v>
      </c>
      <c r="B60" s="154">
        <f ca="1">TblConstr[[#This Row],[Land]]</f>
        <v>370</v>
      </c>
      <c r="C60" s="94">
        <f ca="1">TblProd[[#This Row],[Mana]]</f>
        <v>42337</v>
      </c>
      <c r="D60" s="156">
        <f ca="1">MIN(1,OFFSET(TblMagic[[#This Row],[Wiz str]],-1,0)+0.04+ROUNDDOWN(10*OFFSET(TblMili[[#This Row],[WG''s]],-1,0),0)+ tech_2_7*OFFSET(TblTech[[#This Row],[2-7]],-1,0) + tech_5_6*OFFSET(TblTech[[#This Row],[5-6]],-1,0) )-TblMagic[[#This Row],[Wiz str cost]]</f>
        <v>1</v>
      </c>
      <c r="E60" s="159">
        <f ca="1">OFFSET(TblMagic[[#This Row],[Time]],-1,0)+1/24</f>
        <v>45817.333333333198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7">
        <f>TblRezone[[#This Row],[Hour]]</f>
        <v>58</v>
      </c>
      <c r="B61" s="154">
        <f ca="1">TblConstr[[#This Row],[Land]]</f>
        <v>370</v>
      </c>
      <c r="C61" s="94">
        <f ca="1">TblProd[[#This Row],[Mana]]</f>
        <v>42740</v>
      </c>
      <c r="D61" s="156">
        <f ca="1">MIN(1,OFFSET(TblMagic[[#This Row],[Wiz str]],-1,0)+0.04+ROUNDDOWN(10*OFFSET(TblMili[[#This Row],[WG''s]],-1,0),0)+ tech_2_7*OFFSET(TblTech[[#This Row],[2-7]],-1,0) + tech_5_6*OFFSET(TblTech[[#This Row],[5-6]],-1,0) )-TblMagic[[#This Row],[Wiz str cost]]</f>
        <v>1</v>
      </c>
      <c r="E61" s="159">
        <f ca="1">OFFSET(TblMagic[[#This Row],[Time]],-1,0)+1/24</f>
        <v>45817.374999999862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7">
        <f>TblRezone[[#This Row],[Hour]]</f>
        <v>59</v>
      </c>
      <c r="B62" s="154">
        <f ca="1">TblConstr[[#This Row],[Land]]</f>
        <v>370</v>
      </c>
      <c r="C62" s="94">
        <f ca="1">TblProd[[#This Row],[Mana]]</f>
        <v>43135</v>
      </c>
      <c r="D62" s="156">
        <f ca="1">MIN(1,OFFSET(TblMagic[[#This Row],[Wiz str]],-1,0)+0.04+ROUNDDOWN(10*OFFSET(TblMili[[#This Row],[WG''s]],-1,0),0)+ tech_2_7*OFFSET(TblTech[[#This Row],[2-7]],-1,0) + tech_5_6*OFFSET(TblTech[[#This Row],[5-6]],-1,0) )-TblMagic[[#This Row],[Wiz str cost]]</f>
        <v>1</v>
      </c>
      <c r="E62" s="159">
        <f ca="1">OFFSET(TblMagic[[#This Row],[Time]],-1,0)+1/24</f>
        <v>45817.416666666526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7">
        <f>TblRezone[[#This Row],[Hour]]</f>
        <v>60</v>
      </c>
      <c r="B63" s="154">
        <f ca="1">TblConstr[[#This Row],[Land]]</f>
        <v>370</v>
      </c>
      <c r="C63" s="94">
        <f ca="1">TblProd[[#This Row],[Mana]]</f>
        <v>43522</v>
      </c>
      <c r="D63" s="156">
        <f ca="1">MIN(1,OFFSET(TblMagic[[#This Row],[Wiz str]],-1,0)+0.04+ROUNDDOWN(10*OFFSET(TblMili[[#This Row],[WG''s]],-1,0),0)+ tech_2_7*OFFSET(TblTech[[#This Row],[2-7]],-1,0) + tech_5_6*OFFSET(TblTech[[#This Row],[5-6]],-1,0) )-TblMagic[[#This Row],[Wiz str cost]]</f>
        <v>1</v>
      </c>
      <c r="E63" s="159">
        <f ca="1">OFFSET(TblMagic[[#This Row],[Time]],-1,0)+1/24</f>
        <v>45817.45833333319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7">
        <f>TblRezone[[#This Row],[Hour]]</f>
        <v>61</v>
      </c>
      <c r="B64" s="154">
        <f ca="1">TblConstr[[#This Row],[Land]]</f>
        <v>370</v>
      </c>
      <c r="C64" s="94">
        <f ca="1">TblProd[[#This Row],[Mana]]</f>
        <v>43902</v>
      </c>
      <c r="D64" s="156">
        <f ca="1">MIN(1,OFFSET(TblMagic[[#This Row],[Wiz str]],-1,0)+0.04+ROUNDDOWN(10*OFFSET(TblMili[[#This Row],[WG''s]],-1,0),0)+ tech_2_7*OFFSET(TblTech[[#This Row],[2-7]],-1,0) + tech_5_6*OFFSET(TblTech[[#This Row],[5-6]],-1,0) )-TblMagic[[#This Row],[Wiz str cost]]</f>
        <v>1</v>
      </c>
      <c r="E64" s="159">
        <f ca="1">OFFSET(TblMagic[[#This Row],[Time]],-1,0)+1/24</f>
        <v>45817.499999999854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7">
        <f>TblRezone[[#This Row],[Hour]]</f>
        <v>62</v>
      </c>
      <c r="B65" s="154">
        <f ca="1">TblConstr[[#This Row],[Land]]</f>
        <v>370</v>
      </c>
      <c r="C65" s="94">
        <f ca="1">TblProd[[#This Row],[Mana]]</f>
        <v>44274</v>
      </c>
      <c r="D65" s="156">
        <f ca="1">MIN(1,OFFSET(TblMagic[[#This Row],[Wiz str]],-1,0)+0.04+ROUNDDOWN(10*OFFSET(TblMili[[#This Row],[WG''s]],-1,0),0)+ tech_2_7*OFFSET(TblTech[[#This Row],[2-7]],-1,0) + tech_5_6*OFFSET(TblTech[[#This Row],[5-6]],-1,0) )-TblMagic[[#This Row],[Wiz str cost]]</f>
        <v>1</v>
      </c>
      <c r="E65" s="159">
        <f ca="1">OFFSET(TblMagic[[#This Row],[Time]],-1,0)+1/24</f>
        <v>45817.541666666519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7">
        <f>TblRezone[[#This Row],[Hour]]</f>
        <v>63</v>
      </c>
      <c r="B66" s="154">
        <f ca="1">TblConstr[[#This Row],[Land]]</f>
        <v>370</v>
      </c>
      <c r="C66" s="94">
        <f ca="1">TblProd[[#This Row],[Mana]]</f>
        <v>44639</v>
      </c>
      <c r="D66" s="156">
        <f ca="1">MIN(1,OFFSET(TblMagic[[#This Row],[Wiz str]],-1,0)+0.04+ROUNDDOWN(10*OFFSET(TblMili[[#This Row],[WG''s]],-1,0),0)+ tech_2_7*OFFSET(TblTech[[#This Row],[2-7]],-1,0) + tech_5_6*OFFSET(TblTech[[#This Row],[5-6]],-1,0) )-TblMagic[[#This Row],[Wiz str cost]]</f>
        <v>1</v>
      </c>
      <c r="E66" s="159">
        <f ca="1">OFFSET(TblMagic[[#This Row],[Time]],-1,0)+1/24</f>
        <v>45817.583333333183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7">
        <f>TblRezone[[#This Row],[Hour]]</f>
        <v>64</v>
      </c>
      <c r="B67" s="154">
        <f ca="1">TblConstr[[#This Row],[Land]]</f>
        <v>370</v>
      </c>
      <c r="C67" s="94">
        <f ca="1">TblProd[[#This Row],[Mana]]</f>
        <v>44996</v>
      </c>
      <c r="D67" s="156">
        <f ca="1">MIN(1,OFFSET(TblMagic[[#This Row],[Wiz str]],-1,0)+0.04+ROUNDDOWN(10*OFFSET(TblMili[[#This Row],[WG''s]],-1,0),0)+ tech_2_7*OFFSET(TblTech[[#This Row],[2-7]],-1,0) + tech_5_6*OFFSET(TblTech[[#This Row],[5-6]],-1,0) )-TblMagic[[#This Row],[Wiz str cost]]</f>
        <v>1</v>
      </c>
      <c r="E67" s="159">
        <f ca="1">OFFSET(TblMagic[[#This Row],[Time]],-1,0)+1/24</f>
        <v>45817.624999999847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7">
        <f>TblRezone[[#This Row],[Hour]]</f>
        <v>65</v>
      </c>
      <c r="B68" s="154">
        <f ca="1">TblConstr[[#This Row],[Land]]</f>
        <v>370</v>
      </c>
      <c r="C68" s="94">
        <f ca="1">TblProd[[#This Row],[Mana]]</f>
        <v>45346</v>
      </c>
      <c r="D68" s="156">
        <f ca="1">MIN(1,OFFSET(TblMagic[[#This Row],[Wiz str]],-1,0)+0.04+ROUNDDOWN(10*OFFSET(TblMili[[#This Row],[WG''s]],-1,0),0)+ tech_2_7*OFFSET(TblTech[[#This Row],[2-7]],-1,0) + tech_5_6*OFFSET(TblTech[[#This Row],[5-6]],-1,0) )-TblMagic[[#This Row],[Wiz str cost]]</f>
        <v>1</v>
      </c>
      <c r="E68" s="159">
        <f ca="1">OFFSET(TblMagic[[#This Row],[Time]],-1,0)+1/24</f>
        <v>45817.666666666511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7">
        <f>TblRezone[[#This Row],[Hour]]</f>
        <v>66</v>
      </c>
      <c r="B69" s="154">
        <f ca="1">TblConstr[[#This Row],[Land]]</f>
        <v>370</v>
      </c>
      <c r="C69" s="94">
        <f ca="1">TblProd[[#This Row],[Mana]]</f>
        <v>45689</v>
      </c>
      <c r="D69" s="156">
        <f ca="1">MIN(1,OFFSET(TblMagic[[#This Row],[Wiz str]],-1,0)+0.04+ROUNDDOWN(10*OFFSET(TblMili[[#This Row],[WG''s]],-1,0),0)+ tech_2_7*OFFSET(TblTech[[#This Row],[2-7]],-1,0) + tech_5_6*OFFSET(TblTech[[#This Row],[5-6]],-1,0) )-TblMagic[[#This Row],[Wiz str cost]]</f>
        <v>1</v>
      </c>
      <c r="E69" s="159">
        <f ca="1">OFFSET(TblMagic[[#This Row],[Time]],-1,0)+1/24</f>
        <v>45817.708333333176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7">
        <f>TblRezone[[#This Row],[Hour]]</f>
        <v>67</v>
      </c>
      <c r="B70" s="154">
        <f ca="1">TblConstr[[#This Row],[Land]]</f>
        <v>370</v>
      </c>
      <c r="C70" s="94">
        <f ca="1">TblProd[[#This Row],[Mana]]</f>
        <v>46025</v>
      </c>
      <c r="D70" s="156">
        <f ca="1">MIN(1,OFFSET(TblMagic[[#This Row],[Wiz str]],-1,0)+0.04+ROUNDDOWN(10*OFFSET(TblMili[[#This Row],[WG''s]],-1,0),0)+ tech_2_7*OFFSET(TblTech[[#This Row],[2-7]],-1,0) + tech_5_6*OFFSET(TblTech[[#This Row],[5-6]],-1,0) )-TblMagic[[#This Row],[Wiz str cost]]</f>
        <v>1</v>
      </c>
      <c r="E70" s="159">
        <f ca="1">OFFSET(TblMagic[[#This Row],[Time]],-1,0)+1/24</f>
        <v>45817.74999999984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7">
        <f>TblRezone[[#This Row],[Hour]]</f>
        <v>68</v>
      </c>
      <c r="B71" s="154">
        <f ca="1">TblConstr[[#This Row],[Land]]</f>
        <v>370</v>
      </c>
      <c r="C71" s="94">
        <f ca="1">TblProd[[#This Row],[Mana]]</f>
        <v>46355</v>
      </c>
      <c r="D71" s="156">
        <f ca="1">MIN(1,OFFSET(TblMagic[[#This Row],[Wiz str]],-1,0)+0.04+ROUNDDOWN(10*OFFSET(TblMili[[#This Row],[WG''s]],-1,0),0)+ tech_2_7*OFFSET(TblTech[[#This Row],[2-7]],-1,0) + tech_5_6*OFFSET(TblTech[[#This Row],[5-6]],-1,0) )-TblMagic[[#This Row],[Wiz str cost]]</f>
        <v>1</v>
      </c>
      <c r="E71" s="159">
        <f ca="1">OFFSET(TblMagic[[#This Row],[Time]],-1,0)+1/24</f>
        <v>45817.791666666504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7">
        <f>TblRezone[[#This Row],[Hour]]</f>
        <v>69</v>
      </c>
      <c r="B72" s="154">
        <f ca="1">TblConstr[[#This Row],[Land]]</f>
        <v>370</v>
      </c>
      <c r="C72" s="94">
        <f ca="1">TblProd[[#This Row],[Mana]]</f>
        <v>46678</v>
      </c>
      <c r="D72" s="156">
        <f ca="1">MIN(1,OFFSET(TblMagic[[#This Row],[Wiz str]],-1,0)+0.04+ROUNDDOWN(10*OFFSET(TblMili[[#This Row],[WG''s]],-1,0),0)+ tech_2_7*OFFSET(TblTech[[#This Row],[2-7]],-1,0) + tech_5_6*OFFSET(TblTech[[#This Row],[5-6]],-1,0) )-TblMagic[[#This Row],[Wiz str cost]]</f>
        <v>1</v>
      </c>
      <c r="E72" s="159">
        <f ca="1">OFFSET(TblMagic[[#This Row],[Time]],-1,0)+1/24</f>
        <v>45817.833333333168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7">
        <f>TblRezone[[#This Row],[Hour]]</f>
        <v>70</v>
      </c>
      <c r="B73" s="154">
        <f ca="1">TblConstr[[#This Row],[Land]]</f>
        <v>370</v>
      </c>
      <c r="C73" s="94">
        <f ca="1">TblProd[[#This Row],[Mana]]</f>
        <v>46994</v>
      </c>
      <c r="D73" s="156">
        <f ca="1">MIN(1,OFFSET(TblMagic[[#This Row],[Wiz str]],-1,0)+0.04+ROUNDDOWN(10*OFFSET(TblMili[[#This Row],[WG''s]],-1,0),0)+ tech_2_7*OFFSET(TblTech[[#This Row],[2-7]],-1,0) + tech_5_6*OFFSET(TblTech[[#This Row],[5-6]],-1,0) )-TblMagic[[#This Row],[Wiz str cost]]</f>
        <v>1</v>
      </c>
      <c r="E73" s="159">
        <f ca="1">OFFSET(TblMagic[[#This Row],[Time]],-1,0)+1/24</f>
        <v>45817.874999999833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7">
        <f>TblRezone[[#This Row],[Hour]]</f>
        <v>71</v>
      </c>
      <c r="B74" s="154">
        <f ca="1">TblConstr[[#This Row],[Land]]</f>
        <v>370</v>
      </c>
      <c r="C74" s="94">
        <f ca="1">TblProd[[#This Row],[Mana]]</f>
        <v>47304</v>
      </c>
      <c r="D74" s="156">
        <f ca="1">MIN(1,OFFSET(TblMagic[[#This Row],[Wiz str]],-1,0)+0.04+ROUNDDOWN(10*OFFSET(TblMili[[#This Row],[WG''s]],-1,0),0)+ tech_2_7*OFFSET(TblTech[[#This Row],[2-7]],-1,0) + tech_5_6*OFFSET(TblTech[[#This Row],[5-6]],-1,0) )-TblMagic[[#This Row],[Wiz str cost]]</f>
        <v>1</v>
      </c>
      <c r="E74" s="159">
        <f ca="1">OFFSET(TblMagic[[#This Row],[Time]],-1,0)+1/24</f>
        <v>45817.916666666497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7">
        <f>TblRezone[[#This Row],[Hour]]</f>
        <v>72</v>
      </c>
      <c r="B75" s="154">
        <f ca="1">TblConstr[[#This Row],[Land]]</f>
        <v>370</v>
      </c>
      <c r="C75" s="94">
        <f ca="1">TblProd[[#This Row],[Mana]]</f>
        <v>47608</v>
      </c>
      <c r="D75" s="156">
        <f ca="1">MIN(1,OFFSET(TblMagic[[#This Row],[Wiz str]],-1,0)+0.04+ROUNDDOWN(10*OFFSET(TblMili[[#This Row],[WG''s]],-1,0),0)+ tech_2_7*OFFSET(TblTech[[#This Row],[2-7]],-1,0) + tech_5_6*OFFSET(TblTech[[#This Row],[5-6]],-1,0) )-TblMagic[[#This Row],[Wiz str cost]]</f>
        <v>1</v>
      </c>
      <c r="E75" s="159">
        <f ca="1">OFFSET(TblMagic[[#This Row],[Time]],-1,0)+1/24</f>
        <v>45817.958333333161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3" customFormat="1" x14ac:dyDescent="0.2">
      <c r="A76" s="137">
        <f>TblRezone[[#This Row],[Hour]]</f>
        <v>73</v>
      </c>
      <c r="B76" s="154">
        <f ca="1">TblConstr[[#This Row],[Land]]</f>
        <v>370</v>
      </c>
      <c r="C76" s="430">
        <f ca="1">TblProd[[#This Row],[Mana]]</f>
        <v>47906</v>
      </c>
      <c r="D76" s="458">
        <f ca="1">MIN(1,OFFSET(TblMagic[[#This Row],[Wiz str]],-1,0)+0.04+ROUNDDOWN(10*OFFSET(TblMili[[#This Row],[WG''s]],-1,0),0)+ tech_2_7*OFFSET(TblTech[[#This Row],[2-7]],-1,0) + tech_5_6*OFFSET(TblTech[[#This Row],[5-6]],-1,0) )-TblMagic[[#This Row],[Wiz str cost]]</f>
        <v>1</v>
      </c>
      <c r="E76" s="432">
        <f ca="1">OFFSET(TblMagic[[#This Row],[Time]],-1,0)+1/24</f>
        <v>45817.999999999825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Row],[Demonic Pact]],12,IF(OFFSET(TblMagic[[#This Row],[Active Demonic Pact]],-1,0)&gt;0,OFFSET(TblMagic[[#This Row],[Active Demonic Pact]],-1,0)-1,0))</f>
        <v>0</v>
      </c>
    </row>
    <row r="77" spans="1:43" x14ac:dyDescent="0.2">
      <c r="A77" s="137">
        <f>TblRezone[[#This Row],[Hour]]</f>
        <v>74</v>
      </c>
      <c r="B77" s="154">
        <f ca="1">TblConstr[[#This Row],[Land]]</f>
        <v>370</v>
      </c>
      <c r="C77" s="94">
        <f ca="1">TblProd[[#This Row],[Mana]]</f>
        <v>48198</v>
      </c>
      <c r="D77" s="156">
        <f ca="1">MIN(1,OFFSET(TblMagic[[#This Row],[Wiz str]],-1,0)+0.04+ROUNDDOWN(10*OFFSET(TblMili[[#This Row],[WG''s]],-1,0),0)+ tech_2_7*OFFSET(TblTech[[#This Row],[2-7]],-1,0) + tech_5_6*OFFSET(TblTech[[#This Row],[5-6]],-1,0) )-TblMagic[[#This Row],[Wiz str cost]]</f>
        <v>1</v>
      </c>
      <c r="E77" s="159">
        <f ca="1">OFFSET(TblMagic[[#This Row],[Time]],-1,0)+1/24</f>
        <v>45818.04166666649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7">
        <f>TblRezone[[#This Row],[Hour]]</f>
        <v>75</v>
      </c>
      <c r="B78" s="154">
        <f ca="1">TblConstr[[#This Row],[Land]]</f>
        <v>370</v>
      </c>
      <c r="C78" s="94">
        <f ca="1">TblProd[[#This Row],[Mana]]</f>
        <v>48484</v>
      </c>
      <c r="D78" s="156">
        <f ca="1">MIN(1,OFFSET(TblMagic[[#This Row],[Wiz str]],-1,0)+0.04+ROUNDDOWN(10*OFFSET(TblMili[[#This Row],[WG''s]],-1,0),0)+ tech_2_7*OFFSET(TblTech[[#This Row],[2-7]],-1,0) + tech_5_6*OFFSET(TblTech[[#This Row],[5-6]],-1,0) )-TblMagic[[#This Row],[Wiz str cost]]</f>
        <v>1</v>
      </c>
      <c r="E78" s="159">
        <f ca="1">OFFSET(TblMagic[[#This Row],[Time]],-1,0)+1/24</f>
        <v>45818.083333333154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7">
        <f>TblRezone[[#This Row],[Hour]]</f>
        <v>76</v>
      </c>
      <c r="B79" s="154">
        <f ca="1">TblConstr[[#This Row],[Land]]</f>
        <v>370</v>
      </c>
      <c r="C79" s="94">
        <f ca="1">TblProd[[#This Row],[Mana]]</f>
        <v>48764</v>
      </c>
      <c r="D79" s="156">
        <f ca="1">MIN(1,OFFSET(TblMagic[[#This Row],[Wiz str]],-1,0)+0.04+ROUNDDOWN(10*OFFSET(TblMili[[#This Row],[WG''s]],-1,0),0)+ tech_2_7*OFFSET(TblTech[[#This Row],[2-7]],-1,0) + tech_5_6*OFFSET(TblTech[[#This Row],[5-6]],-1,0) )-TblMagic[[#This Row],[Wiz str cost]]</f>
        <v>1</v>
      </c>
      <c r="E79" s="159">
        <f ca="1">OFFSET(TblMagic[[#This Row],[Time]],-1,0)+1/24</f>
        <v>45818.124999999818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7">
        <f>TblRezone[[#This Row],[Hour]]</f>
        <v>77</v>
      </c>
      <c r="B80" s="154">
        <f ca="1">TblConstr[[#This Row],[Land]]</f>
        <v>370</v>
      </c>
      <c r="C80" s="94">
        <f ca="1">TblProd[[#This Row],[Mana]]</f>
        <v>49039</v>
      </c>
      <c r="D80" s="156">
        <f ca="1">MIN(1,OFFSET(TblMagic[[#This Row],[Wiz str]],-1,0)+0.04+ROUNDDOWN(10*OFFSET(TblMili[[#This Row],[WG''s]],-1,0),0)+ tech_2_7*OFFSET(TblTech[[#This Row],[2-7]],-1,0) + tech_5_6*OFFSET(TblTech[[#This Row],[5-6]],-1,0) )-TblMagic[[#This Row],[Wiz str cost]]</f>
        <v>1</v>
      </c>
      <c r="E80" s="159">
        <f ca="1">OFFSET(TblMagic[[#This Row],[Time]],-1,0)+1/24</f>
        <v>45818.166666666482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7">
        <f>TblRezone[[#This Row],[Hour]]</f>
        <v>78</v>
      </c>
      <c r="B81" s="154">
        <f ca="1">TblConstr[[#This Row],[Land]]</f>
        <v>370</v>
      </c>
      <c r="C81" s="94">
        <f ca="1">TblProd[[#This Row],[Mana]]</f>
        <v>49308</v>
      </c>
      <c r="D81" s="156">
        <f ca="1">MIN(1,OFFSET(TblMagic[[#This Row],[Wiz str]],-1,0)+0.04+ROUNDDOWN(10*OFFSET(TblMili[[#This Row],[WG''s]],-1,0),0)+ tech_2_7*OFFSET(TblTech[[#This Row],[2-7]],-1,0) + tech_5_6*OFFSET(TblTech[[#This Row],[5-6]],-1,0) )-TblMagic[[#This Row],[Wiz str cost]]</f>
        <v>1</v>
      </c>
      <c r="E81" s="159">
        <f ca="1">OFFSET(TblMagic[[#This Row],[Time]],-1,0)+1/24</f>
        <v>45818.208333333147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7">
        <f>TblRezone[[#This Row],[Hour]]</f>
        <v>79</v>
      </c>
      <c r="B82" s="154">
        <f ca="1">TblConstr[[#This Row],[Land]]</f>
        <v>370</v>
      </c>
      <c r="C82" s="94">
        <f ca="1">TblProd[[#This Row],[Mana]]</f>
        <v>49572</v>
      </c>
      <c r="D82" s="156">
        <f ca="1">MIN(1,OFFSET(TblMagic[[#This Row],[Wiz str]],-1,0)+0.04+ROUNDDOWN(10*OFFSET(TblMili[[#This Row],[WG''s]],-1,0),0)+ tech_2_7*OFFSET(TblTech[[#This Row],[2-7]],-1,0) + tech_5_6*OFFSET(TblTech[[#This Row],[5-6]],-1,0) )-TblMagic[[#This Row],[Wiz str cost]]</f>
        <v>1</v>
      </c>
      <c r="E82" s="159">
        <f ca="1">OFFSET(TblMagic[[#This Row],[Time]],-1,0)+1/24</f>
        <v>45818.249999999811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7">
        <f>TblRezone[[#This Row],[Hour]]</f>
        <v>80</v>
      </c>
      <c r="B83" s="154">
        <f ca="1">TblConstr[[#This Row],[Land]]</f>
        <v>370</v>
      </c>
      <c r="C83" s="94">
        <f ca="1">TblProd[[#This Row],[Mana]]</f>
        <v>49831</v>
      </c>
      <c r="D83" s="156">
        <f ca="1">MIN(1,OFFSET(TblMagic[[#This Row],[Wiz str]],-1,0)+0.04+ROUNDDOWN(10*OFFSET(TblMili[[#This Row],[WG''s]],-1,0),0)+ tech_2_7*OFFSET(TblTech[[#This Row],[2-7]],-1,0) + tech_5_6*OFFSET(TblTech[[#This Row],[5-6]],-1,0) )-TblMagic[[#This Row],[Wiz str cost]]</f>
        <v>1</v>
      </c>
      <c r="E83" s="159">
        <f ca="1">OFFSET(TblMagic[[#This Row],[Time]],-1,0)+1/24</f>
        <v>45818.291666666475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7">
        <f>TblRezone[[#This Row],[Hour]]</f>
        <v>81</v>
      </c>
      <c r="B84" s="154">
        <f ca="1">TblConstr[[#This Row],[Land]]</f>
        <v>370</v>
      </c>
      <c r="C84" s="94">
        <f ca="1">TblProd[[#This Row],[Mana]]</f>
        <v>50084</v>
      </c>
      <c r="D84" s="156">
        <f ca="1">MIN(1,OFFSET(TblMagic[[#This Row],[Wiz str]],-1,0)+0.04+ROUNDDOWN(10*OFFSET(TblMili[[#This Row],[WG''s]],-1,0),0)+ tech_2_7*OFFSET(TblTech[[#This Row],[2-7]],-1,0) + tech_5_6*OFFSET(TblTech[[#This Row],[5-6]],-1,0) )-TblMagic[[#This Row],[Wiz str cost]]</f>
        <v>1</v>
      </c>
      <c r="E84" s="159">
        <f ca="1">OFFSET(TblMagic[[#This Row],[Time]],-1,0)+1/24</f>
        <v>45818.333333333139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7">
        <f>TblRezone[[#This Row],[Hour]]</f>
        <v>82</v>
      </c>
      <c r="B85" s="154">
        <f ca="1">TblConstr[[#This Row],[Land]]</f>
        <v>370</v>
      </c>
      <c r="C85" s="94">
        <f ca="1">TblProd[[#This Row],[Mana]]</f>
        <v>50332</v>
      </c>
      <c r="D85" s="156">
        <f ca="1">MIN(1,OFFSET(TblMagic[[#This Row],[Wiz str]],-1,0)+0.04+ROUNDDOWN(10*OFFSET(TblMili[[#This Row],[WG''s]],-1,0),0)+ tech_2_7*OFFSET(TblTech[[#This Row],[2-7]],-1,0) + tech_5_6*OFFSET(TblTech[[#This Row],[5-6]],-1,0) )-TblMagic[[#This Row],[Wiz str cost]]</f>
        <v>1</v>
      </c>
      <c r="E85" s="159">
        <f ca="1">OFFSET(TblMagic[[#This Row],[Time]],-1,0)+1/24</f>
        <v>45818.374999999804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7">
        <f>TblRezone[[#This Row],[Hour]]</f>
        <v>83</v>
      </c>
      <c r="B86" s="154">
        <f ca="1">TblConstr[[#This Row],[Land]]</f>
        <v>370</v>
      </c>
      <c r="C86" s="94">
        <f ca="1">TblProd[[#This Row],[Mana]]</f>
        <v>50575</v>
      </c>
      <c r="D86" s="156">
        <f ca="1">MIN(1,OFFSET(TblMagic[[#This Row],[Wiz str]],-1,0)+0.04+ROUNDDOWN(10*OFFSET(TblMili[[#This Row],[WG''s]],-1,0),0)+ tech_2_7*OFFSET(TblTech[[#This Row],[2-7]],-1,0) + tech_5_6*OFFSET(TblTech[[#This Row],[5-6]],-1,0) )-TblMagic[[#This Row],[Wiz str cost]]</f>
        <v>1</v>
      </c>
      <c r="E86" s="159">
        <f ca="1">OFFSET(TblMagic[[#This Row],[Time]],-1,0)+1/24</f>
        <v>45818.416666666468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7">
        <f>TblRezone[[#This Row],[Hour]]</f>
        <v>84</v>
      </c>
      <c r="B87" s="154">
        <f ca="1">TblConstr[[#This Row],[Land]]</f>
        <v>370</v>
      </c>
      <c r="C87" s="94">
        <f ca="1">TblProd[[#This Row],[Mana]]</f>
        <v>50814</v>
      </c>
      <c r="D87" s="156">
        <f ca="1">MIN(1,OFFSET(TblMagic[[#This Row],[Wiz str]],-1,0)+0.04+ROUNDDOWN(10*OFFSET(TblMili[[#This Row],[WG''s]],-1,0),0)+ tech_2_7*OFFSET(TblTech[[#This Row],[2-7]],-1,0) + tech_5_6*OFFSET(TblTech[[#This Row],[5-6]],-1,0) )-TblMagic[[#This Row],[Wiz str cost]]</f>
        <v>1</v>
      </c>
      <c r="E87" s="159">
        <f ca="1">OFFSET(TblMagic[[#This Row],[Time]],-1,0)+1/24</f>
        <v>45818.458333333132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7">
        <f>TblRezone[[#This Row],[Hour]]</f>
        <v>85</v>
      </c>
      <c r="B88" s="154">
        <f ca="1">TblConstr[[#This Row],[Land]]</f>
        <v>370</v>
      </c>
      <c r="C88" s="94">
        <f ca="1">TblProd[[#This Row],[Mana]]</f>
        <v>51048</v>
      </c>
      <c r="D88" s="156">
        <f ca="1">MIN(1,OFFSET(TblMagic[[#This Row],[Wiz str]],-1,0)+0.04+ROUNDDOWN(10*OFFSET(TblMili[[#This Row],[WG''s]],-1,0),0)+ tech_2_7*OFFSET(TblTech[[#This Row],[2-7]],-1,0) + tech_5_6*OFFSET(TblTech[[#This Row],[5-6]],-1,0) )-TblMagic[[#This Row],[Wiz str cost]]</f>
        <v>1</v>
      </c>
      <c r="E88" s="159">
        <f ca="1">OFFSET(TblMagic[[#This Row],[Time]],-1,0)+1/24</f>
        <v>45818.499999999796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7">
        <f>TblRezone[[#This Row],[Hour]]</f>
        <v>86</v>
      </c>
      <c r="B89" s="154">
        <f ca="1">TblConstr[[#This Row],[Land]]</f>
        <v>370</v>
      </c>
      <c r="C89" s="94">
        <f ca="1">TblProd[[#This Row],[Mana]]</f>
        <v>51277</v>
      </c>
      <c r="D89" s="156">
        <f ca="1">MIN(1,OFFSET(TblMagic[[#This Row],[Wiz str]],-1,0)+0.04+ROUNDDOWN(10*OFFSET(TblMili[[#This Row],[WG''s]],-1,0),0)+ tech_2_7*OFFSET(TblTech[[#This Row],[2-7]],-1,0) + tech_5_6*OFFSET(TblTech[[#This Row],[5-6]],-1,0) )-TblMagic[[#This Row],[Wiz str cost]]</f>
        <v>1</v>
      </c>
      <c r="E89" s="159">
        <f ca="1">OFFSET(TblMagic[[#This Row],[Time]],-1,0)+1/24</f>
        <v>45818.541666666461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7">
        <f>TblRezone[[#This Row],[Hour]]</f>
        <v>87</v>
      </c>
      <c r="B90" s="154">
        <f ca="1">TblConstr[[#This Row],[Land]]</f>
        <v>370</v>
      </c>
      <c r="C90" s="94">
        <f ca="1">TblProd[[#This Row],[Mana]]</f>
        <v>51501</v>
      </c>
      <c r="D90" s="156">
        <f ca="1">MIN(1,OFFSET(TblMagic[[#This Row],[Wiz str]],-1,0)+0.04+ROUNDDOWN(10*OFFSET(TblMili[[#This Row],[WG''s]],-1,0),0)+ tech_2_7*OFFSET(TblTech[[#This Row],[2-7]],-1,0) + tech_5_6*OFFSET(TblTech[[#This Row],[5-6]],-1,0) )-TblMagic[[#This Row],[Wiz str cost]]</f>
        <v>1</v>
      </c>
      <c r="E90" s="159">
        <f ca="1">OFFSET(TblMagic[[#This Row],[Time]],-1,0)+1/24</f>
        <v>45818.583333333125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7">
        <f>TblRezone[[#This Row],[Hour]]</f>
        <v>88</v>
      </c>
      <c r="B91" s="154">
        <f ca="1">TblConstr[[#This Row],[Land]]</f>
        <v>370</v>
      </c>
      <c r="C91" s="94">
        <f ca="1">TblProd[[#This Row],[Mana]]</f>
        <v>51721</v>
      </c>
      <c r="D91" s="156">
        <f ca="1">MIN(1,OFFSET(TblMagic[[#This Row],[Wiz str]],-1,0)+0.04+ROUNDDOWN(10*OFFSET(TblMili[[#This Row],[WG''s]],-1,0),0)+ tech_2_7*OFFSET(TblTech[[#This Row],[2-7]],-1,0) + tech_5_6*OFFSET(TblTech[[#This Row],[5-6]],-1,0) )-TblMagic[[#This Row],[Wiz str cost]]</f>
        <v>1</v>
      </c>
      <c r="E91" s="159">
        <f ca="1">OFFSET(TblMagic[[#This Row],[Time]],-1,0)+1/24</f>
        <v>45818.624999999789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7">
        <f>TblRezone[[#This Row],[Hour]]</f>
        <v>89</v>
      </c>
      <c r="B92" s="154">
        <f ca="1">TblConstr[[#This Row],[Land]]</f>
        <v>370</v>
      </c>
      <c r="C92" s="94">
        <f ca="1">TblProd[[#This Row],[Mana]]</f>
        <v>51937</v>
      </c>
      <c r="D92" s="156">
        <f ca="1">MIN(1,OFFSET(TblMagic[[#This Row],[Wiz str]],-1,0)+0.04+ROUNDDOWN(10*OFFSET(TblMili[[#This Row],[WG''s]],-1,0),0)+ tech_2_7*OFFSET(TblTech[[#This Row],[2-7]],-1,0) + tech_5_6*OFFSET(TblTech[[#This Row],[5-6]],-1,0) )-TblMagic[[#This Row],[Wiz str cost]]</f>
        <v>1</v>
      </c>
      <c r="E92" s="159">
        <f ca="1">OFFSET(TblMagic[[#This Row],[Time]],-1,0)+1/24</f>
        <v>45818.666666666453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7">
        <f>TblRezone[[#This Row],[Hour]]</f>
        <v>90</v>
      </c>
      <c r="B93" s="154">
        <f ca="1">TblConstr[[#This Row],[Land]]</f>
        <v>370</v>
      </c>
      <c r="C93" s="94">
        <f ca="1">TblProd[[#This Row],[Mana]]</f>
        <v>52148</v>
      </c>
      <c r="D93" s="156">
        <f ca="1">MIN(1,OFFSET(TblMagic[[#This Row],[Wiz str]],-1,0)+0.04+ROUNDDOWN(10*OFFSET(TblMili[[#This Row],[WG''s]],-1,0),0)+ tech_2_7*OFFSET(TblTech[[#This Row],[2-7]],-1,0) + tech_5_6*OFFSET(TblTech[[#This Row],[5-6]],-1,0) )-TblMagic[[#This Row],[Wiz str cost]]</f>
        <v>1</v>
      </c>
      <c r="E93" s="159">
        <f ca="1">OFFSET(TblMagic[[#This Row],[Time]],-1,0)+1/24</f>
        <v>45818.708333333117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7">
        <f>TblRezone[[#This Row],[Hour]]</f>
        <v>91</v>
      </c>
      <c r="B94" s="154">
        <f ca="1">TblConstr[[#This Row],[Land]]</f>
        <v>370</v>
      </c>
      <c r="C94" s="94">
        <f ca="1">TblProd[[#This Row],[Mana]]</f>
        <v>52355</v>
      </c>
      <c r="D94" s="156">
        <f ca="1">MIN(1,OFFSET(TblMagic[[#This Row],[Wiz str]],-1,0)+0.04+ROUNDDOWN(10*OFFSET(TblMili[[#This Row],[WG''s]],-1,0),0)+ tech_2_7*OFFSET(TblTech[[#This Row],[2-7]],-1,0) + tech_5_6*OFFSET(TblTech[[#This Row],[5-6]],-1,0) )-TblMagic[[#This Row],[Wiz str cost]]</f>
        <v>1</v>
      </c>
      <c r="E94" s="159">
        <f ca="1">OFFSET(TblMagic[[#This Row],[Time]],-1,0)+1/24</f>
        <v>45818.749999999782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7">
        <f>TblRezone[[#This Row],[Hour]]</f>
        <v>92</v>
      </c>
      <c r="B95" s="154">
        <f ca="1">TblConstr[[#This Row],[Land]]</f>
        <v>370</v>
      </c>
      <c r="C95" s="94">
        <f ca="1">TblProd[[#This Row],[Mana]]</f>
        <v>52558</v>
      </c>
      <c r="D95" s="156">
        <f ca="1">MIN(1,OFFSET(TblMagic[[#This Row],[Wiz str]],-1,0)+0.04+ROUNDDOWN(10*OFFSET(TblMili[[#This Row],[WG''s]],-1,0),0)+ tech_2_7*OFFSET(TblTech[[#This Row],[2-7]],-1,0) + tech_5_6*OFFSET(TblTech[[#This Row],[5-6]],-1,0) )-TblMagic[[#This Row],[Wiz str cost]]</f>
        <v>1</v>
      </c>
      <c r="E95" s="159">
        <f ca="1">OFFSET(TblMagic[[#This Row],[Time]],-1,0)+1/24</f>
        <v>45818.791666666446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7">
        <f>TblRezone[[#This Row],[Hour]]</f>
        <v>93</v>
      </c>
      <c r="B96" s="154">
        <f ca="1">TblConstr[[#This Row],[Land]]</f>
        <v>370</v>
      </c>
      <c r="C96" s="94">
        <f ca="1">TblProd[[#This Row],[Mana]]</f>
        <v>52757</v>
      </c>
      <c r="D96" s="156">
        <f ca="1">MIN(1,OFFSET(TblMagic[[#This Row],[Wiz str]],-1,0)+0.04+ROUNDDOWN(10*OFFSET(TblMili[[#This Row],[WG''s]],-1,0),0)+ tech_2_7*OFFSET(TblTech[[#This Row],[2-7]],-1,0) + tech_5_6*OFFSET(TblTech[[#This Row],[5-6]],-1,0) )-TblMagic[[#This Row],[Wiz str cost]]</f>
        <v>1</v>
      </c>
      <c r="E96" s="159">
        <f ca="1">OFFSET(TblMagic[[#This Row],[Time]],-1,0)+1/24</f>
        <v>45818.83333333311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7">
        <f>TblRezone[[#This Row],[Hour]]</f>
        <v>94</v>
      </c>
      <c r="B97" s="154">
        <f ca="1">TblConstr[[#This Row],[Land]]</f>
        <v>370</v>
      </c>
      <c r="C97" s="94">
        <f ca="1">TblProd[[#This Row],[Mana]]</f>
        <v>52952</v>
      </c>
      <c r="D97" s="156">
        <f ca="1">MIN(1,OFFSET(TblMagic[[#This Row],[Wiz str]],-1,0)+0.04+ROUNDDOWN(10*OFFSET(TblMili[[#This Row],[WG''s]],-1,0),0)+ tech_2_7*OFFSET(TblTech[[#This Row],[2-7]],-1,0) + tech_5_6*OFFSET(TblTech[[#This Row],[5-6]],-1,0) )-TblMagic[[#This Row],[Wiz str cost]]</f>
        <v>1</v>
      </c>
      <c r="E97" s="159">
        <f ca="1">OFFSET(TblMagic[[#This Row],[Time]],-1,0)+1/24</f>
        <v>45818.874999999774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7">
        <f>TblRezone[[#This Row],[Hour]]</f>
        <v>95</v>
      </c>
      <c r="B98" s="154">
        <f ca="1">TblConstr[[#This Row],[Land]]</f>
        <v>370</v>
      </c>
      <c r="C98" s="94">
        <f ca="1">TblProd[[#This Row],[Mana]]</f>
        <v>53143</v>
      </c>
      <c r="D98" s="156">
        <f ca="1">MIN(1,OFFSET(TblMagic[[#This Row],[Wiz str]],-1,0)+0.04+ROUNDDOWN(10*OFFSET(TblMili[[#This Row],[WG''s]],-1,0),0)+ tech_2_7*OFFSET(TblTech[[#This Row],[2-7]],-1,0) + tech_5_6*OFFSET(TblTech[[#This Row],[5-6]],-1,0) )-TblMagic[[#This Row],[Wiz str cost]]</f>
        <v>1</v>
      </c>
      <c r="E98" s="159">
        <f ca="1">OFFSET(TblMagic[[#This Row],[Time]],-1,0)+1/24</f>
        <v>45818.916666666439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7">
        <f>TblRezone[[#This Row],[Hour]]</f>
        <v>96</v>
      </c>
      <c r="B99" s="154">
        <f ca="1">TblConstr[[#This Row],[Land]]</f>
        <v>370</v>
      </c>
      <c r="C99" s="94">
        <f ca="1">TblProd[[#This Row],[Mana]]</f>
        <v>53330</v>
      </c>
      <c r="D99" s="156">
        <f ca="1">MIN(1,OFFSET(TblMagic[[#This Row],[Wiz str]],-1,0)+0.04+ROUNDDOWN(10*OFFSET(TblMili[[#This Row],[WG''s]],-1,0),0)+ tech_2_7*OFFSET(TblTech[[#This Row],[2-7]],-1,0) + tech_5_6*OFFSET(TblTech[[#This Row],[5-6]],-1,0) )-TblMagic[[#This Row],[Wiz str cost]]</f>
        <v>1</v>
      </c>
      <c r="E99" s="159">
        <f ca="1">OFFSET(TblMagic[[#This Row],[Time]],-1,0)+1/24</f>
        <v>45818.958333333103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7">
        <f>TblRezone[[#This Row],[Hour]]</f>
        <v>97</v>
      </c>
      <c r="B100" s="154">
        <f ca="1">TblConstr[[#This Row],[Land]]</f>
        <v>370</v>
      </c>
      <c r="C100" s="94">
        <f ca="1">TblProd[[#This Row],[Mana]]</f>
        <v>53513</v>
      </c>
      <c r="D100" s="156">
        <f ca="1">MIN(1,OFFSET(TblMagic[[#This Row],[Wiz str]],-1,0)+0.04+ROUNDDOWN(10*OFFSET(TblMili[[#This Row],[WG''s]],-1,0),0)+ tech_2_7*OFFSET(TblTech[[#This Row],[2-7]],-1,0) + tech_5_6*OFFSET(TblTech[[#This Row],[5-6]],-1,0) )-TblMagic[[#This Row],[Wiz str cost]]</f>
        <v>1</v>
      </c>
      <c r="E100" s="159">
        <f ca="1">OFFSET(TblMagic[[#This Row],[Time]],-1,0)+1/24</f>
        <v>45818.999999999767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7">
        <f>TblRezone[[#This Row],[Hour]]</f>
        <v>98</v>
      </c>
      <c r="B101" s="154">
        <f ca="1">TblConstr[[#This Row],[Land]]</f>
        <v>370</v>
      </c>
      <c r="C101" s="94">
        <f ca="1">TblProd[[#This Row],[Mana]]</f>
        <v>53693</v>
      </c>
      <c r="D101" s="156">
        <f ca="1">MIN(1,OFFSET(TblMagic[[#This Row],[Wiz str]],-1,0)+0.04+ROUNDDOWN(10*OFFSET(TblMili[[#This Row],[WG''s]],-1,0),0)+ tech_2_7*OFFSET(TblTech[[#This Row],[2-7]],-1,0) + tech_5_6*OFFSET(TblTech[[#This Row],[5-6]],-1,0) )-TblMagic[[#This Row],[Wiz str cost]]</f>
        <v>1</v>
      </c>
      <c r="E101" s="159">
        <f ca="1">OFFSET(TblMagic[[#This Row],[Time]],-1,0)+1/24</f>
        <v>45819.041666666431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7">
        <f>TblRezone[[#This Row],[Hour]]</f>
        <v>99</v>
      </c>
      <c r="B102" s="154">
        <f ca="1">TblConstr[[#This Row],[Land]]</f>
        <v>370</v>
      </c>
      <c r="C102" s="94">
        <f ca="1">TblProd[[#This Row],[Mana]]</f>
        <v>53869</v>
      </c>
      <c r="D102" s="156">
        <f ca="1">MIN(1,OFFSET(TblMagic[[#This Row],[Wiz str]],-1,0)+0.04+ROUNDDOWN(10*OFFSET(TblMili[[#This Row],[WG''s]],-1,0),0)+ tech_2_7*OFFSET(TblTech[[#This Row],[2-7]],-1,0) + tech_5_6*OFFSET(TblTech[[#This Row],[5-6]],-1,0) )-TblMagic[[#This Row],[Wiz str cost]]</f>
        <v>1</v>
      </c>
      <c r="E102" s="159">
        <f ca="1">OFFSET(TblMagic[[#This Row],[Time]],-1,0)+1/24</f>
        <v>45819.083333333096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7">
        <f>TblRezone[[#This Row],[Hour]]</f>
        <v>100</v>
      </c>
      <c r="B103" s="154">
        <f ca="1">TblConstr[[#This Row],[Land]]</f>
        <v>370</v>
      </c>
      <c r="C103" s="94">
        <f ca="1">TblProd[[#This Row],[Mana]]</f>
        <v>54042</v>
      </c>
      <c r="D103" s="156">
        <f ca="1">MIN(1,OFFSET(TblMagic[[#This Row],[Wiz str]],-1,0)+0.04+ROUNDDOWN(10*OFFSET(TblMili[[#This Row],[WG''s]],-1,0),0)+ tech_2_7*OFFSET(TblTech[[#This Row],[2-7]],-1,0) + tech_5_6*OFFSET(TblTech[[#This Row],[5-6]],-1,0) )-TblMagic[[#This Row],[Wiz str cost]]</f>
        <v>1</v>
      </c>
      <c r="E103" s="159">
        <f ca="1">OFFSET(TblMagic[[#This Row],[Time]],-1,0)+1/24</f>
        <v>45819.12499999976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7">
        <f>TblRezone[[#This Row],[Hour]]</f>
        <v>101</v>
      </c>
      <c r="B104" s="154">
        <f ca="1">TblConstr[[#This Row],[Land]]</f>
        <v>370</v>
      </c>
      <c r="C104" s="94">
        <f ca="1">TblProd[[#This Row],[Mana]]</f>
        <v>54211</v>
      </c>
      <c r="D104" s="156">
        <f ca="1">MIN(1,OFFSET(TblMagic[[#This Row],[Wiz str]],-1,0)+0.04+ROUNDDOWN(10*OFFSET(TblMili[[#This Row],[WG''s]],-1,0),0)+ tech_2_7*OFFSET(TblTech[[#This Row],[2-7]],-1,0) + tech_5_6*OFFSET(TblTech[[#This Row],[5-6]],-1,0) )-TblMagic[[#This Row],[Wiz str cost]]</f>
        <v>1</v>
      </c>
      <c r="E104" s="159">
        <f ca="1">OFFSET(TblMagic[[#This Row],[Time]],-1,0)+1/24</f>
        <v>45819.166666666424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7">
        <f>TblRezone[[#This Row],[Hour]]</f>
        <v>102</v>
      </c>
      <c r="B105" s="154">
        <f ca="1">TblConstr[[#This Row],[Land]]</f>
        <v>370</v>
      </c>
      <c r="C105" s="94">
        <f ca="1">TblProd[[#This Row],[Mana]]</f>
        <v>54377</v>
      </c>
      <c r="D105" s="156">
        <f ca="1">MIN(1,OFFSET(TblMagic[[#This Row],[Wiz str]],-1,0)+0.04+ROUNDDOWN(10*OFFSET(TblMili[[#This Row],[WG''s]],-1,0),0)+ tech_2_7*OFFSET(TblTech[[#This Row],[2-7]],-1,0) + tech_5_6*OFFSET(TblTech[[#This Row],[5-6]],-1,0) )-TblMagic[[#This Row],[Wiz str cost]]</f>
        <v>1</v>
      </c>
      <c r="E105" s="159">
        <f ca="1">OFFSET(TblMagic[[#This Row],[Time]],-1,0)+1/24</f>
        <v>45819.208333333088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7">
        <f>TblRezone[[#This Row],[Hour]]</f>
        <v>103</v>
      </c>
      <c r="B106" s="154">
        <f ca="1">TblConstr[[#This Row],[Land]]</f>
        <v>370</v>
      </c>
      <c r="C106" s="94">
        <f ca="1">TblProd[[#This Row],[Mana]]</f>
        <v>54539</v>
      </c>
      <c r="D106" s="156">
        <f ca="1">MIN(1,OFFSET(TblMagic[[#This Row],[Wiz str]],-1,0)+0.04+ROUNDDOWN(10*OFFSET(TblMili[[#This Row],[WG''s]],-1,0),0)+ tech_2_7*OFFSET(TblTech[[#This Row],[2-7]],-1,0) + tech_5_6*OFFSET(TblTech[[#This Row],[5-6]],-1,0) )-TblMagic[[#This Row],[Wiz str cost]]</f>
        <v>1</v>
      </c>
      <c r="E106" s="159">
        <f ca="1">OFFSET(TblMagic[[#This Row],[Time]],-1,0)+1/24</f>
        <v>45819.249999999753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7">
        <f>TblRezone[[#This Row],[Hour]]</f>
        <v>104</v>
      </c>
      <c r="B107" s="154">
        <f ca="1">TblConstr[[#This Row],[Land]]</f>
        <v>370</v>
      </c>
      <c r="C107" s="94">
        <f ca="1">TblProd[[#This Row],[Mana]]</f>
        <v>54698</v>
      </c>
      <c r="D107" s="156">
        <f ca="1">MIN(1,OFFSET(TblMagic[[#This Row],[Wiz str]],-1,0)+0.04+ROUNDDOWN(10*OFFSET(TblMili[[#This Row],[WG''s]],-1,0),0)+ tech_2_7*OFFSET(TblTech[[#This Row],[2-7]],-1,0) + tech_5_6*OFFSET(TblTech[[#This Row],[5-6]],-1,0) )-TblMagic[[#This Row],[Wiz str cost]]</f>
        <v>1</v>
      </c>
      <c r="E107" s="159">
        <f ca="1">OFFSET(TblMagic[[#This Row],[Time]],-1,0)+1/24</f>
        <v>45819.291666666417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7">
        <f>TblRezone[[#This Row],[Hour]]</f>
        <v>105</v>
      </c>
      <c r="B108" s="154">
        <f ca="1">TblConstr[[#This Row],[Land]]</f>
        <v>370</v>
      </c>
      <c r="C108" s="94">
        <f ca="1">TblProd[[#This Row],[Mana]]</f>
        <v>54854</v>
      </c>
      <c r="D108" s="156">
        <f ca="1">MIN(1,OFFSET(TblMagic[[#This Row],[Wiz str]],-1,0)+0.04+ROUNDDOWN(10*OFFSET(TblMili[[#This Row],[WG''s]],-1,0),0)+ tech_2_7*OFFSET(TblTech[[#This Row],[2-7]],-1,0) + tech_5_6*OFFSET(TblTech[[#This Row],[5-6]],-1,0) )-TblMagic[[#This Row],[Wiz str cost]]</f>
        <v>1</v>
      </c>
      <c r="E108" s="159">
        <f ca="1">OFFSET(TblMagic[[#This Row],[Time]],-1,0)+1/24</f>
        <v>45819.333333333081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7">
        <f>TblRezone[[#This Row],[Hour]]</f>
        <v>106</v>
      </c>
      <c r="B109" s="154">
        <f ca="1">TblConstr[[#This Row],[Land]]</f>
        <v>370</v>
      </c>
      <c r="C109" s="94">
        <f ca="1">TblProd[[#This Row],[Mana]]</f>
        <v>55007</v>
      </c>
      <c r="D109" s="156">
        <f ca="1">MIN(1,OFFSET(TblMagic[[#This Row],[Wiz str]],-1,0)+0.04+ROUNDDOWN(10*OFFSET(TblMili[[#This Row],[WG''s]],-1,0),0)+ tech_2_7*OFFSET(TblTech[[#This Row],[2-7]],-1,0) + tech_5_6*OFFSET(TblTech[[#This Row],[5-6]],-1,0) )-TblMagic[[#This Row],[Wiz str cost]]</f>
        <v>1</v>
      </c>
      <c r="E109" s="159">
        <f ca="1">OFFSET(TblMagic[[#This Row],[Time]],-1,0)+1/24</f>
        <v>45819.374999999745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7">
        <f>TblRezone[[#This Row],[Hour]]</f>
        <v>107</v>
      </c>
      <c r="B110" s="154">
        <f ca="1">TblConstr[[#This Row],[Land]]</f>
        <v>370</v>
      </c>
      <c r="C110" s="94">
        <f ca="1">TblProd[[#This Row],[Mana]]</f>
        <v>55157</v>
      </c>
      <c r="D110" s="156">
        <f ca="1">MIN(1,OFFSET(TblMagic[[#This Row],[Wiz str]],-1,0)+0.04+ROUNDDOWN(10*OFFSET(TblMili[[#This Row],[WG''s]],-1,0),0)+ tech_2_7*OFFSET(TblTech[[#This Row],[2-7]],-1,0) + tech_5_6*OFFSET(TblTech[[#This Row],[5-6]],-1,0) )-TblMagic[[#This Row],[Wiz str cost]]</f>
        <v>1</v>
      </c>
      <c r="E110" s="159">
        <f ca="1">OFFSET(TblMagic[[#This Row],[Time]],-1,0)+1/24</f>
        <v>45819.41666666641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7">
        <f>TblRezone[[#This Row],[Hour]]</f>
        <v>108</v>
      </c>
      <c r="B111" s="154">
        <f ca="1">TblConstr[[#This Row],[Land]]</f>
        <v>370</v>
      </c>
      <c r="C111" s="94">
        <f ca="1">TblProd[[#This Row],[Mana]]</f>
        <v>55304</v>
      </c>
      <c r="D111" s="156">
        <f ca="1">MIN(1,OFFSET(TblMagic[[#This Row],[Wiz str]],-1,0)+0.04+ROUNDDOWN(10*OFFSET(TblMili[[#This Row],[WG''s]],-1,0),0)+ tech_2_7*OFFSET(TblTech[[#This Row],[2-7]],-1,0) + tech_5_6*OFFSET(TblTech[[#This Row],[5-6]],-1,0) )-TblMagic[[#This Row],[Wiz str cost]]</f>
        <v>1</v>
      </c>
      <c r="E111" s="159">
        <f ca="1">OFFSET(TblMagic[[#This Row],[Time]],-1,0)+1/24</f>
        <v>45819.458333333074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7">
        <f>TblRezone[[#This Row],[Hour]]</f>
        <v>109</v>
      </c>
      <c r="B112" s="154">
        <f ca="1">TblConstr[[#This Row],[Land]]</f>
        <v>370</v>
      </c>
      <c r="C112" s="94">
        <f ca="1">TblProd[[#This Row],[Mana]]</f>
        <v>55448</v>
      </c>
      <c r="D112" s="156">
        <f ca="1">MIN(1,OFFSET(TblMagic[[#This Row],[Wiz str]],-1,0)+0.04+ROUNDDOWN(10*OFFSET(TblMili[[#This Row],[WG''s]],-1,0),0)+ tech_2_7*OFFSET(TblTech[[#This Row],[2-7]],-1,0) + tech_5_6*OFFSET(TblTech[[#This Row],[5-6]],-1,0) )-TblMagic[[#This Row],[Wiz str cost]]</f>
        <v>1</v>
      </c>
      <c r="E112" s="159">
        <f ca="1">OFFSET(TblMagic[[#This Row],[Time]],-1,0)+1/24</f>
        <v>45819.499999999738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7">
        <f>TblRezone[[#This Row],[Hour]]</f>
        <v>110</v>
      </c>
      <c r="B113" s="154">
        <f ca="1">TblConstr[[#This Row],[Land]]</f>
        <v>370</v>
      </c>
      <c r="C113" s="94">
        <f ca="1">TblProd[[#This Row],[Mana]]</f>
        <v>55589</v>
      </c>
      <c r="D113" s="156">
        <f ca="1">MIN(1,OFFSET(TblMagic[[#This Row],[Wiz str]],-1,0)+0.04+ROUNDDOWN(10*OFFSET(TblMili[[#This Row],[WG''s]],-1,0),0)+ tech_2_7*OFFSET(TblTech[[#This Row],[2-7]],-1,0) + tech_5_6*OFFSET(TblTech[[#This Row],[5-6]],-1,0) )-TblMagic[[#This Row],[Wiz str cost]]</f>
        <v>1</v>
      </c>
      <c r="E113" s="159">
        <f ca="1">OFFSET(TblMagic[[#This Row],[Time]],-1,0)+1/24</f>
        <v>45819.541666666402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7">
        <f>TblRezone[[#This Row],[Hour]]</f>
        <v>111</v>
      </c>
      <c r="B114" s="154">
        <f ca="1">TblConstr[[#This Row],[Land]]</f>
        <v>370</v>
      </c>
      <c r="C114" s="94">
        <f ca="1">TblProd[[#This Row],[Mana]]</f>
        <v>55727</v>
      </c>
      <c r="D114" s="156">
        <f ca="1">MIN(1,OFFSET(TblMagic[[#This Row],[Wiz str]],-1,0)+0.04+ROUNDDOWN(10*OFFSET(TblMili[[#This Row],[WG''s]],-1,0),0)+ tech_2_7*OFFSET(TblTech[[#This Row],[2-7]],-1,0) + tech_5_6*OFFSET(TblTech[[#This Row],[5-6]],-1,0) )-TblMagic[[#This Row],[Wiz str cost]]</f>
        <v>1</v>
      </c>
      <c r="E114" s="159">
        <f ca="1">OFFSET(TblMagic[[#This Row],[Time]],-1,0)+1/24</f>
        <v>45819.583333333067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7">
        <f>TblRezone[[#This Row],[Hour]]</f>
        <v>112</v>
      </c>
      <c r="B115" s="154">
        <f ca="1">TblConstr[[#This Row],[Land]]</f>
        <v>370</v>
      </c>
      <c r="C115" s="94">
        <f ca="1">TblProd[[#This Row],[Mana]]</f>
        <v>55862</v>
      </c>
      <c r="D115" s="156">
        <f ca="1">MIN(1,OFFSET(TblMagic[[#This Row],[Wiz str]],-1,0)+0.04+ROUNDDOWN(10*OFFSET(TblMili[[#This Row],[WG''s]],-1,0),0)+ tech_2_7*OFFSET(TblTech[[#This Row],[2-7]],-1,0) + tech_5_6*OFFSET(TblTech[[#This Row],[5-6]],-1,0) )-TblMagic[[#This Row],[Wiz str cost]]</f>
        <v>1</v>
      </c>
      <c r="E115" s="159">
        <f ca="1">OFFSET(TblMagic[[#This Row],[Time]],-1,0)+1/24</f>
        <v>45819.624999999731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7">
        <f>TblRezone[[#This Row],[Hour]]</f>
        <v>113</v>
      </c>
      <c r="B116" s="154">
        <f ca="1">TblConstr[[#This Row],[Land]]</f>
        <v>370</v>
      </c>
      <c r="C116" s="94">
        <f ca="1">TblProd[[#This Row],[Mana]]</f>
        <v>55995</v>
      </c>
      <c r="D116" s="156">
        <f ca="1">MIN(1,OFFSET(TblMagic[[#This Row],[Wiz str]],-1,0)+0.04+ROUNDDOWN(10*OFFSET(TblMili[[#This Row],[WG''s]],-1,0),0)+ tech_2_7*OFFSET(TblTech[[#This Row],[2-7]],-1,0) + tech_5_6*OFFSET(TblTech[[#This Row],[5-6]],-1,0) )-TblMagic[[#This Row],[Wiz str cost]]</f>
        <v>1</v>
      </c>
      <c r="E116" s="159">
        <f ca="1">OFFSET(TblMagic[[#This Row],[Time]],-1,0)+1/24</f>
        <v>45819.666666666395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7">
        <f>TblRezone[[#This Row],[Hour]]</f>
        <v>114</v>
      </c>
      <c r="B117" s="154">
        <f ca="1">TblConstr[[#This Row],[Land]]</f>
        <v>370</v>
      </c>
      <c r="C117" s="94">
        <f ca="1">TblProd[[#This Row],[Mana]]</f>
        <v>56125</v>
      </c>
      <c r="D117" s="156">
        <f ca="1">MIN(1,OFFSET(TblMagic[[#This Row],[Wiz str]],-1,0)+0.04+ROUNDDOWN(10*OFFSET(TblMili[[#This Row],[WG''s]],-1,0),0)+ tech_2_7*OFFSET(TblTech[[#This Row],[2-7]],-1,0) + tech_5_6*OFFSET(TblTech[[#This Row],[5-6]],-1,0) )-TblMagic[[#This Row],[Wiz str cost]]</f>
        <v>1</v>
      </c>
      <c r="E117" s="159">
        <f ca="1">OFFSET(TblMagic[[#This Row],[Time]],-1,0)+1/24</f>
        <v>45819.708333333059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7">
        <f>TblRezone[[#This Row],[Hour]]</f>
        <v>115</v>
      </c>
      <c r="B118" s="154">
        <f ca="1">TblConstr[[#This Row],[Land]]</f>
        <v>370</v>
      </c>
      <c r="C118" s="94">
        <f ca="1">TblProd[[#This Row],[Mana]]</f>
        <v>56253</v>
      </c>
      <c r="D118" s="156">
        <f ca="1">MIN(1,OFFSET(TblMagic[[#This Row],[Wiz str]],-1,0)+0.04+ROUNDDOWN(10*OFFSET(TblMili[[#This Row],[WG''s]],-1,0),0)+ tech_2_7*OFFSET(TblTech[[#This Row],[2-7]],-1,0) + tech_5_6*OFFSET(TblTech[[#This Row],[5-6]],-1,0) )-TblMagic[[#This Row],[Wiz str cost]]</f>
        <v>1</v>
      </c>
      <c r="E118" s="159">
        <f ca="1">OFFSET(TblMagic[[#This Row],[Time]],-1,0)+1/24</f>
        <v>45819.749999999724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7">
        <f>TblRezone[[#This Row],[Hour]]</f>
        <v>116</v>
      </c>
      <c r="B119" s="154">
        <f ca="1">TblConstr[[#This Row],[Land]]</f>
        <v>370</v>
      </c>
      <c r="C119" s="94">
        <f ca="1">TblProd[[#This Row],[Mana]]</f>
        <v>56378</v>
      </c>
      <c r="D119" s="156">
        <f ca="1">MIN(1,OFFSET(TblMagic[[#This Row],[Wiz str]],-1,0)+0.04+ROUNDDOWN(10*OFFSET(TblMili[[#This Row],[WG''s]],-1,0),0)+ tech_2_7*OFFSET(TblTech[[#This Row],[2-7]],-1,0) + tech_5_6*OFFSET(TblTech[[#This Row],[5-6]],-1,0) )-TblMagic[[#This Row],[Wiz str cost]]</f>
        <v>1</v>
      </c>
      <c r="E119" s="159">
        <f ca="1">OFFSET(TblMagic[[#This Row],[Time]],-1,0)+1/24</f>
        <v>45819.791666666388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7">
        <f>TblRezone[[#This Row],[Hour]]</f>
        <v>117</v>
      </c>
      <c r="B120" s="154">
        <f ca="1">TblConstr[[#This Row],[Land]]</f>
        <v>370</v>
      </c>
      <c r="C120" s="94">
        <f ca="1">TblProd[[#This Row],[Mana]]</f>
        <v>56500</v>
      </c>
      <c r="D120" s="156">
        <f ca="1">MIN(1,OFFSET(TblMagic[[#This Row],[Wiz str]],-1,0)+0.04+ROUNDDOWN(10*OFFSET(TblMili[[#This Row],[WG''s]],-1,0),0)+ tech_2_7*OFFSET(TblTech[[#This Row],[2-7]],-1,0) + tech_5_6*OFFSET(TblTech[[#This Row],[5-6]],-1,0) )-TblMagic[[#This Row],[Wiz str cost]]</f>
        <v>1</v>
      </c>
      <c r="E120" s="159">
        <f ca="1">OFFSET(TblMagic[[#This Row],[Time]],-1,0)+1/24</f>
        <v>45819.833333333052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7">
        <f>TblRezone[[#This Row],[Hour]]</f>
        <v>118</v>
      </c>
      <c r="B121" s="154">
        <f ca="1">TblConstr[[#This Row],[Land]]</f>
        <v>370</v>
      </c>
      <c r="C121" s="94">
        <f ca="1">TblProd[[#This Row],[Mana]]</f>
        <v>56620</v>
      </c>
      <c r="D121" s="156">
        <f ca="1">MIN(1,OFFSET(TblMagic[[#This Row],[Wiz str]],-1,0)+0.04+ROUNDDOWN(10*OFFSET(TblMili[[#This Row],[WG''s]],-1,0),0)+ tech_2_7*OFFSET(TblTech[[#This Row],[2-7]],-1,0) + tech_5_6*OFFSET(TblTech[[#This Row],[5-6]],-1,0) )-TblMagic[[#This Row],[Wiz str cost]]</f>
        <v>1</v>
      </c>
      <c r="E121" s="159">
        <f ca="1">OFFSET(TblMagic[[#This Row],[Time]],-1,0)+1/24</f>
        <v>45819.874999999716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7">
        <f>TblRezone[[#This Row],[Hour]]</f>
        <v>119</v>
      </c>
      <c r="B122" s="154">
        <f ca="1">TblConstr[[#This Row],[Land]]</f>
        <v>370</v>
      </c>
      <c r="C122" s="94">
        <f ca="1">TblProd[[#This Row],[Mana]]</f>
        <v>56738</v>
      </c>
      <c r="D122" s="156">
        <f ca="1">MIN(1,OFFSET(TblMagic[[#This Row],[Wiz str]],-1,0)+0.04+ROUNDDOWN(10*OFFSET(TblMili[[#This Row],[WG''s]],-1,0),0)+ tech_2_7*OFFSET(TblTech[[#This Row],[2-7]],-1,0) + tech_5_6*OFFSET(TblTech[[#This Row],[5-6]],-1,0) )-TblMagic[[#This Row],[Wiz str cost]]</f>
        <v>1</v>
      </c>
      <c r="E122" s="159">
        <f ca="1">OFFSET(TblMagic[[#This Row],[Time]],-1,0)+1/24</f>
        <v>45819.91666666638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7">
        <f>TblRezone[[#This Row],[Hour]]</f>
        <v>120</v>
      </c>
      <c r="B123" s="154">
        <f ca="1">TblConstr[[#This Row],[Land]]</f>
        <v>370</v>
      </c>
      <c r="C123" s="94">
        <f ca="1">TblProd[[#This Row],[Mana]]</f>
        <v>56853</v>
      </c>
      <c r="D123" s="156">
        <f ca="1">MIN(1,OFFSET(TblMagic[[#This Row],[Wiz str]],-1,0)+0.04+ROUNDDOWN(10*OFFSET(TblMili[[#This Row],[WG''s]],-1,0),0)+ tech_2_7*OFFSET(TblTech[[#This Row],[2-7]],-1,0) + tech_5_6*OFFSET(TblTech[[#This Row],[5-6]],-1,0) )-TblMagic[[#This Row],[Wiz str cost]]</f>
        <v>1</v>
      </c>
      <c r="E123" s="159">
        <f ca="1">OFFSET(TblMagic[[#This Row],[Time]],-1,0)+1/24</f>
        <v>45819.958333333045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7">
        <f>TblRezone[[#This Row],[Hour]]</f>
        <v>121</v>
      </c>
      <c r="B124" s="154">
        <f ca="1">TblConstr[[#This Row],[Land]]</f>
        <v>370</v>
      </c>
      <c r="C124" s="94">
        <f ca="1">TblProd[[#This Row],[Mana]]</f>
        <v>56966</v>
      </c>
      <c r="D124" s="156">
        <f ca="1">MIN(1,OFFSET(TblMagic[[#This Row],[Wiz str]],-1,0)+0.04+ROUNDDOWN(10*OFFSET(TblMili[[#This Row],[WG''s]],-1,0),0)+ tech_2_7*OFFSET(TblTech[[#This Row],[2-7]],-1,0) + tech_5_6*OFFSET(TblTech[[#This Row],[5-6]],-1,0) )-TblMagic[[#This Row],[Wiz str cost]]</f>
        <v>1</v>
      </c>
      <c r="E124" s="159">
        <f ca="1">OFFSET(TblMagic[[#This Row],[Time]],-1,0)+1/24</f>
        <v>45819.999999999709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7">
        <f>TblRezone[[#This Row],[Hour]]</f>
        <v>122</v>
      </c>
      <c r="B125" s="154">
        <f ca="1">TblConstr[[#This Row],[Land]]</f>
        <v>370</v>
      </c>
      <c r="C125" s="94">
        <f ca="1">TblProd[[#This Row],[Mana]]</f>
        <v>57077</v>
      </c>
      <c r="D125" s="156">
        <f ca="1">MIN(1,OFFSET(TblMagic[[#This Row],[Wiz str]],-1,0)+0.04+ROUNDDOWN(10*OFFSET(TblMili[[#This Row],[WG''s]],-1,0),0)+ tech_2_7*OFFSET(TblTech[[#This Row],[2-7]],-1,0) + tech_5_6*OFFSET(TblTech[[#This Row],[5-6]],-1,0) )-TblMagic[[#This Row],[Wiz str cost]]</f>
        <v>1</v>
      </c>
      <c r="E125" s="159">
        <f ca="1">OFFSET(TblMagic[[#This Row],[Time]],-1,0)+1/24</f>
        <v>45820.041666666373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7">
        <f>TblRezone[[#This Row],[Hour]]</f>
        <v>123</v>
      </c>
      <c r="B126" s="154">
        <f ca="1">TblConstr[[#This Row],[Land]]</f>
        <v>370</v>
      </c>
      <c r="C126" s="94">
        <f ca="1">TblProd[[#This Row],[Mana]]</f>
        <v>57185</v>
      </c>
      <c r="D126" s="156">
        <f ca="1">MIN(1,OFFSET(TblMagic[[#This Row],[Wiz str]],-1,0)+0.04+ROUNDDOWN(10*OFFSET(TblMili[[#This Row],[WG''s]],-1,0),0)+ tech_2_7*OFFSET(TblTech[[#This Row],[2-7]],-1,0) + tech_5_6*OFFSET(TblTech[[#This Row],[5-6]],-1,0) )-TblMagic[[#This Row],[Wiz str cost]]</f>
        <v>1</v>
      </c>
      <c r="E126" s="159">
        <f ca="1">OFFSET(TblMagic[[#This Row],[Time]],-1,0)+1/24</f>
        <v>45820.083333333037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7">
        <f>TblRezone[[#This Row],[Hour]]</f>
        <v>124</v>
      </c>
      <c r="B127" s="154">
        <f ca="1">TblConstr[[#This Row],[Land]]</f>
        <v>370</v>
      </c>
      <c r="C127" s="94">
        <f ca="1">TblProd[[#This Row],[Mana]]</f>
        <v>57291</v>
      </c>
      <c r="D127" s="156">
        <f ca="1">MIN(1,OFFSET(TblMagic[[#This Row],[Wiz str]],-1,0)+0.04+ROUNDDOWN(10*OFFSET(TblMili[[#This Row],[WG''s]],-1,0),0)+ tech_2_7*OFFSET(TblTech[[#This Row],[2-7]],-1,0) + tech_5_6*OFFSET(TblTech[[#This Row],[5-6]],-1,0) )-TblMagic[[#This Row],[Wiz str cost]]</f>
        <v>1</v>
      </c>
      <c r="E127" s="159">
        <f ca="1">OFFSET(TblMagic[[#This Row],[Time]],-1,0)+1/24</f>
        <v>45820.124999999702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7">
        <f>TblRezone[[#This Row],[Hour]]</f>
        <v>125</v>
      </c>
      <c r="B128" s="154">
        <f ca="1">TblConstr[[#This Row],[Land]]</f>
        <v>370</v>
      </c>
      <c r="C128" s="94">
        <f ca="1">TblProd[[#This Row],[Mana]]</f>
        <v>57395</v>
      </c>
      <c r="D128" s="156">
        <f ca="1">MIN(1,OFFSET(TblMagic[[#This Row],[Wiz str]],-1,0)+0.04+ROUNDDOWN(10*OFFSET(TblMili[[#This Row],[WG''s]],-1,0),0)+ tech_2_7*OFFSET(TblTech[[#This Row],[2-7]],-1,0) + tech_5_6*OFFSET(TblTech[[#This Row],[5-6]],-1,0) )-TblMagic[[#This Row],[Wiz str cost]]</f>
        <v>1</v>
      </c>
      <c r="E128" s="159">
        <f ca="1">OFFSET(TblMagic[[#This Row],[Time]],-1,0)+1/24</f>
        <v>45820.166666666366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7">
        <f>TblRezone[[#This Row],[Hour]]</f>
        <v>126</v>
      </c>
      <c r="B129" s="154">
        <f ca="1">TblConstr[[#This Row],[Land]]</f>
        <v>370</v>
      </c>
      <c r="C129" s="94">
        <f ca="1">TblProd[[#This Row],[Mana]]</f>
        <v>57497</v>
      </c>
      <c r="D129" s="156">
        <f ca="1">MIN(1,OFFSET(TblMagic[[#This Row],[Wiz str]],-1,0)+0.04+ROUNDDOWN(10*OFFSET(TblMili[[#This Row],[WG''s]],-1,0),0)+ tech_2_7*OFFSET(TblTech[[#This Row],[2-7]],-1,0) + tech_5_6*OFFSET(TblTech[[#This Row],[5-6]],-1,0) )-TblMagic[[#This Row],[Wiz str cost]]</f>
        <v>1</v>
      </c>
      <c r="E129" s="159">
        <f ca="1">OFFSET(TblMagic[[#This Row],[Time]],-1,0)+1/24</f>
        <v>45820.20833333303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7">
        <f>TblRezone[[#This Row],[Hour]]</f>
        <v>127</v>
      </c>
      <c r="B130" s="154">
        <f ca="1">TblConstr[[#This Row],[Land]]</f>
        <v>370</v>
      </c>
      <c r="C130" s="94">
        <f ca="1">TblProd[[#This Row],[Mana]]</f>
        <v>57597</v>
      </c>
      <c r="D130" s="156">
        <f ca="1">MIN(1,OFFSET(TblMagic[[#This Row],[Wiz str]],-1,0)+0.04+ROUNDDOWN(10*OFFSET(TblMili[[#This Row],[WG''s]],-1,0),0)+ tech_2_7*OFFSET(TblTech[[#This Row],[2-7]],-1,0) + tech_5_6*OFFSET(TblTech[[#This Row],[5-6]],-1,0) )-TblMagic[[#This Row],[Wiz str cost]]</f>
        <v>1</v>
      </c>
      <c r="E130" s="159">
        <f ca="1">OFFSET(TblMagic[[#This Row],[Time]],-1,0)+1/24</f>
        <v>45820.249999999694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7">
        <f>TblRezone[[#This Row],[Hour]]</f>
        <v>128</v>
      </c>
      <c r="B131" s="154">
        <f ca="1">TblConstr[[#This Row],[Land]]</f>
        <v>370</v>
      </c>
      <c r="C131" s="94">
        <f ca="1">TblProd[[#This Row],[Mana]]</f>
        <v>57695</v>
      </c>
      <c r="D131" s="156">
        <f ca="1">MIN(1,OFFSET(TblMagic[[#This Row],[Wiz str]],-1,0)+0.04+ROUNDDOWN(10*OFFSET(TblMili[[#This Row],[WG''s]],-1,0),0)+ tech_2_7*OFFSET(TblTech[[#This Row],[2-7]],-1,0) + tech_5_6*OFFSET(TblTech[[#This Row],[5-6]],-1,0) )-TblMagic[[#This Row],[Wiz str cost]]</f>
        <v>1</v>
      </c>
      <c r="E131" s="159">
        <f ca="1">OFFSET(TblMagic[[#This Row],[Time]],-1,0)+1/24</f>
        <v>45820.291666666359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7">
        <f>TblRezone[[#This Row],[Hour]]</f>
        <v>129</v>
      </c>
      <c r="B132" s="154">
        <f ca="1">TblConstr[[#This Row],[Land]]</f>
        <v>370</v>
      </c>
      <c r="C132" s="94">
        <f ca="1">TblProd[[#This Row],[Mana]]</f>
        <v>57791</v>
      </c>
      <c r="D132" s="156">
        <f ca="1">MIN(1,OFFSET(TblMagic[[#This Row],[Wiz str]],-1,0)+0.04+ROUNDDOWN(10*OFFSET(TblMili[[#This Row],[WG''s]],-1,0),0)+ tech_2_7*OFFSET(TblTech[[#This Row],[2-7]],-1,0) + tech_5_6*OFFSET(TblTech[[#This Row],[5-6]],-1,0) )-TblMagic[[#This Row],[Wiz str cost]]</f>
        <v>1</v>
      </c>
      <c r="E132" s="159">
        <f ca="1">OFFSET(TblMagic[[#This Row],[Time]],-1,0)+1/24</f>
        <v>45820.333333333023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7">
        <f>TblRezone[[#This Row],[Hour]]</f>
        <v>130</v>
      </c>
      <c r="B133" s="154">
        <f ca="1">TblConstr[[#This Row],[Land]]</f>
        <v>370</v>
      </c>
      <c r="C133" s="94">
        <f ca="1">TblProd[[#This Row],[Mana]]</f>
        <v>57885</v>
      </c>
      <c r="D133" s="156">
        <f ca="1">MIN(1,OFFSET(TblMagic[[#This Row],[Wiz str]],-1,0)+0.04+ROUNDDOWN(10*OFFSET(TblMili[[#This Row],[WG''s]],-1,0),0)+ tech_2_7*OFFSET(TblTech[[#This Row],[2-7]],-1,0) + tech_5_6*OFFSET(TblTech[[#This Row],[5-6]],-1,0) )-TblMagic[[#This Row],[Wiz str cost]]</f>
        <v>1</v>
      </c>
      <c r="E133" s="159">
        <f ca="1">OFFSET(TblMagic[[#This Row],[Time]],-1,0)+1/24</f>
        <v>45820.374999999687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7">
        <f>TblRezone[[#This Row],[Hour]]</f>
        <v>131</v>
      </c>
      <c r="B134" s="154">
        <f ca="1">TblConstr[[#This Row],[Land]]</f>
        <v>370</v>
      </c>
      <c r="C134" s="94">
        <f ca="1">TblProd[[#This Row],[Mana]]</f>
        <v>57977</v>
      </c>
      <c r="D134" s="156">
        <f ca="1">MIN(1,OFFSET(TblMagic[[#This Row],[Wiz str]],-1,0)+0.04+ROUNDDOWN(10*OFFSET(TblMili[[#This Row],[WG''s]],-1,0),0)+ tech_2_7*OFFSET(TblTech[[#This Row],[2-7]],-1,0) + tech_5_6*OFFSET(TblTech[[#This Row],[5-6]],-1,0) )-TblMagic[[#This Row],[Wiz str cost]]</f>
        <v>1</v>
      </c>
      <c r="E134" s="159">
        <f ca="1">OFFSET(TblMagic[[#This Row],[Time]],-1,0)+1/24</f>
        <v>45820.416666666351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7">
        <f>TblRezone[[#This Row],[Hour]]</f>
        <v>132</v>
      </c>
      <c r="B135" s="154">
        <f ca="1">TblConstr[[#This Row],[Land]]</f>
        <v>370</v>
      </c>
      <c r="C135" s="94">
        <f ca="1">TblProd[[#This Row],[Mana]]</f>
        <v>58067</v>
      </c>
      <c r="D135" s="156">
        <f ca="1">MIN(1,OFFSET(TblMagic[[#This Row],[Wiz str]],-1,0)+0.04+ROUNDDOWN(10*OFFSET(TblMili[[#This Row],[WG''s]],-1,0),0)+ tech_2_7*OFFSET(TblTech[[#This Row],[2-7]],-1,0) + tech_5_6*OFFSET(TblTech[[#This Row],[5-6]],-1,0) )-TblMagic[[#This Row],[Wiz str cost]]</f>
        <v>1</v>
      </c>
      <c r="E135" s="159">
        <f ca="1">OFFSET(TblMagic[[#This Row],[Time]],-1,0)+1/24</f>
        <v>45820.458333333016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7">
        <f>TblRezone[[#This Row],[Hour]]</f>
        <v>133</v>
      </c>
      <c r="B136" s="154">
        <f ca="1">TblConstr[[#This Row],[Land]]</f>
        <v>370</v>
      </c>
      <c r="C136" s="94">
        <f ca="1">TblProd[[#This Row],[Mana]]</f>
        <v>58156</v>
      </c>
      <c r="D136" s="156">
        <f ca="1">MIN(1,OFFSET(TblMagic[[#This Row],[Wiz str]],-1,0)+0.04+ROUNDDOWN(10*OFFSET(TblMili[[#This Row],[WG''s]],-1,0),0)+ tech_2_7*OFFSET(TblTech[[#This Row],[2-7]],-1,0) + tech_5_6*OFFSET(TblTech[[#This Row],[5-6]],-1,0) )-TblMagic[[#This Row],[Wiz str cost]]</f>
        <v>1</v>
      </c>
      <c r="E136" s="159">
        <f ca="1">OFFSET(TblMagic[[#This Row],[Time]],-1,0)+1/24</f>
        <v>45820.49999999968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$A4=49</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350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370</v>
      </c>
      <c r="C5" s="270">
        <f ca="1">TblProd[[#This Row],[Techpoints]]</f>
        <v>43</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370</v>
      </c>
      <c r="C6" s="270">
        <f ca="1">TblProd[[#This Row],[Techpoints]]</f>
        <v>86</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370</v>
      </c>
      <c r="C7" s="270">
        <f ca="1">TblProd[[#This Row],[Techpoints]]</f>
        <v>129</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370</v>
      </c>
      <c r="C8" s="270">
        <f ca="1">TblProd[[#This Row],[Techpoints]]</f>
        <v>172</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370</v>
      </c>
      <c r="C9" s="270">
        <f ca="1">TblProd[[#This Row],[Techpoints]]</f>
        <v>215</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370</v>
      </c>
      <c r="C10" s="270">
        <f ca="1">TblProd[[#This Row],[Techpoints]]</f>
        <v>258</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370</v>
      </c>
      <c r="C11" s="270">
        <f ca="1">TblProd[[#This Row],[Techpoints]]</f>
        <v>301</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370</v>
      </c>
      <c r="C12" s="270">
        <f ca="1">TblProd[[#This Row],[Techpoints]]</f>
        <v>344</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370</v>
      </c>
      <c r="C13" s="270">
        <f ca="1">TblProd[[#This Row],[Techpoints]]</f>
        <v>387</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370</v>
      </c>
      <c r="C14" s="270">
        <f ca="1">TblProd[[#This Row],[Techpoints]]</f>
        <v>430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370</v>
      </c>
      <c r="C15" s="270">
        <f ca="1">TblProd[[#This Row],[Techpoints]]</f>
        <v>473</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370</v>
      </c>
      <c r="C16" s="270">
        <f ca="1">TblProd[[#This Row],[Techpoints]]</f>
        <v>516</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370</v>
      </c>
      <c r="C17" s="270">
        <f ca="1">TblProd[[#This Row],[Techpoints]]</f>
        <v>559</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370</v>
      </c>
      <c r="C18" s="270">
        <f ca="1">TblProd[[#This Row],[Techpoints]]</f>
        <v>602</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370</v>
      </c>
      <c r="C19" s="270">
        <f ca="1">TblProd[[#This Row],[Techpoints]]</f>
        <v>645</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370</v>
      </c>
      <c r="C20" s="270">
        <f ca="1">TblProd[[#This Row],[Techpoints]]</f>
        <v>688</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370</v>
      </c>
      <c r="C21" s="270">
        <f ca="1">TblProd[[#This Row],[Techpoints]]</f>
        <v>731</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370</v>
      </c>
      <c r="C22" s="270">
        <f ca="1">TblProd[[#This Row],[Techpoints]]</f>
        <v>774</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370</v>
      </c>
      <c r="C23" s="270">
        <f ca="1">TblProd[[#This Row],[Techpoints]]</f>
        <v>817</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370</v>
      </c>
      <c r="C24" s="270">
        <f ca="1">TblProd[[#This Row],[Techpoints]]</f>
        <v>860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370</v>
      </c>
      <c r="C25" s="270">
        <f ca="1">TblProd[[#This Row],[Techpoints]]</f>
        <v>903</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370</v>
      </c>
      <c r="C26" s="270">
        <f ca="1">TblProd[[#This Row],[Techpoints]]</f>
        <v>946</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370</v>
      </c>
      <c r="C27" s="270">
        <f ca="1">TblProd[[#This Row],[Techpoints]]</f>
        <v>989</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370</v>
      </c>
      <c r="C28" s="270">
        <f ca="1">TblProd[[#This Row],[Techpoints]]</f>
        <v>1032</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370</v>
      </c>
      <c r="C29" s="270">
        <f ca="1">TblProd[[#This Row],[Techpoints]]</f>
        <v>1075</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370</v>
      </c>
      <c r="C30" s="270">
        <f ca="1">TblProd[[#This Row],[Techpoints]]</f>
        <v>1118</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370</v>
      </c>
      <c r="C31" s="270">
        <f ca="1">TblProd[[#This Row],[Techpoints]]</f>
        <v>1161</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370</v>
      </c>
      <c r="C32" s="270">
        <f ca="1">TblProd[[#This Row],[Techpoints]]</f>
        <v>1204</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370</v>
      </c>
      <c r="C33" s="270">
        <f ca="1">TblProd[[#This Row],[Techpoints]]</f>
        <v>1247</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370</v>
      </c>
      <c r="C34" s="270">
        <f ca="1">TblProd[[#This Row],[Techpoints]]</f>
        <v>1290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370</v>
      </c>
      <c r="C35" s="270">
        <f ca="1">TblProd[[#This Row],[Techpoints]]</f>
        <v>1333</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370</v>
      </c>
      <c r="C36" s="270">
        <f ca="1">TblProd[[#This Row],[Techpoints]]</f>
        <v>1376</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370</v>
      </c>
      <c r="C37" s="270">
        <f ca="1">TblProd[[#This Row],[Techpoints]]</f>
        <v>1419</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370</v>
      </c>
      <c r="C38" s="270">
        <f ca="1">TblProd[[#This Row],[Techpoints]]</f>
        <v>1462</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370</v>
      </c>
      <c r="C39" s="270">
        <f ca="1">TblProd[[#This Row],[Techpoints]]</f>
        <v>1505</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370</v>
      </c>
      <c r="C40" s="270">
        <f ca="1">TblProd[[#This Row],[Techpoints]]</f>
        <v>1548</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370</v>
      </c>
      <c r="C41" s="270">
        <f ca="1">TblProd[[#This Row],[Techpoints]]</f>
        <v>1591</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370</v>
      </c>
      <c r="C42" s="270">
        <f ca="1">TblProd[[#This Row],[Techpoints]]</f>
        <v>1634</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370</v>
      </c>
      <c r="C43" s="270">
        <f ca="1">TblProd[[#This Row],[Techpoints]]</f>
        <v>1677</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370</v>
      </c>
      <c r="C44" s="270">
        <f ca="1">TblProd[[#This Row],[Techpoints]]</f>
        <v>1720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370</v>
      </c>
      <c r="C45" s="270">
        <f ca="1">TblProd[[#This Row],[Techpoints]]</f>
        <v>1763</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370</v>
      </c>
      <c r="C46" s="270">
        <f ca="1">TblProd[[#This Row],[Techpoints]]</f>
        <v>1806</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370</v>
      </c>
      <c r="C47" s="270">
        <f ca="1">TblProd[[#This Row],[Techpoints]]</f>
        <v>1849</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370</v>
      </c>
      <c r="C48" s="270">
        <f ca="1">TblProd[[#This Row],[Techpoints]]</f>
        <v>1892</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370</v>
      </c>
      <c r="C49" s="270">
        <f ca="1">TblProd[[#This Row],[Techpoints]]</f>
        <v>1935</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370</v>
      </c>
      <c r="C50" s="270">
        <f ca="1">TblProd[[#This Row],[Techpoints]]</f>
        <v>1978</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370</v>
      </c>
      <c r="C51" s="270">
        <f ca="1">TblProd[[#This Row],[Techpoints]]</f>
        <v>2021</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370</v>
      </c>
      <c r="C52" s="270">
        <f ca="1">TblProd[[#This Row],[Techpoints]]</f>
        <v>2064</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370</v>
      </c>
      <c r="C53" s="270">
        <f ca="1">TblProd[[#This Row],[Techpoints]]</f>
        <v>2107</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370</v>
      </c>
      <c r="C54" s="270">
        <f ca="1">TblProd[[#This Row],[Techpoints]]</f>
        <v>2150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370</v>
      </c>
      <c r="C55" s="270">
        <f ca="1">TblProd[[#This Row],[Techpoints]]</f>
        <v>2193</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370</v>
      </c>
      <c r="C56" s="270">
        <f ca="1">TblProd[[#This Row],[Techpoints]]</f>
        <v>2236</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370</v>
      </c>
      <c r="C57" s="270">
        <f ca="1">TblProd[[#This Row],[Techpoints]]</f>
        <v>2279</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370</v>
      </c>
      <c r="C58" s="270">
        <f ca="1">TblProd[[#This Row],[Techpoints]]</f>
        <v>2322</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370</v>
      </c>
      <c r="C59" s="270">
        <f ca="1">TblProd[[#This Row],[Techpoints]]</f>
        <v>2365</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370</v>
      </c>
      <c r="C60" s="270">
        <f ca="1">TblProd[[#This Row],[Techpoints]]</f>
        <v>2408</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370</v>
      </c>
      <c r="C61" s="270">
        <f ca="1">TblProd[[#This Row],[Techpoints]]</f>
        <v>2451</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370</v>
      </c>
      <c r="C62" s="270">
        <f ca="1">TblProd[[#This Row],[Techpoints]]</f>
        <v>2494</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370</v>
      </c>
      <c r="C63" s="270">
        <f ca="1">TblProd[[#This Row],[Techpoints]]</f>
        <v>2537</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370</v>
      </c>
      <c r="C64" s="270">
        <f ca="1">TblProd[[#This Row],[Techpoints]]</f>
        <v>2580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370</v>
      </c>
      <c r="C65" s="270">
        <f ca="1">TblProd[[#This Row],[Techpoints]]</f>
        <v>2623</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370</v>
      </c>
      <c r="C66" s="270">
        <f ca="1">TblProd[[#This Row],[Techpoints]]</f>
        <v>2666</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370</v>
      </c>
      <c r="C67" s="270">
        <f ca="1">TblProd[[#This Row],[Techpoints]]</f>
        <v>2709</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370</v>
      </c>
      <c r="C68" s="270">
        <f ca="1">TblProd[[#This Row],[Techpoints]]</f>
        <v>2752</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370</v>
      </c>
      <c r="C69" s="270">
        <f ca="1">TblProd[[#This Row],[Techpoints]]</f>
        <v>2795</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370</v>
      </c>
      <c r="C70" s="270">
        <f ca="1">TblProd[[#This Row],[Techpoints]]</f>
        <v>2838</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370</v>
      </c>
      <c r="C71" s="270">
        <f ca="1">TblProd[[#This Row],[Techpoints]]</f>
        <v>2881</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370</v>
      </c>
      <c r="C72" s="270">
        <f ca="1">TblProd[[#This Row],[Techpoints]]</f>
        <v>2924</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370</v>
      </c>
      <c r="C73" s="270">
        <f ca="1">TblProd[[#This Row],[Techpoints]]</f>
        <v>2967</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370</v>
      </c>
      <c r="C74" s="270">
        <f ca="1">TblProd[[#This Row],[Techpoints]]</f>
        <v>3010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370</v>
      </c>
      <c r="C75" s="270">
        <f ca="1">TblProd[[#This Row],[Techpoints]]</f>
        <v>3053</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370</v>
      </c>
      <c r="C76" s="270">
        <f ca="1">TblProd[[#This Row],[Techpoints]]</f>
        <v>3096</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370</v>
      </c>
      <c r="C77" s="270">
        <f ca="1">TblProd[[#This Row],[Techpoints]]</f>
        <v>3139</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370</v>
      </c>
      <c r="C78" s="270">
        <f ca="1">TblProd[[#This Row],[Techpoints]]</f>
        <v>3182</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370</v>
      </c>
      <c r="C79" s="270">
        <f ca="1">TblProd[[#This Row],[Techpoints]]</f>
        <v>3225</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370</v>
      </c>
      <c r="C80" s="270">
        <f ca="1">TblProd[[#This Row],[Techpoints]]</f>
        <v>3268</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370</v>
      </c>
      <c r="C81" s="270">
        <f ca="1">TblProd[[#This Row],[Techpoints]]</f>
        <v>3311</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370</v>
      </c>
      <c r="C82" s="270">
        <f ca="1">TblProd[[#This Row],[Techpoints]]</f>
        <v>3354</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370</v>
      </c>
      <c r="C83" s="270">
        <f ca="1">TblProd[[#This Row],[Techpoints]]</f>
        <v>3397</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370</v>
      </c>
      <c r="C84" s="270">
        <f ca="1">TblProd[[#This Row],[Techpoints]]</f>
        <v>3440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370</v>
      </c>
      <c r="C85" s="270">
        <f ca="1">TblProd[[#This Row],[Techpoints]]</f>
        <v>3483</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370</v>
      </c>
      <c r="C86" s="270">
        <f ca="1">TblProd[[#This Row],[Techpoints]]</f>
        <v>3526</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370</v>
      </c>
      <c r="C87" s="270">
        <f ca="1">TblProd[[#This Row],[Techpoints]]</f>
        <v>3569</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370</v>
      </c>
      <c r="C88" s="270">
        <f ca="1">TblProd[[#This Row],[Techpoints]]</f>
        <v>3612</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370</v>
      </c>
      <c r="C89" s="270">
        <f ca="1">TblProd[[#This Row],[Techpoints]]</f>
        <v>3655</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370</v>
      </c>
      <c r="C90" s="270">
        <f ca="1">TblProd[[#This Row],[Techpoints]]</f>
        <v>3698</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370</v>
      </c>
      <c r="C91" s="270">
        <f ca="1">TblProd[[#This Row],[Techpoints]]</f>
        <v>3741</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370</v>
      </c>
      <c r="C92" s="270">
        <f ca="1">TblProd[[#This Row],[Techpoints]]</f>
        <v>3784</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370</v>
      </c>
      <c r="C93" s="270">
        <f ca="1">TblProd[[#This Row],[Techpoints]]</f>
        <v>3827</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370</v>
      </c>
      <c r="C94" s="270">
        <f ca="1">TblProd[[#This Row],[Techpoints]]</f>
        <v>3870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370</v>
      </c>
      <c r="C95" s="270">
        <f ca="1">TblProd[[#This Row],[Techpoints]]</f>
        <v>3913</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370</v>
      </c>
      <c r="C96" s="270">
        <f ca="1">TblProd[[#This Row],[Techpoints]]</f>
        <v>3956</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370</v>
      </c>
      <c r="C97" s="270">
        <f ca="1">TblProd[[#This Row],[Techpoints]]</f>
        <v>3999</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370</v>
      </c>
      <c r="C98" s="270">
        <f ca="1">TblProd[[#This Row],[Techpoints]]</f>
        <v>4042</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370</v>
      </c>
      <c r="C99" s="270">
        <f ca="1">TblProd[[#This Row],[Techpoints]]</f>
        <v>4085</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370</v>
      </c>
      <c r="C100" s="270">
        <f ca="1">TblProd[[#This Row],[Techpoints]]</f>
        <v>4128</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370</v>
      </c>
      <c r="C101" s="270">
        <f ca="1">TblProd[[#This Row],[Techpoints]]</f>
        <v>4171</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370</v>
      </c>
      <c r="C102" s="270">
        <f ca="1">TblProd[[#This Row],[Techpoints]]</f>
        <v>4214</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370</v>
      </c>
      <c r="C103" s="270">
        <f ca="1">TblProd[[#This Row],[Techpoints]]</f>
        <v>4257</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370</v>
      </c>
      <c r="C104" s="270">
        <f ca="1">TblProd[[#This Row],[Techpoints]]</f>
        <v>4300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370</v>
      </c>
      <c r="C105" s="270">
        <f ca="1">TblProd[[#This Row],[Techpoints]]</f>
        <v>4343</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370</v>
      </c>
      <c r="C106" s="270">
        <f ca="1">TblProd[[#This Row],[Techpoints]]</f>
        <v>4386</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370</v>
      </c>
      <c r="C107" s="270">
        <f ca="1">TblProd[[#This Row],[Techpoints]]</f>
        <v>4429</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370</v>
      </c>
      <c r="C108" s="270">
        <f ca="1">TblProd[[#This Row],[Techpoints]]</f>
        <v>4472</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370</v>
      </c>
      <c r="C109" s="270">
        <f ca="1">TblProd[[#This Row],[Techpoints]]</f>
        <v>4515</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370</v>
      </c>
      <c r="C110" s="270">
        <f ca="1">TblProd[[#This Row],[Techpoints]]</f>
        <v>4558</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370</v>
      </c>
      <c r="C111" s="270">
        <f ca="1">TblProd[[#This Row],[Techpoints]]</f>
        <v>4601</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370</v>
      </c>
      <c r="C112" s="270">
        <f ca="1">TblProd[[#This Row],[Techpoints]]</f>
        <v>4644</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370</v>
      </c>
      <c r="C113" s="270">
        <f ca="1">TblProd[[#This Row],[Techpoints]]</f>
        <v>4687</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370</v>
      </c>
      <c r="C114" s="270">
        <f ca="1">TblProd[[#This Row],[Techpoints]]</f>
        <v>4730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370</v>
      </c>
      <c r="C115" s="270">
        <f ca="1">TblProd[[#This Row],[Techpoints]]</f>
        <v>4773</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370</v>
      </c>
      <c r="C116" s="270">
        <f ca="1">TblProd[[#This Row],[Techpoints]]</f>
        <v>4816</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370</v>
      </c>
      <c r="C117" s="270">
        <f ca="1">TblProd[[#This Row],[Techpoints]]</f>
        <v>4859</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370</v>
      </c>
      <c r="C118" s="270">
        <f ca="1">TblProd[[#This Row],[Techpoints]]</f>
        <v>4902</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370</v>
      </c>
      <c r="C119" s="270">
        <f ca="1">TblProd[[#This Row],[Techpoints]]</f>
        <v>4945</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370</v>
      </c>
      <c r="C120" s="270">
        <f ca="1">TblProd[[#This Row],[Techpoints]]</f>
        <v>4988</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370</v>
      </c>
      <c r="C121" s="270">
        <f ca="1">TblProd[[#This Row],[Techpoints]]</f>
        <v>5031</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370</v>
      </c>
      <c r="C122" s="270">
        <f ca="1">TblProd[[#This Row],[Techpoints]]</f>
        <v>5074</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370</v>
      </c>
      <c r="C123" s="270">
        <f ca="1">TblProd[[#This Row],[Techpoints]]</f>
        <v>5117</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370</v>
      </c>
      <c r="C124" s="270">
        <f ca="1">TblProd[[#This Row],[Techpoints]]</f>
        <v>5160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370</v>
      </c>
      <c r="C125" s="270">
        <f ca="1">TblProd[[#This Row],[Techpoints]]</f>
        <v>5203</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370</v>
      </c>
      <c r="C126" s="270">
        <f ca="1">TblProd[[#This Row],[Techpoints]]</f>
        <v>5246</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370</v>
      </c>
      <c r="C127" s="270">
        <f ca="1">TblProd[[#This Row],[Techpoints]]</f>
        <v>5289</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370</v>
      </c>
      <c r="C128" s="270">
        <f ca="1">TblProd[[#This Row],[Techpoints]]</f>
        <v>5332</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370</v>
      </c>
      <c r="C129" s="270">
        <f ca="1">TblProd[[#This Row],[Techpoints]]</f>
        <v>5375</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370</v>
      </c>
      <c r="C130" s="270">
        <f ca="1">TblProd[[#This Row],[Techpoints]]</f>
        <v>5418</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370</v>
      </c>
      <c r="C131" s="270">
        <f ca="1">TblProd[[#This Row],[Techpoints]]</f>
        <v>5461</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370</v>
      </c>
      <c r="C132" s="270">
        <f ca="1">TblProd[[#This Row],[Techpoints]]</f>
        <v>5504</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370</v>
      </c>
      <c r="C133" s="270">
        <f ca="1">TblProd[[#This Row],[Techpoints]]</f>
        <v>5547</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370</v>
      </c>
      <c r="C134" s="270">
        <f ca="1">TblProd[[#This Row],[Techpoints]]</f>
        <v>5590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370</v>
      </c>
      <c r="C135" s="270">
        <f ca="1">TblProd[[#This Row],[Techpoints]]</f>
        <v>5633</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370</v>
      </c>
      <c r="C136" s="270">
        <f ca="1">TblProd[[#This Row],[Techpoints]]</f>
        <v>5676</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L1" s="532" t="s">
        <v>222</v>
      </c>
      <c r="BM1" s="533"/>
      <c r="BN1" s="533"/>
      <c r="BO1" s="28"/>
      <c r="BQ1" s="532" t="s">
        <v>223</v>
      </c>
      <c r="BR1" s="532"/>
      <c r="BS1" s="532"/>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370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45815</v>
      </c>
      <c r="M4" s="61">
        <f>IF(ISERROR(TblImps[[#This Row],[algorithm]]),0,TblImps[[#This Row],[algorithm]]*1)</f>
        <v>1</v>
      </c>
      <c r="N4" s="94">
        <f ca="1">TblImps[[#This Row],[Land]]</f>
        <v>370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61">
        <f>TblImps[[#This Row],[Login]]</f>
        <v>1</v>
      </c>
      <c r="BX4" s="137"/>
      <c r="BY4" s="289">
        <f>Overview!E15</f>
        <v>45815</v>
      </c>
      <c r="BZ4" s="290">
        <f>Overview!B15</f>
        <v>45815</v>
      </c>
      <c r="CA4" s="57"/>
      <c r="CB4" s="291"/>
      <c r="CC4" s="292"/>
    </row>
    <row r="5" spans="1:84" x14ac:dyDescent="0.2">
      <c r="A5" s="214">
        <f ca="1">TblConstr[[#This Row],[Land]]</f>
        <v>370</v>
      </c>
      <c r="B5" s="142"/>
      <c r="C5" s="94">
        <f ca="1">TblProd[[#This Row],[Platinum]]</f>
        <v>138045</v>
      </c>
      <c r="D5" s="94">
        <f ca="1">TblProd[[#This Row],[Lumber]]</f>
        <v>15850</v>
      </c>
      <c r="E5" s="94">
        <f ca="1">TblProd[[#This Row],[Ore]]</f>
        <v>0</v>
      </c>
      <c r="F5" s="94">
        <f ca="1">TblProd[[#This Row],[Gems]]</f>
        <v>750</v>
      </c>
      <c r="G5" s="154"/>
      <c r="H5" s="94">
        <f ca="1">TblMili[[#This Row],[Draftees]]</f>
        <v>359</v>
      </c>
      <c r="I5" s="180">
        <f ca="1">TblPop[[#This Row],[Employment]]</f>
        <v>1</v>
      </c>
      <c r="J5" s="180">
        <f ca="1">TblPop[[#This Row],[Total]]/TblPop[[#This Row],[Net max]]</f>
        <v>1</v>
      </c>
      <c r="K5" s="283">
        <f>TblRezone[[#This Row],[Hour]]</f>
        <v>2</v>
      </c>
      <c r="L5" s="284">
        <f ca="1">TblImps[[#This Row],[Real time]]</f>
        <v>45815.041666666664</v>
      </c>
      <c r="M5" s="61">
        <f>IF(ISERROR(TblImps[[#This Row],[algorithm]]),0,TblImps[[#This Row],[algorithm]]*1)</f>
        <v>0</v>
      </c>
      <c r="N5" s="94">
        <f ca="1">TblImps[[#This Row],[Land]]</f>
        <v>370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45815.041666666664</v>
      </c>
      <c r="BZ5" s="294">
        <f ca="1">OFFSET(TblImps[[#This Row],[Servertime]],-1,0)+1/24</f>
        <v>45815.041666666664</v>
      </c>
      <c r="CA5" s="57"/>
      <c r="CB5" s="292"/>
      <c r="CC5" s="292"/>
    </row>
    <row r="6" spans="1:84" x14ac:dyDescent="0.2">
      <c r="A6" s="214">
        <f ca="1">TblConstr[[#This Row],[Land]]</f>
        <v>370</v>
      </c>
      <c r="B6" s="142"/>
      <c r="C6" s="94">
        <f ca="1">TblProd[[#This Row],[Platinum]]</f>
        <v>156208</v>
      </c>
      <c r="D6" s="94">
        <f ca="1">TblProd[[#This Row],[Lumber]]</f>
        <v>16692</v>
      </c>
      <c r="E6" s="94">
        <f ca="1">TblProd[[#This Row],[Ore]]</f>
        <v>0</v>
      </c>
      <c r="F6" s="94">
        <f ca="1">TblProd[[#This Row],[Gems]]</f>
        <v>1500</v>
      </c>
      <c r="G6" s="154"/>
      <c r="H6" s="94">
        <f ca="1">TblMili[[#This Row],[Draftees]]</f>
        <v>418</v>
      </c>
      <c r="I6" s="180">
        <f ca="1">TblPop[[#This Row],[Employment]]</f>
        <v>1</v>
      </c>
      <c r="J6" s="180">
        <f ca="1">TblPop[[#This Row],[Total]]/TblPop[[#This Row],[Net max]]</f>
        <v>1</v>
      </c>
      <c r="K6" s="283">
        <f>TblRezone[[#This Row],[Hour]]</f>
        <v>3</v>
      </c>
      <c r="L6" s="284">
        <f ca="1">TblImps[[#This Row],[Real time]]</f>
        <v>45815.083333333328</v>
      </c>
      <c r="M6" s="61">
        <f>IF(ISERROR(TblImps[[#This Row],[algorithm]]),0,TblImps[[#This Row],[algorithm]]*1)</f>
        <v>0</v>
      </c>
      <c r="N6" s="94">
        <f ca="1">TblImps[[#This Row],[Land]]</f>
        <v>370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45815.083333333328</v>
      </c>
      <c r="BZ6" s="294">
        <f ca="1">OFFSET(TblImps[[#This Row],[Servertime]],-1,0)+1/24</f>
        <v>45815.083333333328</v>
      </c>
      <c r="CA6" s="57"/>
      <c r="CB6" s="292"/>
      <c r="CC6" s="292"/>
      <c r="CF6" s="295"/>
    </row>
    <row r="7" spans="1:84" x14ac:dyDescent="0.2">
      <c r="A7" s="214">
        <f ca="1">TblConstr[[#This Row],[Land]]</f>
        <v>370</v>
      </c>
      <c r="B7" s="142"/>
      <c r="C7" s="94">
        <f ca="1">TblProd[[#This Row],[Platinum]]</f>
        <v>174212</v>
      </c>
      <c r="D7" s="94">
        <f ca="1">TblProd[[#This Row],[Lumber]]</f>
        <v>17525</v>
      </c>
      <c r="E7" s="94">
        <f ca="1">TblProd[[#This Row],[Ore]]</f>
        <v>0</v>
      </c>
      <c r="F7" s="94">
        <f ca="1">TblProd[[#This Row],[Gems]]</f>
        <v>2250</v>
      </c>
      <c r="G7" s="154"/>
      <c r="H7" s="94">
        <f ca="1">TblMili[[#This Row],[Draftees]]</f>
        <v>476</v>
      </c>
      <c r="I7" s="180">
        <f ca="1">TblPop[[#This Row],[Employment]]</f>
        <v>1</v>
      </c>
      <c r="J7" s="180">
        <f ca="1">TblPop[[#This Row],[Total]]/TblPop[[#This Row],[Net max]]</f>
        <v>1</v>
      </c>
      <c r="K7" s="283">
        <f>TblRezone[[#This Row],[Hour]]</f>
        <v>4</v>
      </c>
      <c r="L7" s="284">
        <f ca="1">TblImps[[#This Row],[Real time]]</f>
        <v>45815.124999999993</v>
      </c>
      <c r="M7" s="61">
        <f>IF(ISERROR(TblImps[[#This Row],[algorithm]]),0,TblImps[[#This Row],[algorithm]]*1)</f>
        <v>0</v>
      </c>
      <c r="N7" s="94">
        <f ca="1">TblImps[[#This Row],[Land]]</f>
        <v>370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45815.124999999993</v>
      </c>
      <c r="BZ7" s="294">
        <f ca="1">OFFSET(TblImps[[#This Row],[Servertime]],-1,0)+1/24</f>
        <v>45815.124999999993</v>
      </c>
      <c r="CA7" s="57"/>
      <c r="CB7" s="292"/>
      <c r="CC7" s="292"/>
      <c r="CF7" s="296"/>
    </row>
    <row r="8" spans="1:84" x14ac:dyDescent="0.2">
      <c r="A8" s="214">
        <f ca="1">TblConstr[[#This Row],[Land]]</f>
        <v>370</v>
      </c>
      <c r="B8" s="142"/>
      <c r="C8" s="94">
        <f ca="1">TblProd[[#This Row],[Platinum]]</f>
        <v>192059</v>
      </c>
      <c r="D8" s="94">
        <f ca="1">TblProd[[#This Row],[Lumber]]</f>
        <v>18350</v>
      </c>
      <c r="E8" s="94">
        <f ca="1">TblProd[[#This Row],[Ore]]</f>
        <v>0</v>
      </c>
      <c r="F8" s="94">
        <f ca="1">TblProd[[#This Row],[Gems]]</f>
        <v>3000</v>
      </c>
      <c r="G8" s="154"/>
      <c r="H8" s="94">
        <f ca="1">TblMili[[#This Row],[Draftees]]</f>
        <v>534</v>
      </c>
      <c r="I8" s="180">
        <f ca="1">TblPop[[#This Row],[Employment]]</f>
        <v>1</v>
      </c>
      <c r="J8" s="180">
        <f ca="1">TblPop[[#This Row],[Total]]/TblPop[[#This Row],[Net max]]</f>
        <v>1</v>
      </c>
      <c r="K8" s="283">
        <f>TblRezone[[#This Row],[Hour]]</f>
        <v>5</v>
      </c>
      <c r="L8" s="284">
        <f ca="1">TblImps[[#This Row],[Real time]]</f>
        <v>45815.166666666657</v>
      </c>
      <c r="M8" s="61">
        <f>IF(ISERROR(TblImps[[#This Row],[algorithm]]),0,TblImps[[#This Row],[algorithm]]*1)</f>
        <v>0</v>
      </c>
      <c r="N8" s="94">
        <f ca="1">TblImps[[#This Row],[Land]]</f>
        <v>370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45815.166666666657</v>
      </c>
      <c r="BZ8" s="294">
        <f ca="1">OFFSET(TblImps[[#This Row],[Servertime]],-1,0)+1/24</f>
        <v>45815.166666666657</v>
      </c>
      <c r="CA8" s="57"/>
      <c r="CB8" s="292"/>
      <c r="CC8" s="292"/>
      <c r="CF8" s="295"/>
    </row>
    <row r="9" spans="1:84" x14ac:dyDescent="0.2">
      <c r="A9" s="214">
        <f ca="1">TblConstr[[#This Row],[Land]]</f>
        <v>370</v>
      </c>
      <c r="B9" s="142"/>
      <c r="C9" s="94">
        <f ca="1">TblProd[[#This Row],[Platinum]]</f>
        <v>209750</v>
      </c>
      <c r="D9" s="94">
        <f ca="1">TblProd[[#This Row],[Lumber]]</f>
        <v>19167</v>
      </c>
      <c r="E9" s="94">
        <f ca="1">TblProd[[#This Row],[Ore]]</f>
        <v>0</v>
      </c>
      <c r="F9" s="94">
        <f ca="1">TblProd[[#This Row],[Gems]]</f>
        <v>3750</v>
      </c>
      <c r="G9" s="154"/>
      <c r="H9" s="94">
        <f ca="1">TblMili[[#This Row],[Draftees]]</f>
        <v>591</v>
      </c>
      <c r="I9" s="180">
        <f ca="1">TblPop[[#This Row],[Employment]]</f>
        <v>1</v>
      </c>
      <c r="J9" s="180">
        <f ca="1">TblPop[[#This Row],[Total]]/TblPop[[#This Row],[Net max]]</f>
        <v>1</v>
      </c>
      <c r="K9" s="283">
        <f>TblRezone[[#This Row],[Hour]]</f>
        <v>6</v>
      </c>
      <c r="L9" s="284">
        <f ca="1">TblImps[[#This Row],[Real time]]</f>
        <v>45815.208333333321</v>
      </c>
      <c r="M9" s="61">
        <f>IF(ISERROR(TblImps[[#This Row],[algorithm]]),0,TblImps[[#This Row],[algorithm]]*1)</f>
        <v>0</v>
      </c>
      <c r="N9" s="94">
        <f ca="1">TblImps[[#This Row],[Land]]</f>
        <v>370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45815.208333333321</v>
      </c>
      <c r="BZ9" s="294">
        <f ca="1">OFFSET(TblImps[[#This Row],[Servertime]],-1,0)+1/24</f>
        <v>45815.208333333321</v>
      </c>
      <c r="CA9" s="57"/>
      <c r="CB9" s="292"/>
      <c r="CC9" s="292"/>
      <c r="CF9" s="295"/>
    </row>
    <row r="10" spans="1:84" x14ac:dyDescent="0.2">
      <c r="A10" s="214">
        <f ca="1">TblConstr[[#This Row],[Land]]</f>
        <v>370</v>
      </c>
      <c r="B10" s="142"/>
      <c r="C10" s="94">
        <f ca="1">TblProd[[#This Row],[Platinum]]</f>
        <v>227287</v>
      </c>
      <c r="D10" s="94">
        <f ca="1">TblProd[[#This Row],[Lumber]]</f>
        <v>19975</v>
      </c>
      <c r="E10" s="94">
        <f ca="1">TblProd[[#This Row],[Ore]]</f>
        <v>0</v>
      </c>
      <c r="F10" s="94">
        <f ca="1">TblProd[[#This Row],[Gems]]</f>
        <v>4500</v>
      </c>
      <c r="G10" s="154"/>
      <c r="H10" s="94">
        <f ca="1">TblMili[[#This Row],[Draftees]]</f>
        <v>648</v>
      </c>
      <c r="I10" s="180">
        <f ca="1">TblPop[[#This Row],[Employment]]</f>
        <v>1</v>
      </c>
      <c r="J10" s="180">
        <f ca="1">TblPop[[#This Row],[Total]]/TblPop[[#This Row],[Net max]]</f>
        <v>1</v>
      </c>
      <c r="K10" s="283">
        <f>TblRezone[[#This Row],[Hour]]</f>
        <v>7</v>
      </c>
      <c r="L10" s="284">
        <f ca="1">TblImps[[#This Row],[Real time]]</f>
        <v>45815.249999999985</v>
      </c>
      <c r="M10" s="61">
        <f>IF(ISERROR(TblImps[[#This Row],[algorithm]]),0,TblImps[[#This Row],[algorithm]]*1)</f>
        <v>0</v>
      </c>
      <c r="N10" s="94">
        <f ca="1">TblImps[[#This Row],[Land]]</f>
        <v>370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45815.249999999985</v>
      </c>
      <c r="BZ10" s="294">
        <f ca="1">OFFSET(TblImps[[#This Row],[Servertime]],-1,0)+1/24</f>
        <v>45815.249999999985</v>
      </c>
      <c r="CA10" s="57"/>
      <c r="CB10" s="292"/>
      <c r="CC10" s="292"/>
    </row>
    <row r="11" spans="1:84" x14ac:dyDescent="0.2">
      <c r="A11" s="214">
        <f ca="1">TblConstr[[#This Row],[Land]]</f>
        <v>370</v>
      </c>
      <c r="B11" s="142"/>
      <c r="C11" s="94">
        <f ca="1">TblProd[[#This Row],[Platinum]]</f>
        <v>244670</v>
      </c>
      <c r="D11" s="94">
        <f ca="1">TblProd[[#This Row],[Lumber]]</f>
        <v>20775</v>
      </c>
      <c r="E11" s="94">
        <f ca="1">TblProd[[#This Row],[Ore]]</f>
        <v>0</v>
      </c>
      <c r="F11" s="94">
        <f ca="1">TblProd[[#This Row],[Gems]]</f>
        <v>5250</v>
      </c>
      <c r="G11" s="154"/>
      <c r="H11" s="94">
        <f ca="1">TblMili[[#This Row],[Draftees]]</f>
        <v>704</v>
      </c>
      <c r="I11" s="180">
        <f ca="1">TblPop[[#This Row],[Employment]]</f>
        <v>1</v>
      </c>
      <c r="J11" s="180">
        <f ca="1">TblPop[[#This Row],[Total]]/TblPop[[#This Row],[Net max]]</f>
        <v>1</v>
      </c>
      <c r="K11" s="283">
        <f>TblRezone[[#This Row],[Hour]]</f>
        <v>8</v>
      </c>
      <c r="L11" s="284">
        <f ca="1">TblImps[[#This Row],[Real time]]</f>
        <v>45815.29166666665</v>
      </c>
      <c r="M11" s="61">
        <f>IF(ISERROR(TblImps[[#This Row],[algorithm]]),0,TblImps[[#This Row],[algorithm]]*1)</f>
        <v>0</v>
      </c>
      <c r="N11" s="94">
        <f ca="1">TblImps[[#This Row],[Land]]</f>
        <v>370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45815.29166666665</v>
      </c>
      <c r="BZ11" s="294">
        <f ca="1">OFFSET(TblImps[[#This Row],[Servertime]],-1,0)+1/24</f>
        <v>45815.29166666665</v>
      </c>
      <c r="CA11" s="57"/>
      <c r="CB11" s="292"/>
      <c r="CC11" s="292"/>
    </row>
    <row r="12" spans="1:84" x14ac:dyDescent="0.2">
      <c r="A12" s="214">
        <f ca="1">TblConstr[[#This Row],[Land]]</f>
        <v>370</v>
      </c>
      <c r="B12" s="142"/>
      <c r="C12" s="94">
        <f ca="1">TblProd[[#This Row],[Platinum]]</f>
        <v>261902</v>
      </c>
      <c r="D12" s="94">
        <f ca="1">TblProd[[#This Row],[Lumber]]</f>
        <v>21567</v>
      </c>
      <c r="E12" s="94">
        <f ca="1">TblProd[[#This Row],[Ore]]</f>
        <v>0</v>
      </c>
      <c r="F12" s="94">
        <f ca="1">TblProd[[#This Row],[Gems]]</f>
        <v>6000</v>
      </c>
      <c r="G12" s="154"/>
      <c r="H12" s="94">
        <f ca="1">TblMili[[#This Row],[Draftees]]</f>
        <v>759</v>
      </c>
      <c r="I12" s="180">
        <f ca="1">TblPop[[#This Row],[Employment]]</f>
        <v>1</v>
      </c>
      <c r="J12" s="180">
        <f ca="1">TblPop[[#This Row],[Total]]/TblPop[[#This Row],[Net max]]</f>
        <v>1</v>
      </c>
      <c r="K12" s="283">
        <f>TblRezone[[#This Row],[Hour]]</f>
        <v>9</v>
      </c>
      <c r="L12" s="284">
        <f ca="1">TblImps[[#This Row],[Real time]]</f>
        <v>45815.333333333314</v>
      </c>
      <c r="M12" s="61">
        <f>IF(ISERROR(TblImps[[#This Row],[algorithm]]),0,TblImps[[#This Row],[algorithm]]*1)</f>
        <v>0</v>
      </c>
      <c r="N12" s="94">
        <f ca="1">TblImps[[#This Row],[Land]]</f>
        <v>370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45815.333333333314</v>
      </c>
      <c r="BZ12" s="294">
        <f ca="1">OFFSET(TblImps[[#This Row],[Servertime]],-1,0)+1/24</f>
        <v>45815.333333333314</v>
      </c>
      <c r="CA12" s="57"/>
      <c r="CB12" s="292"/>
      <c r="CC12" s="292"/>
    </row>
    <row r="13" spans="1:84" x14ac:dyDescent="0.2">
      <c r="A13" s="214">
        <f ca="1">TblConstr[[#This Row],[Land]]</f>
        <v>370</v>
      </c>
      <c r="B13" s="142"/>
      <c r="C13" s="94">
        <f ca="1">TblProd[[#This Row],[Platinum]]</f>
        <v>278985</v>
      </c>
      <c r="D13" s="94">
        <f ca="1">TblProd[[#This Row],[Lumber]]</f>
        <v>22351</v>
      </c>
      <c r="E13" s="94">
        <f ca="1">TblProd[[#This Row],[Ore]]</f>
        <v>0</v>
      </c>
      <c r="F13" s="94">
        <f ca="1">TblProd[[#This Row],[Gems]]</f>
        <v>6750</v>
      </c>
      <c r="G13" s="154"/>
      <c r="H13" s="94">
        <f ca="1">TblMili[[#This Row],[Draftees]]</f>
        <v>814</v>
      </c>
      <c r="I13" s="180">
        <f ca="1">TblPop[[#This Row],[Employment]]</f>
        <v>1</v>
      </c>
      <c r="J13" s="180">
        <f ca="1">TblPop[[#This Row],[Total]]/TblPop[[#This Row],[Net max]]</f>
        <v>1</v>
      </c>
      <c r="K13" s="283">
        <f>TblRezone[[#This Row],[Hour]]</f>
        <v>10</v>
      </c>
      <c r="L13" s="284">
        <f ca="1">TblImps[[#This Row],[Real time]]</f>
        <v>45815.374999999978</v>
      </c>
      <c r="M13" s="61">
        <f>IF(ISERROR(TblImps[[#This Row],[algorithm]]),0,TblImps[[#This Row],[algorithm]]*1)</f>
        <v>0</v>
      </c>
      <c r="N13" s="94">
        <f ca="1">TblImps[[#This Row],[Land]]</f>
        <v>370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45815.374999999978</v>
      </c>
      <c r="BZ13" s="294">
        <f ca="1">OFFSET(TblImps[[#This Row],[Servertime]],-1,0)+1/24</f>
        <v>45815.374999999978</v>
      </c>
      <c r="CA13" s="57"/>
      <c r="CB13" s="292"/>
      <c r="CC13" s="292"/>
    </row>
    <row r="14" spans="1:84" x14ac:dyDescent="0.2">
      <c r="A14" s="214">
        <f ca="1">TblConstr[[#This Row],[Land]]</f>
        <v>370</v>
      </c>
      <c r="B14" s="142"/>
      <c r="C14" s="94">
        <f ca="1">TblProd[[#This Row],[Platinum]]</f>
        <v>295920</v>
      </c>
      <c r="D14" s="94">
        <f ca="1">TblProd[[#This Row],[Lumber]]</f>
        <v>23127</v>
      </c>
      <c r="E14" s="94">
        <f ca="1">TblProd[[#This Row],[Ore]]</f>
        <v>0</v>
      </c>
      <c r="F14" s="94">
        <f ca="1">TblProd[[#This Row],[Gems]]</f>
        <v>7500</v>
      </c>
      <c r="G14" s="154"/>
      <c r="H14" s="94">
        <f ca="1">TblMili[[#This Row],[Draftees]]</f>
        <v>868</v>
      </c>
      <c r="I14" s="180">
        <f ca="1">TblPop[[#This Row],[Employment]]</f>
        <v>1</v>
      </c>
      <c r="J14" s="180">
        <f ca="1">TblPop[[#This Row],[Total]]/TblPop[[#This Row],[Net max]]</f>
        <v>1</v>
      </c>
      <c r="K14" s="283">
        <f>TblRezone[[#This Row],[Hour]]</f>
        <v>11</v>
      </c>
      <c r="L14" s="284">
        <f ca="1">TblImps[[#This Row],[Real time]]</f>
        <v>45815.416666666642</v>
      </c>
      <c r="M14" s="61">
        <f>IF(ISERROR(TblImps[[#This Row],[algorithm]]),0,TblImps[[#This Row],[algorithm]]*1)</f>
        <v>0</v>
      </c>
      <c r="N14" s="94">
        <f ca="1">TblImps[[#This Row],[Land]]</f>
        <v>370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45815.416666666642</v>
      </c>
      <c r="BZ14" s="294">
        <f ca="1">OFFSET(TblImps[[#This Row],[Servertime]],-1,0)+1/24</f>
        <v>45815.416666666642</v>
      </c>
      <c r="CA14" s="57"/>
      <c r="CB14" s="292"/>
      <c r="CC14" s="292"/>
    </row>
    <row r="15" spans="1:84" x14ac:dyDescent="0.2">
      <c r="A15" s="214">
        <f ca="1">TblConstr[[#This Row],[Land]]</f>
        <v>370</v>
      </c>
      <c r="B15" s="142"/>
      <c r="C15" s="94">
        <f ca="1">TblProd[[#This Row],[Platinum]]</f>
        <v>312709</v>
      </c>
      <c r="D15" s="94">
        <f ca="1">TblProd[[#This Row],[Lumber]]</f>
        <v>23896</v>
      </c>
      <c r="E15" s="94">
        <f ca="1">TblProd[[#This Row],[Ore]]</f>
        <v>0</v>
      </c>
      <c r="F15" s="94">
        <f ca="1">TblProd[[#This Row],[Gems]]</f>
        <v>8250</v>
      </c>
      <c r="G15" s="154"/>
      <c r="H15" s="94">
        <f ca="1">TblMili[[#This Row],[Draftees]]</f>
        <v>922</v>
      </c>
      <c r="I15" s="180">
        <f ca="1">TblPop[[#This Row],[Employment]]</f>
        <v>1</v>
      </c>
      <c r="J15" s="180">
        <f ca="1">TblPop[[#This Row],[Total]]/TblPop[[#This Row],[Net max]]</f>
        <v>1</v>
      </c>
      <c r="K15" s="283">
        <f>TblRezone[[#This Row],[Hour]]</f>
        <v>12</v>
      </c>
      <c r="L15" s="284">
        <f ca="1">TblImps[[#This Row],[Real time]]</f>
        <v>45815.458333333307</v>
      </c>
      <c r="M15" s="61">
        <f>IF(ISERROR(TblImps[[#This Row],[algorithm]]),0,TblImps[[#This Row],[algorithm]]*1)</f>
        <v>0</v>
      </c>
      <c r="N15" s="94">
        <f ca="1">TblImps[[#This Row],[Land]]</f>
        <v>370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45815.458333333307</v>
      </c>
      <c r="BZ15" s="294">
        <f ca="1">OFFSET(TblImps[[#This Row],[Servertime]],-1,0)+1/24</f>
        <v>45815.458333333307</v>
      </c>
      <c r="CA15" s="57"/>
      <c r="CB15" s="292"/>
      <c r="CC15" s="292"/>
    </row>
    <row r="16" spans="1:84" x14ac:dyDescent="0.2">
      <c r="A16" s="214">
        <f ca="1">TblConstr[[#This Row],[Land]]</f>
        <v>370</v>
      </c>
      <c r="B16" s="142"/>
      <c r="C16" s="94">
        <f ca="1">TblProd[[#This Row],[Platinum]]</f>
        <v>329352</v>
      </c>
      <c r="D16" s="94">
        <f ca="1">TblProd[[#This Row],[Lumber]]</f>
        <v>24657</v>
      </c>
      <c r="E16" s="94">
        <f ca="1">TblProd[[#This Row],[Ore]]</f>
        <v>0</v>
      </c>
      <c r="F16" s="94">
        <f ca="1">TblProd[[#This Row],[Gems]]</f>
        <v>9000</v>
      </c>
      <c r="G16" s="154"/>
      <c r="H16" s="94">
        <f ca="1">TblMili[[#This Row],[Draftees]]</f>
        <v>975</v>
      </c>
      <c r="I16" s="180">
        <f ca="1">TblPop[[#This Row],[Employment]]</f>
        <v>1</v>
      </c>
      <c r="J16" s="180">
        <f ca="1">TblPop[[#This Row],[Total]]/TblPop[[#This Row],[Net max]]</f>
        <v>1</v>
      </c>
      <c r="K16" s="283">
        <f>TblRezone[[#This Row],[Hour]]</f>
        <v>13</v>
      </c>
      <c r="L16" s="284">
        <f ca="1">TblImps[[#This Row],[Real time]]</f>
        <v>45815.499999999971</v>
      </c>
      <c r="M16" s="61">
        <f>IF(ISERROR(TblImps[[#This Row],[algorithm]]),0,TblImps[[#This Row],[algorithm]]*1)</f>
        <v>0</v>
      </c>
      <c r="N16" s="94">
        <f ca="1">TblImps[[#This Row],[Land]]</f>
        <v>370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45815.499999999971</v>
      </c>
      <c r="BZ16" s="294">
        <f ca="1">OFFSET(TblImps[[#This Row],[Servertime]],-1,0)+1/24</f>
        <v>45815.499999999971</v>
      </c>
      <c r="CA16" s="57"/>
      <c r="CB16" s="292"/>
      <c r="CC16" s="292"/>
    </row>
    <row r="17" spans="1:84" x14ac:dyDescent="0.2">
      <c r="A17" s="214">
        <f ca="1">TblConstr[[#This Row],[Land]]</f>
        <v>370</v>
      </c>
      <c r="B17" s="142"/>
      <c r="C17" s="94">
        <f ca="1">TblProd[[#This Row],[Platinum]]</f>
        <v>345852</v>
      </c>
      <c r="D17" s="94">
        <f ca="1">TblProd[[#This Row],[Lumber]]</f>
        <v>25410</v>
      </c>
      <c r="E17" s="94">
        <f ca="1">TblProd[[#This Row],[Ore]]</f>
        <v>0</v>
      </c>
      <c r="F17" s="94">
        <f ca="1">TblProd[[#This Row],[Gems]]</f>
        <v>9750</v>
      </c>
      <c r="G17" s="154"/>
      <c r="H17" s="94">
        <f ca="1">TblMili[[#This Row],[Draftees]]</f>
        <v>1028</v>
      </c>
      <c r="I17" s="180">
        <f ca="1">TblPop[[#This Row],[Employment]]</f>
        <v>1</v>
      </c>
      <c r="J17" s="180">
        <f ca="1">TblPop[[#This Row],[Total]]/TblPop[[#This Row],[Net max]]</f>
        <v>1</v>
      </c>
      <c r="K17" s="283">
        <f>TblRezone[[#This Row],[Hour]]</f>
        <v>14</v>
      </c>
      <c r="L17" s="284">
        <f ca="1">TblImps[[#This Row],[Real time]]</f>
        <v>45815.541666666635</v>
      </c>
      <c r="M17" s="61">
        <f>IF(ISERROR(TblImps[[#This Row],[algorithm]]),0,TblImps[[#This Row],[algorithm]]*1)</f>
        <v>0</v>
      </c>
      <c r="N17" s="94">
        <f ca="1">TblImps[[#This Row],[Land]]</f>
        <v>370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45815.541666666635</v>
      </c>
      <c r="BZ17" s="294">
        <f ca="1">OFFSET(TblImps[[#This Row],[Servertime]],-1,0)+1/24</f>
        <v>45815.541666666635</v>
      </c>
      <c r="CA17" s="57"/>
      <c r="CB17" s="292"/>
      <c r="CC17" s="292"/>
      <c r="CD17" s="159"/>
    </row>
    <row r="18" spans="1:84" x14ac:dyDescent="0.2">
      <c r="A18" s="214">
        <f ca="1">TblConstr[[#This Row],[Land]]</f>
        <v>370</v>
      </c>
      <c r="B18" s="142"/>
      <c r="C18" s="94">
        <f ca="1">TblProd[[#This Row],[Platinum]]</f>
        <v>362209</v>
      </c>
      <c r="D18" s="94">
        <f ca="1">TblProd[[#This Row],[Lumber]]</f>
        <v>26156</v>
      </c>
      <c r="E18" s="94">
        <f ca="1">TblProd[[#This Row],[Ore]]</f>
        <v>0</v>
      </c>
      <c r="F18" s="94">
        <f ca="1">TblProd[[#This Row],[Gems]]</f>
        <v>10500</v>
      </c>
      <c r="G18" s="154"/>
      <c r="H18" s="94">
        <f ca="1">TblMili[[#This Row],[Draftees]]</f>
        <v>1080</v>
      </c>
      <c r="I18" s="180">
        <f ca="1">TblPop[[#This Row],[Employment]]</f>
        <v>1</v>
      </c>
      <c r="J18" s="180">
        <f ca="1">TblPop[[#This Row],[Total]]/TblPop[[#This Row],[Net max]]</f>
        <v>1</v>
      </c>
      <c r="K18" s="283">
        <f>TblRezone[[#This Row],[Hour]]</f>
        <v>15</v>
      </c>
      <c r="L18" s="284">
        <f ca="1">TblImps[[#This Row],[Real time]]</f>
        <v>45815.583333333299</v>
      </c>
      <c r="M18" s="61">
        <f>IF(ISERROR(TblImps[[#This Row],[algorithm]]),0,TblImps[[#This Row],[algorithm]]*1)</f>
        <v>0</v>
      </c>
      <c r="N18" s="94">
        <f ca="1">TblImps[[#This Row],[Land]]</f>
        <v>370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45815.583333333299</v>
      </c>
      <c r="BZ18" s="294">
        <f ca="1">OFFSET(TblImps[[#This Row],[Servertime]],-1,0)+1/24</f>
        <v>45815.583333333299</v>
      </c>
      <c r="CA18" s="297"/>
      <c r="CB18" s="292"/>
      <c r="CC18" s="292"/>
      <c r="CF18" s="295"/>
    </row>
    <row r="19" spans="1:84" x14ac:dyDescent="0.2">
      <c r="A19" s="214">
        <f ca="1">TblConstr[[#This Row],[Land]]</f>
        <v>370</v>
      </c>
      <c r="B19" s="142"/>
      <c r="C19" s="94">
        <f ca="1">TblProd[[#This Row],[Platinum]]</f>
        <v>378426</v>
      </c>
      <c r="D19" s="94">
        <f ca="1">TblProd[[#This Row],[Lumber]]</f>
        <v>26894</v>
      </c>
      <c r="E19" s="94">
        <f ca="1">TblProd[[#This Row],[Ore]]</f>
        <v>0</v>
      </c>
      <c r="F19" s="94">
        <f ca="1">TblProd[[#This Row],[Gems]]</f>
        <v>11250</v>
      </c>
      <c r="G19" s="154"/>
      <c r="H19" s="94">
        <f ca="1">TblMili[[#This Row],[Draftees]]</f>
        <v>1132</v>
      </c>
      <c r="I19" s="180">
        <f ca="1">TblPop[[#This Row],[Employment]]</f>
        <v>1</v>
      </c>
      <c r="J19" s="180">
        <f ca="1">TblPop[[#This Row],[Total]]/TblPop[[#This Row],[Net max]]</f>
        <v>1</v>
      </c>
      <c r="K19" s="283">
        <f>TblRezone[[#This Row],[Hour]]</f>
        <v>16</v>
      </c>
      <c r="L19" s="284">
        <f ca="1">TblImps[[#This Row],[Real time]]</f>
        <v>45815.624999999964</v>
      </c>
      <c r="M19" s="61">
        <f>IF(ISERROR(TblImps[[#This Row],[algorithm]]),0,TblImps[[#This Row],[algorithm]]*1)</f>
        <v>0</v>
      </c>
      <c r="N19" s="94">
        <f ca="1">TblImps[[#This Row],[Land]]</f>
        <v>370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45815.624999999964</v>
      </c>
      <c r="BZ19" s="294">
        <f ca="1">OFFSET(TblImps[[#This Row],[Servertime]],-1,0)+1/24</f>
        <v>45815.624999999964</v>
      </c>
      <c r="CA19" s="57"/>
      <c r="CB19" s="292"/>
      <c r="CC19" s="292"/>
      <c r="CF19" s="296"/>
    </row>
    <row r="20" spans="1:84" x14ac:dyDescent="0.2">
      <c r="A20" s="214">
        <f ca="1">TblConstr[[#This Row],[Land]]</f>
        <v>370</v>
      </c>
      <c r="B20" s="142"/>
      <c r="C20" s="94">
        <f ca="1">TblProd[[#This Row],[Platinum]]</f>
        <v>394502</v>
      </c>
      <c r="D20" s="94">
        <f ca="1">TblProd[[#This Row],[Lumber]]</f>
        <v>27625</v>
      </c>
      <c r="E20" s="94">
        <f ca="1">TblProd[[#This Row],[Ore]]</f>
        <v>0</v>
      </c>
      <c r="F20" s="94">
        <f ca="1">TblProd[[#This Row],[Gems]]</f>
        <v>12000</v>
      </c>
      <c r="G20" s="154"/>
      <c r="H20" s="94">
        <f ca="1">TblMili[[#This Row],[Draftees]]</f>
        <v>1183</v>
      </c>
      <c r="I20" s="180">
        <f ca="1">TblPop[[#This Row],[Employment]]</f>
        <v>1</v>
      </c>
      <c r="J20" s="180">
        <f ca="1">TblPop[[#This Row],[Total]]/TblPop[[#This Row],[Net max]]</f>
        <v>1</v>
      </c>
      <c r="K20" s="283">
        <f>TblRezone[[#This Row],[Hour]]</f>
        <v>17</v>
      </c>
      <c r="L20" s="284">
        <f ca="1">TblImps[[#This Row],[Real time]]</f>
        <v>45815.666666666628</v>
      </c>
      <c r="M20" s="61">
        <f>IF(ISERROR(TblImps[[#This Row],[algorithm]]),0,TblImps[[#This Row],[algorithm]]*1)</f>
        <v>0</v>
      </c>
      <c r="N20" s="94">
        <f ca="1">TblImps[[#This Row],[Land]]</f>
        <v>370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45815.666666666628</v>
      </c>
      <c r="BZ20" s="294">
        <f ca="1">OFFSET(TblImps[[#This Row],[Servertime]],-1,0)+1/24</f>
        <v>45815.666666666628</v>
      </c>
      <c r="CA20" s="57"/>
      <c r="CB20" s="292"/>
      <c r="CC20" s="292"/>
      <c r="CF20" s="295"/>
    </row>
    <row r="21" spans="1:84" x14ac:dyDescent="0.2">
      <c r="A21" s="214">
        <f ca="1">TblConstr[[#This Row],[Land]]</f>
        <v>370</v>
      </c>
      <c r="B21" s="142"/>
      <c r="C21" s="94">
        <f ca="1">TblProd[[#This Row],[Platinum]]</f>
        <v>410441</v>
      </c>
      <c r="D21" s="94">
        <f ca="1">TblProd[[#This Row],[Lumber]]</f>
        <v>28349</v>
      </c>
      <c r="E21" s="94">
        <f ca="1">TblProd[[#This Row],[Ore]]</f>
        <v>0</v>
      </c>
      <c r="F21" s="94">
        <f ca="1">TblProd[[#This Row],[Gems]]</f>
        <v>12750</v>
      </c>
      <c r="G21" s="154"/>
      <c r="H21" s="94">
        <f ca="1">TblMili[[#This Row],[Draftees]]</f>
        <v>1234</v>
      </c>
      <c r="I21" s="180">
        <f ca="1">TblPop[[#This Row],[Employment]]</f>
        <v>1</v>
      </c>
      <c r="J21" s="180">
        <f ca="1">TblPop[[#This Row],[Total]]/TblPop[[#This Row],[Net max]]</f>
        <v>1</v>
      </c>
      <c r="K21" s="283">
        <f>TblRezone[[#This Row],[Hour]]</f>
        <v>18</v>
      </c>
      <c r="L21" s="284">
        <f ca="1">TblImps[[#This Row],[Real time]]</f>
        <v>45815.708333333292</v>
      </c>
      <c r="M21" s="61">
        <f>IF(ISERROR(TblImps[[#This Row],[algorithm]]),0,TblImps[[#This Row],[algorithm]]*1)</f>
        <v>0</v>
      </c>
      <c r="N21" s="94">
        <f ca="1">TblImps[[#This Row],[Land]]</f>
        <v>370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45815.708333333292</v>
      </c>
      <c r="BZ21" s="294">
        <f ca="1">OFFSET(TblImps[[#This Row],[Servertime]],-1,0)+1/24</f>
        <v>45815.708333333292</v>
      </c>
      <c r="CA21" s="57"/>
      <c r="CB21" s="292"/>
      <c r="CC21" s="292"/>
      <c r="CF21" s="295"/>
    </row>
    <row r="22" spans="1:84" x14ac:dyDescent="0.2">
      <c r="A22" s="214">
        <f ca="1">TblConstr[[#This Row],[Land]]</f>
        <v>370</v>
      </c>
      <c r="B22" s="142"/>
      <c r="C22" s="94">
        <f ca="1">TblProd[[#This Row],[Platinum]]</f>
        <v>426242</v>
      </c>
      <c r="D22" s="94">
        <f ca="1">TblProd[[#This Row],[Lumber]]</f>
        <v>29066</v>
      </c>
      <c r="E22" s="94">
        <f ca="1">TblProd[[#This Row],[Ore]]</f>
        <v>0</v>
      </c>
      <c r="F22" s="94">
        <f ca="1">TblProd[[#This Row],[Gems]]</f>
        <v>13500</v>
      </c>
      <c r="G22" s="154"/>
      <c r="H22" s="94">
        <f ca="1">TblMili[[#This Row],[Draftees]]</f>
        <v>1284</v>
      </c>
      <c r="I22" s="180">
        <f ca="1">TblPop[[#This Row],[Employment]]</f>
        <v>1</v>
      </c>
      <c r="J22" s="180">
        <f ca="1">TblPop[[#This Row],[Total]]/TblPop[[#This Row],[Net max]]</f>
        <v>1</v>
      </c>
      <c r="K22" s="283">
        <f>TblRezone[[#This Row],[Hour]]</f>
        <v>19</v>
      </c>
      <c r="L22" s="284">
        <f ca="1">TblImps[[#This Row],[Real time]]</f>
        <v>45815.749999999956</v>
      </c>
      <c r="M22" s="61">
        <f>IF(ISERROR(TblImps[[#This Row],[algorithm]]),0,TblImps[[#This Row],[algorithm]]*1)</f>
        <v>0</v>
      </c>
      <c r="N22" s="94">
        <f ca="1">TblImps[[#This Row],[Land]]</f>
        <v>370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45815.749999999956</v>
      </c>
      <c r="BZ22" s="294">
        <f ca="1">OFFSET(TblImps[[#This Row],[Servertime]],-1,0)+1/24</f>
        <v>45815.749999999956</v>
      </c>
      <c r="CA22" s="57"/>
      <c r="CB22" s="292"/>
      <c r="CC22" s="292"/>
    </row>
    <row r="23" spans="1:84" x14ac:dyDescent="0.2">
      <c r="A23" s="214">
        <f ca="1">TblConstr[[#This Row],[Land]]</f>
        <v>370</v>
      </c>
      <c r="B23" s="142"/>
      <c r="C23" s="94">
        <f ca="1">TblProd[[#This Row],[Platinum]]</f>
        <v>441908</v>
      </c>
      <c r="D23" s="94">
        <f ca="1">TblProd[[#This Row],[Lumber]]</f>
        <v>29775</v>
      </c>
      <c r="E23" s="94">
        <f ca="1">TblProd[[#This Row],[Ore]]</f>
        <v>0</v>
      </c>
      <c r="F23" s="94">
        <f ca="1">TblProd[[#This Row],[Gems]]</f>
        <v>14250</v>
      </c>
      <c r="G23" s="154"/>
      <c r="H23" s="94">
        <f ca="1">TblMili[[#This Row],[Draftees]]</f>
        <v>1334</v>
      </c>
      <c r="I23" s="180">
        <f ca="1">TblPop[[#This Row],[Employment]]</f>
        <v>1</v>
      </c>
      <c r="J23" s="180">
        <f ca="1">TblPop[[#This Row],[Total]]/TblPop[[#This Row],[Net max]]</f>
        <v>1</v>
      </c>
      <c r="K23" s="283">
        <f>TblRezone[[#This Row],[Hour]]</f>
        <v>20</v>
      </c>
      <c r="L23" s="284">
        <f ca="1">TblImps[[#This Row],[Real time]]</f>
        <v>45815.791666666621</v>
      </c>
      <c r="M23" s="61">
        <f>IF(ISERROR(TblImps[[#This Row],[algorithm]]),0,TblImps[[#This Row],[algorithm]]*1)</f>
        <v>0</v>
      </c>
      <c r="N23" s="94">
        <f ca="1">TblImps[[#This Row],[Land]]</f>
        <v>370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45815.791666666621</v>
      </c>
      <c r="BZ23" s="294">
        <f ca="1">OFFSET(TblImps[[#This Row],[Servertime]],-1,0)+1/24</f>
        <v>45815.791666666621</v>
      </c>
      <c r="CA23" s="57"/>
      <c r="CB23" s="292"/>
      <c r="CC23" s="292"/>
    </row>
    <row r="24" spans="1:84" x14ac:dyDescent="0.2">
      <c r="A24" s="214">
        <f ca="1">TblConstr[[#This Row],[Land]]</f>
        <v>370</v>
      </c>
      <c r="B24" s="142"/>
      <c r="C24" s="94">
        <f ca="1">TblProd[[#This Row],[Platinum]]</f>
        <v>457439</v>
      </c>
      <c r="D24" s="94">
        <f ca="1">TblProd[[#This Row],[Lumber]]</f>
        <v>30477</v>
      </c>
      <c r="E24" s="94">
        <f ca="1">TblProd[[#This Row],[Ore]]</f>
        <v>0</v>
      </c>
      <c r="F24" s="94">
        <f ca="1">TblProd[[#This Row],[Gems]]</f>
        <v>15000</v>
      </c>
      <c r="G24" s="154"/>
      <c r="H24" s="94">
        <f ca="1">TblMili[[#This Row],[Draftees]]</f>
        <v>1383</v>
      </c>
      <c r="I24" s="180">
        <f ca="1">TblPop[[#This Row],[Employment]]</f>
        <v>1</v>
      </c>
      <c r="J24" s="180">
        <f ca="1">TblPop[[#This Row],[Total]]/TblPop[[#This Row],[Net max]]</f>
        <v>1</v>
      </c>
      <c r="K24" s="283">
        <f>TblRezone[[#This Row],[Hour]]</f>
        <v>21</v>
      </c>
      <c r="L24" s="284">
        <f ca="1">TblImps[[#This Row],[Real time]]</f>
        <v>45815.833333333285</v>
      </c>
      <c r="M24" s="61">
        <f>IF(ISERROR(TblImps[[#This Row],[algorithm]]),0,TblImps[[#This Row],[algorithm]]*1)</f>
        <v>0</v>
      </c>
      <c r="N24" s="94">
        <f ca="1">TblImps[[#This Row],[Land]]</f>
        <v>370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45815.833333333285</v>
      </c>
      <c r="BZ24" s="294">
        <f ca="1">OFFSET(TblImps[[#This Row],[Servertime]],-1,0)+1/24</f>
        <v>45815.833333333285</v>
      </c>
      <c r="CA24" s="57"/>
      <c r="CB24" s="292"/>
      <c r="CC24" s="292"/>
    </row>
    <row r="25" spans="1:84" x14ac:dyDescent="0.2">
      <c r="A25" s="214">
        <f ca="1">TblConstr[[#This Row],[Land]]</f>
        <v>370</v>
      </c>
      <c r="B25" s="142"/>
      <c r="C25" s="94">
        <f ca="1">TblProd[[#This Row],[Platinum]]</f>
        <v>472838</v>
      </c>
      <c r="D25" s="94">
        <f ca="1">TblProd[[#This Row],[Lumber]]</f>
        <v>31172</v>
      </c>
      <c r="E25" s="94">
        <f ca="1">TblProd[[#This Row],[Ore]]</f>
        <v>0</v>
      </c>
      <c r="F25" s="94">
        <f ca="1">TblProd[[#This Row],[Gems]]</f>
        <v>15750</v>
      </c>
      <c r="G25" s="154"/>
      <c r="H25" s="94">
        <f ca="1">TblMili[[#This Row],[Draftees]]</f>
        <v>1432</v>
      </c>
      <c r="I25" s="180">
        <f ca="1">TblPop[[#This Row],[Employment]]</f>
        <v>1</v>
      </c>
      <c r="J25" s="180">
        <f ca="1">TblPop[[#This Row],[Total]]/TblPop[[#This Row],[Net max]]</f>
        <v>1</v>
      </c>
      <c r="K25" s="283">
        <f>TblRezone[[#This Row],[Hour]]</f>
        <v>22</v>
      </c>
      <c r="L25" s="284">
        <f ca="1">TblImps[[#This Row],[Real time]]</f>
        <v>45815.874999999949</v>
      </c>
      <c r="M25" s="61">
        <f>IF(ISERROR(TblImps[[#This Row],[algorithm]]),0,TblImps[[#This Row],[algorithm]]*1)</f>
        <v>0</v>
      </c>
      <c r="N25" s="94">
        <f ca="1">TblImps[[#This Row],[Land]]</f>
        <v>370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45815.874999999949</v>
      </c>
      <c r="BZ25" s="294">
        <f ca="1">OFFSET(TblImps[[#This Row],[Servertime]],-1,0)+1/24</f>
        <v>45815.874999999949</v>
      </c>
      <c r="CA25" s="57"/>
      <c r="CB25" s="292"/>
      <c r="CC25" s="292"/>
    </row>
    <row r="26" spans="1:84" x14ac:dyDescent="0.2">
      <c r="A26" s="214">
        <f ca="1">TblConstr[[#This Row],[Land]]</f>
        <v>370</v>
      </c>
      <c r="B26" s="142"/>
      <c r="C26" s="94">
        <f ca="1">TblProd[[#This Row],[Platinum]]</f>
        <v>488104</v>
      </c>
      <c r="D26" s="94">
        <f ca="1">TblProd[[#This Row],[Lumber]]</f>
        <v>31860</v>
      </c>
      <c r="E26" s="94">
        <f ca="1">TblProd[[#This Row],[Ore]]</f>
        <v>0</v>
      </c>
      <c r="F26" s="94">
        <f ca="1">TblProd[[#This Row],[Gems]]</f>
        <v>16500</v>
      </c>
      <c r="G26" s="154"/>
      <c r="H26" s="94">
        <f ca="1">TblMili[[#This Row],[Draftees]]</f>
        <v>1480</v>
      </c>
      <c r="I26" s="180">
        <f ca="1">TblPop[[#This Row],[Employment]]</f>
        <v>1</v>
      </c>
      <c r="J26" s="180">
        <f ca="1">TblPop[[#This Row],[Total]]/TblPop[[#This Row],[Net max]]</f>
        <v>1</v>
      </c>
      <c r="K26" s="283">
        <f>TblRezone[[#This Row],[Hour]]</f>
        <v>23</v>
      </c>
      <c r="L26" s="284">
        <f ca="1">TblImps[[#This Row],[Real time]]</f>
        <v>45815.916666666613</v>
      </c>
      <c r="M26" s="61">
        <f>IF(ISERROR(TblImps[[#This Row],[algorithm]]),0,TblImps[[#This Row],[algorithm]]*1)</f>
        <v>0</v>
      </c>
      <c r="N26" s="94">
        <f ca="1">TblImps[[#This Row],[Land]]</f>
        <v>370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45815.916666666613</v>
      </c>
      <c r="BZ26" s="294">
        <f ca="1">OFFSET(TblImps[[#This Row],[Servertime]],-1,0)+1/24</f>
        <v>45815.916666666613</v>
      </c>
      <c r="CA26" s="57"/>
      <c r="CB26" s="292"/>
      <c r="CC26" s="292"/>
    </row>
    <row r="27" spans="1:84" x14ac:dyDescent="0.2">
      <c r="A27" s="214">
        <f ca="1">TblConstr[[#This Row],[Land]]</f>
        <v>370</v>
      </c>
      <c r="B27" s="142"/>
      <c r="C27" s="94">
        <f ca="1">TblProd[[#This Row],[Platinum]]</f>
        <v>503241</v>
      </c>
      <c r="D27" s="94">
        <f ca="1">TblProd[[#This Row],[Lumber]]</f>
        <v>32541</v>
      </c>
      <c r="E27" s="94">
        <f ca="1">TblProd[[#This Row],[Ore]]</f>
        <v>0</v>
      </c>
      <c r="F27" s="94">
        <f ca="1">TblProd[[#This Row],[Gems]]</f>
        <v>17250</v>
      </c>
      <c r="G27" s="154"/>
      <c r="H27" s="94">
        <f ca="1">TblMili[[#This Row],[Draftees]]</f>
        <v>1528</v>
      </c>
      <c r="I27" s="180">
        <f ca="1">TblPop[[#This Row],[Employment]]</f>
        <v>1</v>
      </c>
      <c r="J27" s="180">
        <f ca="1">TblPop[[#This Row],[Total]]/TblPop[[#This Row],[Net max]]</f>
        <v>1</v>
      </c>
      <c r="K27" s="283">
        <f>TblRezone[[#This Row],[Hour]]</f>
        <v>24</v>
      </c>
      <c r="L27" s="284">
        <f ca="1">TblImps[[#This Row],[Real time]]</f>
        <v>45815.958333333278</v>
      </c>
      <c r="M27" s="61">
        <f>IF(ISERROR(TblImps[[#This Row],[algorithm]]),0,TblImps[[#This Row],[algorithm]]*1)</f>
        <v>0</v>
      </c>
      <c r="N27" s="94">
        <f ca="1">TblImps[[#This Row],[Land]]</f>
        <v>370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45815.958333333278</v>
      </c>
      <c r="BZ27" s="294">
        <f ca="1">OFFSET(TblImps[[#This Row],[Servertime]],-1,0)+1/24</f>
        <v>45815.958333333278</v>
      </c>
      <c r="CA27" s="57"/>
      <c r="CB27" s="292"/>
      <c r="CC27" s="292"/>
    </row>
    <row r="28" spans="1:84" x14ac:dyDescent="0.2">
      <c r="A28" s="214">
        <f ca="1">TblConstr[[#This Row],[Land]]</f>
        <v>370</v>
      </c>
      <c r="B28" s="142"/>
      <c r="C28" s="94">
        <f ca="1">TblProd[[#This Row],[Platinum]]</f>
        <v>518248</v>
      </c>
      <c r="D28" s="94">
        <f ca="1">TblProd[[#This Row],[Lumber]]</f>
        <v>33216</v>
      </c>
      <c r="E28" s="94">
        <f ca="1">TblProd[[#This Row],[Ore]]</f>
        <v>0</v>
      </c>
      <c r="F28" s="94">
        <f ca="1">TblProd[[#This Row],[Gems]]</f>
        <v>18000</v>
      </c>
      <c r="G28" s="154"/>
      <c r="H28" s="94">
        <f ca="1">TblMili[[#This Row],[Draftees]]</f>
        <v>1575</v>
      </c>
      <c r="I28" s="180">
        <f ca="1">TblPop[[#This Row],[Employment]]</f>
        <v>1</v>
      </c>
      <c r="J28" s="180">
        <f ca="1">TblPop[[#This Row],[Total]]/TblPop[[#This Row],[Net max]]</f>
        <v>1</v>
      </c>
      <c r="K28" s="283">
        <f>TblRezone[[#This Row],[Hour]]</f>
        <v>25</v>
      </c>
      <c r="L28" s="284">
        <f ca="1">TblImps[[#This Row],[Real time]]</f>
        <v>45815.999999999942</v>
      </c>
      <c r="M28" s="61">
        <f>IF(ISERROR(TblImps[[#This Row],[algorithm]]),0,TblImps[[#This Row],[algorithm]]*1)</f>
        <v>0</v>
      </c>
      <c r="N28" s="94">
        <f ca="1">TblImps[[#This Row],[Land]]</f>
        <v>370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45815.999999999942</v>
      </c>
      <c r="BZ28" s="294">
        <f ca="1">OFFSET(TblImps[[#This Row],[Servertime]],-1,0)+1/24</f>
        <v>45815.999999999942</v>
      </c>
      <c r="CA28" s="57"/>
      <c r="CB28" s="292"/>
      <c r="CC28" s="292"/>
    </row>
    <row r="29" spans="1:84" x14ac:dyDescent="0.2">
      <c r="A29" s="214">
        <f ca="1">TblConstr[[#This Row],[Land]]</f>
        <v>370</v>
      </c>
      <c r="B29" s="142"/>
      <c r="C29" s="94">
        <f ca="1">TblProd[[#This Row],[Platinum]]</f>
        <v>533128</v>
      </c>
      <c r="D29" s="94">
        <f ca="1">TblProd[[#This Row],[Lumber]]</f>
        <v>33884</v>
      </c>
      <c r="E29" s="94">
        <f ca="1">TblProd[[#This Row],[Ore]]</f>
        <v>0</v>
      </c>
      <c r="F29" s="94">
        <f ca="1">TblProd[[#This Row],[Gems]]</f>
        <v>18750</v>
      </c>
      <c r="G29" s="154"/>
      <c r="H29" s="94">
        <f ca="1">TblMili[[#This Row],[Draftees]]</f>
        <v>1622</v>
      </c>
      <c r="I29" s="180">
        <f ca="1">TblPop[[#This Row],[Employment]]</f>
        <v>1</v>
      </c>
      <c r="J29" s="180">
        <f ca="1">TblPop[[#This Row],[Total]]/TblPop[[#This Row],[Net max]]</f>
        <v>1</v>
      </c>
      <c r="K29" s="283">
        <f>TblRezone[[#This Row],[Hour]]</f>
        <v>26</v>
      </c>
      <c r="L29" s="284">
        <f ca="1">TblImps[[#This Row],[Real time]]</f>
        <v>45816.041666666606</v>
      </c>
      <c r="M29" s="61">
        <f>IF(ISERROR(TblImps[[#This Row],[algorithm]]),0,TblImps[[#This Row],[algorithm]]*1)</f>
        <v>0</v>
      </c>
      <c r="N29" s="94">
        <f ca="1">TblImps[[#This Row],[Land]]</f>
        <v>370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45816.041666666606</v>
      </c>
      <c r="BZ29" s="294">
        <f ca="1">OFFSET(TblImps[[#This Row],[Servertime]],-1,0)+1/24</f>
        <v>45816.041666666606</v>
      </c>
      <c r="CA29" s="57"/>
      <c r="CB29" s="292"/>
      <c r="CC29" s="292"/>
    </row>
    <row r="30" spans="1:84" x14ac:dyDescent="0.2">
      <c r="A30" s="214">
        <f ca="1">TblConstr[[#This Row],[Land]]</f>
        <v>370</v>
      </c>
      <c r="B30" s="142"/>
      <c r="C30" s="94">
        <f ca="1">TblProd[[#This Row],[Platinum]]</f>
        <v>547881</v>
      </c>
      <c r="D30" s="94">
        <f ca="1">TblProd[[#This Row],[Lumber]]</f>
        <v>34545</v>
      </c>
      <c r="E30" s="94">
        <f ca="1">TblProd[[#This Row],[Ore]]</f>
        <v>0</v>
      </c>
      <c r="F30" s="94">
        <f ca="1">TblProd[[#This Row],[Gems]]</f>
        <v>19500</v>
      </c>
      <c r="G30" s="154"/>
      <c r="H30" s="94">
        <f ca="1">TblMili[[#This Row],[Draftees]]</f>
        <v>1668</v>
      </c>
      <c r="I30" s="180">
        <f ca="1">TblPop[[#This Row],[Employment]]</f>
        <v>1</v>
      </c>
      <c r="J30" s="180">
        <f ca="1">TblPop[[#This Row],[Total]]/TblPop[[#This Row],[Net max]]</f>
        <v>1</v>
      </c>
      <c r="K30" s="283">
        <f>TblRezone[[#This Row],[Hour]]</f>
        <v>27</v>
      </c>
      <c r="L30" s="284">
        <f ca="1">TblImps[[#This Row],[Real time]]</f>
        <v>45816.08333333327</v>
      </c>
      <c r="M30" s="61">
        <f>IF(ISERROR(TblImps[[#This Row],[algorithm]]),0,TblImps[[#This Row],[algorithm]]*1)</f>
        <v>0</v>
      </c>
      <c r="N30" s="94">
        <f ca="1">TblImps[[#This Row],[Land]]</f>
        <v>370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45816.08333333327</v>
      </c>
      <c r="BZ30" s="294">
        <f ca="1">OFFSET(TblImps[[#This Row],[Servertime]],-1,0)+1/24</f>
        <v>45816.08333333327</v>
      </c>
      <c r="CA30" s="57"/>
      <c r="CB30" s="292"/>
      <c r="CC30" s="292"/>
      <c r="CD30" s="45" t="s">
        <v>4</v>
      </c>
    </row>
    <row r="31" spans="1:84" x14ac:dyDescent="0.2">
      <c r="A31" s="214">
        <f ca="1">TblConstr[[#This Row],[Land]]</f>
        <v>370</v>
      </c>
      <c r="B31" s="142"/>
      <c r="C31" s="94">
        <f ca="1">TblProd[[#This Row],[Platinum]]</f>
        <v>562510</v>
      </c>
      <c r="D31" s="94">
        <f ca="1">TblProd[[#This Row],[Lumber]]</f>
        <v>35200</v>
      </c>
      <c r="E31" s="94">
        <f ca="1">TblProd[[#This Row],[Ore]]</f>
        <v>0</v>
      </c>
      <c r="F31" s="94">
        <f ca="1">TblProd[[#This Row],[Gems]]</f>
        <v>20250</v>
      </c>
      <c r="G31" s="154"/>
      <c r="H31" s="94">
        <f ca="1">TblMili[[#This Row],[Draftees]]</f>
        <v>1714</v>
      </c>
      <c r="I31" s="180">
        <f ca="1">TblPop[[#This Row],[Employment]]</f>
        <v>1</v>
      </c>
      <c r="J31" s="180">
        <f ca="1">TblPop[[#This Row],[Total]]/TblPop[[#This Row],[Net max]]</f>
        <v>1</v>
      </c>
      <c r="K31" s="283">
        <f>TblRezone[[#This Row],[Hour]]</f>
        <v>28</v>
      </c>
      <c r="L31" s="284">
        <f ca="1">TblImps[[#This Row],[Real time]]</f>
        <v>45816.124999999935</v>
      </c>
      <c r="M31" s="61">
        <f>IF(ISERROR(TblImps[[#This Row],[algorithm]]),0,TblImps[[#This Row],[algorithm]]*1)</f>
        <v>0</v>
      </c>
      <c r="N31" s="94">
        <f ca="1">TblImps[[#This Row],[Land]]</f>
        <v>370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45816.124999999935</v>
      </c>
      <c r="BZ31" s="294">
        <f ca="1">OFFSET(TblImps[[#This Row],[Servertime]],-1,0)+1/24</f>
        <v>45816.124999999935</v>
      </c>
      <c r="CA31" s="57"/>
      <c r="CB31" s="292"/>
      <c r="CC31" s="292"/>
      <c r="CD31" s="45" t="s">
        <v>7</v>
      </c>
    </row>
    <row r="32" spans="1:84" x14ac:dyDescent="0.2">
      <c r="A32" s="214">
        <f ca="1">TblConstr[[#This Row],[Land]]</f>
        <v>370</v>
      </c>
      <c r="B32" s="142"/>
      <c r="C32" s="94">
        <f ca="1">TblProd[[#This Row],[Platinum]]</f>
        <v>577015</v>
      </c>
      <c r="D32" s="94">
        <f ca="1">TblProd[[#This Row],[Lumber]]</f>
        <v>35848</v>
      </c>
      <c r="E32" s="94">
        <f ca="1">TblProd[[#This Row],[Ore]]</f>
        <v>0</v>
      </c>
      <c r="F32" s="94">
        <f ca="1">TblProd[[#This Row],[Gems]]</f>
        <v>21000</v>
      </c>
      <c r="G32" s="154"/>
      <c r="H32" s="94">
        <f ca="1">TblMili[[#This Row],[Draftees]]</f>
        <v>1759</v>
      </c>
      <c r="I32" s="180">
        <f ca="1">TblPop[[#This Row],[Employment]]</f>
        <v>1</v>
      </c>
      <c r="J32" s="180">
        <f ca="1">TblPop[[#This Row],[Total]]/TblPop[[#This Row],[Net max]]</f>
        <v>1</v>
      </c>
      <c r="K32" s="283">
        <f>TblRezone[[#This Row],[Hour]]</f>
        <v>29</v>
      </c>
      <c r="L32" s="284">
        <f ca="1">TblImps[[#This Row],[Real time]]</f>
        <v>45816.166666666599</v>
      </c>
      <c r="M32" s="61">
        <f>IF(ISERROR(TblImps[[#This Row],[algorithm]]),0,TblImps[[#This Row],[algorithm]]*1)</f>
        <v>0</v>
      </c>
      <c r="N32" s="94">
        <f ca="1">TblImps[[#This Row],[Land]]</f>
        <v>370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45816.166666666599</v>
      </c>
      <c r="BZ32" s="294">
        <f ca="1">OFFSET(TblImps[[#This Row],[Servertime]],-1,0)+1/24</f>
        <v>45816.166666666599</v>
      </c>
      <c r="CA32" s="57"/>
      <c r="CB32" s="292"/>
      <c r="CC32" s="292"/>
      <c r="CD32" s="45" t="s">
        <v>3</v>
      </c>
    </row>
    <row r="33" spans="1:82" x14ac:dyDescent="0.2">
      <c r="A33" s="214">
        <f ca="1">TblConstr[[#This Row],[Land]]</f>
        <v>370</v>
      </c>
      <c r="B33" s="142"/>
      <c r="C33" s="94">
        <f ca="1">TblProd[[#This Row],[Platinum]]</f>
        <v>591398</v>
      </c>
      <c r="D33" s="94">
        <f ca="1">TblProd[[#This Row],[Lumber]]</f>
        <v>36490</v>
      </c>
      <c r="E33" s="94">
        <f ca="1">TblProd[[#This Row],[Ore]]</f>
        <v>0</v>
      </c>
      <c r="F33" s="94">
        <f ca="1">TblProd[[#This Row],[Gems]]</f>
        <v>21750</v>
      </c>
      <c r="G33" s="154"/>
      <c r="H33" s="94">
        <f ca="1">TblMili[[#This Row],[Draftees]]</f>
        <v>1804</v>
      </c>
      <c r="I33" s="180">
        <f ca="1">TblPop[[#This Row],[Employment]]</f>
        <v>1</v>
      </c>
      <c r="J33" s="180">
        <f ca="1">TblPop[[#This Row],[Total]]/TblPop[[#This Row],[Net max]]</f>
        <v>1</v>
      </c>
      <c r="K33" s="283">
        <f>TblRezone[[#This Row],[Hour]]</f>
        <v>30</v>
      </c>
      <c r="L33" s="284">
        <f ca="1">TblImps[[#This Row],[Real time]]</f>
        <v>45816.208333333263</v>
      </c>
      <c r="M33" s="61">
        <f>IF(ISERROR(TblImps[[#This Row],[algorithm]]),0,TblImps[[#This Row],[algorithm]]*1)</f>
        <v>0</v>
      </c>
      <c r="N33" s="94">
        <f ca="1">TblImps[[#This Row],[Land]]</f>
        <v>370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45816.208333333263</v>
      </c>
      <c r="BZ33" s="294">
        <f ca="1">OFFSET(TblImps[[#This Row],[Servertime]],-1,0)+1/24</f>
        <v>45816.208333333263</v>
      </c>
      <c r="CA33" s="57"/>
      <c r="CB33" s="292"/>
      <c r="CC33" s="292"/>
      <c r="CD33" s="45" t="s">
        <v>2</v>
      </c>
    </row>
    <row r="34" spans="1:82" x14ac:dyDescent="0.2">
      <c r="A34" s="214">
        <f ca="1">TblConstr[[#This Row],[Land]]</f>
        <v>370</v>
      </c>
      <c r="B34" s="142"/>
      <c r="C34" s="94">
        <f ca="1">TblProd[[#This Row],[Platinum]]</f>
        <v>605660</v>
      </c>
      <c r="D34" s="94">
        <f ca="1">TblProd[[#This Row],[Lumber]]</f>
        <v>37125</v>
      </c>
      <c r="E34" s="94">
        <f ca="1">TblProd[[#This Row],[Ore]]</f>
        <v>0</v>
      </c>
      <c r="F34" s="94">
        <f ca="1">TblProd[[#This Row],[Gems]]</f>
        <v>22500</v>
      </c>
      <c r="G34" s="154"/>
      <c r="H34" s="94">
        <f ca="1">TblMili[[#This Row],[Draftees]]</f>
        <v>1848</v>
      </c>
      <c r="I34" s="180">
        <f ca="1">TblPop[[#This Row],[Employment]]</f>
        <v>1</v>
      </c>
      <c r="J34" s="180">
        <f ca="1">TblPop[[#This Row],[Total]]/TblPop[[#This Row],[Net max]]</f>
        <v>1</v>
      </c>
      <c r="K34" s="283">
        <f>TblRezone[[#This Row],[Hour]]</f>
        <v>31</v>
      </c>
      <c r="L34" s="284">
        <f ca="1">TblImps[[#This Row],[Real time]]</f>
        <v>45816.249999999927</v>
      </c>
      <c r="M34" s="61">
        <f>IF(ISERROR(TblImps[[#This Row],[algorithm]]),0,TblImps[[#This Row],[algorithm]]*1)</f>
        <v>0</v>
      </c>
      <c r="N34" s="94">
        <f ca="1">TblImps[[#This Row],[Land]]</f>
        <v>370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45816.249999999927</v>
      </c>
      <c r="BZ34" s="294">
        <f ca="1">OFFSET(TblImps[[#This Row],[Servertime]],-1,0)+1/24</f>
        <v>45816.249999999927</v>
      </c>
      <c r="CA34" s="57"/>
      <c r="CB34" s="292"/>
      <c r="CC34" s="292"/>
    </row>
    <row r="35" spans="1:82" x14ac:dyDescent="0.2">
      <c r="A35" s="214">
        <f ca="1">TblConstr[[#This Row],[Land]]</f>
        <v>370</v>
      </c>
      <c r="B35" s="142"/>
      <c r="C35" s="94">
        <f ca="1">TblProd[[#This Row],[Platinum]]</f>
        <v>619803</v>
      </c>
      <c r="D35" s="94">
        <f ca="1">TblProd[[#This Row],[Lumber]]</f>
        <v>37754</v>
      </c>
      <c r="E35" s="94">
        <f ca="1">TblProd[[#This Row],[Ore]]</f>
        <v>0</v>
      </c>
      <c r="F35" s="94">
        <f ca="1">TblProd[[#This Row],[Gems]]</f>
        <v>23250</v>
      </c>
      <c r="G35" s="154"/>
      <c r="H35" s="94">
        <f ca="1">TblMili[[#This Row],[Draftees]]</f>
        <v>1892</v>
      </c>
      <c r="I35" s="180">
        <f ca="1">TblPop[[#This Row],[Employment]]</f>
        <v>1</v>
      </c>
      <c r="J35" s="180">
        <f ca="1">TblPop[[#This Row],[Total]]/TblPop[[#This Row],[Net max]]</f>
        <v>1</v>
      </c>
      <c r="K35" s="283">
        <f>TblRezone[[#This Row],[Hour]]</f>
        <v>32</v>
      </c>
      <c r="L35" s="284">
        <f ca="1">TblImps[[#This Row],[Real time]]</f>
        <v>45816.291666666591</v>
      </c>
      <c r="M35" s="61">
        <f>IF(ISERROR(TblImps[[#This Row],[algorithm]]),0,TblImps[[#This Row],[algorithm]]*1)</f>
        <v>0</v>
      </c>
      <c r="N35" s="94">
        <f ca="1">TblImps[[#This Row],[Land]]</f>
        <v>370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45816.291666666591</v>
      </c>
      <c r="BZ35" s="294">
        <f ca="1">OFFSET(TblImps[[#This Row],[Servertime]],-1,0)+1/24</f>
        <v>45816.291666666591</v>
      </c>
      <c r="CA35" s="57"/>
      <c r="CB35" s="292"/>
      <c r="CC35" s="292"/>
      <c r="CD35" s="45" t="s">
        <v>208</v>
      </c>
    </row>
    <row r="36" spans="1:82" x14ac:dyDescent="0.2">
      <c r="A36" s="214">
        <f ca="1">TblConstr[[#This Row],[Land]]</f>
        <v>370</v>
      </c>
      <c r="B36" s="142"/>
      <c r="C36" s="94">
        <f ca="1">TblProd[[#This Row],[Platinum]]</f>
        <v>633827</v>
      </c>
      <c r="D36" s="94">
        <f ca="1">TblProd[[#This Row],[Lumber]]</f>
        <v>38376</v>
      </c>
      <c r="E36" s="94">
        <f ca="1">TblProd[[#This Row],[Ore]]</f>
        <v>0</v>
      </c>
      <c r="F36" s="94">
        <f ca="1">TblProd[[#This Row],[Gems]]</f>
        <v>24000</v>
      </c>
      <c r="G36" s="154"/>
      <c r="H36" s="94">
        <f ca="1">TblMili[[#This Row],[Draftees]]</f>
        <v>1936</v>
      </c>
      <c r="I36" s="180">
        <f ca="1">TblPop[[#This Row],[Employment]]</f>
        <v>1</v>
      </c>
      <c r="J36" s="180">
        <f ca="1">TblPop[[#This Row],[Total]]/TblPop[[#This Row],[Net max]]</f>
        <v>1</v>
      </c>
      <c r="K36" s="283">
        <f>TblRezone[[#This Row],[Hour]]</f>
        <v>33</v>
      </c>
      <c r="L36" s="284">
        <f ca="1">TblImps[[#This Row],[Real time]]</f>
        <v>45816.333333333256</v>
      </c>
      <c r="M36" s="61">
        <f>IF(ISERROR(TblImps[[#This Row],[algorithm]]),0,TblImps[[#This Row],[algorithm]]*1)</f>
        <v>0</v>
      </c>
      <c r="N36" s="94">
        <f ca="1">TblImps[[#This Row],[Land]]</f>
        <v>370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45816.333333333256</v>
      </c>
      <c r="BZ36" s="294">
        <f ca="1">OFFSET(TblImps[[#This Row],[Servertime]],-1,0)+1/24</f>
        <v>45816.333333333256</v>
      </c>
      <c r="CA36" s="57"/>
      <c r="CB36" s="292"/>
      <c r="CC36" s="292"/>
      <c r="CD36" s="45" t="s">
        <v>210</v>
      </c>
    </row>
    <row r="37" spans="1:82" x14ac:dyDescent="0.2">
      <c r="A37" s="214">
        <f ca="1">TblConstr[[#This Row],[Land]]</f>
        <v>370</v>
      </c>
      <c r="B37" s="142"/>
      <c r="C37" s="94">
        <f ca="1">TblProd[[#This Row],[Platinum]]</f>
        <v>647732</v>
      </c>
      <c r="D37" s="94">
        <f ca="1">TblProd[[#This Row],[Lumber]]</f>
        <v>38992</v>
      </c>
      <c r="E37" s="94">
        <f ca="1">TblProd[[#This Row],[Ore]]</f>
        <v>0</v>
      </c>
      <c r="F37" s="94">
        <f ca="1">TblProd[[#This Row],[Gems]]</f>
        <v>24750</v>
      </c>
      <c r="G37" s="154"/>
      <c r="H37" s="94">
        <f ca="1">TblMili[[#This Row],[Draftees]]</f>
        <v>1979</v>
      </c>
      <c r="I37" s="180">
        <f ca="1">TblPop[[#This Row],[Employment]]</f>
        <v>1</v>
      </c>
      <c r="J37" s="180">
        <f ca="1">TblPop[[#This Row],[Total]]/TblPop[[#This Row],[Net max]]</f>
        <v>1</v>
      </c>
      <c r="K37" s="283">
        <f>TblRezone[[#This Row],[Hour]]</f>
        <v>34</v>
      </c>
      <c r="L37" s="284">
        <f ca="1">TblImps[[#This Row],[Real time]]</f>
        <v>45816.37499999992</v>
      </c>
      <c r="M37" s="61">
        <f>IF(ISERROR(TblImps[[#This Row],[algorithm]]),0,TblImps[[#This Row],[algorithm]]*1)</f>
        <v>0</v>
      </c>
      <c r="N37" s="94">
        <f ca="1">TblImps[[#This Row],[Land]]</f>
        <v>370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45816.37499999992</v>
      </c>
      <c r="BZ37" s="294">
        <f ca="1">OFFSET(TblImps[[#This Row],[Servertime]],-1,0)+1/24</f>
        <v>45816.37499999992</v>
      </c>
      <c r="CA37" s="57"/>
      <c r="CB37" s="292"/>
      <c r="CC37" s="292"/>
      <c r="CD37" s="45" t="s">
        <v>1107</v>
      </c>
    </row>
    <row r="38" spans="1:82" x14ac:dyDescent="0.2">
      <c r="A38" s="214">
        <f ca="1">TblConstr[[#This Row],[Land]]</f>
        <v>370</v>
      </c>
      <c r="B38" s="142"/>
      <c r="C38" s="94">
        <f ca="1">TblProd[[#This Row],[Platinum]]</f>
        <v>661521</v>
      </c>
      <c r="D38" s="94">
        <f ca="1">TblProd[[#This Row],[Lumber]]</f>
        <v>39602</v>
      </c>
      <c r="E38" s="94">
        <f ca="1">TblProd[[#This Row],[Ore]]</f>
        <v>0</v>
      </c>
      <c r="F38" s="94">
        <f ca="1">TblProd[[#This Row],[Gems]]</f>
        <v>25500</v>
      </c>
      <c r="G38" s="154"/>
      <c r="H38" s="94">
        <f ca="1">TblMili[[#This Row],[Draftees]]</f>
        <v>2022</v>
      </c>
      <c r="I38" s="180">
        <f ca="1">TblPop[[#This Row],[Employment]]</f>
        <v>1</v>
      </c>
      <c r="J38" s="180">
        <f ca="1">TblPop[[#This Row],[Total]]/TblPop[[#This Row],[Net max]]</f>
        <v>1</v>
      </c>
      <c r="K38" s="283">
        <f>TblRezone[[#This Row],[Hour]]</f>
        <v>35</v>
      </c>
      <c r="L38" s="284">
        <f ca="1">TblImps[[#This Row],[Real time]]</f>
        <v>45816.416666666584</v>
      </c>
      <c r="M38" s="61">
        <f>IF(ISERROR(TblImps[[#This Row],[algorithm]]),0,TblImps[[#This Row],[algorithm]]*1)</f>
        <v>0</v>
      </c>
      <c r="N38" s="94">
        <f ca="1">TblImps[[#This Row],[Land]]</f>
        <v>370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45816.416666666584</v>
      </c>
      <c r="BZ38" s="294">
        <f ca="1">OFFSET(TblImps[[#This Row],[Servertime]],-1,0)+1/24</f>
        <v>45816.416666666584</v>
      </c>
      <c r="CA38" s="57"/>
      <c r="CB38" s="292"/>
      <c r="CC38" s="292"/>
      <c r="CD38" s="45" t="s">
        <v>212</v>
      </c>
    </row>
    <row r="39" spans="1:82" x14ac:dyDescent="0.2">
      <c r="A39" s="214">
        <f ca="1">TblConstr[[#This Row],[Land]]</f>
        <v>370</v>
      </c>
      <c r="B39" s="142"/>
      <c r="C39" s="94">
        <f ca="1">TblProd[[#This Row],[Platinum]]</f>
        <v>675194</v>
      </c>
      <c r="D39" s="94">
        <f ca="1">TblProd[[#This Row],[Lumber]]</f>
        <v>40206</v>
      </c>
      <c r="E39" s="94">
        <f ca="1">TblProd[[#This Row],[Ore]]</f>
        <v>0</v>
      </c>
      <c r="F39" s="94">
        <f ca="1">TblProd[[#This Row],[Gems]]</f>
        <v>26250</v>
      </c>
      <c r="G39" s="154"/>
      <c r="H39" s="94">
        <f ca="1">TblMili[[#This Row],[Draftees]]</f>
        <v>2064</v>
      </c>
      <c r="I39" s="180">
        <f ca="1">TblPop[[#This Row],[Employment]]</f>
        <v>1</v>
      </c>
      <c r="J39" s="180">
        <f ca="1">TblPop[[#This Row],[Total]]/TblPop[[#This Row],[Net max]]</f>
        <v>1</v>
      </c>
      <c r="K39" s="283">
        <f>TblRezone[[#This Row],[Hour]]</f>
        <v>36</v>
      </c>
      <c r="L39" s="284">
        <f ca="1">TblImps[[#This Row],[Real time]]</f>
        <v>45816.458333333248</v>
      </c>
      <c r="M39" s="61">
        <f>IF(ISERROR(TblImps[[#This Row],[algorithm]]),0,TblImps[[#This Row],[algorithm]]*1)</f>
        <v>0</v>
      </c>
      <c r="N39" s="94">
        <f ca="1">TblImps[[#This Row],[Land]]</f>
        <v>370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45816.458333333248</v>
      </c>
      <c r="BZ39" s="294">
        <f ca="1">OFFSET(TblImps[[#This Row],[Servertime]],-1,0)+1/24</f>
        <v>45816.458333333248</v>
      </c>
      <c r="CA39" s="57"/>
      <c r="CB39" s="292"/>
      <c r="CC39" s="292"/>
      <c r="CD39" s="45" t="s">
        <v>213</v>
      </c>
    </row>
    <row r="40" spans="1:82" x14ac:dyDescent="0.2">
      <c r="A40" s="214">
        <f ca="1">TblConstr[[#This Row],[Land]]</f>
        <v>370</v>
      </c>
      <c r="B40" s="142"/>
      <c r="C40" s="94">
        <f ca="1">TblProd[[#This Row],[Platinum]]</f>
        <v>688754</v>
      </c>
      <c r="D40" s="94">
        <f ca="1">TblProd[[#This Row],[Lumber]]</f>
        <v>40804</v>
      </c>
      <c r="E40" s="94">
        <f ca="1">TblProd[[#This Row],[Ore]]</f>
        <v>0</v>
      </c>
      <c r="F40" s="94">
        <f ca="1">TblProd[[#This Row],[Gems]]</f>
        <v>27000</v>
      </c>
      <c r="G40" s="154"/>
      <c r="H40" s="94">
        <f ca="1">TblMili[[#This Row],[Draftees]]</f>
        <v>2106</v>
      </c>
      <c r="I40" s="180">
        <f ca="1">TblPop[[#This Row],[Employment]]</f>
        <v>1</v>
      </c>
      <c r="J40" s="180">
        <f ca="1">TblPop[[#This Row],[Total]]/TblPop[[#This Row],[Net max]]</f>
        <v>1</v>
      </c>
      <c r="K40" s="283">
        <f>TblRezone[[#This Row],[Hour]]</f>
        <v>37</v>
      </c>
      <c r="L40" s="284">
        <f ca="1">TblImps[[#This Row],[Real time]]</f>
        <v>45816.499999999913</v>
      </c>
      <c r="M40" s="61">
        <f>IF(ISERROR(TblImps[[#This Row],[algorithm]]),0,TblImps[[#This Row],[algorithm]]*1)</f>
        <v>0</v>
      </c>
      <c r="N40" s="94">
        <f ca="1">TblImps[[#This Row],[Land]]</f>
        <v>370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Row],[P5]:[G5]])+OFFSET(TblImps[[#This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2"/>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2"/>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2"/>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7"/>
      <c r="BY40" s="293">
        <f ca="1">OFFSET(TblImps[[#This Row],[Real time]],-1,0)+1/24</f>
        <v>45816.499999999913</v>
      </c>
      <c r="BZ40" s="294">
        <f ca="1">OFFSET(TblImps[[#This Row],[Servertime]],-1,0)+1/24</f>
        <v>45816.499999999913</v>
      </c>
      <c r="CA40" s="57"/>
      <c r="CB40" s="292"/>
      <c r="CC40" s="292"/>
      <c r="CD40" s="45" t="s">
        <v>526</v>
      </c>
    </row>
    <row r="41" spans="1:82" x14ac:dyDescent="0.2">
      <c r="A41" s="214">
        <f ca="1">TblConstr[[#This Row],[Land]]</f>
        <v>370</v>
      </c>
      <c r="B41" s="142"/>
      <c r="C41" s="94">
        <f ca="1">TblProd[[#This Row],[Platinum]]</f>
        <v>702200</v>
      </c>
      <c r="D41" s="94">
        <f ca="1">TblProd[[#This Row],[Lumber]]</f>
        <v>41396</v>
      </c>
      <c r="E41" s="94">
        <f ca="1">TblProd[[#This Row],[Ore]]</f>
        <v>0</v>
      </c>
      <c r="F41" s="94">
        <f ca="1">TblProd[[#This Row],[Gems]]</f>
        <v>27750</v>
      </c>
      <c r="G41" s="154"/>
      <c r="H41" s="94">
        <f ca="1">TblMili[[#This Row],[Draftees]]</f>
        <v>2147</v>
      </c>
      <c r="I41" s="180">
        <f ca="1">TblPop[[#This Row],[Employment]]</f>
        <v>1</v>
      </c>
      <c r="J41" s="180">
        <f ca="1">TblPop[[#This Row],[Total]]/TblPop[[#This Row],[Net max]]</f>
        <v>1</v>
      </c>
      <c r="K41" s="283">
        <f>TblRezone[[#This Row],[Hour]]</f>
        <v>38</v>
      </c>
      <c r="L41" s="284">
        <f ca="1">TblImps[[#This Row],[Real time]]</f>
        <v>45816.541666666577</v>
      </c>
      <c r="M41" s="61">
        <f>IF(ISERROR(TblImps[[#This Row],[algorithm]]),0,TblImps[[#This Row],[algorithm]]*1)</f>
        <v>0</v>
      </c>
      <c r="N41" s="94">
        <f ca="1">TblImps[[#This Row],[Land]]</f>
        <v>370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45816.541666666577</v>
      </c>
      <c r="BZ41" s="294">
        <f ca="1">OFFSET(TblImps[[#This Row],[Servertime]],-1,0)+1/24</f>
        <v>45816.541666666577</v>
      </c>
      <c r="CA41" s="57"/>
      <c r="CB41" s="292"/>
      <c r="CC41" s="292"/>
    </row>
    <row r="42" spans="1:82" x14ac:dyDescent="0.2">
      <c r="A42" s="214">
        <f ca="1">TblConstr[[#This Row],[Land]]</f>
        <v>370</v>
      </c>
      <c r="B42" s="142"/>
      <c r="C42" s="94">
        <f ca="1">TblProd[[#This Row],[Platinum]]</f>
        <v>715536</v>
      </c>
      <c r="D42" s="94">
        <f ca="1">TblProd[[#This Row],[Lumber]]</f>
        <v>41982</v>
      </c>
      <c r="E42" s="94">
        <f ca="1">TblProd[[#This Row],[Ore]]</f>
        <v>0</v>
      </c>
      <c r="F42" s="94">
        <f ca="1">TblProd[[#This Row],[Gems]]</f>
        <v>28500</v>
      </c>
      <c r="G42" s="154"/>
      <c r="H42" s="94">
        <f ca="1">TblMili[[#This Row],[Draftees]]</f>
        <v>2188</v>
      </c>
      <c r="I42" s="180">
        <f ca="1">TblPop[[#This Row],[Employment]]</f>
        <v>1</v>
      </c>
      <c r="J42" s="180">
        <f ca="1">TblPop[[#This Row],[Total]]/TblPop[[#This Row],[Net max]]</f>
        <v>1</v>
      </c>
      <c r="K42" s="283">
        <f>TblRezone[[#This Row],[Hour]]</f>
        <v>39</v>
      </c>
      <c r="L42" s="284">
        <f ca="1">TblImps[[#This Row],[Real time]]</f>
        <v>45816.583333333241</v>
      </c>
      <c r="M42" s="61">
        <f>IF(ISERROR(TblImps[[#This Row],[algorithm]]),0,TblImps[[#This Row],[algorithm]]*1)</f>
        <v>0</v>
      </c>
      <c r="N42" s="94">
        <f ca="1">TblImps[[#This Row],[Land]]</f>
        <v>370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45816.583333333241</v>
      </c>
      <c r="BZ42" s="294">
        <f ca="1">OFFSET(TblImps[[#This Row],[Servertime]],-1,0)+1/24</f>
        <v>45816.583333333241</v>
      </c>
      <c r="CA42" s="297"/>
      <c r="CB42" s="292"/>
      <c r="CC42" s="292"/>
    </row>
    <row r="43" spans="1:82" x14ac:dyDescent="0.2">
      <c r="A43" s="214">
        <f ca="1">TblConstr[[#This Row],[Land]]</f>
        <v>370</v>
      </c>
      <c r="B43" s="142"/>
      <c r="C43" s="94">
        <f ca="1">TblProd[[#This Row],[Platinum]]</f>
        <v>728761</v>
      </c>
      <c r="D43" s="94">
        <f ca="1">TblProd[[#This Row],[Lumber]]</f>
        <v>42562</v>
      </c>
      <c r="E43" s="94">
        <f ca="1">TblProd[[#This Row],[Ore]]</f>
        <v>0</v>
      </c>
      <c r="F43" s="94">
        <f ca="1">TblProd[[#This Row],[Gems]]</f>
        <v>29250</v>
      </c>
      <c r="G43" s="154"/>
      <c r="H43" s="94">
        <f ca="1">TblMili[[#This Row],[Draftees]]</f>
        <v>2229</v>
      </c>
      <c r="I43" s="180">
        <f ca="1">TblPop[[#This Row],[Employment]]</f>
        <v>1</v>
      </c>
      <c r="J43" s="180">
        <f ca="1">TblPop[[#This Row],[Total]]/TblPop[[#This Row],[Net max]]</f>
        <v>1</v>
      </c>
      <c r="K43" s="283">
        <f>TblRezone[[#This Row],[Hour]]</f>
        <v>40</v>
      </c>
      <c r="L43" s="284">
        <f ca="1">TblImps[[#This Row],[Real time]]</f>
        <v>45816.624999999905</v>
      </c>
      <c r="M43" s="61">
        <f>IF(ISERROR(TblImps[[#This Row],[algorithm]]),0,TblImps[[#This Row],[algorithm]]*1)</f>
        <v>0</v>
      </c>
      <c r="N43" s="94">
        <f ca="1">TblImps[[#This Row],[Land]]</f>
        <v>370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45816.624999999905</v>
      </c>
      <c r="BZ43" s="294">
        <f ca="1">OFFSET(TblImps[[#This Row],[Servertime]],-1,0)+1/24</f>
        <v>45816.624999999905</v>
      </c>
      <c r="CA43" s="57"/>
      <c r="CB43" s="292"/>
      <c r="CC43" s="292"/>
    </row>
    <row r="44" spans="1:82" x14ac:dyDescent="0.2">
      <c r="A44" s="214">
        <f ca="1">TblConstr[[#This Row],[Land]]</f>
        <v>370</v>
      </c>
      <c r="B44" s="142"/>
      <c r="C44" s="94">
        <f ca="1">TblProd[[#This Row],[Platinum]]</f>
        <v>741875</v>
      </c>
      <c r="D44" s="94">
        <f ca="1">TblProd[[#This Row],[Lumber]]</f>
        <v>43136</v>
      </c>
      <c r="E44" s="94">
        <f ca="1">TblProd[[#This Row],[Ore]]</f>
        <v>0</v>
      </c>
      <c r="F44" s="94">
        <f ca="1">TblProd[[#This Row],[Gems]]</f>
        <v>30000</v>
      </c>
      <c r="G44" s="154"/>
      <c r="H44" s="94">
        <f ca="1">TblMili[[#This Row],[Draftees]]</f>
        <v>2269</v>
      </c>
      <c r="I44" s="180">
        <f ca="1">TblPop[[#This Row],[Employment]]</f>
        <v>1</v>
      </c>
      <c r="J44" s="180">
        <f ca="1">TblPop[[#This Row],[Total]]/TblPop[[#This Row],[Net max]]</f>
        <v>1</v>
      </c>
      <c r="K44" s="283">
        <f>TblRezone[[#This Row],[Hour]]</f>
        <v>41</v>
      </c>
      <c r="L44" s="284">
        <f ca="1">TblImps[[#This Row],[Real time]]</f>
        <v>45816.66666666657</v>
      </c>
      <c r="M44" s="61">
        <f>IF(ISERROR(TblImps[[#This Row],[algorithm]]),0,TblImps[[#This Row],[algorithm]]*1)</f>
        <v>0</v>
      </c>
      <c r="N44" s="94">
        <f ca="1">TblImps[[#This Row],[Land]]</f>
        <v>370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45816.66666666657</v>
      </c>
      <c r="BZ44" s="294">
        <f ca="1">OFFSET(TblImps[[#This Row],[Servertime]],-1,0)+1/24</f>
        <v>45816.66666666657</v>
      </c>
      <c r="CA44" s="57"/>
      <c r="CB44" s="292"/>
      <c r="CC44" s="292"/>
    </row>
    <row r="45" spans="1:82" x14ac:dyDescent="0.2">
      <c r="A45" s="214">
        <f ca="1">TblConstr[[#This Row],[Land]]</f>
        <v>370</v>
      </c>
      <c r="B45" s="142"/>
      <c r="C45" s="94">
        <f ca="1">TblProd[[#This Row],[Platinum]]</f>
        <v>754881</v>
      </c>
      <c r="D45" s="94">
        <f ca="1">TblProd[[#This Row],[Lumber]]</f>
        <v>43705</v>
      </c>
      <c r="E45" s="94">
        <f ca="1">TblProd[[#This Row],[Ore]]</f>
        <v>0</v>
      </c>
      <c r="F45" s="94">
        <f ca="1">TblProd[[#This Row],[Gems]]</f>
        <v>30750</v>
      </c>
      <c r="G45" s="154"/>
      <c r="H45" s="94">
        <f ca="1">TblMili[[#This Row],[Draftees]]</f>
        <v>2309</v>
      </c>
      <c r="I45" s="180">
        <f ca="1">TblPop[[#This Row],[Employment]]</f>
        <v>1</v>
      </c>
      <c r="J45" s="180">
        <f ca="1">TblPop[[#This Row],[Total]]/TblPop[[#This Row],[Net max]]</f>
        <v>1</v>
      </c>
      <c r="K45" s="283">
        <f>TblRezone[[#This Row],[Hour]]</f>
        <v>42</v>
      </c>
      <c r="L45" s="284">
        <f ca="1">TblImps[[#This Row],[Real time]]</f>
        <v>45816.708333333234</v>
      </c>
      <c r="M45" s="61">
        <f>IF(ISERROR(TblImps[[#This Row],[algorithm]]),0,TblImps[[#This Row],[algorithm]]*1)</f>
        <v>0</v>
      </c>
      <c r="N45" s="94">
        <f ca="1">TblImps[[#This Row],[Land]]</f>
        <v>370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45816.708333333234</v>
      </c>
      <c r="BZ45" s="294">
        <f ca="1">OFFSET(TblImps[[#This Row],[Servertime]],-1,0)+1/24</f>
        <v>45816.708333333234</v>
      </c>
      <c r="CA45" s="57"/>
      <c r="CB45" s="292"/>
      <c r="CC45" s="292"/>
    </row>
    <row r="46" spans="1:82" x14ac:dyDescent="0.2">
      <c r="A46" s="214">
        <f ca="1">TblConstr[[#This Row],[Land]]</f>
        <v>370</v>
      </c>
      <c r="B46" s="142"/>
      <c r="C46" s="94">
        <f ca="1">TblProd[[#This Row],[Platinum]]</f>
        <v>767779</v>
      </c>
      <c r="D46" s="94">
        <f ca="1">TblProd[[#This Row],[Lumber]]</f>
        <v>44268</v>
      </c>
      <c r="E46" s="94">
        <f ca="1">TblProd[[#This Row],[Ore]]</f>
        <v>0</v>
      </c>
      <c r="F46" s="94">
        <f ca="1">TblProd[[#This Row],[Gems]]</f>
        <v>31500</v>
      </c>
      <c r="G46" s="154"/>
      <c r="H46" s="94">
        <f ca="1">TblMili[[#This Row],[Draftees]]</f>
        <v>2348</v>
      </c>
      <c r="I46" s="180">
        <f ca="1">TblPop[[#This Row],[Employment]]</f>
        <v>1</v>
      </c>
      <c r="J46" s="180">
        <f ca="1">TblPop[[#This Row],[Total]]/TblPop[[#This Row],[Net max]]</f>
        <v>1</v>
      </c>
      <c r="K46" s="283">
        <f>TblRezone[[#This Row],[Hour]]</f>
        <v>43</v>
      </c>
      <c r="L46" s="284">
        <f ca="1">TblImps[[#This Row],[Real time]]</f>
        <v>45816.749999999898</v>
      </c>
      <c r="M46" s="61">
        <f>IF(ISERROR(TblImps[[#This Row],[algorithm]]),0,TblImps[[#This Row],[algorithm]]*1)</f>
        <v>0</v>
      </c>
      <c r="N46" s="94">
        <f ca="1">TblImps[[#This Row],[Land]]</f>
        <v>370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45816.749999999898</v>
      </c>
      <c r="BZ46" s="294">
        <f ca="1">OFFSET(TblImps[[#This Row],[Servertime]],-1,0)+1/24</f>
        <v>45816.749999999898</v>
      </c>
      <c r="CA46" s="57"/>
      <c r="CB46" s="292"/>
      <c r="CC46" s="292"/>
    </row>
    <row r="47" spans="1:82" x14ac:dyDescent="0.2">
      <c r="A47" s="214">
        <f ca="1">TblConstr[[#This Row],[Land]]</f>
        <v>370</v>
      </c>
      <c r="B47" s="142"/>
      <c r="C47" s="94">
        <f ca="1">TblProd[[#This Row],[Platinum]]</f>
        <v>780572</v>
      </c>
      <c r="D47" s="94">
        <f ca="1">TblProd[[#This Row],[Lumber]]</f>
        <v>44825</v>
      </c>
      <c r="E47" s="94">
        <f ca="1">TblProd[[#This Row],[Ore]]</f>
        <v>0</v>
      </c>
      <c r="F47" s="94">
        <f ca="1">TblProd[[#This Row],[Gems]]</f>
        <v>32250</v>
      </c>
      <c r="G47" s="154"/>
      <c r="H47" s="94">
        <f ca="1">TblMili[[#This Row],[Draftees]]</f>
        <v>2387</v>
      </c>
      <c r="I47" s="180">
        <f ca="1">TblPop[[#This Row],[Employment]]</f>
        <v>1</v>
      </c>
      <c r="J47" s="180">
        <f ca="1">TblPop[[#This Row],[Total]]/TblPop[[#This Row],[Net max]]</f>
        <v>1</v>
      </c>
      <c r="K47" s="283">
        <f>TblRezone[[#This Row],[Hour]]</f>
        <v>44</v>
      </c>
      <c r="L47" s="284">
        <f ca="1">TblImps[[#This Row],[Real time]]</f>
        <v>45816.791666666562</v>
      </c>
      <c r="M47" s="61">
        <f>IF(ISERROR(TblImps[[#This Row],[algorithm]]),0,TblImps[[#This Row],[algorithm]]*1)</f>
        <v>0</v>
      </c>
      <c r="N47" s="94">
        <f ca="1">TblImps[[#This Row],[Land]]</f>
        <v>370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45816.791666666562</v>
      </c>
      <c r="BZ47" s="294">
        <f ca="1">OFFSET(TblImps[[#This Row],[Servertime]],-1,0)+1/24</f>
        <v>45816.791666666562</v>
      </c>
      <c r="CA47" s="57"/>
      <c r="CB47" s="292"/>
      <c r="CC47" s="292"/>
    </row>
    <row r="48" spans="1:82" x14ac:dyDescent="0.2">
      <c r="A48" s="214">
        <f ca="1">TblConstr[[#This Row],[Land]]</f>
        <v>370</v>
      </c>
      <c r="B48" s="142"/>
      <c r="C48" s="94">
        <f ca="1">TblProd[[#This Row],[Platinum]]</f>
        <v>793260</v>
      </c>
      <c r="D48" s="94">
        <f ca="1">TblProd[[#This Row],[Lumber]]</f>
        <v>45377</v>
      </c>
      <c r="E48" s="94">
        <f ca="1">TblProd[[#This Row],[Ore]]</f>
        <v>0</v>
      </c>
      <c r="F48" s="94">
        <f ca="1">TblProd[[#This Row],[Gems]]</f>
        <v>33000</v>
      </c>
      <c r="G48" s="154"/>
      <c r="H48" s="94">
        <f ca="1">TblMili[[#This Row],[Draftees]]</f>
        <v>2426</v>
      </c>
      <c r="I48" s="180">
        <f ca="1">TblPop[[#This Row],[Employment]]</f>
        <v>1</v>
      </c>
      <c r="J48" s="180">
        <f ca="1">TblPop[[#This Row],[Total]]/TblPop[[#This Row],[Net max]]</f>
        <v>1</v>
      </c>
      <c r="K48" s="283">
        <f>TblRezone[[#This Row],[Hour]]</f>
        <v>45</v>
      </c>
      <c r="L48" s="284">
        <f ca="1">TblImps[[#This Row],[Real time]]</f>
        <v>45816.833333333227</v>
      </c>
      <c r="M48" s="61">
        <f>IF(ISERROR(TblImps[[#This Row],[algorithm]]),0,TblImps[[#This Row],[algorithm]]*1)</f>
        <v>0</v>
      </c>
      <c r="N48" s="94">
        <f ca="1">TblImps[[#This Row],[Land]]</f>
        <v>370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45816.833333333227</v>
      </c>
      <c r="BZ48" s="294">
        <f ca="1">OFFSET(TblImps[[#This Row],[Servertime]],-1,0)+1/24</f>
        <v>45816.833333333227</v>
      </c>
      <c r="CA48" s="57"/>
      <c r="CB48" s="292"/>
      <c r="CC48" s="292"/>
    </row>
    <row r="49" spans="1:81" x14ac:dyDescent="0.2">
      <c r="A49" s="214">
        <f ca="1">TblConstr[[#This Row],[Land]]</f>
        <v>370</v>
      </c>
      <c r="B49" s="142"/>
      <c r="C49" s="94">
        <f ca="1">TblProd[[#This Row],[Platinum]]</f>
        <v>805842</v>
      </c>
      <c r="D49" s="94">
        <f ca="1">TblProd[[#This Row],[Lumber]]</f>
        <v>45923</v>
      </c>
      <c r="E49" s="94">
        <f ca="1">TblProd[[#This Row],[Ore]]</f>
        <v>0</v>
      </c>
      <c r="F49" s="94">
        <f ca="1">TblProd[[#This Row],[Gems]]</f>
        <v>33750</v>
      </c>
      <c r="G49" s="154"/>
      <c r="H49" s="94">
        <f ca="1">TblMili[[#This Row],[Draftees]]</f>
        <v>2464</v>
      </c>
      <c r="I49" s="180">
        <f ca="1">TblPop[[#This Row],[Employment]]</f>
        <v>1</v>
      </c>
      <c r="J49" s="180">
        <f ca="1">TblPop[[#This Row],[Total]]/TblPop[[#This Row],[Net max]]</f>
        <v>1</v>
      </c>
      <c r="K49" s="283">
        <f>TblRezone[[#This Row],[Hour]]</f>
        <v>46</v>
      </c>
      <c r="L49" s="284">
        <f ca="1">TblImps[[#This Row],[Real time]]</f>
        <v>45816.874999999891</v>
      </c>
      <c r="M49" s="61">
        <f>IF(ISERROR(TblImps[[#This Row],[algorithm]]),0,TblImps[[#This Row],[algorithm]]*1)</f>
        <v>0</v>
      </c>
      <c r="N49" s="94">
        <f ca="1">TblImps[[#This Row],[Land]]</f>
        <v>370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45816.874999999891</v>
      </c>
      <c r="BZ49" s="294">
        <f ca="1">OFFSET(TblImps[[#This Row],[Servertime]],-1,0)+1/24</f>
        <v>45816.874999999891</v>
      </c>
      <c r="CA49" s="57"/>
      <c r="CB49" s="292"/>
      <c r="CC49" s="292"/>
    </row>
    <row r="50" spans="1:81" x14ac:dyDescent="0.2">
      <c r="A50" s="214">
        <f ca="1">TblConstr[[#This Row],[Land]]</f>
        <v>370</v>
      </c>
      <c r="B50" s="142"/>
      <c r="C50" s="94">
        <f ca="1">TblProd[[#This Row],[Platinum]]</f>
        <v>818322</v>
      </c>
      <c r="D50" s="94">
        <f ca="1">TblProd[[#This Row],[Lumber]]</f>
        <v>46464</v>
      </c>
      <c r="E50" s="94">
        <f ca="1">TblProd[[#This Row],[Ore]]</f>
        <v>0</v>
      </c>
      <c r="F50" s="94">
        <f ca="1">TblProd[[#This Row],[Gems]]</f>
        <v>34500</v>
      </c>
      <c r="G50" s="154"/>
      <c r="H50" s="94">
        <f ca="1">TblMili[[#This Row],[Draftees]]</f>
        <v>2502</v>
      </c>
      <c r="I50" s="180">
        <f ca="1">TblPop[[#This Row],[Employment]]</f>
        <v>1</v>
      </c>
      <c r="J50" s="180">
        <f ca="1">TblPop[[#This Row],[Total]]/TblPop[[#This Row],[Net max]]</f>
        <v>1</v>
      </c>
      <c r="K50" s="283">
        <f>TblRezone[[#This Row],[Hour]]</f>
        <v>47</v>
      </c>
      <c r="L50" s="284">
        <f ca="1">TblImps[[#This Row],[Real time]]</f>
        <v>45816.916666666555</v>
      </c>
      <c r="M50" s="61">
        <f>IF(ISERROR(TblImps[[#This Row],[algorithm]]),0,TblImps[[#This Row],[algorithm]]*1)</f>
        <v>0</v>
      </c>
      <c r="N50" s="94">
        <f ca="1">TblImps[[#This Row],[Land]]</f>
        <v>370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45816.916666666555</v>
      </c>
      <c r="BZ50" s="294">
        <f ca="1">OFFSET(TblImps[[#This Row],[Servertime]],-1,0)+1/24</f>
        <v>45816.916666666555</v>
      </c>
      <c r="CA50" s="57"/>
      <c r="CB50" s="292"/>
      <c r="CC50" s="292"/>
    </row>
    <row r="51" spans="1:81" x14ac:dyDescent="0.2">
      <c r="A51" s="214">
        <f ca="1">TblConstr[[#This Row],[Land]]</f>
        <v>370</v>
      </c>
      <c r="B51" s="142"/>
      <c r="C51" s="94">
        <f ca="1">TblProd[[#This Row],[Platinum]]</f>
        <v>830699</v>
      </c>
      <c r="D51" s="94">
        <f ca="1">TblProd[[#This Row],[Lumber]]</f>
        <v>46999</v>
      </c>
      <c r="E51" s="94">
        <f ca="1">TblProd[[#This Row],[Ore]]</f>
        <v>0</v>
      </c>
      <c r="F51" s="94">
        <f ca="1">TblProd[[#This Row],[Gems]]</f>
        <v>35250</v>
      </c>
      <c r="G51" s="154"/>
      <c r="H51" s="94">
        <f ca="1">TblMili[[#This Row],[Draftees]]</f>
        <v>2540</v>
      </c>
      <c r="I51" s="180">
        <f ca="1">TblPop[[#This Row],[Employment]]</f>
        <v>1</v>
      </c>
      <c r="J51" s="180">
        <f ca="1">TblPop[[#This Row],[Total]]/TblPop[[#This Row],[Net max]]</f>
        <v>1</v>
      </c>
      <c r="K51" s="283">
        <f>TblRezone[[#This Row],[Hour]]</f>
        <v>48</v>
      </c>
      <c r="L51" s="284">
        <f ca="1">TblImps[[#This Row],[Real time]]</f>
        <v>45816.958333333219</v>
      </c>
      <c r="M51" s="61">
        <f>IF(ISERROR(TblImps[[#This Row],[algorithm]]),0,TblImps[[#This Row],[algorithm]]*1)</f>
        <v>0</v>
      </c>
      <c r="N51" s="94">
        <f ca="1">TblImps[[#This Row],[Land]]</f>
        <v>370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45816.958333333219</v>
      </c>
      <c r="BZ51" s="294">
        <f ca="1">OFFSET(TblImps[[#This Row],[Servertime]],-1,0)+1/24</f>
        <v>45816.958333333219</v>
      </c>
      <c r="CA51" s="57"/>
      <c r="CB51" s="292"/>
      <c r="CC51" s="292"/>
    </row>
    <row r="52" spans="1:81" s="5" customFormat="1" x14ac:dyDescent="0.2">
      <c r="A52" s="230">
        <f ca="1">TblConstr[[#This Row],[Land]]</f>
        <v>370</v>
      </c>
      <c r="B52" s="149"/>
      <c r="C52" s="35">
        <f ca="1">TblProd[[#This Row],[Platinum]]</f>
        <v>842974</v>
      </c>
      <c r="D52" s="35">
        <f ca="1">TblProd[[#This Row],[Lumber]]</f>
        <v>47529</v>
      </c>
      <c r="E52" s="35">
        <f ca="1">TblProd[[#This Row],[Ore]]</f>
        <v>0</v>
      </c>
      <c r="F52" s="35">
        <f ca="1">TblProd[[#This Row],[Gems]]</f>
        <v>36000</v>
      </c>
      <c r="G52" s="162"/>
      <c r="H52" s="35">
        <f ca="1">TblMili[[#This Row],[Draftees]]</f>
        <v>2577</v>
      </c>
      <c r="I52" s="436">
        <f ca="1">TblPop[[#This Row],[Employment]]</f>
        <v>1</v>
      </c>
      <c r="J52" s="436">
        <f ca="1">TblPop[[#This Row],[Total]]/TblPop[[#This Row],[Net max]]</f>
        <v>1</v>
      </c>
      <c r="K52" s="298">
        <f>TblRezone[[#This Row],[Hour]]</f>
        <v>49</v>
      </c>
      <c r="L52" s="299">
        <f ca="1">TblImps[[#This Row],[Real time]]</f>
        <v>45816.999999999884</v>
      </c>
      <c r="M52" s="148">
        <f>IF(ISERROR(TblImps[[#This Row],[algorithm]]),0,TblImps[[#This Row],[algorithm]]*1)</f>
        <v>0</v>
      </c>
      <c r="N52" s="35">
        <f ca="1">TblImps[[#This Row],[Land]]</f>
        <v>370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Row],[P5]:[G5]])+OFFSET(TblImps[[#This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9"/>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9"/>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9"/>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48">
        <f>TblImps[[#This Row],[Login]]</f>
        <v>0</v>
      </c>
      <c r="BX52" s="144"/>
      <c r="BY52" s="463">
        <f ca="1">OFFSET(TblImps[[#This Row],[Real time]],-1,0)+1/24</f>
        <v>45816.999999999884</v>
      </c>
      <c r="BZ52" s="464">
        <f ca="1">OFFSET(TblImps[[#This Row],[Servertime]],-1,0)+1/24</f>
        <v>45816.999999999884</v>
      </c>
      <c r="CA52" s="28"/>
      <c r="CB52" s="465"/>
      <c r="CC52" s="465"/>
    </row>
    <row r="53" spans="1:81" x14ac:dyDescent="0.2">
      <c r="A53" s="214">
        <f ca="1">TblConstr[[#This Row],[Land]]</f>
        <v>370</v>
      </c>
      <c r="B53" s="142"/>
      <c r="C53" s="94">
        <f ca="1">TblProd[[#This Row],[Platinum]]</f>
        <v>855149</v>
      </c>
      <c r="D53" s="94">
        <f ca="1">TblProd[[#This Row],[Lumber]]</f>
        <v>48054</v>
      </c>
      <c r="E53" s="94">
        <f ca="1">TblProd[[#This Row],[Ore]]</f>
        <v>0</v>
      </c>
      <c r="F53" s="94">
        <f ca="1">TblProd[[#This Row],[Gems]]</f>
        <v>36750</v>
      </c>
      <c r="G53" s="154"/>
      <c r="H53" s="94">
        <f ca="1">TblMili[[#This Row],[Draftees]]</f>
        <v>2614</v>
      </c>
      <c r="I53" s="180">
        <f ca="1">TblPop[[#This Row],[Employment]]</f>
        <v>1</v>
      </c>
      <c r="J53" s="180">
        <f ca="1">TblPop[[#This Row],[Total]]/TblPop[[#This Row],[Net max]]</f>
        <v>1</v>
      </c>
      <c r="K53" s="283">
        <f>TblRezone[[#This Row],[Hour]]</f>
        <v>50</v>
      </c>
      <c r="L53" s="284">
        <f ca="1">TblImps[[#This Row],[Real time]]</f>
        <v>45817.041666666548</v>
      </c>
      <c r="M53" s="61">
        <f>IF(ISERROR(TblImps[[#This Row],[algorithm]]),0,TblImps[[#This Row],[algorithm]]*1)</f>
        <v>0</v>
      </c>
      <c r="N53" s="94">
        <f ca="1">TblImps[[#This Row],[Land]]</f>
        <v>370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45817.041666666548</v>
      </c>
      <c r="BZ53" s="294">
        <f ca="1">OFFSET(TblImps[[#This Row],[Servertime]],-1,0)+1/24</f>
        <v>45817.041666666548</v>
      </c>
      <c r="CA53" s="57"/>
      <c r="CB53" s="292"/>
      <c r="CC53" s="292"/>
    </row>
    <row r="54" spans="1:81" x14ac:dyDescent="0.2">
      <c r="A54" s="214">
        <f ca="1">TblConstr[[#This Row],[Land]]</f>
        <v>370</v>
      </c>
      <c r="B54" s="142"/>
      <c r="C54" s="94">
        <f ca="1">TblProd[[#This Row],[Platinum]]</f>
        <v>867224</v>
      </c>
      <c r="D54" s="94">
        <f ca="1">TblProd[[#This Row],[Lumber]]</f>
        <v>48573</v>
      </c>
      <c r="E54" s="94">
        <f ca="1">TblProd[[#This Row],[Ore]]</f>
        <v>0</v>
      </c>
      <c r="F54" s="94">
        <f ca="1">TblProd[[#This Row],[Gems]]</f>
        <v>37500</v>
      </c>
      <c r="G54" s="154"/>
      <c r="H54" s="94">
        <f ca="1">TblMili[[#This Row],[Draftees]]</f>
        <v>2650</v>
      </c>
      <c r="I54" s="180">
        <f ca="1">TblPop[[#This Row],[Employment]]</f>
        <v>1</v>
      </c>
      <c r="J54" s="180">
        <f ca="1">TblPop[[#This Row],[Total]]/TblPop[[#This Row],[Net max]]</f>
        <v>1</v>
      </c>
      <c r="K54" s="283">
        <f>TblRezone[[#This Row],[Hour]]</f>
        <v>51</v>
      </c>
      <c r="L54" s="284">
        <f ca="1">TblImps[[#This Row],[Real time]]</f>
        <v>45817.083333333212</v>
      </c>
      <c r="M54" s="61">
        <f>IF(ISERROR(TblImps[[#This Row],[algorithm]]),0,TblImps[[#This Row],[algorithm]]*1)</f>
        <v>0</v>
      </c>
      <c r="N54" s="94">
        <f ca="1">TblImps[[#This Row],[Land]]</f>
        <v>370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45817.083333333212</v>
      </c>
      <c r="BZ54" s="294">
        <f ca="1">OFFSET(TblImps[[#This Row],[Servertime]],-1,0)+1/24</f>
        <v>45817.083333333212</v>
      </c>
      <c r="CA54" s="57"/>
      <c r="CB54" s="292"/>
      <c r="CC54" s="292"/>
    </row>
    <row r="55" spans="1:81" x14ac:dyDescent="0.2">
      <c r="A55" s="214">
        <f ca="1">TblConstr[[#This Row],[Land]]</f>
        <v>370</v>
      </c>
      <c r="B55" s="142"/>
      <c r="C55" s="94">
        <f ca="1">TblProd[[#This Row],[Platinum]]</f>
        <v>879202</v>
      </c>
      <c r="D55" s="94">
        <f ca="1">TblProd[[#This Row],[Lumber]]</f>
        <v>49087</v>
      </c>
      <c r="E55" s="94">
        <f ca="1">TblProd[[#This Row],[Ore]]</f>
        <v>0</v>
      </c>
      <c r="F55" s="94">
        <f ca="1">TblProd[[#This Row],[Gems]]</f>
        <v>38250</v>
      </c>
      <c r="G55" s="154"/>
      <c r="H55" s="94">
        <f ca="1">TblMili[[#This Row],[Draftees]]</f>
        <v>2686</v>
      </c>
      <c r="I55" s="180">
        <f ca="1">TblPop[[#This Row],[Employment]]</f>
        <v>1</v>
      </c>
      <c r="J55" s="180">
        <f ca="1">TblPop[[#This Row],[Total]]/TblPop[[#This Row],[Net max]]</f>
        <v>1</v>
      </c>
      <c r="K55" s="283">
        <f>TblRezone[[#This Row],[Hour]]</f>
        <v>52</v>
      </c>
      <c r="L55" s="284">
        <f ca="1">TblImps[[#This Row],[Real time]]</f>
        <v>45817.124999999876</v>
      </c>
      <c r="M55" s="61">
        <f>IF(ISERROR(TblImps[[#This Row],[algorithm]]),0,TblImps[[#This Row],[algorithm]]*1)</f>
        <v>0</v>
      </c>
      <c r="N55" s="94">
        <f ca="1">TblImps[[#This Row],[Land]]</f>
        <v>370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45817.124999999876</v>
      </c>
      <c r="BZ55" s="294">
        <f ca="1">OFFSET(TblImps[[#This Row],[Servertime]],-1,0)+1/24</f>
        <v>45817.124999999876</v>
      </c>
      <c r="CA55" s="57"/>
      <c r="CB55" s="292"/>
      <c r="CC55" s="292"/>
    </row>
    <row r="56" spans="1:81" x14ac:dyDescent="0.2">
      <c r="A56" s="214">
        <f ca="1">TblConstr[[#This Row],[Land]]</f>
        <v>370</v>
      </c>
      <c r="B56" s="142"/>
      <c r="C56" s="94">
        <f ca="1">TblProd[[#This Row],[Platinum]]</f>
        <v>891082</v>
      </c>
      <c r="D56" s="94">
        <f ca="1">TblProd[[#This Row],[Lumber]]</f>
        <v>49596</v>
      </c>
      <c r="E56" s="94">
        <f ca="1">TblProd[[#This Row],[Ore]]</f>
        <v>0</v>
      </c>
      <c r="F56" s="94">
        <f ca="1">TblProd[[#This Row],[Gems]]</f>
        <v>39000</v>
      </c>
      <c r="G56" s="154"/>
      <c r="H56" s="94">
        <f ca="1">TblMili[[#This Row],[Draftees]]</f>
        <v>2722</v>
      </c>
      <c r="I56" s="180">
        <f ca="1">TblPop[[#This Row],[Employment]]</f>
        <v>1</v>
      </c>
      <c r="J56" s="180">
        <f ca="1">TblPop[[#This Row],[Total]]/TblPop[[#This Row],[Net max]]</f>
        <v>1</v>
      </c>
      <c r="K56" s="283">
        <f>TblRezone[[#This Row],[Hour]]</f>
        <v>53</v>
      </c>
      <c r="L56" s="284">
        <f ca="1">TblImps[[#This Row],[Real time]]</f>
        <v>45817.166666666541</v>
      </c>
      <c r="M56" s="61">
        <f>IF(ISERROR(TblImps[[#This Row],[algorithm]]),0,TblImps[[#This Row],[algorithm]]*1)</f>
        <v>0</v>
      </c>
      <c r="N56" s="94">
        <f ca="1">TblImps[[#This Row],[Land]]</f>
        <v>370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45817.166666666541</v>
      </c>
      <c r="BZ56" s="294">
        <f ca="1">OFFSET(TblImps[[#This Row],[Servertime]],-1,0)+1/24</f>
        <v>45817.166666666541</v>
      </c>
      <c r="CA56" s="57"/>
      <c r="CB56" s="292"/>
      <c r="CC56" s="292"/>
    </row>
    <row r="57" spans="1:81" x14ac:dyDescent="0.2">
      <c r="A57" s="214">
        <f ca="1">TblConstr[[#This Row],[Land]]</f>
        <v>370</v>
      </c>
      <c r="B57" s="142"/>
      <c r="C57" s="94">
        <f ca="1">TblProd[[#This Row],[Platinum]]</f>
        <v>902865</v>
      </c>
      <c r="D57" s="94">
        <f ca="1">TblProd[[#This Row],[Lumber]]</f>
        <v>50100</v>
      </c>
      <c r="E57" s="94">
        <f ca="1">TblProd[[#This Row],[Ore]]</f>
        <v>0</v>
      </c>
      <c r="F57" s="94">
        <f ca="1">TblProd[[#This Row],[Gems]]</f>
        <v>39750</v>
      </c>
      <c r="G57" s="154"/>
      <c r="H57" s="94">
        <f ca="1">TblMili[[#This Row],[Draftees]]</f>
        <v>2757</v>
      </c>
      <c r="I57" s="180">
        <f ca="1">TblPop[[#This Row],[Employment]]</f>
        <v>1</v>
      </c>
      <c r="J57" s="180">
        <f ca="1">TblPop[[#This Row],[Total]]/TblPop[[#This Row],[Net max]]</f>
        <v>1</v>
      </c>
      <c r="K57" s="283">
        <f>TblRezone[[#This Row],[Hour]]</f>
        <v>54</v>
      </c>
      <c r="L57" s="284">
        <f ca="1">TblImps[[#This Row],[Real time]]</f>
        <v>45817.208333333205</v>
      </c>
      <c r="M57" s="61">
        <f>IF(ISERROR(TblImps[[#This Row],[algorithm]]),0,TblImps[[#This Row],[algorithm]]*1)</f>
        <v>0</v>
      </c>
      <c r="N57" s="94">
        <f ca="1">TblImps[[#This Row],[Land]]</f>
        <v>370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45817.208333333205</v>
      </c>
      <c r="BZ57" s="294">
        <f ca="1">OFFSET(TblImps[[#This Row],[Servertime]],-1,0)+1/24</f>
        <v>45817.208333333205</v>
      </c>
      <c r="CA57" s="57"/>
      <c r="CB57" s="292"/>
      <c r="CC57" s="292"/>
    </row>
    <row r="58" spans="1:81" x14ac:dyDescent="0.2">
      <c r="A58" s="214">
        <f ca="1">TblConstr[[#This Row],[Land]]</f>
        <v>370</v>
      </c>
      <c r="B58" s="142"/>
      <c r="C58" s="94">
        <f ca="1">TblProd[[#This Row],[Platinum]]</f>
        <v>914554</v>
      </c>
      <c r="D58" s="94">
        <f ca="1">TblProd[[#This Row],[Lumber]]</f>
        <v>50599</v>
      </c>
      <c r="E58" s="94">
        <f ca="1">TblProd[[#This Row],[Ore]]</f>
        <v>0</v>
      </c>
      <c r="F58" s="94">
        <f ca="1">TblProd[[#This Row],[Gems]]</f>
        <v>40500</v>
      </c>
      <c r="G58" s="154"/>
      <c r="H58" s="94">
        <f ca="1">TblMili[[#This Row],[Draftees]]</f>
        <v>2792</v>
      </c>
      <c r="I58" s="180">
        <f ca="1">TblPop[[#This Row],[Employment]]</f>
        <v>1</v>
      </c>
      <c r="J58" s="180">
        <f ca="1">TblPop[[#This Row],[Total]]/TblPop[[#This Row],[Net max]]</f>
        <v>1</v>
      </c>
      <c r="K58" s="283">
        <f>TblRezone[[#This Row],[Hour]]</f>
        <v>55</v>
      </c>
      <c r="L58" s="284">
        <f ca="1">TblImps[[#This Row],[Real time]]</f>
        <v>45817.249999999869</v>
      </c>
      <c r="M58" s="61">
        <f>IF(ISERROR(TblImps[[#This Row],[algorithm]]),0,TblImps[[#This Row],[algorithm]]*1)</f>
        <v>0</v>
      </c>
      <c r="N58" s="94">
        <f ca="1">TblImps[[#This Row],[Land]]</f>
        <v>370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45817.249999999869</v>
      </c>
      <c r="BZ58" s="294">
        <f ca="1">OFFSET(TblImps[[#This Row],[Servertime]],-1,0)+1/24</f>
        <v>45817.249999999869</v>
      </c>
      <c r="CA58" s="57"/>
      <c r="CB58" s="292"/>
      <c r="CC58" s="292"/>
    </row>
    <row r="59" spans="1:81" x14ac:dyDescent="0.2">
      <c r="A59" s="214">
        <f ca="1">TblConstr[[#This Row],[Land]]</f>
        <v>370</v>
      </c>
      <c r="B59" s="142"/>
      <c r="C59" s="94">
        <f ca="1">TblProd[[#This Row],[Platinum]]</f>
        <v>926148</v>
      </c>
      <c r="D59" s="94">
        <f ca="1">TblProd[[#This Row],[Lumber]]</f>
        <v>51093</v>
      </c>
      <c r="E59" s="94">
        <f ca="1">TblProd[[#This Row],[Ore]]</f>
        <v>0</v>
      </c>
      <c r="F59" s="94">
        <f ca="1">TblProd[[#This Row],[Gems]]</f>
        <v>41250</v>
      </c>
      <c r="G59" s="154"/>
      <c r="H59" s="94">
        <f ca="1">TblMili[[#This Row],[Draftees]]</f>
        <v>2827</v>
      </c>
      <c r="I59" s="180">
        <f ca="1">TblPop[[#This Row],[Employment]]</f>
        <v>1</v>
      </c>
      <c r="J59" s="180">
        <f ca="1">TblPop[[#This Row],[Total]]/TblPop[[#This Row],[Net max]]</f>
        <v>1</v>
      </c>
      <c r="K59" s="283">
        <f>TblRezone[[#This Row],[Hour]]</f>
        <v>56</v>
      </c>
      <c r="L59" s="284">
        <f ca="1">TblImps[[#This Row],[Real time]]</f>
        <v>45817.291666666533</v>
      </c>
      <c r="M59" s="61">
        <f>IF(ISERROR(TblImps[[#This Row],[algorithm]]),0,TblImps[[#This Row],[algorithm]]*1)</f>
        <v>0</v>
      </c>
      <c r="N59" s="94">
        <f ca="1">TblImps[[#This Row],[Land]]</f>
        <v>370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45817.291666666533</v>
      </c>
      <c r="BZ59" s="294">
        <f ca="1">OFFSET(TblImps[[#This Row],[Servertime]],-1,0)+1/24</f>
        <v>45817.291666666533</v>
      </c>
      <c r="CA59" s="57"/>
      <c r="CB59" s="292"/>
      <c r="CC59" s="292"/>
    </row>
    <row r="60" spans="1:81" x14ac:dyDescent="0.2">
      <c r="A60" s="214">
        <f ca="1">TblConstr[[#This Row],[Land]]</f>
        <v>370</v>
      </c>
      <c r="B60" s="142"/>
      <c r="C60" s="94">
        <f ca="1">TblProd[[#This Row],[Platinum]]</f>
        <v>937648</v>
      </c>
      <c r="D60" s="94">
        <f ca="1">TblProd[[#This Row],[Lumber]]</f>
        <v>51582</v>
      </c>
      <c r="E60" s="94">
        <f ca="1">TblProd[[#This Row],[Ore]]</f>
        <v>0</v>
      </c>
      <c r="F60" s="94">
        <f ca="1">TblProd[[#This Row],[Gems]]</f>
        <v>42000</v>
      </c>
      <c r="G60" s="154"/>
      <c r="H60" s="94">
        <f ca="1">TblMili[[#This Row],[Draftees]]</f>
        <v>2861</v>
      </c>
      <c r="I60" s="180">
        <f ca="1">TblPop[[#This Row],[Employment]]</f>
        <v>1</v>
      </c>
      <c r="J60" s="180">
        <f ca="1">TblPop[[#This Row],[Total]]/TblPop[[#This Row],[Net max]]</f>
        <v>1</v>
      </c>
      <c r="K60" s="283">
        <f>TblRezone[[#This Row],[Hour]]</f>
        <v>57</v>
      </c>
      <c r="L60" s="284">
        <f ca="1">TblImps[[#This Row],[Real time]]</f>
        <v>45817.333333333198</v>
      </c>
      <c r="M60" s="61">
        <f>IF(ISERROR(TblImps[[#This Row],[algorithm]]),0,TblImps[[#This Row],[algorithm]]*1)</f>
        <v>0</v>
      </c>
      <c r="N60" s="94">
        <f ca="1">TblImps[[#This Row],[Land]]</f>
        <v>370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45817.333333333198</v>
      </c>
      <c r="BZ60" s="294">
        <f ca="1">OFFSET(TblImps[[#This Row],[Servertime]],-1,0)+1/24</f>
        <v>45817.333333333198</v>
      </c>
      <c r="CA60" s="57"/>
      <c r="CB60" s="292"/>
      <c r="CC60" s="292"/>
    </row>
    <row r="61" spans="1:81" x14ac:dyDescent="0.2">
      <c r="A61" s="214">
        <f ca="1">TblConstr[[#This Row],[Land]]</f>
        <v>370</v>
      </c>
      <c r="B61" s="142"/>
      <c r="C61" s="94">
        <f ca="1">TblProd[[#This Row],[Platinum]]</f>
        <v>949056</v>
      </c>
      <c r="D61" s="94">
        <f ca="1">TblProd[[#This Row],[Lumber]]</f>
        <v>52066</v>
      </c>
      <c r="E61" s="94">
        <f ca="1">TblProd[[#This Row],[Ore]]</f>
        <v>0</v>
      </c>
      <c r="F61" s="94">
        <f ca="1">TblProd[[#This Row],[Gems]]</f>
        <v>42750</v>
      </c>
      <c r="G61" s="154"/>
      <c r="H61" s="94">
        <f ca="1">TblMili[[#This Row],[Draftees]]</f>
        <v>2895</v>
      </c>
      <c r="I61" s="180">
        <f ca="1">TblPop[[#This Row],[Employment]]</f>
        <v>1</v>
      </c>
      <c r="J61" s="180">
        <f ca="1">TblPop[[#This Row],[Total]]/TblPop[[#This Row],[Net max]]</f>
        <v>1</v>
      </c>
      <c r="K61" s="283">
        <f>TblRezone[[#This Row],[Hour]]</f>
        <v>58</v>
      </c>
      <c r="L61" s="284">
        <f ca="1">TblImps[[#This Row],[Real time]]</f>
        <v>45817.374999999862</v>
      </c>
      <c r="M61" s="61">
        <f>IF(ISERROR(TblImps[[#This Row],[algorithm]]),0,TblImps[[#This Row],[algorithm]]*1)</f>
        <v>0</v>
      </c>
      <c r="N61" s="94">
        <f ca="1">TblImps[[#This Row],[Land]]</f>
        <v>370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45817.374999999862</v>
      </c>
      <c r="BZ61" s="294">
        <f ca="1">OFFSET(TblImps[[#This Row],[Servertime]],-1,0)+1/24</f>
        <v>45817.374999999862</v>
      </c>
      <c r="CA61" s="57"/>
      <c r="CB61" s="292"/>
      <c r="CC61" s="292"/>
    </row>
    <row r="62" spans="1:81" x14ac:dyDescent="0.2">
      <c r="A62" s="214">
        <f ca="1">TblConstr[[#This Row],[Land]]</f>
        <v>370</v>
      </c>
      <c r="B62" s="142"/>
      <c r="C62" s="94">
        <f ca="1">TblProd[[#This Row],[Platinum]]</f>
        <v>960372</v>
      </c>
      <c r="D62" s="94">
        <f ca="1">TblProd[[#This Row],[Lumber]]</f>
        <v>52545</v>
      </c>
      <c r="E62" s="94">
        <f ca="1">TblProd[[#This Row],[Ore]]</f>
        <v>0</v>
      </c>
      <c r="F62" s="94">
        <f ca="1">TblProd[[#This Row],[Gems]]</f>
        <v>43500</v>
      </c>
      <c r="G62" s="154"/>
      <c r="H62" s="94">
        <f ca="1">TblMili[[#This Row],[Draftees]]</f>
        <v>2929</v>
      </c>
      <c r="I62" s="180">
        <f ca="1">TblPop[[#This Row],[Employment]]</f>
        <v>1</v>
      </c>
      <c r="J62" s="180">
        <f ca="1">TblPop[[#This Row],[Total]]/TblPop[[#This Row],[Net max]]</f>
        <v>1</v>
      </c>
      <c r="K62" s="283">
        <f>TblRezone[[#This Row],[Hour]]</f>
        <v>59</v>
      </c>
      <c r="L62" s="284">
        <f ca="1">TblImps[[#This Row],[Real time]]</f>
        <v>45817.416666666526</v>
      </c>
      <c r="M62" s="61">
        <f>IF(ISERROR(TblImps[[#This Row],[algorithm]]),0,TblImps[[#This Row],[algorithm]]*1)</f>
        <v>0</v>
      </c>
      <c r="N62" s="94">
        <f ca="1">TblImps[[#This Row],[Land]]</f>
        <v>370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45817.416666666526</v>
      </c>
      <c r="BZ62" s="294">
        <f ca="1">OFFSET(TblImps[[#This Row],[Servertime]],-1,0)+1/24</f>
        <v>45817.416666666526</v>
      </c>
      <c r="CA62" s="57"/>
      <c r="CB62" s="292"/>
      <c r="CC62" s="292"/>
    </row>
    <row r="63" spans="1:81" x14ac:dyDescent="0.2">
      <c r="A63" s="214">
        <f ca="1">TblConstr[[#This Row],[Land]]</f>
        <v>370</v>
      </c>
      <c r="B63" s="142"/>
      <c r="C63" s="94">
        <f ca="1">TblProd[[#This Row],[Platinum]]</f>
        <v>971596</v>
      </c>
      <c r="D63" s="94">
        <f ca="1">TblProd[[#This Row],[Lumber]]</f>
        <v>53020</v>
      </c>
      <c r="E63" s="94">
        <f ca="1">TblProd[[#This Row],[Ore]]</f>
        <v>0</v>
      </c>
      <c r="F63" s="94">
        <f ca="1">TblProd[[#This Row],[Gems]]</f>
        <v>44250</v>
      </c>
      <c r="G63" s="154"/>
      <c r="H63" s="94">
        <f ca="1">TblMili[[#This Row],[Draftees]]</f>
        <v>2962</v>
      </c>
      <c r="I63" s="180">
        <f ca="1">TblPop[[#This Row],[Employment]]</f>
        <v>1</v>
      </c>
      <c r="J63" s="180">
        <f ca="1">TblPop[[#This Row],[Total]]/TblPop[[#This Row],[Net max]]</f>
        <v>1</v>
      </c>
      <c r="K63" s="283">
        <f>TblRezone[[#This Row],[Hour]]</f>
        <v>60</v>
      </c>
      <c r="L63" s="284">
        <f ca="1">TblImps[[#This Row],[Real time]]</f>
        <v>45817.45833333319</v>
      </c>
      <c r="M63" s="61">
        <f>IF(ISERROR(TblImps[[#This Row],[algorithm]]),0,TblImps[[#This Row],[algorithm]]*1)</f>
        <v>0</v>
      </c>
      <c r="N63" s="94">
        <f ca="1">TblImps[[#This Row],[Land]]</f>
        <v>370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45817.45833333319</v>
      </c>
      <c r="BZ63" s="294">
        <f ca="1">OFFSET(TblImps[[#This Row],[Servertime]],-1,0)+1/24</f>
        <v>45817.45833333319</v>
      </c>
      <c r="CA63" s="57"/>
      <c r="CB63" s="292"/>
      <c r="CC63" s="292"/>
    </row>
    <row r="64" spans="1:81" x14ac:dyDescent="0.2">
      <c r="A64" s="214">
        <f ca="1">TblConstr[[#This Row],[Land]]</f>
        <v>370</v>
      </c>
      <c r="B64" s="142"/>
      <c r="C64" s="94">
        <f ca="1">TblProd[[#This Row],[Platinum]]</f>
        <v>982731</v>
      </c>
      <c r="D64" s="94">
        <f ca="1">TblProd[[#This Row],[Lumber]]</f>
        <v>53490</v>
      </c>
      <c r="E64" s="94">
        <f ca="1">TblProd[[#This Row],[Ore]]</f>
        <v>0</v>
      </c>
      <c r="F64" s="94">
        <f ca="1">TblProd[[#This Row],[Gems]]</f>
        <v>45000</v>
      </c>
      <c r="G64" s="154"/>
      <c r="H64" s="94">
        <f ca="1">TblMili[[#This Row],[Draftees]]</f>
        <v>2995</v>
      </c>
      <c r="I64" s="180">
        <f ca="1">TblPop[[#This Row],[Employment]]</f>
        <v>1</v>
      </c>
      <c r="J64" s="180">
        <f ca="1">TblPop[[#This Row],[Total]]/TblPop[[#This Row],[Net max]]</f>
        <v>1</v>
      </c>
      <c r="K64" s="283">
        <f>TblRezone[[#This Row],[Hour]]</f>
        <v>61</v>
      </c>
      <c r="L64" s="284">
        <f ca="1">TblImps[[#This Row],[Real time]]</f>
        <v>45817.499999999854</v>
      </c>
      <c r="M64" s="61">
        <f>IF(ISERROR(TblImps[[#This Row],[algorithm]]),0,TblImps[[#This Row],[algorithm]]*1)</f>
        <v>0</v>
      </c>
      <c r="N64" s="94">
        <f ca="1">TblImps[[#This Row],[Land]]</f>
        <v>370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45817.499999999854</v>
      </c>
      <c r="BZ64" s="294">
        <f ca="1">OFFSET(TblImps[[#This Row],[Servertime]],-1,0)+1/24</f>
        <v>45817.499999999854</v>
      </c>
      <c r="CA64" s="57"/>
      <c r="CB64" s="292"/>
      <c r="CC64" s="292"/>
    </row>
    <row r="65" spans="1:84" x14ac:dyDescent="0.2">
      <c r="A65" s="214">
        <f ca="1">TblConstr[[#This Row],[Land]]</f>
        <v>370</v>
      </c>
      <c r="B65" s="142"/>
      <c r="C65" s="94">
        <f ca="1">TblProd[[#This Row],[Platinum]]</f>
        <v>993777</v>
      </c>
      <c r="D65" s="94">
        <f ca="1">TblProd[[#This Row],[Lumber]]</f>
        <v>53955</v>
      </c>
      <c r="E65" s="94">
        <f ca="1">TblProd[[#This Row],[Ore]]</f>
        <v>0</v>
      </c>
      <c r="F65" s="94">
        <f ca="1">TblProd[[#This Row],[Gems]]</f>
        <v>45750</v>
      </c>
      <c r="G65" s="154"/>
      <c r="H65" s="94">
        <f ca="1">TblMili[[#This Row],[Draftees]]</f>
        <v>3028</v>
      </c>
      <c r="I65" s="180">
        <f ca="1">TblPop[[#This Row],[Employment]]</f>
        <v>1</v>
      </c>
      <c r="J65" s="180">
        <f ca="1">TblPop[[#This Row],[Total]]/TblPop[[#This Row],[Net max]]</f>
        <v>1</v>
      </c>
      <c r="K65" s="283">
        <f>TblRezone[[#This Row],[Hour]]</f>
        <v>62</v>
      </c>
      <c r="L65" s="284">
        <f ca="1">TblImps[[#This Row],[Real time]]</f>
        <v>45817.541666666519</v>
      </c>
      <c r="M65" s="61">
        <f>IF(ISERROR(TblImps[[#This Row],[algorithm]]),0,TblImps[[#This Row],[algorithm]]*1)</f>
        <v>0</v>
      </c>
      <c r="N65" s="94">
        <f ca="1">TblImps[[#This Row],[Land]]</f>
        <v>370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45817.541666666519</v>
      </c>
      <c r="BZ65" s="294">
        <f ca="1">OFFSET(TblImps[[#This Row],[Servertime]],-1,0)+1/24</f>
        <v>45817.541666666519</v>
      </c>
      <c r="CA65" s="57"/>
      <c r="CB65" s="292"/>
      <c r="CC65" s="292"/>
    </row>
    <row r="66" spans="1:84" x14ac:dyDescent="0.2">
      <c r="A66" s="214">
        <f ca="1">TblConstr[[#This Row],[Land]]</f>
        <v>370</v>
      </c>
      <c r="B66" s="142"/>
      <c r="C66" s="94">
        <f ca="1">TblProd[[#This Row],[Platinum]]</f>
        <v>1004734</v>
      </c>
      <c r="D66" s="94">
        <f ca="1">TblProd[[#This Row],[Lumber]]</f>
        <v>54415</v>
      </c>
      <c r="E66" s="94">
        <f ca="1">TblProd[[#This Row],[Ore]]</f>
        <v>0</v>
      </c>
      <c r="F66" s="94">
        <f ca="1">TblProd[[#This Row],[Gems]]</f>
        <v>46500</v>
      </c>
      <c r="G66" s="154"/>
      <c r="H66" s="94">
        <f ca="1">TblMili[[#This Row],[Draftees]]</f>
        <v>3060</v>
      </c>
      <c r="I66" s="180">
        <f ca="1">TblPop[[#This Row],[Employment]]</f>
        <v>1</v>
      </c>
      <c r="J66" s="180">
        <f ca="1">TblPop[[#This Row],[Total]]/TblPop[[#This Row],[Net max]]</f>
        <v>1</v>
      </c>
      <c r="K66" s="283">
        <f>TblRezone[[#This Row],[Hour]]</f>
        <v>63</v>
      </c>
      <c r="L66" s="284">
        <f ca="1">TblImps[[#This Row],[Real time]]</f>
        <v>45817.583333333183</v>
      </c>
      <c r="M66" s="61">
        <f>IF(ISERROR(TblImps[[#This Row],[algorithm]]),0,TblImps[[#This Row],[algorithm]]*1)</f>
        <v>0</v>
      </c>
      <c r="N66" s="94">
        <f ca="1">TblImps[[#This Row],[Land]]</f>
        <v>370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45817.583333333183</v>
      </c>
      <c r="BZ66" s="294">
        <f ca="1">OFFSET(TblImps[[#This Row],[Servertime]],-1,0)+1/24</f>
        <v>45817.583333333183</v>
      </c>
      <c r="CA66" s="297"/>
      <c r="CB66" s="292"/>
      <c r="CC66" s="292"/>
    </row>
    <row r="67" spans="1:84" x14ac:dyDescent="0.2">
      <c r="A67" s="214">
        <f ca="1">TblConstr[[#This Row],[Land]]</f>
        <v>370</v>
      </c>
      <c r="B67" s="142"/>
      <c r="C67" s="94">
        <f ca="1">TblProd[[#This Row],[Platinum]]</f>
        <v>1015605</v>
      </c>
      <c r="D67" s="94">
        <f ca="1">TblProd[[#This Row],[Lumber]]</f>
        <v>54871</v>
      </c>
      <c r="E67" s="94">
        <f ca="1">TblProd[[#This Row],[Ore]]</f>
        <v>0</v>
      </c>
      <c r="F67" s="94">
        <f ca="1">TblProd[[#This Row],[Gems]]</f>
        <v>47250</v>
      </c>
      <c r="G67" s="154"/>
      <c r="H67" s="94">
        <f ca="1">TblMili[[#This Row],[Draftees]]</f>
        <v>3092</v>
      </c>
      <c r="I67" s="180">
        <f ca="1">TblPop[[#This Row],[Employment]]</f>
        <v>1</v>
      </c>
      <c r="J67" s="180">
        <f ca="1">TblPop[[#This Row],[Total]]/TblPop[[#This Row],[Net max]]</f>
        <v>1</v>
      </c>
      <c r="K67" s="283">
        <f>TblRezone[[#This Row],[Hour]]</f>
        <v>64</v>
      </c>
      <c r="L67" s="284">
        <f ca="1">TblImps[[#This Row],[Real time]]</f>
        <v>45817.624999999847</v>
      </c>
      <c r="M67" s="61">
        <f>IF(ISERROR(TblImps[[#This Row],[algorithm]]),0,TblImps[[#This Row],[algorithm]]*1)</f>
        <v>0</v>
      </c>
      <c r="N67" s="94">
        <f ca="1">TblImps[[#This Row],[Land]]</f>
        <v>370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45817.624999999847</v>
      </c>
      <c r="BZ67" s="294">
        <f ca="1">OFFSET(TblImps[[#This Row],[Servertime]],-1,0)+1/24</f>
        <v>45817.624999999847</v>
      </c>
      <c r="CA67" s="57"/>
      <c r="CB67" s="292"/>
      <c r="CC67" s="292"/>
    </row>
    <row r="68" spans="1:84" x14ac:dyDescent="0.2">
      <c r="A68" s="214">
        <f ca="1">TblConstr[[#This Row],[Land]]</f>
        <v>370</v>
      </c>
      <c r="B68" s="142"/>
      <c r="C68" s="94">
        <f ca="1">TblProd[[#This Row],[Platinum]]</f>
        <v>1026389</v>
      </c>
      <c r="D68" s="94">
        <f ca="1">TblProd[[#This Row],[Lumber]]</f>
        <v>55322</v>
      </c>
      <c r="E68" s="94">
        <f ca="1">TblProd[[#This Row],[Ore]]</f>
        <v>0</v>
      </c>
      <c r="F68" s="94">
        <f ca="1">TblProd[[#This Row],[Gems]]</f>
        <v>48000</v>
      </c>
      <c r="G68" s="154"/>
      <c r="H68" s="94">
        <f ca="1">TblMili[[#This Row],[Draftees]]</f>
        <v>3124</v>
      </c>
      <c r="I68" s="180">
        <f ca="1">TblPop[[#This Row],[Employment]]</f>
        <v>1</v>
      </c>
      <c r="J68" s="180">
        <f ca="1">TblPop[[#This Row],[Total]]/TblPop[[#This Row],[Net max]]</f>
        <v>1</v>
      </c>
      <c r="K68" s="283">
        <f>TblRezone[[#This Row],[Hour]]</f>
        <v>65</v>
      </c>
      <c r="L68" s="284">
        <f ca="1">TblImps[[#This Row],[Real time]]</f>
        <v>45817.666666666511</v>
      </c>
      <c r="M68" s="61">
        <f>IF(ISERROR(TblImps[[#This Row],[algorithm]]),0,TblImps[[#This Row],[algorithm]]*1)</f>
        <v>0</v>
      </c>
      <c r="N68" s="94">
        <f ca="1">TblImps[[#This Row],[Land]]</f>
        <v>370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45817.666666666511</v>
      </c>
      <c r="BZ68" s="294">
        <f ca="1">OFFSET(TblImps[[#This Row],[Servertime]],-1,0)+1/24</f>
        <v>45817.666666666511</v>
      </c>
      <c r="CA68" s="57"/>
      <c r="CB68" s="292"/>
      <c r="CC68" s="292"/>
    </row>
    <row r="69" spans="1:84" x14ac:dyDescent="0.2">
      <c r="A69" s="214">
        <f ca="1">TblConstr[[#This Row],[Land]]</f>
        <v>370</v>
      </c>
      <c r="B69" s="142"/>
      <c r="C69" s="94">
        <f ca="1">TblProd[[#This Row],[Platinum]]</f>
        <v>1037087</v>
      </c>
      <c r="D69" s="94">
        <f ca="1">TblProd[[#This Row],[Lumber]]</f>
        <v>55769</v>
      </c>
      <c r="E69" s="94">
        <f ca="1">TblProd[[#This Row],[Ore]]</f>
        <v>0</v>
      </c>
      <c r="F69" s="94">
        <f ca="1">TblProd[[#This Row],[Gems]]</f>
        <v>48750</v>
      </c>
      <c r="G69" s="154"/>
      <c r="H69" s="94">
        <f ca="1">TblMili[[#This Row],[Draftees]]</f>
        <v>3155</v>
      </c>
      <c r="I69" s="180">
        <f ca="1">TblPop[[#This Row],[Employment]]</f>
        <v>1</v>
      </c>
      <c r="J69" s="180">
        <f ca="1">TblPop[[#This Row],[Total]]/TblPop[[#This Row],[Net max]]</f>
        <v>1</v>
      </c>
      <c r="K69" s="283">
        <f>TblRezone[[#This Row],[Hour]]</f>
        <v>66</v>
      </c>
      <c r="L69" s="284">
        <f ca="1">TblImps[[#This Row],[Real time]]</f>
        <v>45817.708333333176</v>
      </c>
      <c r="M69" s="61">
        <f>IF(ISERROR(TblImps[[#This Row],[algorithm]]),0,TblImps[[#This Row],[algorithm]]*1)</f>
        <v>0</v>
      </c>
      <c r="N69" s="94">
        <f ca="1">TblImps[[#This Row],[Land]]</f>
        <v>370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45817.708333333176</v>
      </c>
      <c r="BZ69" s="294">
        <f ca="1">OFFSET(TblImps[[#This Row],[Servertime]],-1,0)+1/24</f>
        <v>45817.708333333176</v>
      </c>
      <c r="CA69" s="57"/>
      <c r="CB69" s="292"/>
      <c r="CC69" s="292"/>
    </row>
    <row r="70" spans="1:84" x14ac:dyDescent="0.2">
      <c r="A70" s="214">
        <f ca="1">TblConstr[[#This Row],[Land]]</f>
        <v>370</v>
      </c>
      <c r="B70" s="142"/>
      <c r="C70" s="94">
        <f ca="1">TblProd[[#This Row],[Platinum]]</f>
        <v>1047701</v>
      </c>
      <c r="D70" s="94">
        <f ca="1">TblProd[[#This Row],[Lumber]]</f>
        <v>56211</v>
      </c>
      <c r="E70" s="94">
        <f ca="1">TblProd[[#This Row],[Ore]]</f>
        <v>0</v>
      </c>
      <c r="F70" s="94">
        <f ca="1">TblProd[[#This Row],[Gems]]</f>
        <v>49500</v>
      </c>
      <c r="G70" s="154"/>
      <c r="H70" s="94">
        <f ca="1">TblMili[[#This Row],[Draftees]]</f>
        <v>3186</v>
      </c>
      <c r="I70" s="180">
        <f ca="1">TblPop[[#This Row],[Employment]]</f>
        <v>1</v>
      </c>
      <c r="J70" s="180">
        <f ca="1">TblPop[[#This Row],[Total]]/TblPop[[#This Row],[Net max]]</f>
        <v>1</v>
      </c>
      <c r="K70" s="283">
        <f>TblRezone[[#This Row],[Hour]]</f>
        <v>67</v>
      </c>
      <c r="L70" s="284">
        <f ca="1">TblImps[[#This Row],[Real time]]</f>
        <v>45817.74999999984</v>
      </c>
      <c r="M70" s="61">
        <f>IF(ISERROR(TblImps[[#This Row],[algorithm]]),0,TblImps[[#This Row],[algorithm]]*1)</f>
        <v>0</v>
      </c>
      <c r="N70" s="94">
        <f ca="1">TblImps[[#This Row],[Land]]</f>
        <v>370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45817.74999999984</v>
      </c>
      <c r="BZ70" s="294">
        <f ca="1">OFFSET(TblImps[[#This Row],[Servertime]],-1,0)+1/24</f>
        <v>45817.74999999984</v>
      </c>
      <c r="CA70" s="57"/>
      <c r="CB70" s="292"/>
      <c r="CC70" s="292"/>
    </row>
    <row r="71" spans="1:84" x14ac:dyDescent="0.2">
      <c r="A71" s="214">
        <f ca="1">TblConstr[[#This Row],[Land]]</f>
        <v>370</v>
      </c>
      <c r="B71" s="142"/>
      <c r="C71" s="94">
        <f ca="1">TblProd[[#This Row],[Platinum]]</f>
        <v>1058231</v>
      </c>
      <c r="D71" s="94">
        <f ca="1">TblProd[[#This Row],[Lumber]]</f>
        <v>56649</v>
      </c>
      <c r="E71" s="94">
        <f ca="1">TblProd[[#This Row],[Ore]]</f>
        <v>0</v>
      </c>
      <c r="F71" s="94">
        <f ca="1">TblProd[[#This Row],[Gems]]</f>
        <v>50250</v>
      </c>
      <c r="G71" s="154"/>
      <c r="H71" s="94">
        <f ca="1">TblMili[[#This Row],[Draftees]]</f>
        <v>3217</v>
      </c>
      <c r="I71" s="180">
        <f ca="1">TblPop[[#This Row],[Employment]]</f>
        <v>1</v>
      </c>
      <c r="J71" s="180">
        <f ca="1">TblPop[[#This Row],[Total]]/TblPop[[#This Row],[Net max]]</f>
        <v>1</v>
      </c>
      <c r="K71" s="283">
        <f>TblRezone[[#This Row],[Hour]]</f>
        <v>68</v>
      </c>
      <c r="L71" s="284">
        <f ca="1">TblImps[[#This Row],[Real time]]</f>
        <v>45817.791666666504</v>
      </c>
      <c r="M71" s="61">
        <f>IF(ISERROR(TblImps[[#This Row],[algorithm]]),0,TblImps[[#This Row],[algorithm]]*1)</f>
        <v>0</v>
      </c>
      <c r="N71" s="94">
        <f ca="1">TblImps[[#This Row],[Land]]</f>
        <v>370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45817.791666666504</v>
      </c>
      <c r="BZ71" s="294">
        <f ca="1">OFFSET(TblImps[[#This Row],[Servertime]],-1,0)+1/24</f>
        <v>45817.791666666504</v>
      </c>
      <c r="CA71" s="57"/>
      <c r="CB71" s="292"/>
      <c r="CC71" s="292"/>
    </row>
    <row r="72" spans="1:84" x14ac:dyDescent="0.2">
      <c r="A72" s="214">
        <f ca="1">TblConstr[[#This Row],[Land]]</f>
        <v>370</v>
      </c>
      <c r="B72" s="142"/>
      <c r="C72" s="94">
        <f ca="1">TblProd[[#This Row],[Platinum]]</f>
        <v>1068678</v>
      </c>
      <c r="D72" s="94">
        <f ca="1">TblProd[[#This Row],[Lumber]]</f>
        <v>57083</v>
      </c>
      <c r="E72" s="94">
        <f ca="1">TblProd[[#This Row],[Ore]]</f>
        <v>0</v>
      </c>
      <c r="F72" s="94">
        <f ca="1">TblProd[[#This Row],[Gems]]</f>
        <v>51000</v>
      </c>
      <c r="G72" s="154"/>
      <c r="H72" s="94">
        <f ca="1">TblMili[[#This Row],[Draftees]]</f>
        <v>3247</v>
      </c>
      <c r="I72" s="180">
        <f ca="1">TblPop[[#This Row],[Employment]]</f>
        <v>1</v>
      </c>
      <c r="J72" s="180">
        <f ca="1">TblPop[[#This Row],[Total]]/TblPop[[#This Row],[Net max]]</f>
        <v>1</v>
      </c>
      <c r="K72" s="283">
        <f>TblRezone[[#This Row],[Hour]]</f>
        <v>69</v>
      </c>
      <c r="L72" s="284">
        <f ca="1">TblImps[[#This Row],[Real time]]</f>
        <v>45817.833333333168</v>
      </c>
      <c r="M72" s="61">
        <f>IF(ISERROR(TblImps[[#This Row],[algorithm]]),0,TblImps[[#This Row],[algorithm]]*1)</f>
        <v>0</v>
      </c>
      <c r="N72" s="94">
        <f ca="1">TblImps[[#This Row],[Land]]</f>
        <v>370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45817.833333333168</v>
      </c>
      <c r="BZ72" s="294">
        <f ca="1">OFFSET(TblImps[[#This Row],[Servertime]],-1,0)+1/24</f>
        <v>45817.833333333168</v>
      </c>
      <c r="CA72" s="57"/>
      <c r="CB72" s="292"/>
      <c r="CC72" s="292"/>
    </row>
    <row r="73" spans="1:84" x14ac:dyDescent="0.2">
      <c r="A73" s="214">
        <f ca="1">TblConstr[[#This Row],[Land]]</f>
        <v>370</v>
      </c>
      <c r="B73" s="142"/>
      <c r="C73" s="94">
        <f ca="1">TblProd[[#This Row],[Platinum]]</f>
        <v>1079044</v>
      </c>
      <c r="D73" s="94">
        <f ca="1">TblProd[[#This Row],[Lumber]]</f>
        <v>57512</v>
      </c>
      <c r="E73" s="94">
        <f ca="1">TblProd[[#This Row],[Ore]]</f>
        <v>0</v>
      </c>
      <c r="F73" s="94">
        <f ca="1">TblProd[[#This Row],[Gems]]</f>
        <v>51750</v>
      </c>
      <c r="G73" s="154"/>
      <c r="H73" s="94">
        <f ca="1">TblMili[[#This Row],[Draftees]]</f>
        <v>3277</v>
      </c>
      <c r="I73" s="180">
        <f ca="1">TblPop[[#This Row],[Employment]]</f>
        <v>1</v>
      </c>
      <c r="J73" s="180">
        <f ca="1">TblPop[[#This Row],[Total]]/TblPop[[#This Row],[Net max]]</f>
        <v>1</v>
      </c>
      <c r="K73" s="283">
        <f>TblRezone[[#This Row],[Hour]]</f>
        <v>70</v>
      </c>
      <c r="L73" s="284">
        <f ca="1">TblImps[[#This Row],[Real time]]</f>
        <v>45817.874999999833</v>
      </c>
      <c r="M73" s="61">
        <f>IF(ISERROR(TblImps[[#This Row],[algorithm]]),0,TblImps[[#This Row],[algorithm]]*1)</f>
        <v>0</v>
      </c>
      <c r="N73" s="94">
        <f ca="1">TblImps[[#This Row],[Land]]</f>
        <v>370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45817.874999999833</v>
      </c>
      <c r="BZ73" s="294">
        <f ca="1">OFFSET(TblImps[[#This Row],[Servertime]],-1,0)+1/24</f>
        <v>45817.874999999833</v>
      </c>
      <c r="CA73" s="57"/>
      <c r="CB73" s="292"/>
      <c r="CC73" s="292"/>
    </row>
    <row r="74" spans="1:84" x14ac:dyDescent="0.2">
      <c r="A74" s="214">
        <f ca="1">TblConstr[[#This Row],[Land]]</f>
        <v>370</v>
      </c>
      <c r="B74" s="142"/>
      <c r="C74" s="94">
        <f ca="1">TblProd[[#This Row],[Platinum]]</f>
        <v>1089329</v>
      </c>
      <c r="D74" s="94">
        <f ca="1">TblProd[[#This Row],[Lumber]]</f>
        <v>57937</v>
      </c>
      <c r="E74" s="94">
        <f ca="1">TblProd[[#This Row],[Ore]]</f>
        <v>0</v>
      </c>
      <c r="F74" s="94">
        <f ca="1">TblProd[[#This Row],[Gems]]</f>
        <v>52500</v>
      </c>
      <c r="G74" s="154"/>
      <c r="H74" s="94">
        <f ca="1">TblMili[[#This Row],[Draftees]]</f>
        <v>3307</v>
      </c>
      <c r="I74" s="180">
        <f ca="1">TblPop[[#This Row],[Employment]]</f>
        <v>1</v>
      </c>
      <c r="J74" s="180">
        <f ca="1">TblPop[[#This Row],[Total]]/TblPop[[#This Row],[Net max]]</f>
        <v>1</v>
      </c>
      <c r="K74" s="283">
        <f>TblRezone[[#This Row],[Hour]]</f>
        <v>71</v>
      </c>
      <c r="L74" s="284">
        <f ca="1">TblImps[[#This Row],[Real time]]</f>
        <v>45817.916666666497</v>
      </c>
      <c r="M74" s="61">
        <f>IF(ISERROR(TblImps[[#This Row],[algorithm]]),0,TblImps[[#This Row],[algorithm]]*1)</f>
        <v>0</v>
      </c>
      <c r="N74" s="94">
        <f ca="1">TblImps[[#This Row],[Land]]</f>
        <v>370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45817.916666666497</v>
      </c>
      <c r="BZ74" s="294">
        <f ca="1">OFFSET(TblImps[[#This Row],[Servertime]],-1,0)+1/24</f>
        <v>45817.916666666497</v>
      </c>
      <c r="CA74" s="57"/>
      <c r="CB74" s="292"/>
      <c r="CC74" s="292"/>
    </row>
    <row r="75" spans="1:84" x14ac:dyDescent="0.2">
      <c r="A75" s="214">
        <f ca="1">TblConstr[[#This Row],[Land]]</f>
        <v>370</v>
      </c>
      <c r="B75" s="142"/>
      <c r="C75" s="94">
        <f ca="1">TblProd[[#This Row],[Platinum]]</f>
        <v>1099533</v>
      </c>
      <c r="D75" s="94">
        <f ca="1">TblProd[[#This Row],[Lumber]]</f>
        <v>58358</v>
      </c>
      <c r="E75" s="94">
        <f ca="1">TblProd[[#This Row],[Ore]]</f>
        <v>0</v>
      </c>
      <c r="F75" s="94">
        <f ca="1">TblProd[[#This Row],[Gems]]</f>
        <v>53250</v>
      </c>
      <c r="G75" s="154"/>
      <c r="H75" s="94">
        <f ca="1">TblMili[[#This Row],[Draftees]]</f>
        <v>3336</v>
      </c>
      <c r="I75" s="180">
        <f ca="1">TblPop[[#This Row],[Employment]]</f>
        <v>1</v>
      </c>
      <c r="J75" s="180">
        <f ca="1">TblPop[[#This Row],[Total]]/TblPop[[#This Row],[Net max]]</f>
        <v>1</v>
      </c>
      <c r="K75" s="283">
        <f>TblRezone[[#This Row],[Hour]]</f>
        <v>72</v>
      </c>
      <c r="L75" s="284">
        <f ca="1">TblImps[[#This Row],[Real time]]</f>
        <v>45817.958333333161</v>
      </c>
      <c r="M75" s="61">
        <f>IF(ISERROR(TblImps[[#This Row],[algorithm]]),0,TblImps[[#This Row],[algorithm]]*1)</f>
        <v>0</v>
      </c>
      <c r="N75" s="94">
        <f ca="1">TblImps[[#This Row],[Land]]</f>
        <v>370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45817.958333333161</v>
      </c>
      <c r="BZ75" s="294">
        <f ca="1">OFFSET(TblImps[[#This Row],[Servertime]],-1,0)+1/24</f>
        <v>45817.958333333161</v>
      </c>
      <c r="CA75" s="57"/>
      <c r="CB75" s="292"/>
      <c r="CC75" s="292"/>
    </row>
    <row r="76" spans="1:84" x14ac:dyDescent="0.2">
      <c r="A76" s="214">
        <f ca="1">TblConstr[[#This Row],[Land]]</f>
        <v>370</v>
      </c>
      <c r="B76" s="142"/>
      <c r="C76" s="430">
        <f ca="1">TblProd[[#This Row],[Platinum]]</f>
        <v>1109658</v>
      </c>
      <c r="D76" s="430">
        <f ca="1">TblProd[[#This Row],[Lumber]]</f>
        <v>58774</v>
      </c>
      <c r="E76" s="430">
        <f ca="1">TblProd[[#This Row],[Ore]]</f>
        <v>0</v>
      </c>
      <c r="F76" s="430">
        <f ca="1">TblProd[[#This Row],[Gems]]</f>
        <v>54000</v>
      </c>
      <c r="G76" s="154"/>
      <c r="H76" s="430">
        <f ca="1">TblMili[[#This Row],[Draftees]]</f>
        <v>3365</v>
      </c>
      <c r="I76" s="429">
        <f ca="1">TblPop[[#This Row],[Employment]]</f>
        <v>1</v>
      </c>
      <c r="J76" s="429">
        <f ca="1">TblPop[[#This Row],[Total]]/TblPop[[#This Row],[Net max]]</f>
        <v>1</v>
      </c>
      <c r="K76" s="283">
        <f>TblRezone[[#This Row],[Hour]]</f>
        <v>73</v>
      </c>
      <c r="L76" s="284">
        <f ca="1">TblImps[[#This Row],[Real time]]</f>
        <v>45817.999999999825</v>
      </c>
      <c r="M76" s="428">
        <f>IF(ISERROR(TblImps[[#This Row],[algorithm]]),0,TblImps[[#This Row],[algorithm]]*1)</f>
        <v>0</v>
      </c>
      <c r="N76" s="430">
        <f ca="1">TblImps[[#This Row],[Land]]</f>
        <v>370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60">
        <f ca="1">OFFSET(TblImps[[#This Row],[Real time]],-1,0)+1/24</f>
        <v>45817.999999999825</v>
      </c>
      <c r="BZ76" s="461">
        <f ca="1">OFFSET(TblImps[[#This Row],[Servertime]],-1,0)+1/24</f>
        <v>45817.999999999825</v>
      </c>
    </row>
    <row r="77" spans="1:84" x14ac:dyDescent="0.2">
      <c r="A77" s="214">
        <f ca="1">TblConstr[[#This Row],[Land]]</f>
        <v>370</v>
      </c>
      <c r="B77" s="142"/>
      <c r="C77" s="94">
        <f ca="1">TblProd[[#This Row],[Platinum]]</f>
        <v>1119705</v>
      </c>
      <c r="D77" s="94">
        <f ca="1">TblProd[[#This Row],[Lumber]]</f>
        <v>59186</v>
      </c>
      <c r="E77" s="94">
        <f ca="1">TblProd[[#This Row],[Ore]]</f>
        <v>0</v>
      </c>
      <c r="F77" s="94">
        <f ca="1">TblProd[[#This Row],[Gems]]</f>
        <v>54750</v>
      </c>
      <c r="G77" s="154"/>
      <c r="H77" s="94">
        <f ca="1">TblMili[[#This Row],[Draftees]]</f>
        <v>3394</v>
      </c>
      <c r="I77" s="180">
        <f ca="1">TblPop[[#This Row],[Employment]]</f>
        <v>1</v>
      </c>
      <c r="J77" s="180">
        <f ca="1">TblPop[[#This Row],[Total]]/TblPop[[#This Row],[Net max]]</f>
        <v>1</v>
      </c>
      <c r="K77" s="283">
        <f>TblRezone[[#This Row],[Hour]]</f>
        <v>74</v>
      </c>
      <c r="L77" s="284">
        <f ca="1">TblImps[[#This Row],[Real time]]</f>
        <v>45818.04166666649</v>
      </c>
      <c r="M77" s="61">
        <f>IF(ISERROR(TblImps[[#This Row],[algorithm]]),0,TblImps[[#This Row],[algorithm]]*1)</f>
        <v>0</v>
      </c>
      <c r="N77" s="94">
        <f ca="1">TblImps[[#This Row],[Land]]</f>
        <v>370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45818.04166666649</v>
      </c>
      <c r="BZ77" s="294">
        <f ca="1">OFFSET(TblImps[[#This Row],[Servertime]],-1,0)+1/24</f>
        <v>45818.04166666649</v>
      </c>
      <c r="CA77" s="57"/>
      <c r="CB77" s="292"/>
      <c r="CC77" s="292"/>
    </row>
    <row r="78" spans="1:84" x14ac:dyDescent="0.2">
      <c r="A78" s="214">
        <f ca="1">TblConstr[[#This Row],[Land]]</f>
        <v>370</v>
      </c>
      <c r="B78" s="142"/>
      <c r="C78" s="94">
        <f ca="1">TblProd[[#This Row],[Platinum]]</f>
        <v>1129674</v>
      </c>
      <c r="D78" s="94">
        <f ca="1">TblProd[[#This Row],[Lumber]]</f>
        <v>59594</v>
      </c>
      <c r="E78" s="94">
        <f ca="1">TblProd[[#This Row],[Ore]]</f>
        <v>0</v>
      </c>
      <c r="F78" s="94">
        <f ca="1">TblProd[[#This Row],[Gems]]</f>
        <v>55500</v>
      </c>
      <c r="G78" s="154"/>
      <c r="H78" s="94">
        <f ca="1">TblMili[[#This Row],[Draftees]]</f>
        <v>3423</v>
      </c>
      <c r="I78" s="180">
        <f ca="1">TblPop[[#This Row],[Employment]]</f>
        <v>1</v>
      </c>
      <c r="J78" s="180">
        <f ca="1">TblPop[[#This Row],[Total]]/TblPop[[#This Row],[Net max]]</f>
        <v>1</v>
      </c>
      <c r="K78" s="283">
        <f>TblRezone[[#This Row],[Hour]]</f>
        <v>75</v>
      </c>
      <c r="L78" s="284">
        <f ca="1">TblImps[[#This Row],[Real time]]</f>
        <v>45818.083333333154</v>
      </c>
      <c r="M78" s="61">
        <f>IF(ISERROR(TblImps[[#This Row],[algorithm]]),0,TblImps[[#This Row],[algorithm]]*1)</f>
        <v>0</v>
      </c>
      <c r="N78" s="94">
        <f ca="1">TblImps[[#This Row],[Land]]</f>
        <v>370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45818.083333333154</v>
      </c>
      <c r="BZ78" s="294">
        <f ca="1">OFFSET(TblImps[[#This Row],[Servertime]],-1,0)+1/24</f>
        <v>45818.083333333154</v>
      </c>
      <c r="CA78" s="57"/>
      <c r="CB78" s="292"/>
      <c r="CC78" s="292"/>
      <c r="CF78" s="295"/>
    </row>
    <row r="79" spans="1:84" x14ac:dyDescent="0.2">
      <c r="A79" s="214">
        <f ca="1">TblConstr[[#This Row],[Land]]</f>
        <v>370</v>
      </c>
      <c r="B79" s="142"/>
      <c r="C79" s="94">
        <f ca="1">TblProd[[#This Row],[Platinum]]</f>
        <v>1139565</v>
      </c>
      <c r="D79" s="94">
        <f ca="1">TblProd[[#This Row],[Lumber]]</f>
        <v>59998</v>
      </c>
      <c r="E79" s="94">
        <f ca="1">TblProd[[#This Row],[Ore]]</f>
        <v>0</v>
      </c>
      <c r="F79" s="94">
        <f ca="1">TblProd[[#This Row],[Gems]]</f>
        <v>56250</v>
      </c>
      <c r="G79" s="154"/>
      <c r="H79" s="94">
        <f ca="1">TblMili[[#This Row],[Draftees]]</f>
        <v>3451</v>
      </c>
      <c r="I79" s="180">
        <f ca="1">TblPop[[#This Row],[Employment]]</f>
        <v>1</v>
      </c>
      <c r="J79" s="180">
        <f ca="1">TblPop[[#This Row],[Total]]/TblPop[[#This Row],[Net max]]</f>
        <v>1</v>
      </c>
      <c r="K79" s="283">
        <f>TblRezone[[#This Row],[Hour]]</f>
        <v>76</v>
      </c>
      <c r="L79" s="284">
        <f ca="1">TblImps[[#This Row],[Real time]]</f>
        <v>45818.124999999818</v>
      </c>
      <c r="M79" s="61">
        <f>IF(ISERROR(TblImps[[#This Row],[algorithm]]),0,TblImps[[#This Row],[algorithm]]*1)</f>
        <v>0</v>
      </c>
      <c r="N79" s="94">
        <f ca="1">TblImps[[#This Row],[Land]]</f>
        <v>370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45818.124999999818</v>
      </c>
      <c r="BZ79" s="294">
        <f ca="1">OFFSET(TblImps[[#This Row],[Servertime]],-1,0)+1/24</f>
        <v>45818.124999999818</v>
      </c>
      <c r="CA79" s="57"/>
      <c r="CB79" s="292"/>
      <c r="CC79" s="292"/>
      <c r="CF79" s="296"/>
    </row>
    <row r="80" spans="1:84" x14ac:dyDescent="0.2">
      <c r="A80" s="214">
        <f ca="1">TblConstr[[#This Row],[Land]]</f>
        <v>370</v>
      </c>
      <c r="B80" s="142"/>
      <c r="C80" s="94">
        <f ca="1">TblProd[[#This Row],[Platinum]]</f>
        <v>1149380</v>
      </c>
      <c r="D80" s="94">
        <f ca="1">TblProd[[#This Row],[Lumber]]</f>
        <v>60398</v>
      </c>
      <c r="E80" s="94">
        <f ca="1">TblProd[[#This Row],[Ore]]</f>
        <v>0</v>
      </c>
      <c r="F80" s="94">
        <f ca="1">TblProd[[#This Row],[Gems]]</f>
        <v>57000</v>
      </c>
      <c r="G80" s="154"/>
      <c r="H80" s="94">
        <f ca="1">TblMili[[#This Row],[Draftees]]</f>
        <v>3479</v>
      </c>
      <c r="I80" s="180">
        <f ca="1">TblPop[[#This Row],[Employment]]</f>
        <v>1</v>
      </c>
      <c r="J80" s="180">
        <f ca="1">TblPop[[#This Row],[Total]]/TblPop[[#This Row],[Net max]]</f>
        <v>1</v>
      </c>
      <c r="K80" s="283">
        <f>TblRezone[[#This Row],[Hour]]</f>
        <v>77</v>
      </c>
      <c r="L80" s="284">
        <f ca="1">TblImps[[#This Row],[Real time]]</f>
        <v>45818.166666666482</v>
      </c>
      <c r="M80" s="61">
        <f>IF(ISERROR(TblImps[[#This Row],[algorithm]]),0,TblImps[[#This Row],[algorithm]]*1)</f>
        <v>0</v>
      </c>
      <c r="N80" s="94">
        <f ca="1">TblImps[[#This Row],[Land]]</f>
        <v>370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45818.166666666482</v>
      </c>
      <c r="BZ80" s="294">
        <f ca="1">OFFSET(TblImps[[#This Row],[Servertime]],-1,0)+1/24</f>
        <v>45818.166666666482</v>
      </c>
      <c r="CA80" s="57"/>
      <c r="CB80" s="292"/>
      <c r="CC80" s="292"/>
      <c r="CF80" s="295"/>
    </row>
    <row r="81" spans="1:84" x14ac:dyDescent="0.2">
      <c r="A81" s="214">
        <f ca="1">TblConstr[[#This Row],[Land]]</f>
        <v>370</v>
      </c>
      <c r="B81" s="142"/>
      <c r="C81" s="94">
        <f ca="1">TblProd[[#This Row],[Platinum]]</f>
        <v>1159119</v>
      </c>
      <c r="D81" s="94">
        <f ca="1">TblProd[[#This Row],[Lumber]]</f>
        <v>60794</v>
      </c>
      <c r="E81" s="94">
        <f ca="1">TblProd[[#This Row],[Ore]]</f>
        <v>0</v>
      </c>
      <c r="F81" s="94">
        <f ca="1">TblProd[[#This Row],[Gems]]</f>
        <v>57750</v>
      </c>
      <c r="G81" s="154"/>
      <c r="H81" s="94">
        <f ca="1">TblMili[[#This Row],[Draftees]]</f>
        <v>3507</v>
      </c>
      <c r="I81" s="180">
        <f ca="1">TblPop[[#This Row],[Employment]]</f>
        <v>1</v>
      </c>
      <c r="J81" s="180">
        <f ca="1">TblPop[[#This Row],[Total]]/TblPop[[#This Row],[Net max]]</f>
        <v>1</v>
      </c>
      <c r="K81" s="283">
        <f>TblRezone[[#This Row],[Hour]]</f>
        <v>78</v>
      </c>
      <c r="L81" s="284">
        <f ca="1">TblImps[[#This Row],[Real time]]</f>
        <v>45818.208333333147</v>
      </c>
      <c r="M81" s="61">
        <f>IF(ISERROR(TblImps[[#This Row],[algorithm]]),0,TblImps[[#This Row],[algorithm]]*1)</f>
        <v>0</v>
      </c>
      <c r="N81" s="94">
        <f ca="1">TblImps[[#This Row],[Land]]</f>
        <v>370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45818.208333333147</v>
      </c>
      <c r="BZ81" s="294">
        <f ca="1">OFFSET(TblImps[[#This Row],[Servertime]],-1,0)+1/24</f>
        <v>45818.208333333147</v>
      </c>
      <c r="CA81" s="57"/>
      <c r="CB81" s="292"/>
      <c r="CC81" s="292"/>
      <c r="CF81" s="295"/>
    </row>
    <row r="82" spans="1:84" x14ac:dyDescent="0.2">
      <c r="A82" s="214">
        <f ca="1">TblConstr[[#This Row],[Land]]</f>
        <v>370</v>
      </c>
      <c r="B82" s="142"/>
      <c r="C82" s="94">
        <f ca="1">TblProd[[#This Row],[Platinum]]</f>
        <v>1168783</v>
      </c>
      <c r="D82" s="94">
        <f ca="1">TblProd[[#This Row],[Lumber]]</f>
        <v>61186</v>
      </c>
      <c r="E82" s="94">
        <f ca="1">TblProd[[#This Row],[Ore]]</f>
        <v>0</v>
      </c>
      <c r="F82" s="94">
        <f ca="1">TblProd[[#This Row],[Gems]]</f>
        <v>58500</v>
      </c>
      <c r="G82" s="154"/>
      <c r="H82" s="94">
        <f ca="1">TblMili[[#This Row],[Draftees]]</f>
        <v>3534</v>
      </c>
      <c r="I82" s="180">
        <f ca="1">TblPop[[#This Row],[Employment]]</f>
        <v>1</v>
      </c>
      <c r="J82" s="180">
        <f ca="1">TblPop[[#This Row],[Total]]/TblPop[[#This Row],[Net max]]</f>
        <v>1</v>
      </c>
      <c r="K82" s="283">
        <f>TblRezone[[#This Row],[Hour]]</f>
        <v>79</v>
      </c>
      <c r="L82" s="284">
        <f ca="1">TblImps[[#This Row],[Real time]]</f>
        <v>45818.249999999811</v>
      </c>
      <c r="M82" s="61">
        <f>IF(ISERROR(TblImps[[#This Row],[algorithm]]),0,TblImps[[#This Row],[algorithm]]*1)</f>
        <v>0</v>
      </c>
      <c r="N82" s="94">
        <f ca="1">TblImps[[#This Row],[Land]]</f>
        <v>370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45818.249999999811</v>
      </c>
      <c r="BZ82" s="294">
        <f ca="1">OFFSET(TblImps[[#This Row],[Servertime]],-1,0)+1/24</f>
        <v>45818.249999999811</v>
      </c>
      <c r="CA82" s="57"/>
      <c r="CB82" s="292"/>
      <c r="CC82" s="292"/>
    </row>
    <row r="83" spans="1:84" x14ac:dyDescent="0.2">
      <c r="A83" s="214">
        <f ca="1">TblConstr[[#This Row],[Land]]</f>
        <v>370</v>
      </c>
      <c r="B83" s="142"/>
      <c r="C83" s="94">
        <f ca="1">TblProd[[#This Row],[Platinum]]</f>
        <v>1178374</v>
      </c>
      <c r="D83" s="94">
        <f ca="1">TblProd[[#This Row],[Lumber]]</f>
        <v>61574</v>
      </c>
      <c r="E83" s="94">
        <f ca="1">TblProd[[#This Row],[Ore]]</f>
        <v>0</v>
      </c>
      <c r="F83" s="94">
        <f ca="1">TblProd[[#This Row],[Gems]]</f>
        <v>59250</v>
      </c>
      <c r="G83" s="154"/>
      <c r="H83" s="94">
        <f ca="1">TblMili[[#This Row],[Draftees]]</f>
        <v>3561</v>
      </c>
      <c r="I83" s="180">
        <f ca="1">TblPop[[#This Row],[Employment]]</f>
        <v>1</v>
      </c>
      <c r="J83" s="180">
        <f ca="1">TblPop[[#This Row],[Total]]/TblPop[[#This Row],[Net max]]</f>
        <v>1</v>
      </c>
      <c r="K83" s="283">
        <f>TblRezone[[#This Row],[Hour]]</f>
        <v>80</v>
      </c>
      <c r="L83" s="284">
        <f ca="1">TblImps[[#This Row],[Real time]]</f>
        <v>45818.291666666475</v>
      </c>
      <c r="M83" s="61">
        <f>IF(ISERROR(TblImps[[#This Row],[algorithm]]),0,TblImps[[#This Row],[algorithm]]*1)</f>
        <v>0</v>
      </c>
      <c r="N83" s="94">
        <f ca="1">TblImps[[#This Row],[Land]]</f>
        <v>370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45818.291666666475</v>
      </c>
      <c r="BZ83" s="294">
        <f ca="1">OFFSET(TblImps[[#This Row],[Servertime]],-1,0)+1/24</f>
        <v>45818.291666666475</v>
      </c>
      <c r="CA83" s="57"/>
      <c r="CB83" s="292"/>
      <c r="CC83" s="292"/>
    </row>
    <row r="84" spans="1:84" x14ac:dyDescent="0.2">
      <c r="A84" s="214">
        <f ca="1">TblConstr[[#This Row],[Land]]</f>
        <v>370</v>
      </c>
      <c r="B84" s="142"/>
      <c r="C84" s="94">
        <f ca="1">TblProd[[#This Row],[Platinum]]</f>
        <v>1187892</v>
      </c>
      <c r="D84" s="94">
        <f ca="1">TblProd[[#This Row],[Lumber]]</f>
        <v>61958</v>
      </c>
      <c r="E84" s="94">
        <f ca="1">TblProd[[#This Row],[Ore]]</f>
        <v>0</v>
      </c>
      <c r="F84" s="94">
        <f ca="1">TblProd[[#This Row],[Gems]]</f>
        <v>60000</v>
      </c>
      <c r="G84" s="154"/>
      <c r="H84" s="94">
        <f ca="1">TblMili[[#This Row],[Draftees]]</f>
        <v>3588</v>
      </c>
      <c r="I84" s="180">
        <f ca="1">TblPop[[#This Row],[Employment]]</f>
        <v>1</v>
      </c>
      <c r="J84" s="180">
        <f ca="1">TblPop[[#This Row],[Total]]/TblPop[[#This Row],[Net max]]</f>
        <v>1</v>
      </c>
      <c r="K84" s="283">
        <f>TblRezone[[#This Row],[Hour]]</f>
        <v>81</v>
      </c>
      <c r="L84" s="284">
        <f ca="1">TblImps[[#This Row],[Real time]]</f>
        <v>45818.333333333139</v>
      </c>
      <c r="M84" s="61">
        <f>IF(ISERROR(TblImps[[#This Row],[algorithm]]),0,TblImps[[#This Row],[algorithm]]*1)</f>
        <v>0</v>
      </c>
      <c r="N84" s="94">
        <f ca="1">TblImps[[#This Row],[Land]]</f>
        <v>370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45818.333333333139</v>
      </c>
      <c r="BZ84" s="294">
        <f ca="1">OFFSET(TblImps[[#This Row],[Servertime]],-1,0)+1/24</f>
        <v>45818.333333333139</v>
      </c>
      <c r="CA84" s="57"/>
      <c r="CB84" s="292"/>
      <c r="CC84" s="292"/>
    </row>
    <row r="85" spans="1:84" x14ac:dyDescent="0.2">
      <c r="A85" s="214">
        <f ca="1">TblConstr[[#This Row],[Land]]</f>
        <v>370</v>
      </c>
      <c r="B85" s="142"/>
      <c r="C85" s="94">
        <f ca="1">TblProd[[#This Row],[Platinum]]</f>
        <v>1197337</v>
      </c>
      <c r="D85" s="94">
        <f ca="1">TblProd[[#This Row],[Lumber]]</f>
        <v>62338</v>
      </c>
      <c r="E85" s="94">
        <f ca="1">TblProd[[#This Row],[Ore]]</f>
        <v>0</v>
      </c>
      <c r="F85" s="94">
        <f ca="1">TblProd[[#This Row],[Gems]]</f>
        <v>60750</v>
      </c>
      <c r="G85" s="154"/>
      <c r="H85" s="94">
        <f ca="1">TblMili[[#This Row],[Draftees]]</f>
        <v>3615</v>
      </c>
      <c r="I85" s="180">
        <f ca="1">TblPop[[#This Row],[Employment]]</f>
        <v>1</v>
      </c>
      <c r="J85" s="180">
        <f ca="1">TblPop[[#This Row],[Total]]/TblPop[[#This Row],[Net max]]</f>
        <v>1</v>
      </c>
      <c r="K85" s="283">
        <f>TblRezone[[#This Row],[Hour]]</f>
        <v>82</v>
      </c>
      <c r="L85" s="284">
        <f ca="1">TblImps[[#This Row],[Real time]]</f>
        <v>45818.374999999804</v>
      </c>
      <c r="M85" s="61">
        <f>IF(ISERROR(TblImps[[#This Row],[algorithm]]),0,TblImps[[#This Row],[algorithm]]*1)</f>
        <v>0</v>
      </c>
      <c r="N85" s="94">
        <f ca="1">TblImps[[#This Row],[Land]]</f>
        <v>370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45818.374999999804</v>
      </c>
      <c r="BZ85" s="294">
        <f ca="1">OFFSET(TblImps[[#This Row],[Servertime]],-1,0)+1/24</f>
        <v>45818.374999999804</v>
      </c>
      <c r="CA85" s="57"/>
      <c r="CB85" s="292"/>
      <c r="CC85" s="292"/>
    </row>
    <row r="86" spans="1:84" x14ac:dyDescent="0.2">
      <c r="A86" s="214">
        <f ca="1">TblConstr[[#This Row],[Land]]</f>
        <v>370</v>
      </c>
      <c r="B86" s="142"/>
      <c r="C86" s="94">
        <f ca="1">TblProd[[#This Row],[Platinum]]</f>
        <v>1206709</v>
      </c>
      <c r="D86" s="94">
        <f ca="1">TblProd[[#This Row],[Lumber]]</f>
        <v>62715</v>
      </c>
      <c r="E86" s="94">
        <f ca="1">TblProd[[#This Row],[Ore]]</f>
        <v>0</v>
      </c>
      <c r="F86" s="94">
        <f ca="1">TblProd[[#This Row],[Gems]]</f>
        <v>61500</v>
      </c>
      <c r="G86" s="154"/>
      <c r="H86" s="94">
        <f ca="1">TblMili[[#This Row],[Draftees]]</f>
        <v>3641</v>
      </c>
      <c r="I86" s="180">
        <f ca="1">TblPop[[#This Row],[Employment]]</f>
        <v>1</v>
      </c>
      <c r="J86" s="180">
        <f ca="1">TblPop[[#This Row],[Total]]/TblPop[[#This Row],[Net max]]</f>
        <v>1</v>
      </c>
      <c r="K86" s="283">
        <f>TblRezone[[#This Row],[Hour]]</f>
        <v>83</v>
      </c>
      <c r="L86" s="284">
        <f ca="1">TblImps[[#This Row],[Real time]]</f>
        <v>45818.416666666468</v>
      </c>
      <c r="M86" s="61">
        <f>IF(ISERROR(TblImps[[#This Row],[algorithm]]),0,TblImps[[#This Row],[algorithm]]*1)</f>
        <v>0</v>
      </c>
      <c r="N86" s="94">
        <f ca="1">TblImps[[#This Row],[Land]]</f>
        <v>370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45818.416666666468</v>
      </c>
      <c r="BZ86" s="294">
        <f ca="1">OFFSET(TblImps[[#This Row],[Servertime]],-1,0)+1/24</f>
        <v>45818.416666666468</v>
      </c>
      <c r="CA86" s="57"/>
      <c r="CB86" s="292"/>
      <c r="CC86" s="292"/>
    </row>
    <row r="87" spans="1:84" x14ac:dyDescent="0.2">
      <c r="A87" s="214">
        <f ca="1">TblConstr[[#This Row],[Land]]</f>
        <v>370</v>
      </c>
      <c r="B87" s="142"/>
      <c r="C87" s="94">
        <f ca="1">TblProd[[#This Row],[Platinum]]</f>
        <v>1216011</v>
      </c>
      <c r="D87" s="94">
        <f ca="1">TblProd[[#This Row],[Lumber]]</f>
        <v>63088</v>
      </c>
      <c r="E87" s="94">
        <f ca="1">TblProd[[#This Row],[Ore]]</f>
        <v>0</v>
      </c>
      <c r="F87" s="94">
        <f ca="1">TblProd[[#This Row],[Gems]]</f>
        <v>62250</v>
      </c>
      <c r="G87" s="154"/>
      <c r="H87" s="94">
        <f ca="1">TblMili[[#This Row],[Draftees]]</f>
        <v>3667</v>
      </c>
      <c r="I87" s="180">
        <f ca="1">TblPop[[#This Row],[Employment]]</f>
        <v>1</v>
      </c>
      <c r="J87" s="180">
        <f ca="1">TblPop[[#This Row],[Total]]/TblPop[[#This Row],[Net max]]</f>
        <v>1</v>
      </c>
      <c r="K87" s="283">
        <f>TblRezone[[#This Row],[Hour]]</f>
        <v>84</v>
      </c>
      <c r="L87" s="284">
        <f ca="1">TblImps[[#This Row],[Real time]]</f>
        <v>45818.458333333132</v>
      </c>
      <c r="M87" s="61">
        <f>IF(ISERROR(TblImps[[#This Row],[algorithm]]),0,TblImps[[#This Row],[algorithm]]*1)</f>
        <v>0</v>
      </c>
      <c r="N87" s="94">
        <f ca="1">TblImps[[#This Row],[Land]]</f>
        <v>370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45818.458333333132</v>
      </c>
      <c r="BZ87" s="294">
        <f ca="1">OFFSET(TblImps[[#This Row],[Servertime]],-1,0)+1/24</f>
        <v>45818.458333333132</v>
      </c>
      <c r="CA87" s="57"/>
      <c r="CB87" s="292"/>
      <c r="CC87" s="292"/>
    </row>
    <row r="88" spans="1:84" x14ac:dyDescent="0.2">
      <c r="A88" s="214">
        <f ca="1">TblConstr[[#This Row],[Land]]</f>
        <v>370</v>
      </c>
      <c r="B88" s="142"/>
      <c r="C88" s="94">
        <f ca="1">TblProd[[#This Row],[Platinum]]</f>
        <v>1225243</v>
      </c>
      <c r="D88" s="94">
        <f ca="1">TblProd[[#This Row],[Lumber]]</f>
        <v>63457</v>
      </c>
      <c r="E88" s="94">
        <f ca="1">TblProd[[#This Row],[Ore]]</f>
        <v>0</v>
      </c>
      <c r="F88" s="94">
        <f ca="1">TblProd[[#This Row],[Gems]]</f>
        <v>63000</v>
      </c>
      <c r="G88" s="154"/>
      <c r="H88" s="94">
        <f ca="1">TblMili[[#This Row],[Draftees]]</f>
        <v>3693</v>
      </c>
      <c r="I88" s="180">
        <f ca="1">TblPop[[#This Row],[Employment]]</f>
        <v>1</v>
      </c>
      <c r="J88" s="180">
        <f ca="1">TblPop[[#This Row],[Total]]/TblPop[[#This Row],[Net max]]</f>
        <v>1</v>
      </c>
      <c r="K88" s="283">
        <f>TblRezone[[#This Row],[Hour]]</f>
        <v>85</v>
      </c>
      <c r="L88" s="284">
        <f ca="1">TblImps[[#This Row],[Real time]]</f>
        <v>45818.499999999796</v>
      </c>
      <c r="M88" s="61">
        <f>IF(ISERROR(TblImps[[#This Row],[algorithm]]),0,TblImps[[#This Row],[algorithm]]*1)</f>
        <v>0</v>
      </c>
      <c r="N88" s="94">
        <f ca="1">TblImps[[#This Row],[Land]]</f>
        <v>370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45818.499999999796</v>
      </c>
      <c r="BZ88" s="294">
        <f ca="1">OFFSET(TblImps[[#This Row],[Servertime]],-1,0)+1/24</f>
        <v>45818.499999999796</v>
      </c>
      <c r="CA88" s="57"/>
      <c r="CB88" s="292"/>
      <c r="CC88" s="292"/>
    </row>
    <row r="89" spans="1:84" x14ac:dyDescent="0.2">
      <c r="A89" s="214">
        <f ca="1">TblConstr[[#This Row],[Land]]</f>
        <v>370</v>
      </c>
      <c r="B89" s="142"/>
      <c r="C89" s="94">
        <f ca="1">TblProd[[#This Row],[Platinum]]</f>
        <v>1234405</v>
      </c>
      <c r="D89" s="94">
        <f ca="1">TblProd[[#This Row],[Lumber]]</f>
        <v>63822</v>
      </c>
      <c r="E89" s="94">
        <f ca="1">TblProd[[#This Row],[Ore]]</f>
        <v>0</v>
      </c>
      <c r="F89" s="94">
        <f ca="1">TblProd[[#This Row],[Gems]]</f>
        <v>63750</v>
      </c>
      <c r="G89" s="154"/>
      <c r="H89" s="94">
        <f ca="1">TblMili[[#This Row],[Draftees]]</f>
        <v>3719</v>
      </c>
      <c r="I89" s="180">
        <f ca="1">TblPop[[#This Row],[Employment]]</f>
        <v>1</v>
      </c>
      <c r="J89" s="180">
        <f ca="1">TblPop[[#This Row],[Total]]/TblPop[[#This Row],[Net max]]</f>
        <v>1</v>
      </c>
      <c r="K89" s="283">
        <f>TblRezone[[#This Row],[Hour]]</f>
        <v>86</v>
      </c>
      <c r="L89" s="284">
        <f ca="1">TblImps[[#This Row],[Real time]]</f>
        <v>45818.541666666461</v>
      </c>
      <c r="M89" s="61">
        <f>IF(ISERROR(TblImps[[#This Row],[algorithm]]),0,TblImps[[#This Row],[algorithm]]*1)</f>
        <v>0</v>
      </c>
      <c r="N89" s="94">
        <f ca="1">TblImps[[#This Row],[Land]]</f>
        <v>370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45818.541666666461</v>
      </c>
      <c r="BZ89" s="294">
        <f ca="1">OFFSET(TblImps[[#This Row],[Servertime]],-1,0)+1/24</f>
        <v>45818.541666666461</v>
      </c>
      <c r="CA89" s="57"/>
      <c r="CB89" s="292"/>
      <c r="CC89" s="292"/>
      <c r="CD89" s="159"/>
    </row>
    <row r="90" spans="1:84" x14ac:dyDescent="0.2">
      <c r="A90" s="214">
        <f ca="1">TblConstr[[#This Row],[Land]]</f>
        <v>370</v>
      </c>
      <c r="B90" s="142"/>
      <c r="C90" s="94">
        <f ca="1">TblProd[[#This Row],[Platinum]]</f>
        <v>1243496</v>
      </c>
      <c r="D90" s="94">
        <f ca="1">TblProd[[#This Row],[Lumber]]</f>
        <v>64184</v>
      </c>
      <c r="E90" s="94">
        <f ca="1">TblProd[[#This Row],[Ore]]</f>
        <v>0</v>
      </c>
      <c r="F90" s="94">
        <f ca="1">TblProd[[#This Row],[Gems]]</f>
        <v>64500</v>
      </c>
      <c r="G90" s="154"/>
      <c r="H90" s="94">
        <f ca="1">TblMili[[#This Row],[Draftees]]</f>
        <v>3744</v>
      </c>
      <c r="I90" s="180">
        <f ca="1">TblPop[[#This Row],[Employment]]</f>
        <v>1</v>
      </c>
      <c r="J90" s="180">
        <f ca="1">TblPop[[#This Row],[Total]]/TblPop[[#This Row],[Net max]]</f>
        <v>1</v>
      </c>
      <c r="K90" s="283">
        <f>TblRezone[[#This Row],[Hour]]</f>
        <v>87</v>
      </c>
      <c r="L90" s="284">
        <f ca="1">TblImps[[#This Row],[Real time]]</f>
        <v>45818.583333333125</v>
      </c>
      <c r="M90" s="61">
        <f>IF(ISERROR(TblImps[[#This Row],[algorithm]]),0,TblImps[[#This Row],[algorithm]]*1)</f>
        <v>0</v>
      </c>
      <c r="N90" s="94">
        <f ca="1">TblImps[[#This Row],[Land]]</f>
        <v>370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45818.583333333125</v>
      </c>
      <c r="BZ90" s="294">
        <f ca="1">OFFSET(TblImps[[#This Row],[Servertime]],-1,0)+1/24</f>
        <v>45818.583333333125</v>
      </c>
      <c r="CA90" s="297"/>
      <c r="CB90" s="292"/>
      <c r="CC90" s="292"/>
      <c r="CF90" s="295"/>
    </row>
    <row r="91" spans="1:84" x14ac:dyDescent="0.2">
      <c r="A91" s="214">
        <f ca="1">TblConstr[[#This Row],[Land]]</f>
        <v>370</v>
      </c>
      <c r="B91" s="142"/>
      <c r="C91" s="94">
        <f ca="1">TblProd[[#This Row],[Platinum]]</f>
        <v>1252520</v>
      </c>
      <c r="D91" s="94">
        <f ca="1">TblProd[[#This Row],[Lumber]]</f>
        <v>64542</v>
      </c>
      <c r="E91" s="94">
        <f ca="1">TblProd[[#This Row],[Ore]]</f>
        <v>0</v>
      </c>
      <c r="F91" s="94">
        <f ca="1">TblProd[[#This Row],[Gems]]</f>
        <v>65250</v>
      </c>
      <c r="G91" s="154"/>
      <c r="H91" s="94">
        <f ca="1">TblMili[[#This Row],[Draftees]]</f>
        <v>3769</v>
      </c>
      <c r="I91" s="180">
        <f ca="1">TblPop[[#This Row],[Employment]]</f>
        <v>1</v>
      </c>
      <c r="J91" s="180">
        <f ca="1">TblPop[[#This Row],[Total]]/TblPop[[#This Row],[Net max]]</f>
        <v>1</v>
      </c>
      <c r="K91" s="283">
        <f>TblRezone[[#This Row],[Hour]]</f>
        <v>88</v>
      </c>
      <c r="L91" s="284">
        <f ca="1">TblImps[[#This Row],[Real time]]</f>
        <v>45818.624999999789</v>
      </c>
      <c r="M91" s="61">
        <f>IF(ISERROR(TblImps[[#This Row],[algorithm]]),0,TblImps[[#This Row],[algorithm]]*1)</f>
        <v>0</v>
      </c>
      <c r="N91" s="94">
        <f ca="1">TblImps[[#This Row],[Land]]</f>
        <v>370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45818.624999999789</v>
      </c>
      <c r="BZ91" s="294">
        <f ca="1">OFFSET(TblImps[[#This Row],[Servertime]],-1,0)+1/24</f>
        <v>45818.624999999789</v>
      </c>
      <c r="CA91" s="57"/>
      <c r="CB91" s="292"/>
      <c r="CC91" s="292"/>
      <c r="CF91" s="296"/>
    </row>
    <row r="92" spans="1:84" x14ac:dyDescent="0.2">
      <c r="A92" s="214">
        <f ca="1">TblConstr[[#This Row],[Land]]</f>
        <v>370</v>
      </c>
      <c r="B92" s="142"/>
      <c r="C92" s="94">
        <f ca="1">TblProd[[#This Row],[Platinum]]</f>
        <v>1261476</v>
      </c>
      <c r="D92" s="94">
        <f ca="1">TblProd[[#This Row],[Lumber]]</f>
        <v>64897</v>
      </c>
      <c r="E92" s="94">
        <f ca="1">TblProd[[#This Row],[Ore]]</f>
        <v>0</v>
      </c>
      <c r="F92" s="94">
        <f ca="1">TblProd[[#This Row],[Gems]]</f>
        <v>66000</v>
      </c>
      <c r="G92" s="154"/>
      <c r="H92" s="94">
        <f ca="1">TblMili[[#This Row],[Draftees]]</f>
        <v>3794</v>
      </c>
      <c r="I92" s="180">
        <f ca="1">TblPop[[#This Row],[Employment]]</f>
        <v>1</v>
      </c>
      <c r="J92" s="180">
        <f ca="1">TblPop[[#This Row],[Total]]/TblPop[[#This Row],[Net max]]</f>
        <v>1</v>
      </c>
      <c r="K92" s="283">
        <f>TblRezone[[#This Row],[Hour]]</f>
        <v>89</v>
      </c>
      <c r="L92" s="284">
        <f ca="1">TblImps[[#This Row],[Real time]]</f>
        <v>45818.666666666453</v>
      </c>
      <c r="M92" s="61">
        <f>IF(ISERROR(TblImps[[#This Row],[algorithm]]),0,TblImps[[#This Row],[algorithm]]*1)</f>
        <v>0</v>
      </c>
      <c r="N92" s="94">
        <f ca="1">TblImps[[#This Row],[Land]]</f>
        <v>370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45818.666666666453</v>
      </c>
      <c r="BZ92" s="294">
        <f ca="1">OFFSET(TblImps[[#This Row],[Servertime]],-1,0)+1/24</f>
        <v>45818.666666666453</v>
      </c>
      <c r="CA92" s="57"/>
      <c r="CB92" s="292"/>
      <c r="CC92" s="292"/>
      <c r="CF92" s="295"/>
    </row>
    <row r="93" spans="1:84" x14ac:dyDescent="0.2">
      <c r="A93" s="214">
        <f ca="1">TblConstr[[#This Row],[Land]]</f>
        <v>370</v>
      </c>
      <c r="B93" s="142"/>
      <c r="C93" s="94">
        <f ca="1">TblProd[[#This Row],[Platinum]]</f>
        <v>1270365</v>
      </c>
      <c r="D93" s="94">
        <f ca="1">TblProd[[#This Row],[Lumber]]</f>
        <v>65248</v>
      </c>
      <c r="E93" s="94">
        <f ca="1">TblProd[[#This Row],[Ore]]</f>
        <v>0</v>
      </c>
      <c r="F93" s="94">
        <f ca="1">TblProd[[#This Row],[Gems]]</f>
        <v>66750</v>
      </c>
      <c r="G93" s="154"/>
      <c r="H93" s="94">
        <f ca="1">TblMili[[#This Row],[Draftees]]</f>
        <v>3819</v>
      </c>
      <c r="I93" s="180">
        <f ca="1">TblPop[[#This Row],[Employment]]</f>
        <v>1</v>
      </c>
      <c r="J93" s="180">
        <f ca="1">TblPop[[#This Row],[Total]]/TblPop[[#This Row],[Net max]]</f>
        <v>1</v>
      </c>
      <c r="K93" s="283">
        <f>TblRezone[[#This Row],[Hour]]</f>
        <v>90</v>
      </c>
      <c r="L93" s="284">
        <f ca="1">TblImps[[#This Row],[Real time]]</f>
        <v>45818.708333333117</v>
      </c>
      <c r="M93" s="61">
        <f>IF(ISERROR(TblImps[[#This Row],[algorithm]]),0,TblImps[[#This Row],[algorithm]]*1)</f>
        <v>0</v>
      </c>
      <c r="N93" s="94">
        <f ca="1">TblImps[[#This Row],[Land]]</f>
        <v>370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45818.708333333117</v>
      </c>
      <c r="BZ93" s="294">
        <f ca="1">OFFSET(TblImps[[#This Row],[Servertime]],-1,0)+1/24</f>
        <v>45818.708333333117</v>
      </c>
      <c r="CA93" s="57"/>
      <c r="CB93" s="292"/>
      <c r="CC93" s="292"/>
      <c r="CF93" s="295"/>
    </row>
    <row r="94" spans="1:84" x14ac:dyDescent="0.2">
      <c r="A94" s="214">
        <f ca="1">TblConstr[[#This Row],[Land]]</f>
        <v>370</v>
      </c>
      <c r="B94" s="142"/>
      <c r="C94" s="94">
        <f ca="1">TblProd[[#This Row],[Platinum]]</f>
        <v>1279186</v>
      </c>
      <c r="D94" s="94">
        <f ca="1">TblProd[[#This Row],[Lumber]]</f>
        <v>65596</v>
      </c>
      <c r="E94" s="94">
        <f ca="1">TblProd[[#This Row],[Ore]]</f>
        <v>0</v>
      </c>
      <c r="F94" s="94">
        <f ca="1">TblProd[[#This Row],[Gems]]</f>
        <v>67500</v>
      </c>
      <c r="G94" s="154"/>
      <c r="H94" s="94">
        <f ca="1">TblMili[[#This Row],[Draftees]]</f>
        <v>3843</v>
      </c>
      <c r="I94" s="180">
        <f ca="1">TblPop[[#This Row],[Employment]]</f>
        <v>1</v>
      </c>
      <c r="J94" s="180">
        <f ca="1">TblPop[[#This Row],[Total]]/TblPop[[#This Row],[Net max]]</f>
        <v>1</v>
      </c>
      <c r="K94" s="283">
        <f>TblRezone[[#This Row],[Hour]]</f>
        <v>91</v>
      </c>
      <c r="L94" s="284">
        <f ca="1">TblImps[[#This Row],[Real time]]</f>
        <v>45818.749999999782</v>
      </c>
      <c r="M94" s="61">
        <f>IF(ISERROR(TblImps[[#This Row],[algorithm]]),0,TblImps[[#This Row],[algorithm]]*1)</f>
        <v>0</v>
      </c>
      <c r="N94" s="94">
        <f ca="1">TblImps[[#This Row],[Land]]</f>
        <v>370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45818.749999999782</v>
      </c>
      <c r="BZ94" s="294">
        <f ca="1">OFFSET(TblImps[[#This Row],[Servertime]],-1,0)+1/24</f>
        <v>45818.749999999782</v>
      </c>
      <c r="CA94" s="57"/>
      <c r="CB94" s="292"/>
      <c r="CC94" s="292"/>
    </row>
    <row r="95" spans="1:84" x14ac:dyDescent="0.2">
      <c r="A95" s="214">
        <f ca="1">TblConstr[[#This Row],[Land]]</f>
        <v>370</v>
      </c>
      <c r="B95" s="142"/>
      <c r="C95" s="94">
        <f ca="1">TblProd[[#This Row],[Platinum]]</f>
        <v>1287943</v>
      </c>
      <c r="D95" s="94">
        <f ca="1">TblProd[[#This Row],[Lumber]]</f>
        <v>65940</v>
      </c>
      <c r="E95" s="94">
        <f ca="1">TblProd[[#This Row],[Ore]]</f>
        <v>0</v>
      </c>
      <c r="F95" s="94">
        <f ca="1">TblProd[[#This Row],[Gems]]</f>
        <v>68250</v>
      </c>
      <c r="G95" s="154"/>
      <c r="H95" s="94">
        <f ca="1">TblMili[[#This Row],[Draftees]]</f>
        <v>3867</v>
      </c>
      <c r="I95" s="180">
        <f ca="1">TblPop[[#This Row],[Employment]]</f>
        <v>1</v>
      </c>
      <c r="J95" s="180">
        <f ca="1">TblPop[[#This Row],[Total]]/TblPop[[#This Row],[Net max]]</f>
        <v>1</v>
      </c>
      <c r="K95" s="283">
        <f>TblRezone[[#This Row],[Hour]]</f>
        <v>92</v>
      </c>
      <c r="L95" s="284">
        <f ca="1">TblImps[[#This Row],[Real time]]</f>
        <v>45818.791666666446</v>
      </c>
      <c r="M95" s="61">
        <f>IF(ISERROR(TblImps[[#This Row],[algorithm]]),0,TblImps[[#This Row],[algorithm]]*1)</f>
        <v>0</v>
      </c>
      <c r="N95" s="94">
        <f ca="1">TblImps[[#This Row],[Land]]</f>
        <v>370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45818.791666666446</v>
      </c>
      <c r="BZ95" s="294">
        <f ca="1">OFFSET(TblImps[[#This Row],[Servertime]],-1,0)+1/24</f>
        <v>45818.791666666446</v>
      </c>
      <c r="CA95" s="57"/>
      <c r="CB95" s="292"/>
      <c r="CC95" s="292"/>
    </row>
    <row r="96" spans="1:84" x14ac:dyDescent="0.2">
      <c r="A96" s="214">
        <f ca="1">TblConstr[[#This Row],[Land]]</f>
        <v>370</v>
      </c>
      <c r="B96" s="142"/>
      <c r="C96" s="94">
        <f ca="1">TblProd[[#This Row],[Platinum]]</f>
        <v>1296635</v>
      </c>
      <c r="D96" s="94">
        <f ca="1">TblProd[[#This Row],[Lumber]]</f>
        <v>66281</v>
      </c>
      <c r="E96" s="94">
        <f ca="1">TblProd[[#This Row],[Ore]]</f>
        <v>0</v>
      </c>
      <c r="F96" s="94">
        <f ca="1">TblProd[[#This Row],[Gems]]</f>
        <v>69000</v>
      </c>
      <c r="G96" s="154"/>
      <c r="H96" s="94">
        <f ca="1">TblMili[[#This Row],[Draftees]]</f>
        <v>3891</v>
      </c>
      <c r="I96" s="180">
        <f ca="1">TblPop[[#This Row],[Employment]]</f>
        <v>1</v>
      </c>
      <c r="J96" s="180">
        <f ca="1">TblPop[[#This Row],[Total]]/TblPop[[#This Row],[Net max]]</f>
        <v>1</v>
      </c>
      <c r="K96" s="283">
        <f>TblRezone[[#This Row],[Hour]]</f>
        <v>93</v>
      </c>
      <c r="L96" s="284">
        <f ca="1">TblImps[[#This Row],[Real time]]</f>
        <v>45818.83333333311</v>
      </c>
      <c r="M96" s="61">
        <f>IF(ISERROR(TblImps[[#This Row],[algorithm]]),0,TblImps[[#This Row],[algorithm]]*1)</f>
        <v>0</v>
      </c>
      <c r="N96" s="94">
        <f ca="1">TblImps[[#This Row],[Land]]</f>
        <v>370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45818.83333333311</v>
      </c>
      <c r="BZ96" s="294">
        <f ca="1">OFFSET(TblImps[[#This Row],[Servertime]],-1,0)+1/24</f>
        <v>45818.83333333311</v>
      </c>
      <c r="CA96" s="57"/>
      <c r="CB96" s="292"/>
      <c r="CC96" s="292"/>
    </row>
    <row r="97" spans="1:82" x14ac:dyDescent="0.2">
      <c r="A97" s="214">
        <f ca="1">TblConstr[[#This Row],[Land]]</f>
        <v>370</v>
      </c>
      <c r="B97" s="142"/>
      <c r="C97" s="94">
        <f ca="1">TblProd[[#This Row],[Platinum]]</f>
        <v>1305262</v>
      </c>
      <c r="D97" s="94">
        <f ca="1">TblProd[[#This Row],[Lumber]]</f>
        <v>66618</v>
      </c>
      <c r="E97" s="94">
        <f ca="1">TblProd[[#This Row],[Ore]]</f>
        <v>0</v>
      </c>
      <c r="F97" s="94">
        <f ca="1">TblProd[[#This Row],[Gems]]</f>
        <v>69750</v>
      </c>
      <c r="G97" s="154"/>
      <c r="H97" s="94">
        <f ca="1">TblMili[[#This Row],[Draftees]]</f>
        <v>3915</v>
      </c>
      <c r="I97" s="180">
        <f ca="1">TblPop[[#This Row],[Employment]]</f>
        <v>1</v>
      </c>
      <c r="J97" s="180">
        <f ca="1">TblPop[[#This Row],[Total]]/TblPop[[#This Row],[Net max]]</f>
        <v>1</v>
      </c>
      <c r="K97" s="283">
        <f>TblRezone[[#This Row],[Hour]]</f>
        <v>94</v>
      </c>
      <c r="L97" s="284">
        <f ca="1">TblImps[[#This Row],[Real time]]</f>
        <v>45818.874999999774</v>
      </c>
      <c r="M97" s="61">
        <f>IF(ISERROR(TblImps[[#This Row],[algorithm]]),0,TblImps[[#This Row],[algorithm]]*1)</f>
        <v>0</v>
      </c>
      <c r="N97" s="94">
        <f ca="1">TblImps[[#This Row],[Land]]</f>
        <v>370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45818.874999999774</v>
      </c>
      <c r="BZ97" s="294">
        <f ca="1">OFFSET(TblImps[[#This Row],[Servertime]],-1,0)+1/24</f>
        <v>45818.874999999774</v>
      </c>
      <c r="CA97" s="57"/>
      <c r="CB97" s="292"/>
      <c r="CC97" s="292"/>
    </row>
    <row r="98" spans="1:82" x14ac:dyDescent="0.2">
      <c r="A98" s="214">
        <f ca="1">TblConstr[[#This Row],[Land]]</f>
        <v>370</v>
      </c>
      <c r="B98" s="142"/>
      <c r="C98" s="94">
        <f ca="1">TblProd[[#This Row],[Platinum]]</f>
        <v>1313824</v>
      </c>
      <c r="D98" s="94">
        <f ca="1">TblProd[[#This Row],[Lumber]]</f>
        <v>66952</v>
      </c>
      <c r="E98" s="94">
        <f ca="1">TblProd[[#This Row],[Ore]]</f>
        <v>0</v>
      </c>
      <c r="F98" s="94">
        <f ca="1">TblProd[[#This Row],[Gems]]</f>
        <v>70500</v>
      </c>
      <c r="G98" s="154"/>
      <c r="H98" s="94">
        <f ca="1">TblMili[[#This Row],[Draftees]]</f>
        <v>3938</v>
      </c>
      <c r="I98" s="180">
        <f ca="1">TblPop[[#This Row],[Employment]]</f>
        <v>1</v>
      </c>
      <c r="J98" s="180">
        <f ca="1">TblPop[[#This Row],[Total]]/TblPop[[#This Row],[Net max]]</f>
        <v>1</v>
      </c>
      <c r="K98" s="283">
        <f>TblRezone[[#This Row],[Hour]]</f>
        <v>95</v>
      </c>
      <c r="L98" s="284">
        <f ca="1">TblImps[[#This Row],[Real time]]</f>
        <v>45818.916666666439</v>
      </c>
      <c r="M98" s="61">
        <f>IF(ISERROR(TblImps[[#This Row],[algorithm]]),0,TblImps[[#This Row],[algorithm]]*1)</f>
        <v>0</v>
      </c>
      <c r="N98" s="94">
        <f ca="1">TblImps[[#This Row],[Land]]</f>
        <v>370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45818.916666666439</v>
      </c>
      <c r="BZ98" s="294">
        <f ca="1">OFFSET(TblImps[[#This Row],[Servertime]],-1,0)+1/24</f>
        <v>45818.916666666439</v>
      </c>
      <c r="CA98" s="57"/>
      <c r="CB98" s="292"/>
      <c r="CC98" s="292"/>
    </row>
    <row r="99" spans="1:82" x14ac:dyDescent="0.2">
      <c r="A99" s="214">
        <f ca="1">TblConstr[[#This Row],[Land]]</f>
        <v>370</v>
      </c>
      <c r="B99" s="142"/>
      <c r="C99" s="94">
        <f ca="1">TblProd[[#This Row],[Platinum]]</f>
        <v>1322324</v>
      </c>
      <c r="D99" s="94">
        <f ca="1">TblProd[[#This Row],[Lumber]]</f>
        <v>67282</v>
      </c>
      <c r="E99" s="94">
        <f ca="1">TblProd[[#This Row],[Ore]]</f>
        <v>0</v>
      </c>
      <c r="F99" s="94">
        <f ca="1">TblProd[[#This Row],[Gems]]</f>
        <v>71250</v>
      </c>
      <c r="G99" s="154"/>
      <c r="H99" s="94">
        <f ca="1">TblMili[[#This Row],[Draftees]]</f>
        <v>3961</v>
      </c>
      <c r="I99" s="180">
        <f ca="1">TblPop[[#This Row],[Employment]]</f>
        <v>1</v>
      </c>
      <c r="J99" s="180">
        <f ca="1">TblPop[[#This Row],[Total]]/TblPop[[#This Row],[Net max]]</f>
        <v>1</v>
      </c>
      <c r="K99" s="283">
        <f>TblRezone[[#This Row],[Hour]]</f>
        <v>96</v>
      </c>
      <c r="L99" s="284">
        <f ca="1">TblImps[[#This Row],[Real time]]</f>
        <v>45818.958333333103</v>
      </c>
      <c r="M99" s="61">
        <f>IF(ISERROR(TblImps[[#This Row],[algorithm]]),0,TblImps[[#This Row],[algorithm]]*1)</f>
        <v>0</v>
      </c>
      <c r="N99" s="94">
        <f ca="1">TblImps[[#This Row],[Land]]</f>
        <v>370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45818.958333333103</v>
      </c>
      <c r="BZ99" s="294">
        <f ca="1">OFFSET(TblImps[[#This Row],[Servertime]],-1,0)+1/24</f>
        <v>45818.958333333103</v>
      </c>
      <c r="CA99" s="57"/>
      <c r="CB99" s="292"/>
      <c r="CC99" s="292"/>
    </row>
    <row r="100" spans="1:82" x14ac:dyDescent="0.2">
      <c r="A100" s="214">
        <f ca="1">TblConstr[[#This Row],[Land]]</f>
        <v>370</v>
      </c>
      <c r="B100" s="142"/>
      <c r="C100" s="94">
        <f ca="1">TblProd[[#This Row],[Platinum]]</f>
        <v>1330762</v>
      </c>
      <c r="D100" s="94">
        <f ca="1">TblProd[[#This Row],[Lumber]]</f>
        <v>67609</v>
      </c>
      <c r="E100" s="94">
        <f ca="1">TblProd[[#This Row],[Ore]]</f>
        <v>0</v>
      </c>
      <c r="F100" s="94">
        <f ca="1">TblProd[[#This Row],[Gems]]</f>
        <v>72000</v>
      </c>
      <c r="G100" s="154"/>
      <c r="H100" s="94">
        <f ca="1">TblMili[[#This Row],[Draftees]]</f>
        <v>3984</v>
      </c>
      <c r="I100" s="180">
        <f ca="1">TblPop[[#This Row],[Employment]]</f>
        <v>1</v>
      </c>
      <c r="J100" s="180">
        <f ca="1">TblPop[[#This Row],[Total]]/TblPop[[#This Row],[Net max]]</f>
        <v>1</v>
      </c>
      <c r="K100" s="283">
        <f>TblRezone[[#This Row],[Hour]]</f>
        <v>97</v>
      </c>
      <c r="L100" s="284">
        <f ca="1">TblImps[[#This Row],[Real time]]</f>
        <v>45818.999999999767</v>
      </c>
      <c r="M100" s="61">
        <f>IF(ISERROR(TblImps[[#This Row],[algorithm]]),0,TblImps[[#This Row],[algorithm]]*1)</f>
        <v>0</v>
      </c>
      <c r="N100" s="94">
        <f ca="1">TblImps[[#This Row],[Land]]</f>
        <v>370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45818.999999999767</v>
      </c>
      <c r="BZ100" s="294">
        <f ca="1">OFFSET(TblImps[[#This Row],[Servertime]],-1,0)+1/24</f>
        <v>45818.999999999767</v>
      </c>
      <c r="CA100" s="57"/>
      <c r="CB100" s="292"/>
      <c r="CC100" s="292"/>
    </row>
    <row r="101" spans="1:82" x14ac:dyDescent="0.2">
      <c r="A101" s="214">
        <f ca="1">TblConstr[[#This Row],[Land]]</f>
        <v>370</v>
      </c>
      <c r="B101" s="142"/>
      <c r="C101" s="94">
        <f ca="1">TblProd[[#This Row],[Platinum]]</f>
        <v>1339138</v>
      </c>
      <c r="D101" s="94">
        <f ca="1">TblProd[[#This Row],[Lumber]]</f>
        <v>67933</v>
      </c>
      <c r="E101" s="94">
        <f ca="1">TblProd[[#This Row],[Ore]]</f>
        <v>0</v>
      </c>
      <c r="F101" s="94">
        <f ca="1">TblProd[[#This Row],[Gems]]</f>
        <v>72750</v>
      </c>
      <c r="G101" s="154"/>
      <c r="H101" s="94">
        <f ca="1">TblMili[[#This Row],[Draftees]]</f>
        <v>4007</v>
      </c>
      <c r="I101" s="180">
        <f ca="1">TblPop[[#This Row],[Employment]]</f>
        <v>1</v>
      </c>
      <c r="J101" s="180">
        <f ca="1">TblPop[[#This Row],[Total]]/TblPop[[#This Row],[Net max]]</f>
        <v>1</v>
      </c>
      <c r="K101" s="283">
        <f>TblRezone[[#This Row],[Hour]]</f>
        <v>98</v>
      </c>
      <c r="L101" s="284">
        <f ca="1">TblImps[[#This Row],[Real time]]</f>
        <v>45819.041666666431</v>
      </c>
      <c r="M101" s="61">
        <f>IF(ISERROR(TblImps[[#This Row],[algorithm]]),0,TblImps[[#This Row],[algorithm]]*1)</f>
        <v>0</v>
      </c>
      <c r="N101" s="94">
        <f ca="1">TblImps[[#This Row],[Land]]</f>
        <v>370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45819.041666666431</v>
      </c>
      <c r="BZ101" s="294">
        <f ca="1">OFFSET(TblImps[[#This Row],[Servertime]],-1,0)+1/24</f>
        <v>45819.041666666431</v>
      </c>
      <c r="CA101" s="57"/>
      <c r="CB101" s="292"/>
      <c r="CC101" s="292"/>
    </row>
    <row r="102" spans="1:82" x14ac:dyDescent="0.2">
      <c r="A102" s="214">
        <f ca="1">TblConstr[[#This Row],[Land]]</f>
        <v>370</v>
      </c>
      <c r="B102" s="142"/>
      <c r="C102" s="94">
        <f ca="1">TblProd[[#This Row],[Platinum]]</f>
        <v>1347452</v>
      </c>
      <c r="D102" s="94">
        <f ca="1">TblProd[[#This Row],[Lumber]]</f>
        <v>68254</v>
      </c>
      <c r="E102" s="94">
        <f ca="1">TblProd[[#This Row],[Ore]]</f>
        <v>0</v>
      </c>
      <c r="F102" s="94">
        <f ca="1">TblProd[[#This Row],[Gems]]</f>
        <v>73500</v>
      </c>
      <c r="G102" s="154"/>
      <c r="H102" s="94">
        <f ca="1">TblMili[[#This Row],[Draftees]]</f>
        <v>4029</v>
      </c>
      <c r="I102" s="180">
        <f ca="1">TblPop[[#This Row],[Employment]]</f>
        <v>1</v>
      </c>
      <c r="J102" s="180">
        <f ca="1">TblPop[[#This Row],[Total]]/TblPop[[#This Row],[Net max]]</f>
        <v>1</v>
      </c>
      <c r="K102" s="283">
        <f>TblRezone[[#This Row],[Hour]]</f>
        <v>99</v>
      </c>
      <c r="L102" s="284">
        <f ca="1">TblImps[[#This Row],[Real time]]</f>
        <v>45819.083333333096</v>
      </c>
      <c r="M102" s="61">
        <f>IF(ISERROR(TblImps[[#This Row],[algorithm]]),0,TblImps[[#This Row],[algorithm]]*1)</f>
        <v>0</v>
      </c>
      <c r="N102" s="94">
        <f ca="1">TblImps[[#This Row],[Land]]</f>
        <v>370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45819.083333333096</v>
      </c>
      <c r="BZ102" s="294">
        <f ca="1">OFFSET(TblImps[[#This Row],[Servertime]],-1,0)+1/24</f>
        <v>45819.083333333096</v>
      </c>
      <c r="CA102" s="57"/>
      <c r="CB102" s="292"/>
      <c r="CC102" s="292"/>
      <c r="CD102" s="45" t="s">
        <v>4</v>
      </c>
    </row>
    <row r="103" spans="1:82" x14ac:dyDescent="0.2">
      <c r="A103" s="214">
        <f ca="1">TblConstr[[#This Row],[Land]]</f>
        <v>370</v>
      </c>
      <c r="B103" s="142"/>
      <c r="C103" s="94">
        <f ca="1">TblProd[[#This Row],[Platinum]]</f>
        <v>1355706</v>
      </c>
      <c r="D103" s="94">
        <f ca="1">TblProd[[#This Row],[Lumber]]</f>
        <v>68571</v>
      </c>
      <c r="E103" s="94">
        <f ca="1">TblProd[[#This Row],[Ore]]</f>
        <v>0</v>
      </c>
      <c r="F103" s="94">
        <f ca="1">TblProd[[#This Row],[Gems]]</f>
        <v>74250</v>
      </c>
      <c r="G103" s="154"/>
      <c r="H103" s="94">
        <f ca="1">TblMili[[#This Row],[Draftees]]</f>
        <v>4051</v>
      </c>
      <c r="I103" s="180">
        <f ca="1">TblPop[[#This Row],[Employment]]</f>
        <v>1</v>
      </c>
      <c r="J103" s="180">
        <f ca="1">TblPop[[#This Row],[Total]]/TblPop[[#This Row],[Net max]]</f>
        <v>1</v>
      </c>
      <c r="K103" s="283">
        <f>TblRezone[[#This Row],[Hour]]</f>
        <v>100</v>
      </c>
      <c r="L103" s="284">
        <f ca="1">TblImps[[#This Row],[Real time]]</f>
        <v>45819.12499999976</v>
      </c>
      <c r="M103" s="61">
        <f>IF(ISERROR(TblImps[[#This Row],[algorithm]]),0,TblImps[[#This Row],[algorithm]]*1)</f>
        <v>0</v>
      </c>
      <c r="N103" s="94">
        <f ca="1">TblImps[[#This Row],[Land]]</f>
        <v>370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45819.12499999976</v>
      </c>
      <c r="BZ103" s="294">
        <f ca="1">OFFSET(TblImps[[#This Row],[Servertime]],-1,0)+1/24</f>
        <v>45819.12499999976</v>
      </c>
      <c r="CA103" s="57"/>
      <c r="CB103" s="292"/>
      <c r="CC103" s="292"/>
      <c r="CD103" s="45" t="s">
        <v>7</v>
      </c>
    </row>
    <row r="104" spans="1:82" x14ac:dyDescent="0.2">
      <c r="A104" s="214">
        <f ca="1">TblConstr[[#This Row],[Land]]</f>
        <v>370</v>
      </c>
      <c r="B104" s="142"/>
      <c r="C104" s="94">
        <f ca="1">TblProd[[#This Row],[Platinum]]</f>
        <v>1363901</v>
      </c>
      <c r="D104" s="94">
        <f ca="1">TblProd[[#This Row],[Lumber]]</f>
        <v>68885</v>
      </c>
      <c r="E104" s="94">
        <f ca="1">TblProd[[#This Row],[Ore]]</f>
        <v>0</v>
      </c>
      <c r="F104" s="94">
        <f ca="1">TblProd[[#This Row],[Gems]]</f>
        <v>75000</v>
      </c>
      <c r="G104" s="154"/>
      <c r="H104" s="94">
        <f ca="1">TblMili[[#This Row],[Draftees]]</f>
        <v>4073</v>
      </c>
      <c r="I104" s="180">
        <f ca="1">TblPop[[#This Row],[Employment]]</f>
        <v>1</v>
      </c>
      <c r="J104" s="180">
        <f ca="1">TblPop[[#This Row],[Total]]/TblPop[[#This Row],[Net max]]</f>
        <v>1</v>
      </c>
      <c r="K104" s="283">
        <f>TblRezone[[#This Row],[Hour]]</f>
        <v>101</v>
      </c>
      <c r="L104" s="284">
        <f ca="1">TblImps[[#This Row],[Real time]]</f>
        <v>45819.166666666424</v>
      </c>
      <c r="M104" s="61">
        <f>IF(ISERROR(TblImps[[#This Row],[algorithm]]),0,TblImps[[#This Row],[algorithm]]*1)</f>
        <v>0</v>
      </c>
      <c r="N104" s="94">
        <f ca="1">TblImps[[#This Row],[Land]]</f>
        <v>370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45819.166666666424</v>
      </c>
      <c r="BZ104" s="294">
        <f ca="1">OFFSET(TblImps[[#This Row],[Servertime]],-1,0)+1/24</f>
        <v>45819.166666666424</v>
      </c>
      <c r="CA104" s="57"/>
      <c r="CB104" s="292"/>
      <c r="CC104" s="292"/>
      <c r="CD104" s="45" t="s">
        <v>3</v>
      </c>
    </row>
    <row r="105" spans="1:82" x14ac:dyDescent="0.2">
      <c r="A105" s="214">
        <f ca="1">TblConstr[[#This Row],[Land]]</f>
        <v>370</v>
      </c>
      <c r="B105" s="142"/>
      <c r="C105" s="94">
        <f ca="1">TblProd[[#This Row],[Platinum]]</f>
        <v>1372037</v>
      </c>
      <c r="D105" s="94">
        <f ca="1">TblProd[[#This Row],[Lumber]]</f>
        <v>69196</v>
      </c>
      <c r="E105" s="94">
        <f ca="1">TblProd[[#This Row],[Ore]]</f>
        <v>0</v>
      </c>
      <c r="F105" s="94">
        <f ca="1">TblProd[[#This Row],[Gems]]</f>
        <v>75750</v>
      </c>
      <c r="G105" s="154"/>
      <c r="H105" s="94">
        <f ca="1">TblMili[[#This Row],[Draftees]]</f>
        <v>4095</v>
      </c>
      <c r="I105" s="180">
        <f ca="1">TblPop[[#This Row],[Employment]]</f>
        <v>1</v>
      </c>
      <c r="J105" s="180">
        <f ca="1">TblPop[[#This Row],[Total]]/TblPop[[#This Row],[Net max]]</f>
        <v>1</v>
      </c>
      <c r="K105" s="283">
        <f>TblRezone[[#This Row],[Hour]]</f>
        <v>102</v>
      </c>
      <c r="L105" s="284">
        <f ca="1">TblImps[[#This Row],[Real time]]</f>
        <v>45819.208333333088</v>
      </c>
      <c r="M105" s="61">
        <f>IF(ISERROR(TblImps[[#This Row],[algorithm]]),0,TblImps[[#This Row],[algorithm]]*1)</f>
        <v>0</v>
      </c>
      <c r="N105" s="94">
        <f ca="1">TblImps[[#This Row],[Land]]</f>
        <v>370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45819.208333333088</v>
      </c>
      <c r="BZ105" s="294">
        <f ca="1">OFFSET(TblImps[[#This Row],[Servertime]],-1,0)+1/24</f>
        <v>45819.208333333088</v>
      </c>
      <c r="CA105" s="57"/>
      <c r="CB105" s="292"/>
      <c r="CC105" s="292"/>
      <c r="CD105" s="45" t="s">
        <v>2</v>
      </c>
    </row>
    <row r="106" spans="1:82" x14ac:dyDescent="0.2">
      <c r="A106" s="214">
        <f ca="1">TblConstr[[#This Row],[Land]]</f>
        <v>370</v>
      </c>
      <c r="B106" s="142"/>
      <c r="C106" s="94">
        <f ca="1">TblProd[[#This Row],[Platinum]]</f>
        <v>1380113</v>
      </c>
      <c r="D106" s="94">
        <f ca="1">TblProd[[#This Row],[Lumber]]</f>
        <v>69504</v>
      </c>
      <c r="E106" s="94">
        <f ca="1">TblProd[[#This Row],[Ore]]</f>
        <v>0</v>
      </c>
      <c r="F106" s="94">
        <f ca="1">TblProd[[#This Row],[Gems]]</f>
        <v>76500</v>
      </c>
      <c r="G106" s="154"/>
      <c r="H106" s="94">
        <f ca="1">TblMili[[#This Row],[Draftees]]</f>
        <v>4117</v>
      </c>
      <c r="I106" s="180">
        <f ca="1">TblPop[[#This Row],[Employment]]</f>
        <v>1</v>
      </c>
      <c r="J106" s="180">
        <f ca="1">TblPop[[#This Row],[Total]]/TblPop[[#This Row],[Net max]]</f>
        <v>1</v>
      </c>
      <c r="K106" s="283">
        <f>TblRezone[[#This Row],[Hour]]</f>
        <v>103</v>
      </c>
      <c r="L106" s="284">
        <f ca="1">TblImps[[#This Row],[Real time]]</f>
        <v>45819.249999999753</v>
      </c>
      <c r="M106" s="61">
        <f>IF(ISERROR(TblImps[[#This Row],[algorithm]]),0,TblImps[[#This Row],[algorithm]]*1)</f>
        <v>0</v>
      </c>
      <c r="N106" s="94">
        <f ca="1">TblImps[[#This Row],[Land]]</f>
        <v>370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45819.249999999753</v>
      </c>
      <c r="BZ106" s="294">
        <f ca="1">OFFSET(TblImps[[#This Row],[Servertime]],-1,0)+1/24</f>
        <v>45819.249999999753</v>
      </c>
      <c r="CA106" s="57"/>
      <c r="CB106" s="292"/>
      <c r="CC106" s="292"/>
    </row>
    <row r="107" spans="1:82" x14ac:dyDescent="0.2">
      <c r="A107" s="214">
        <f ca="1">TblConstr[[#This Row],[Land]]</f>
        <v>370</v>
      </c>
      <c r="B107" s="142"/>
      <c r="C107" s="94">
        <f ca="1">TblProd[[#This Row],[Platinum]]</f>
        <v>1388130</v>
      </c>
      <c r="D107" s="94">
        <f ca="1">TblProd[[#This Row],[Lumber]]</f>
        <v>69809</v>
      </c>
      <c r="E107" s="94">
        <f ca="1">TblProd[[#This Row],[Ore]]</f>
        <v>0</v>
      </c>
      <c r="F107" s="94">
        <f ca="1">TblProd[[#This Row],[Gems]]</f>
        <v>77250</v>
      </c>
      <c r="G107" s="154"/>
      <c r="H107" s="94">
        <f ca="1">TblMili[[#This Row],[Draftees]]</f>
        <v>4138</v>
      </c>
      <c r="I107" s="180">
        <f ca="1">TblPop[[#This Row],[Employment]]</f>
        <v>1</v>
      </c>
      <c r="J107" s="180">
        <f ca="1">TblPop[[#This Row],[Total]]/TblPop[[#This Row],[Net max]]</f>
        <v>1</v>
      </c>
      <c r="K107" s="283">
        <f>TblRezone[[#This Row],[Hour]]</f>
        <v>104</v>
      </c>
      <c r="L107" s="284">
        <f ca="1">TblImps[[#This Row],[Real time]]</f>
        <v>45819.291666666417</v>
      </c>
      <c r="M107" s="61">
        <f>IF(ISERROR(TblImps[[#This Row],[algorithm]]),0,TblImps[[#This Row],[algorithm]]*1)</f>
        <v>0</v>
      </c>
      <c r="N107" s="94">
        <f ca="1">TblImps[[#This Row],[Land]]</f>
        <v>370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45819.291666666417</v>
      </c>
      <c r="BZ107" s="294">
        <f ca="1">OFFSET(TblImps[[#This Row],[Servertime]],-1,0)+1/24</f>
        <v>45819.291666666417</v>
      </c>
      <c r="CA107" s="57"/>
      <c r="CB107" s="292"/>
      <c r="CC107" s="292"/>
      <c r="CD107" s="45" t="s">
        <v>208</v>
      </c>
    </row>
    <row r="108" spans="1:82" x14ac:dyDescent="0.2">
      <c r="A108" s="214">
        <f ca="1">TblConstr[[#This Row],[Land]]</f>
        <v>370</v>
      </c>
      <c r="B108" s="142"/>
      <c r="C108" s="94">
        <f ca="1">TblProd[[#This Row],[Platinum]]</f>
        <v>1396090</v>
      </c>
      <c r="D108" s="94">
        <f ca="1">TblProd[[#This Row],[Lumber]]</f>
        <v>70111</v>
      </c>
      <c r="E108" s="94">
        <f ca="1">TblProd[[#This Row],[Ore]]</f>
        <v>0</v>
      </c>
      <c r="F108" s="94">
        <f ca="1">TblProd[[#This Row],[Gems]]</f>
        <v>78000</v>
      </c>
      <c r="G108" s="154"/>
      <c r="H108" s="94">
        <f ca="1">TblMili[[#This Row],[Draftees]]</f>
        <v>4159</v>
      </c>
      <c r="I108" s="180">
        <f ca="1">TblPop[[#This Row],[Employment]]</f>
        <v>1</v>
      </c>
      <c r="J108" s="180">
        <f ca="1">TblPop[[#This Row],[Total]]/TblPop[[#This Row],[Net max]]</f>
        <v>1</v>
      </c>
      <c r="K108" s="283">
        <f>TblRezone[[#This Row],[Hour]]</f>
        <v>105</v>
      </c>
      <c r="L108" s="284">
        <f ca="1">TblImps[[#This Row],[Real time]]</f>
        <v>45819.333333333081</v>
      </c>
      <c r="M108" s="61">
        <f>IF(ISERROR(TblImps[[#This Row],[algorithm]]),0,TblImps[[#This Row],[algorithm]]*1)</f>
        <v>0</v>
      </c>
      <c r="N108" s="94">
        <f ca="1">TblImps[[#This Row],[Land]]</f>
        <v>370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45819.333333333081</v>
      </c>
      <c r="BZ108" s="294">
        <f ca="1">OFFSET(TblImps[[#This Row],[Servertime]],-1,0)+1/24</f>
        <v>45819.333333333081</v>
      </c>
      <c r="CA108" s="57"/>
      <c r="CB108" s="292"/>
      <c r="CC108" s="292"/>
      <c r="CD108" s="45" t="s">
        <v>210</v>
      </c>
    </row>
    <row r="109" spans="1:82" x14ac:dyDescent="0.2">
      <c r="A109" s="214">
        <f ca="1">TblConstr[[#This Row],[Land]]</f>
        <v>370</v>
      </c>
      <c r="B109" s="142"/>
      <c r="C109" s="94">
        <f ca="1">TblProd[[#This Row],[Platinum]]</f>
        <v>1403993</v>
      </c>
      <c r="D109" s="94">
        <f ca="1">TblProd[[#This Row],[Lumber]]</f>
        <v>70410</v>
      </c>
      <c r="E109" s="94">
        <f ca="1">TblProd[[#This Row],[Ore]]</f>
        <v>0</v>
      </c>
      <c r="F109" s="94">
        <f ca="1">TblProd[[#This Row],[Gems]]</f>
        <v>78750</v>
      </c>
      <c r="G109" s="154"/>
      <c r="H109" s="94">
        <f ca="1">TblMili[[#This Row],[Draftees]]</f>
        <v>4180</v>
      </c>
      <c r="I109" s="180">
        <f ca="1">TblPop[[#This Row],[Employment]]</f>
        <v>1</v>
      </c>
      <c r="J109" s="180">
        <f ca="1">TblPop[[#This Row],[Total]]/TblPop[[#This Row],[Net max]]</f>
        <v>1</v>
      </c>
      <c r="K109" s="283">
        <f>TblRezone[[#This Row],[Hour]]</f>
        <v>106</v>
      </c>
      <c r="L109" s="284">
        <f ca="1">TblImps[[#This Row],[Real time]]</f>
        <v>45819.374999999745</v>
      </c>
      <c r="M109" s="61">
        <f>IF(ISERROR(TblImps[[#This Row],[algorithm]]),0,TblImps[[#This Row],[algorithm]]*1)</f>
        <v>0</v>
      </c>
      <c r="N109" s="94">
        <f ca="1">TblImps[[#This Row],[Land]]</f>
        <v>370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45819.374999999745</v>
      </c>
      <c r="BZ109" s="294">
        <f ca="1">OFFSET(TblImps[[#This Row],[Servertime]],-1,0)+1/24</f>
        <v>45819.374999999745</v>
      </c>
      <c r="CA109" s="57"/>
      <c r="CB109" s="292"/>
      <c r="CC109" s="292"/>
      <c r="CD109" s="45" t="s">
        <v>211</v>
      </c>
    </row>
    <row r="110" spans="1:82" x14ac:dyDescent="0.2">
      <c r="A110" s="214">
        <f ca="1">TblConstr[[#This Row],[Land]]</f>
        <v>370</v>
      </c>
      <c r="B110" s="142"/>
      <c r="C110" s="94">
        <f ca="1">TblProd[[#This Row],[Platinum]]</f>
        <v>1411840</v>
      </c>
      <c r="D110" s="94">
        <f ca="1">TblProd[[#This Row],[Lumber]]</f>
        <v>70706</v>
      </c>
      <c r="E110" s="94">
        <f ca="1">TblProd[[#This Row],[Ore]]</f>
        <v>0</v>
      </c>
      <c r="F110" s="94">
        <f ca="1">TblProd[[#This Row],[Gems]]</f>
        <v>79500</v>
      </c>
      <c r="G110" s="154"/>
      <c r="H110" s="94">
        <f ca="1">TblMili[[#This Row],[Draftees]]</f>
        <v>4201</v>
      </c>
      <c r="I110" s="180">
        <f ca="1">TblPop[[#This Row],[Employment]]</f>
        <v>1</v>
      </c>
      <c r="J110" s="180">
        <f ca="1">TblPop[[#This Row],[Total]]/TblPop[[#This Row],[Net max]]</f>
        <v>1</v>
      </c>
      <c r="K110" s="283">
        <f>TblRezone[[#This Row],[Hour]]</f>
        <v>107</v>
      </c>
      <c r="L110" s="284">
        <f ca="1">TblImps[[#This Row],[Real time]]</f>
        <v>45819.41666666641</v>
      </c>
      <c r="M110" s="61">
        <f>IF(ISERROR(TblImps[[#This Row],[algorithm]]),0,TblImps[[#This Row],[algorithm]]*1)</f>
        <v>0</v>
      </c>
      <c r="N110" s="94">
        <f ca="1">TblImps[[#This Row],[Land]]</f>
        <v>370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45819.41666666641</v>
      </c>
      <c r="BZ110" s="294">
        <f ca="1">OFFSET(TblImps[[#This Row],[Servertime]],-1,0)+1/24</f>
        <v>45819.41666666641</v>
      </c>
      <c r="CA110" s="57"/>
      <c r="CB110" s="292"/>
      <c r="CC110" s="292"/>
      <c r="CD110" s="45" t="s">
        <v>212</v>
      </c>
    </row>
    <row r="111" spans="1:82" x14ac:dyDescent="0.2">
      <c r="A111" s="214">
        <f ca="1">TblConstr[[#This Row],[Land]]</f>
        <v>370</v>
      </c>
      <c r="B111" s="142"/>
      <c r="C111" s="94">
        <f ca="1">TblProd[[#This Row],[Platinum]]</f>
        <v>1419630</v>
      </c>
      <c r="D111" s="94">
        <f ca="1">TblProd[[#This Row],[Lumber]]</f>
        <v>70999</v>
      </c>
      <c r="E111" s="94">
        <f ca="1">TblProd[[#This Row],[Ore]]</f>
        <v>0</v>
      </c>
      <c r="F111" s="94">
        <f ca="1">TblProd[[#This Row],[Gems]]</f>
        <v>80250</v>
      </c>
      <c r="G111" s="154"/>
      <c r="H111" s="94">
        <f ca="1">TblMili[[#This Row],[Draftees]]</f>
        <v>4222</v>
      </c>
      <c r="I111" s="180">
        <f ca="1">TblPop[[#This Row],[Employment]]</f>
        <v>1</v>
      </c>
      <c r="J111" s="180">
        <f ca="1">TblPop[[#This Row],[Total]]/TblPop[[#This Row],[Net max]]</f>
        <v>1</v>
      </c>
      <c r="K111" s="283">
        <f>TblRezone[[#This Row],[Hour]]</f>
        <v>108</v>
      </c>
      <c r="L111" s="284">
        <f ca="1">TblImps[[#This Row],[Real time]]</f>
        <v>45819.458333333074</v>
      </c>
      <c r="M111" s="61">
        <f>IF(ISERROR(TblImps[[#This Row],[algorithm]]),0,TblImps[[#This Row],[algorithm]]*1)</f>
        <v>0</v>
      </c>
      <c r="N111" s="94">
        <f ca="1">TblImps[[#This Row],[Land]]</f>
        <v>370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45819.458333333074</v>
      </c>
      <c r="BZ111" s="294">
        <f ca="1">OFFSET(TblImps[[#This Row],[Servertime]],-1,0)+1/24</f>
        <v>45819.458333333074</v>
      </c>
      <c r="CA111" s="57"/>
      <c r="CB111" s="292"/>
      <c r="CC111" s="292"/>
      <c r="CD111" s="45" t="s">
        <v>213</v>
      </c>
    </row>
    <row r="112" spans="1:82" x14ac:dyDescent="0.2">
      <c r="A112" s="214">
        <f ca="1">TblConstr[[#This Row],[Land]]</f>
        <v>370</v>
      </c>
      <c r="B112" s="142"/>
      <c r="C112" s="94">
        <f ca="1">TblProd[[#This Row],[Platinum]]</f>
        <v>1427363</v>
      </c>
      <c r="D112" s="94">
        <f ca="1">TblProd[[#This Row],[Lumber]]</f>
        <v>71289</v>
      </c>
      <c r="E112" s="94">
        <f ca="1">TblProd[[#This Row],[Ore]]</f>
        <v>0</v>
      </c>
      <c r="F112" s="94">
        <f ca="1">TblProd[[#This Row],[Gems]]</f>
        <v>81000</v>
      </c>
      <c r="G112" s="154"/>
      <c r="H112" s="94">
        <f ca="1">TblMili[[#This Row],[Draftees]]</f>
        <v>4242</v>
      </c>
      <c r="I112" s="180">
        <f ca="1">TblPop[[#This Row],[Employment]]</f>
        <v>1</v>
      </c>
      <c r="J112" s="180">
        <f ca="1">TblPop[[#This Row],[Total]]/TblPop[[#This Row],[Net max]]</f>
        <v>1</v>
      </c>
      <c r="K112" s="283">
        <f>TblRezone[[#This Row],[Hour]]</f>
        <v>109</v>
      </c>
      <c r="L112" s="284">
        <f ca="1">TblImps[[#This Row],[Real time]]</f>
        <v>45819.499999999738</v>
      </c>
      <c r="M112" s="61">
        <f>IF(ISERROR(TblImps[[#This Row],[algorithm]]),0,TblImps[[#This Row],[algorithm]]*1)</f>
        <v>0</v>
      </c>
      <c r="N112" s="94">
        <f ca="1">TblImps[[#This Row],[Land]]</f>
        <v>370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45819.499999999738</v>
      </c>
      <c r="BZ112" s="294">
        <f ca="1">OFFSET(TblImps[[#This Row],[Servertime]],-1,0)+1/24</f>
        <v>45819.499999999738</v>
      </c>
      <c r="CA112" s="57"/>
      <c r="CB112" s="292"/>
      <c r="CC112" s="292"/>
      <c r="CD112" s="45" t="s">
        <v>214</v>
      </c>
    </row>
    <row r="113" spans="1:81" x14ac:dyDescent="0.2">
      <c r="A113" s="214">
        <f ca="1">TblConstr[[#This Row],[Land]]</f>
        <v>370</v>
      </c>
      <c r="B113" s="142"/>
      <c r="C113" s="94">
        <f ca="1">TblProd[[#This Row],[Platinum]]</f>
        <v>1435042</v>
      </c>
      <c r="D113" s="94">
        <f ca="1">TblProd[[#This Row],[Lumber]]</f>
        <v>71576</v>
      </c>
      <c r="E113" s="94">
        <f ca="1">TblProd[[#This Row],[Ore]]</f>
        <v>0</v>
      </c>
      <c r="F113" s="94">
        <f ca="1">TblProd[[#This Row],[Gems]]</f>
        <v>81750</v>
      </c>
      <c r="G113" s="154"/>
      <c r="H113" s="94">
        <f ca="1">TblMili[[#This Row],[Draftees]]</f>
        <v>4262</v>
      </c>
      <c r="I113" s="180">
        <f ca="1">TblPop[[#This Row],[Employment]]</f>
        <v>1</v>
      </c>
      <c r="J113" s="180">
        <f ca="1">TblPop[[#This Row],[Total]]/TblPop[[#This Row],[Net max]]</f>
        <v>1</v>
      </c>
      <c r="K113" s="283">
        <f>TblRezone[[#This Row],[Hour]]</f>
        <v>110</v>
      </c>
      <c r="L113" s="284">
        <f ca="1">TblImps[[#This Row],[Real time]]</f>
        <v>45819.541666666402</v>
      </c>
      <c r="M113" s="61">
        <f>IF(ISERROR(TblImps[[#This Row],[algorithm]]),0,TblImps[[#This Row],[algorithm]]*1)</f>
        <v>0</v>
      </c>
      <c r="N113" s="94">
        <f ca="1">TblImps[[#This Row],[Land]]</f>
        <v>370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45819.541666666402</v>
      </c>
      <c r="BZ113" s="294">
        <f ca="1">OFFSET(TblImps[[#This Row],[Servertime]],-1,0)+1/24</f>
        <v>45819.541666666402</v>
      </c>
      <c r="CA113" s="57"/>
      <c r="CB113" s="292"/>
      <c r="CC113" s="292"/>
    </row>
    <row r="114" spans="1:81" x14ac:dyDescent="0.2">
      <c r="A114" s="214">
        <f ca="1">TblConstr[[#This Row],[Land]]</f>
        <v>370</v>
      </c>
      <c r="B114" s="142"/>
      <c r="C114" s="94">
        <f ca="1">TblProd[[#This Row],[Platinum]]</f>
        <v>1442667</v>
      </c>
      <c r="D114" s="94">
        <f ca="1">TblProd[[#This Row],[Lumber]]</f>
        <v>71860</v>
      </c>
      <c r="E114" s="94">
        <f ca="1">TblProd[[#This Row],[Ore]]</f>
        <v>0</v>
      </c>
      <c r="F114" s="94">
        <f ca="1">TblProd[[#This Row],[Gems]]</f>
        <v>82500</v>
      </c>
      <c r="G114" s="154"/>
      <c r="H114" s="94">
        <f ca="1">TblMili[[#This Row],[Draftees]]</f>
        <v>4282</v>
      </c>
      <c r="I114" s="180">
        <f ca="1">TblPop[[#This Row],[Employment]]</f>
        <v>1</v>
      </c>
      <c r="J114" s="180">
        <f ca="1">TblPop[[#This Row],[Total]]/TblPop[[#This Row],[Net max]]</f>
        <v>1</v>
      </c>
      <c r="K114" s="283">
        <f>TblRezone[[#This Row],[Hour]]</f>
        <v>111</v>
      </c>
      <c r="L114" s="284">
        <f ca="1">TblImps[[#This Row],[Real time]]</f>
        <v>45819.583333333067</v>
      </c>
      <c r="M114" s="61">
        <f>IF(ISERROR(TblImps[[#This Row],[algorithm]]),0,TblImps[[#This Row],[algorithm]]*1)</f>
        <v>0</v>
      </c>
      <c r="N114" s="94">
        <f ca="1">TblImps[[#This Row],[Land]]</f>
        <v>370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45819.583333333067</v>
      </c>
      <c r="BZ114" s="294">
        <f ca="1">OFFSET(TblImps[[#This Row],[Servertime]],-1,0)+1/24</f>
        <v>45819.583333333067</v>
      </c>
      <c r="CA114" s="297"/>
      <c r="CB114" s="292"/>
      <c r="CC114" s="292"/>
    </row>
    <row r="115" spans="1:81" x14ac:dyDescent="0.2">
      <c r="A115" s="214">
        <f ca="1">TblConstr[[#This Row],[Land]]</f>
        <v>370</v>
      </c>
      <c r="B115" s="142"/>
      <c r="C115" s="94">
        <f ca="1">TblProd[[#This Row],[Platinum]]</f>
        <v>1450238</v>
      </c>
      <c r="D115" s="94">
        <f ca="1">TblProd[[#This Row],[Lumber]]</f>
        <v>72141</v>
      </c>
      <c r="E115" s="94">
        <f ca="1">TblProd[[#This Row],[Ore]]</f>
        <v>0</v>
      </c>
      <c r="F115" s="94">
        <f ca="1">TblProd[[#This Row],[Gems]]</f>
        <v>83250</v>
      </c>
      <c r="G115" s="154"/>
      <c r="H115" s="94">
        <f ca="1">TblMili[[#This Row],[Draftees]]</f>
        <v>4302</v>
      </c>
      <c r="I115" s="180">
        <f ca="1">TblPop[[#This Row],[Employment]]</f>
        <v>1</v>
      </c>
      <c r="J115" s="180">
        <f ca="1">TblPop[[#This Row],[Total]]/TblPop[[#This Row],[Net max]]</f>
        <v>1</v>
      </c>
      <c r="K115" s="283">
        <f>TblRezone[[#This Row],[Hour]]</f>
        <v>112</v>
      </c>
      <c r="L115" s="284">
        <f ca="1">TblImps[[#This Row],[Real time]]</f>
        <v>45819.624999999731</v>
      </c>
      <c r="M115" s="61">
        <f>IF(ISERROR(TblImps[[#This Row],[algorithm]]),0,TblImps[[#This Row],[algorithm]]*1)</f>
        <v>0</v>
      </c>
      <c r="N115" s="94">
        <f ca="1">TblImps[[#This Row],[Land]]</f>
        <v>370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45819.624999999731</v>
      </c>
      <c r="BZ115" s="294">
        <f ca="1">OFFSET(TblImps[[#This Row],[Servertime]],-1,0)+1/24</f>
        <v>45819.624999999731</v>
      </c>
      <c r="CA115" s="57"/>
      <c r="CB115" s="292"/>
      <c r="CC115" s="292"/>
    </row>
    <row r="116" spans="1:81" x14ac:dyDescent="0.2">
      <c r="A116" s="214">
        <f ca="1">TblConstr[[#This Row],[Land]]</f>
        <v>370</v>
      </c>
      <c r="B116" s="142"/>
      <c r="C116" s="94">
        <f ca="1">TblProd[[#This Row],[Platinum]]</f>
        <v>1457755</v>
      </c>
      <c r="D116" s="94">
        <f ca="1">TblProd[[#This Row],[Lumber]]</f>
        <v>72420</v>
      </c>
      <c r="E116" s="94">
        <f ca="1">TblProd[[#This Row],[Ore]]</f>
        <v>0</v>
      </c>
      <c r="F116" s="94">
        <f ca="1">TblProd[[#This Row],[Gems]]</f>
        <v>84000</v>
      </c>
      <c r="G116" s="154"/>
      <c r="H116" s="94">
        <f ca="1">TblMili[[#This Row],[Draftees]]</f>
        <v>4322</v>
      </c>
      <c r="I116" s="180">
        <f ca="1">TblPop[[#This Row],[Employment]]</f>
        <v>1</v>
      </c>
      <c r="J116" s="180">
        <f ca="1">TblPop[[#This Row],[Total]]/TblPop[[#This Row],[Net max]]</f>
        <v>1</v>
      </c>
      <c r="K116" s="283">
        <f>TblRezone[[#This Row],[Hour]]</f>
        <v>113</v>
      </c>
      <c r="L116" s="284">
        <f ca="1">TblImps[[#This Row],[Real time]]</f>
        <v>45819.666666666395</v>
      </c>
      <c r="M116" s="61">
        <f>IF(ISERROR(TblImps[[#This Row],[algorithm]]),0,TblImps[[#This Row],[algorithm]]*1)</f>
        <v>0</v>
      </c>
      <c r="N116" s="94">
        <f ca="1">TblImps[[#This Row],[Land]]</f>
        <v>370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45819.666666666395</v>
      </c>
      <c r="BZ116" s="294">
        <f ca="1">OFFSET(TblImps[[#This Row],[Servertime]],-1,0)+1/24</f>
        <v>45819.666666666395</v>
      </c>
      <c r="CA116" s="57"/>
      <c r="CB116" s="292"/>
      <c r="CC116" s="292"/>
    </row>
    <row r="117" spans="1:81" x14ac:dyDescent="0.2">
      <c r="A117" s="214">
        <f ca="1">TblConstr[[#This Row],[Land]]</f>
        <v>370</v>
      </c>
      <c r="B117" s="142"/>
      <c r="C117" s="94">
        <f ca="1">TblProd[[#This Row],[Platinum]]</f>
        <v>1465218</v>
      </c>
      <c r="D117" s="94">
        <f ca="1">TblProd[[#This Row],[Lumber]]</f>
        <v>72696</v>
      </c>
      <c r="E117" s="94">
        <f ca="1">TblProd[[#This Row],[Ore]]</f>
        <v>0</v>
      </c>
      <c r="F117" s="94">
        <f ca="1">TblProd[[#This Row],[Gems]]</f>
        <v>84750</v>
      </c>
      <c r="G117" s="154"/>
      <c r="H117" s="94">
        <f ca="1">TblMili[[#This Row],[Draftees]]</f>
        <v>4341</v>
      </c>
      <c r="I117" s="180">
        <f ca="1">TblPop[[#This Row],[Employment]]</f>
        <v>1</v>
      </c>
      <c r="J117" s="180">
        <f ca="1">TblPop[[#This Row],[Total]]/TblPop[[#This Row],[Net max]]</f>
        <v>1</v>
      </c>
      <c r="K117" s="283">
        <f>TblRezone[[#This Row],[Hour]]</f>
        <v>114</v>
      </c>
      <c r="L117" s="284">
        <f ca="1">TblImps[[#This Row],[Real time]]</f>
        <v>45819.708333333059</v>
      </c>
      <c r="M117" s="61">
        <f>IF(ISERROR(TblImps[[#This Row],[algorithm]]),0,TblImps[[#This Row],[algorithm]]*1)</f>
        <v>0</v>
      </c>
      <c r="N117" s="94">
        <f ca="1">TblImps[[#This Row],[Land]]</f>
        <v>370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45819.708333333059</v>
      </c>
      <c r="BZ117" s="294">
        <f ca="1">OFFSET(TblImps[[#This Row],[Servertime]],-1,0)+1/24</f>
        <v>45819.708333333059</v>
      </c>
      <c r="CA117" s="57"/>
      <c r="CB117" s="292"/>
      <c r="CC117" s="292"/>
    </row>
    <row r="118" spans="1:81" x14ac:dyDescent="0.2">
      <c r="A118" s="214">
        <f ca="1">TblConstr[[#This Row],[Land]]</f>
        <v>370</v>
      </c>
      <c r="B118" s="142"/>
      <c r="C118" s="94">
        <f ca="1">TblProd[[#This Row],[Platinum]]</f>
        <v>1472630</v>
      </c>
      <c r="D118" s="94">
        <f ca="1">TblProd[[#This Row],[Lumber]]</f>
        <v>72969</v>
      </c>
      <c r="E118" s="94">
        <f ca="1">TblProd[[#This Row],[Ore]]</f>
        <v>0</v>
      </c>
      <c r="F118" s="94">
        <f ca="1">TblProd[[#This Row],[Gems]]</f>
        <v>85500</v>
      </c>
      <c r="G118" s="154"/>
      <c r="H118" s="94">
        <f ca="1">TblMili[[#This Row],[Draftees]]</f>
        <v>4360</v>
      </c>
      <c r="I118" s="180">
        <f ca="1">TblPop[[#This Row],[Employment]]</f>
        <v>1</v>
      </c>
      <c r="J118" s="180">
        <f ca="1">TblPop[[#This Row],[Total]]/TblPop[[#This Row],[Net max]]</f>
        <v>1</v>
      </c>
      <c r="K118" s="283">
        <f>TblRezone[[#This Row],[Hour]]</f>
        <v>115</v>
      </c>
      <c r="L118" s="284">
        <f ca="1">TblImps[[#This Row],[Real time]]</f>
        <v>45819.749999999724</v>
      </c>
      <c r="M118" s="61">
        <f>IF(ISERROR(TblImps[[#This Row],[algorithm]]),0,TblImps[[#This Row],[algorithm]]*1)</f>
        <v>0</v>
      </c>
      <c r="N118" s="94">
        <f ca="1">TblImps[[#This Row],[Land]]</f>
        <v>370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45819.749999999724</v>
      </c>
      <c r="BZ118" s="294">
        <f ca="1">OFFSET(TblImps[[#This Row],[Servertime]],-1,0)+1/24</f>
        <v>45819.749999999724</v>
      </c>
      <c r="CA118" s="57"/>
      <c r="CB118" s="292"/>
      <c r="CC118" s="292"/>
    </row>
    <row r="119" spans="1:81" x14ac:dyDescent="0.2">
      <c r="A119" s="214">
        <f ca="1">TblConstr[[#This Row],[Land]]</f>
        <v>370</v>
      </c>
      <c r="B119" s="142"/>
      <c r="C119" s="94">
        <f ca="1">TblProd[[#This Row],[Platinum]]</f>
        <v>1479991</v>
      </c>
      <c r="D119" s="94">
        <f ca="1">TblProd[[#This Row],[Lumber]]</f>
        <v>73239</v>
      </c>
      <c r="E119" s="94">
        <f ca="1">TblProd[[#This Row],[Ore]]</f>
        <v>0</v>
      </c>
      <c r="F119" s="94">
        <f ca="1">TblProd[[#This Row],[Gems]]</f>
        <v>86250</v>
      </c>
      <c r="G119" s="154"/>
      <c r="H119" s="94">
        <f ca="1">TblMili[[#This Row],[Draftees]]</f>
        <v>4379</v>
      </c>
      <c r="I119" s="180">
        <f ca="1">TblPop[[#This Row],[Employment]]</f>
        <v>1</v>
      </c>
      <c r="J119" s="180">
        <f ca="1">TblPop[[#This Row],[Total]]/TblPop[[#This Row],[Net max]]</f>
        <v>1</v>
      </c>
      <c r="K119" s="283">
        <f>TblRezone[[#This Row],[Hour]]</f>
        <v>116</v>
      </c>
      <c r="L119" s="284">
        <f ca="1">TblImps[[#This Row],[Real time]]</f>
        <v>45819.791666666388</v>
      </c>
      <c r="M119" s="61">
        <f>IF(ISERROR(TblImps[[#This Row],[algorithm]]),0,TblImps[[#This Row],[algorithm]]*1)</f>
        <v>0</v>
      </c>
      <c r="N119" s="94">
        <f ca="1">TblImps[[#This Row],[Land]]</f>
        <v>370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45819.791666666388</v>
      </c>
      <c r="BZ119" s="294">
        <f ca="1">OFFSET(TblImps[[#This Row],[Servertime]],-1,0)+1/24</f>
        <v>45819.791666666388</v>
      </c>
      <c r="CA119" s="57"/>
      <c r="CB119" s="292"/>
      <c r="CC119" s="292"/>
    </row>
    <row r="120" spans="1:81" x14ac:dyDescent="0.2">
      <c r="A120" s="214">
        <f ca="1">TblConstr[[#This Row],[Land]]</f>
        <v>370</v>
      </c>
      <c r="B120" s="142"/>
      <c r="C120" s="94">
        <f ca="1">TblProd[[#This Row],[Platinum]]</f>
        <v>1487300</v>
      </c>
      <c r="D120" s="94">
        <f ca="1">TblProd[[#This Row],[Lumber]]</f>
        <v>73507</v>
      </c>
      <c r="E120" s="94">
        <f ca="1">TblProd[[#This Row],[Ore]]</f>
        <v>0</v>
      </c>
      <c r="F120" s="94">
        <f ca="1">TblProd[[#This Row],[Gems]]</f>
        <v>87000</v>
      </c>
      <c r="G120" s="154"/>
      <c r="H120" s="94">
        <f ca="1">TblMili[[#This Row],[Draftees]]</f>
        <v>4398</v>
      </c>
      <c r="I120" s="180">
        <f ca="1">TblPop[[#This Row],[Employment]]</f>
        <v>1</v>
      </c>
      <c r="J120" s="180">
        <f ca="1">TblPop[[#This Row],[Total]]/TblPop[[#This Row],[Net max]]</f>
        <v>1</v>
      </c>
      <c r="K120" s="283">
        <f>TblRezone[[#This Row],[Hour]]</f>
        <v>117</v>
      </c>
      <c r="L120" s="284">
        <f ca="1">TblImps[[#This Row],[Real time]]</f>
        <v>45819.833333333052</v>
      </c>
      <c r="M120" s="61">
        <f>IF(ISERROR(TblImps[[#This Row],[algorithm]]),0,TblImps[[#This Row],[algorithm]]*1)</f>
        <v>0</v>
      </c>
      <c r="N120" s="94">
        <f ca="1">TblImps[[#This Row],[Land]]</f>
        <v>370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45819.833333333052</v>
      </c>
      <c r="BZ120" s="294">
        <f ca="1">OFFSET(TblImps[[#This Row],[Servertime]],-1,0)+1/24</f>
        <v>45819.833333333052</v>
      </c>
      <c r="CA120" s="57"/>
      <c r="CB120" s="292"/>
      <c r="CC120" s="292"/>
    </row>
    <row r="121" spans="1:81" x14ac:dyDescent="0.2">
      <c r="A121" s="214">
        <f ca="1">TblConstr[[#This Row],[Land]]</f>
        <v>370</v>
      </c>
      <c r="B121" s="142"/>
      <c r="C121" s="94">
        <f ca="1">TblProd[[#This Row],[Platinum]]</f>
        <v>1494558</v>
      </c>
      <c r="D121" s="94">
        <f ca="1">TblProd[[#This Row],[Lumber]]</f>
        <v>73772</v>
      </c>
      <c r="E121" s="94">
        <f ca="1">TblProd[[#This Row],[Ore]]</f>
        <v>0</v>
      </c>
      <c r="F121" s="94">
        <f ca="1">TblProd[[#This Row],[Gems]]</f>
        <v>87750</v>
      </c>
      <c r="G121" s="154"/>
      <c r="H121" s="94">
        <f ca="1">TblMili[[#This Row],[Draftees]]</f>
        <v>4417</v>
      </c>
      <c r="I121" s="180">
        <f ca="1">TblPop[[#This Row],[Employment]]</f>
        <v>1</v>
      </c>
      <c r="J121" s="180">
        <f ca="1">TblPop[[#This Row],[Total]]/TblPop[[#This Row],[Net max]]</f>
        <v>1</v>
      </c>
      <c r="K121" s="283">
        <f>TblRezone[[#This Row],[Hour]]</f>
        <v>118</v>
      </c>
      <c r="L121" s="284">
        <f ca="1">TblImps[[#This Row],[Real time]]</f>
        <v>45819.874999999716</v>
      </c>
      <c r="M121" s="61">
        <f>IF(ISERROR(TblImps[[#This Row],[algorithm]]),0,TblImps[[#This Row],[algorithm]]*1)</f>
        <v>0</v>
      </c>
      <c r="N121" s="94">
        <f ca="1">TblImps[[#This Row],[Land]]</f>
        <v>370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45819.874999999716</v>
      </c>
      <c r="BZ121" s="294">
        <f ca="1">OFFSET(TblImps[[#This Row],[Servertime]],-1,0)+1/24</f>
        <v>45819.874999999716</v>
      </c>
      <c r="CA121" s="57"/>
      <c r="CB121" s="292"/>
      <c r="CC121" s="292"/>
    </row>
    <row r="122" spans="1:81" x14ac:dyDescent="0.2">
      <c r="A122" s="214">
        <f ca="1">TblConstr[[#This Row],[Land]]</f>
        <v>370</v>
      </c>
      <c r="B122" s="142"/>
      <c r="C122" s="94">
        <f ca="1">TblProd[[#This Row],[Platinum]]</f>
        <v>1501765</v>
      </c>
      <c r="D122" s="94">
        <f ca="1">TblProd[[#This Row],[Lumber]]</f>
        <v>74034</v>
      </c>
      <c r="E122" s="94">
        <f ca="1">TblProd[[#This Row],[Ore]]</f>
        <v>0</v>
      </c>
      <c r="F122" s="94">
        <f ca="1">TblProd[[#This Row],[Gems]]</f>
        <v>88500</v>
      </c>
      <c r="G122" s="154"/>
      <c r="H122" s="94">
        <f ca="1">TblMili[[#This Row],[Draftees]]</f>
        <v>4435</v>
      </c>
      <c r="I122" s="180">
        <f ca="1">TblPop[[#This Row],[Employment]]</f>
        <v>1</v>
      </c>
      <c r="J122" s="180">
        <f ca="1">TblPop[[#This Row],[Total]]/TblPop[[#This Row],[Net max]]</f>
        <v>1</v>
      </c>
      <c r="K122" s="283">
        <f>TblRezone[[#This Row],[Hour]]</f>
        <v>119</v>
      </c>
      <c r="L122" s="284">
        <f ca="1">TblImps[[#This Row],[Real time]]</f>
        <v>45819.91666666638</v>
      </c>
      <c r="M122" s="61">
        <f>IF(ISERROR(TblImps[[#This Row],[algorithm]]),0,TblImps[[#This Row],[algorithm]]*1)</f>
        <v>0</v>
      </c>
      <c r="N122" s="94">
        <f ca="1">TblImps[[#This Row],[Land]]</f>
        <v>370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45819.91666666638</v>
      </c>
      <c r="BZ122" s="294">
        <f ca="1">OFFSET(TblImps[[#This Row],[Servertime]],-1,0)+1/24</f>
        <v>45819.91666666638</v>
      </c>
      <c r="CA122" s="57"/>
      <c r="CB122" s="292"/>
      <c r="CC122" s="292"/>
    </row>
    <row r="123" spans="1:81" x14ac:dyDescent="0.2">
      <c r="A123" s="214">
        <f ca="1">TblConstr[[#This Row],[Land]]</f>
        <v>370</v>
      </c>
      <c r="B123" s="142"/>
      <c r="C123" s="94">
        <f ca="1">TblProd[[#This Row],[Platinum]]</f>
        <v>1508923</v>
      </c>
      <c r="D123" s="94">
        <f ca="1">TblProd[[#This Row],[Lumber]]</f>
        <v>74294</v>
      </c>
      <c r="E123" s="94">
        <f ca="1">TblProd[[#This Row],[Ore]]</f>
        <v>0</v>
      </c>
      <c r="F123" s="94">
        <f ca="1">TblProd[[#This Row],[Gems]]</f>
        <v>89250</v>
      </c>
      <c r="G123" s="154"/>
      <c r="H123" s="94">
        <f ca="1">TblMili[[#This Row],[Draftees]]</f>
        <v>4453</v>
      </c>
      <c r="I123" s="180">
        <f ca="1">TblPop[[#This Row],[Employment]]</f>
        <v>1</v>
      </c>
      <c r="J123" s="180">
        <f ca="1">TblPop[[#This Row],[Total]]/TblPop[[#This Row],[Net max]]</f>
        <v>1</v>
      </c>
      <c r="K123" s="283">
        <f>TblRezone[[#This Row],[Hour]]</f>
        <v>120</v>
      </c>
      <c r="L123" s="284">
        <f ca="1">TblImps[[#This Row],[Real time]]</f>
        <v>45819.958333333045</v>
      </c>
      <c r="M123" s="61">
        <f>IF(ISERROR(TblImps[[#This Row],[algorithm]]),0,TblImps[[#This Row],[algorithm]]*1)</f>
        <v>0</v>
      </c>
      <c r="N123" s="94">
        <f ca="1">TblImps[[#This Row],[Land]]</f>
        <v>370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45819.958333333045</v>
      </c>
      <c r="BZ123" s="294">
        <f ca="1">OFFSET(TblImps[[#This Row],[Servertime]],-1,0)+1/24</f>
        <v>45819.958333333045</v>
      </c>
      <c r="CA123" s="57"/>
      <c r="CB123" s="292"/>
      <c r="CC123" s="292"/>
    </row>
    <row r="124" spans="1:81" x14ac:dyDescent="0.2">
      <c r="A124" s="214">
        <f ca="1">TblConstr[[#This Row],[Land]]</f>
        <v>370</v>
      </c>
      <c r="B124" s="142"/>
      <c r="C124" s="94">
        <f ca="1">TblProd[[#This Row],[Platinum]]</f>
        <v>1516033</v>
      </c>
      <c r="D124" s="94">
        <f ca="1">TblProd[[#This Row],[Lumber]]</f>
        <v>74551</v>
      </c>
      <c r="E124" s="94">
        <f ca="1">TblProd[[#This Row],[Ore]]</f>
        <v>0</v>
      </c>
      <c r="F124" s="94">
        <f ca="1">TblProd[[#This Row],[Gems]]</f>
        <v>90000</v>
      </c>
      <c r="G124" s="154"/>
      <c r="H124" s="94">
        <f ca="1">TblMili[[#This Row],[Draftees]]</f>
        <v>4471</v>
      </c>
      <c r="I124" s="180">
        <f ca="1">TblPop[[#This Row],[Employment]]</f>
        <v>1</v>
      </c>
      <c r="J124" s="180">
        <f ca="1">TblPop[[#This Row],[Total]]/TblPop[[#This Row],[Net max]]</f>
        <v>1</v>
      </c>
      <c r="K124" s="283">
        <f>TblRezone[[#This Row],[Hour]]</f>
        <v>121</v>
      </c>
      <c r="L124" s="284">
        <f ca="1">TblImps[[#This Row],[Real time]]</f>
        <v>45819.999999999709</v>
      </c>
      <c r="M124" s="61">
        <f>IF(ISERROR(TblImps[[#This Row],[algorithm]]),0,TblImps[[#This Row],[algorithm]]*1)</f>
        <v>0</v>
      </c>
      <c r="N124" s="94">
        <f ca="1">TblImps[[#This Row],[Land]]</f>
        <v>370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45819.999999999709</v>
      </c>
      <c r="BZ124" s="294">
        <f ca="1">OFFSET(TblImps[[#This Row],[Servertime]],-1,0)+1/24</f>
        <v>45819.999999999709</v>
      </c>
      <c r="CA124" s="57"/>
      <c r="CB124" s="292"/>
      <c r="CC124" s="292"/>
    </row>
    <row r="125" spans="1:81" x14ac:dyDescent="0.2">
      <c r="A125" s="214">
        <f ca="1">TblConstr[[#This Row],[Land]]</f>
        <v>370</v>
      </c>
      <c r="B125" s="142"/>
      <c r="C125" s="94">
        <f ca="1">TblProd[[#This Row],[Platinum]]</f>
        <v>1523094</v>
      </c>
      <c r="D125" s="94">
        <f ca="1">TblProd[[#This Row],[Lumber]]</f>
        <v>74805</v>
      </c>
      <c r="E125" s="94">
        <f ca="1">TblProd[[#This Row],[Ore]]</f>
        <v>0</v>
      </c>
      <c r="F125" s="94">
        <f ca="1">TblProd[[#This Row],[Gems]]</f>
        <v>90750</v>
      </c>
      <c r="G125" s="154"/>
      <c r="H125" s="94">
        <f ca="1">TblMili[[#This Row],[Draftees]]</f>
        <v>4489</v>
      </c>
      <c r="I125" s="180">
        <f ca="1">TblPop[[#This Row],[Employment]]</f>
        <v>1</v>
      </c>
      <c r="J125" s="180">
        <f ca="1">TblPop[[#This Row],[Total]]/TblPop[[#This Row],[Net max]]</f>
        <v>1</v>
      </c>
      <c r="K125" s="283">
        <f>TblRezone[[#This Row],[Hour]]</f>
        <v>122</v>
      </c>
      <c r="L125" s="284">
        <f ca="1">TblImps[[#This Row],[Real time]]</f>
        <v>45820.041666666373</v>
      </c>
      <c r="M125" s="61">
        <f>IF(ISERROR(TblImps[[#This Row],[algorithm]]),0,TblImps[[#This Row],[algorithm]]*1)</f>
        <v>0</v>
      </c>
      <c r="N125" s="94">
        <f ca="1">TblImps[[#This Row],[Land]]</f>
        <v>370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45820.041666666373</v>
      </c>
      <c r="BZ125" s="294">
        <f ca="1">OFFSET(TblImps[[#This Row],[Servertime]],-1,0)+1/24</f>
        <v>45820.041666666373</v>
      </c>
      <c r="CA125" s="57"/>
      <c r="CB125" s="292"/>
      <c r="CC125" s="292"/>
    </row>
    <row r="126" spans="1:81" x14ac:dyDescent="0.2">
      <c r="A126" s="214">
        <f ca="1">TblConstr[[#This Row],[Land]]</f>
        <v>370</v>
      </c>
      <c r="B126" s="142"/>
      <c r="C126" s="94">
        <f ca="1">TblProd[[#This Row],[Platinum]]</f>
        <v>1530106</v>
      </c>
      <c r="D126" s="94">
        <f ca="1">TblProd[[#This Row],[Lumber]]</f>
        <v>75057</v>
      </c>
      <c r="E126" s="94">
        <f ca="1">TblProd[[#This Row],[Ore]]</f>
        <v>0</v>
      </c>
      <c r="F126" s="94">
        <f ca="1">TblProd[[#This Row],[Gems]]</f>
        <v>91500</v>
      </c>
      <c r="G126" s="154"/>
      <c r="H126" s="94">
        <f ca="1">TblMili[[#This Row],[Draftees]]</f>
        <v>4507</v>
      </c>
      <c r="I126" s="180">
        <f ca="1">TblPop[[#This Row],[Employment]]</f>
        <v>1</v>
      </c>
      <c r="J126" s="180">
        <f ca="1">TblPop[[#This Row],[Total]]/TblPop[[#This Row],[Net max]]</f>
        <v>1</v>
      </c>
      <c r="K126" s="283">
        <f>TblRezone[[#This Row],[Hour]]</f>
        <v>123</v>
      </c>
      <c r="L126" s="284">
        <f ca="1">TblImps[[#This Row],[Real time]]</f>
        <v>45820.083333333037</v>
      </c>
      <c r="M126" s="61">
        <f>IF(ISERROR(TblImps[[#This Row],[algorithm]]),0,TblImps[[#This Row],[algorithm]]*1)</f>
        <v>0</v>
      </c>
      <c r="N126" s="94">
        <f ca="1">TblImps[[#This Row],[Land]]</f>
        <v>370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45820.083333333037</v>
      </c>
      <c r="BZ126" s="294">
        <f ca="1">OFFSET(TblImps[[#This Row],[Servertime]],-1,0)+1/24</f>
        <v>45820.083333333037</v>
      </c>
      <c r="CA126" s="57"/>
      <c r="CB126" s="292"/>
      <c r="CC126" s="292"/>
    </row>
    <row r="127" spans="1:81" x14ac:dyDescent="0.2">
      <c r="A127" s="214">
        <f ca="1">TblConstr[[#This Row],[Land]]</f>
        <v>370</v>
      </c>
      <c r="B127" s="142"/>
      <c r="C127" s="94">
        <f ca="1">TblProd[[#This Row],[Platinum]]</f>
        <v>1537070</v>
      </c>
      <c r="D127" s="94">
        <f ca="1">TblProd[[#This Row],[Lumber]]</f>
        <v>75306</v>
      </c>
      <c r="E127" s="94">
        <f ca="1">TblProd[[#This Row],[Ore]]</f>
        <v>0</v>
      </c>
      <c r="F127" s="94">
        <f ca="1">TblProd[[#This Row],[Gems]]</f>
        <v>92250</v>
      </c>
      <c r="G127" s="154"/>
      <c r="H127" s="94">
        <f ca="1">TblMili[[#This Row],[Draftees]]</f>
        <v>4524</v>
      </c>
      <c r="I127" s="180">
        <f ca="1">TblPop[[#This Row],[Employment]]</f>
        <v>1</v>
      </c>
      <c r="J127" s="180">
        <f ca="1">TblPop[[#This Row],[Total]]/TblPop[[#This Row],[Net max]]</f>
        <v>1</v>
      </c>
      <c r="K127" s="283">
        <f>TblRezone[[#This Row],[Hour]]</f>
        <v>124</v>
      </c>
      <c r="L127" s="284">
        <f ca="1">TblImps[[#This Row],[Real time]]</f>
        <v>45820.124999999702</v>
      </c>
      <c r="M127" s="61">
        <f>IF(ISERROR(TblImps[[#This Row],[algorithm]]),0,TblImps[[#This Row],[algorithm]]*1)</f>
        <v>0</v>
      </c>
      <c r="N127" s="94">
        <f ca="1">TblImps[[#This Row],[Land]]</f>
        <v>370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45820.124999999702</v>
      </c>
      <c r="BZ127" s="294">
        <f ca="1">OFFSET(TblImps[[#This Row],[Servertime]],-1,0)+1/24</f>
        <v>45820.124999999702</v>
      </c>
      <c r="CA127" s="57"/>
      <c r="CB127" s="292"/>
      <c r="CC127" s="292"/>
    </row>
    <row r="128" spans="1:81" x14ac:dyDescent="0.2">
      <c r="A128" s="214">
        <f ca="1">TblConstr[[#This Row],[Land]]</f>
        <v>370</v>
      </c>
      <c r="B128" s="142"/>
      <c r="C128" s="94">
        <f ca="1">TblProd[[#This Row],[Platinum]]</f>
        <v>1543988</v>
      </c>
      <c r="D128" s="94">
        <f ca="1">TblProd[[#This Row],[Lumber]]</f>
        <v>75553</v>
      </c>
      <c r="E128" s="94">
        <f ca="1">TblProd[[#This Row],[Ore]]</f>
        <v>0</v>
      </c>
      <c r="F128" s="94">
        <f ca="1">TblProd[[#This Row],[Gems]]</f>
        <v>93000</v>
      </c>
      <c r="G128" s="154"/>
      <c r="H128" s="94">
        <f ca="1">TblMili[[#This Row],[Draftees]]</f>
        <v>4541</v>
      </c>
      <c r="I128" s="180">
        <f ca="1">TblPop[[#This Row],[Employment]]</f>
        <v>1</v>
      </c>
      <c r="J128" s="180">
        <f ca="1">TblPop[[#This Row],[Total]]/TblPop[[#This Row],[Net max]]</f>
        <v>1</v>
      </c>
      <c r="K128" s="283">
        <f>TblRezone[[#This Row],[Hour]]</f>
        <v>125</v>
      </c>
      <c r="L128" s="284">
        <f ca="1">TblImps[[#This Row],[Real time]]</f>
        <v>45820.166666666366</v>
      </c>
      <c r="M128" s="61">
        <f>IF(ISERROR(TblImps[[#This Row],[algorithm]]),0,TblImps[[#This Row],[algorithm]]*1)</f>
        <v>0</v>
      </c>
      <c r="N128" s="94">
        <f ca="1">TblImps[[#This Row],[Land]]</f>
        <v>370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45820.166666666366</v>
      </c>
      <c r="BZ128" s="294">
        <f ca="1">OFFSET(TblImps[[#This Row],[Servertime]],-1,0)+1/24</f>
        <v>45820.166666666366</v>
      </c>
      <c r="CA128" s="57"/>
      <c r="CB128" s="292"/>
      <c r="CC128" s="292"/>
    </row>
    <row r="129" spans="1:81" x14ac:dyDescent="0.2">
      <c r="A129" s="214">
        <f ca="1">TblConstr[[#This Row],[Land]]</f>
        <v>370</v>
      </c>
      <c r="B129" s="142"/>
      <c r="C129" s="94">
        <f ca="1">TblProd[[#This Row],[Platinum]]</f>
        <v>1550860</v>
      </c>
      <c r="D129" s="94">
        <f ca="1">TblProd[[#This Row],[Lumber]]</f>
        <v>75797</v>
      </c>
      <c r="E129" s="94">
        <f ca="1">TblProd[[#This Row],[Ore]]</f>
        <v>0</v>
      </c>
      <c r="F129" s="94">
        <f ca="1">TblProd[[#This Row],[Gems]]</f>
        <v>93750</v>
      </c>
      <c r="G129" s="154"/>
      <c r="H129" s="94">
        <f ca="1">TblMili[[#This Row],[Draftees]]</f>
        <v>4558</v>
      </c>
      <c r="I129" s="180">
        <f ca="1">TblPop[[#This Row],[Employment]]</f>
        <v>1</v>
      </c>
      <c r="J129" s="180">
        <f ca="1">TblPop[[#This Row],[Total]]/TblPop[[#This Row],[Net max]]</f>
        <v>1</v>
      </c>
      <c r="K129" s="283">
        <f>TblRezone[[#This Row],[Hour]]</f>
        <v>126</v>
      </c>
      <c r="L129" s="284">
        <f ca="1">TblImps[[#This Row],[Real time]]</f>
        <v>45820.20833333303</v>
      </c>
      <c r="M129" s="61">
        <f>IF(ISERROR(TblImps[[#This Row],[algorithm]]),0,TblImps[[#This Row],[algorithm]]*1)</f>
        <v>0</v>
      </c>
      <c r="N129" s="94">
        <f ca="1">TblImps[[#This Row],[Land]]</f>
        <v>370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45820.20833333303</v>
      </c>
      <c r="BZ129" s="294">
        <f ca="1">OFFSET(TblImps[[#This Row],[Servertime]],-1,0)+1/24</f>
        <v>45820.20833333303</v>
      </c>
      <c r="CA129" s="57"/>
      <c r="CB129" s="292"/>
      <c r="CC129" s="292"/>
    </row>
    <row r="130" spans="1:81" x14ac:dyDescent="0.2">
      <c r="A130" s="214">
        <f ca="1">TblConstr[[#This Row],[Land]]</f>
        <v>370</v>
      </c>
      <c r="B130" s="142"/>
      <c r="C130" s="94">
        <f ca="1">TblProd[[#This Row],[Platinum]]</f>
        <v>1557686</v>
      </c>
      <c r="D130" s="94">
        <f ca="1">TblProd[[#This Row],[Lumber]]</f>
        <v>76039</v>
      </c>
      <c r="E130" s="94">
        <f ca="1">TblProd[[#This Row],[Ore]]</f>
        <v>0</v>
      </c>
      <c r="F130" s="94">
        <f ca="1">TblProd[[#This Row],[Gems]]</f>
        <v>94500</v>
      </c>
      <c r="G130" s="154"/>
      <c r="H130" s="94">
        <f ca="1">TblMili[[#This Row],[Draftees]]</f>
        <v>4575</v>
      </c>
      <c r="I130" s="180">
        <f ca="1">TblPop[[#This Row],[Employment]]</f>
        <v>1</v>
      </c>
      <c r="J130" s="180">
        <f ca="1">TblPop[[#This Row],[Total]]/TblPop[[#This Row],[Net max]]</f>
        <v>1</v>
      </c>
      <c r="K130" s="283">
        <f>TblRezone[[#This Row],[Hour]]</f>
        <v>127</v>
      </c>
      <c r="L130" s="284">
        <f ca="1">TblImps[[#This Row],[Real time]]</f>
        <v>45820.249999999694</v>
      </c>
      <c r="M130" s="61">
        <f>IF(ISERROR(TblImps[[#This Row],[algorithm]]),0,TblImps[[#This Row],[algorithm]]*1)</f>
        <v>0</v>
      </c>
      <c r="N130" s="94">
        <f ca="1">TblImps[[#This Row],[Land]]</f>
        <v>370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45820.249999999694</v>
      </c>
      <c r="BZ130" s="294">
        <f ca="1">OFFSET(TblImps[[#This Row],[Servertime]],-1,0)+1/24</f>
        <v>45820.249999999694</v>
      </c>
      <c r="CA130" s="57"/>
      <c r="CB130" s="292"/>
      <c r="CC130" s="292"/>
    </row>
    <row r="131" spans="1:81" x14ac:dyDescent="0.2">
      <c r="A131" s="214">
        <f ca="1">TblConstr[[#This Row],[Land]]</f>
        <v>370</v>
      </c>
      <c r="B131" s="142"/>
      <c r="C131" s="94">
        <f ca="1">TblProd[[#This Row],[Platinum]]</f>
        <v>1564466</v>
      </c>
      <c r="D131" s="94">
        <f ca="1">TblProd[[#This Row],[Lumber]]</f>
        <v>76279</v>
      </c>
      <c r="E131" s="94">
        <f ca="1">TblProd[[#This Row],[Ore]]</f>
        <v>0</v>
      </c>
      <c r="F131" s="94">
        <f ca="1">TblProd[[#This Row],[Gems]]</f>
        <v>95250</v>
      </c>
      <c r="G131" s="154"/>
      <c r="H131" s="94">
        <f ca="1">TblMili[[#This Row],[Draftees]]</f>
        <v>4592</v>
      </c>
      <c r="I131" s="180">
        <f ca="1">TblPop[[#This Row],[Employment]]</f>
        <v>1</v>
      </c>
      <c r="J131" s="180">
        <f ca="1">TblPop[[#This Row],[Total]]/TblPop[[#This Row],[Net max]]</f>
        <v>1</v>
      </c>
      <c r="K131" s="283">
        <f>TblRezone[[#This Row],[Hour]]</f>
        <v>128</v>
      </c>
      <c r="L131" s="284">
        <f ca="1">TblImps[[#This Row],[Real time]]</f>
        <v>45820.291666666359</v>
      </c>
      <c r="M131" s="61">
        <f>IF(ISERROR(TblImps[[#This Row],[algorithm]]),0,TblImps[[#This Row],[algorithm]]*1)</f>
        <v>0</v>
      </c>
      <c r="N131" s="94">
        <f ca="1">TblImps[[#This Row],[Land]]</f>
        <v>370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45820.291666666359</v>
      </c>
      <c r="BZ131" s="294">
        <f ca="1">OFFSET(TblImps[[#This Row],[Servertime]],-1,0)+1/24</f>
        <v>45820.291666666359</v>
      </c>
      <c r="CA131" s="57"/>
      <c r="CB131" s="292"/>
      <c r="CC131" s="292"/>
    </row>
    <row r="132" spans="1:81" x14ac:dyDescent="0.2">
      <c r="A132" s="214">
        <f ca="1">TblConstr[[#This Row],[Land]]</f>
        <v>370</v>
      </c>
      <c r="B132" s="142"/>
      <c r="C132" s="94">
        <f ca="1">TblProd[[#This Row],[Platinum]]</f>
        <v>1571200</v>
      </c>
      <c r="D132" s="94">
        <f ca="1">TblProd[[#This Row],[Lumber]]</f>
        <v>76516</v>
      </c>
      <c r="E132" s="94">
        <f ca="1">TblProd[[#This Row],[Ore]]</f>
        <v>0</v>
      </c>
      <c r="F132" s="94">
        <f ca="1">TblProd[[#This Row],[Gems]]</f>
        <v>96000</v>
      </c>
      <c r="G132" s="154"/>
      <c r="H132" s="94">
        <f ca="1">TblMili[[#This Row],[Draftees]]</f>
        <v>4609</v>
      </c>
      <c r="I132" s="180">
        <f ca="1">TblPop[[#This Row],[Employment]]</f>
        <v>1</v>
      </c>
      <c r="J132" s="180">
        <f ca="1">TblPop[[#This Row],[Total]]/TblPop[[#This Row],[Net max]]</f>
        <v>1</v>
      </c>
      <c r="K132" s="283">
        <f>TblRezone[[#This Row],[Hour]]</f>
        <v>129</v>
      </c>
      <c r="L132" s="284">
        <f ca="1">TblImps[[#This Row],[Real time]]</f>
        <v>45820.333333333023</v>
      </c>
      <c r="M132" s="61">
        <f>IF(ISERROR(TblImps[[#This Row],[algorithm]]),0,TblImps[[#This Row],[algorithm]]*1)</f>
        <v>0</v>
      </c>
      <c r="N132" s="94">
        <f ca="1">TblImps[[#This Row],[Land]]</f>
        <v>370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45820.333333333023</v>
      </c>
      <c r="BZ132" s="294">
        <f ca="1">OFFSET(TblImps[[#This Row],[Servertime]],-1,0)+1/24</f>
        <v>45820.333333333023</v>
      </c>
      <c r="CA132" s="57"/>
      <c r="CB132" s="292"/>
      <c r="CC132" s="292"/>
    </row>
    <row r="133" spans="1:81" x14ac:dyDescent="0.2">
      <c r="A133" s="214">
        <f ca="1">TblConstr[[#This Row],[Land]]</f>
        <v>370</v>
      </c>
      <c r="B133" s="142"/>
      <c r="C133" s="94">
        <f ca="1">TblProd[[#This Row],[Platinum]]</f>
        <v>1577888</v>
      </c>
      <c r="D133" s="94">
        <f ca="1">TblProd[[#This Row],[Lumber]]</f>
        <v>76751</v>
      </c>
      <c r="E133" s="94">
        <f ca="1">TblProd[[#This Row],[Ore]]</f>
        <v>0</v>
      </c>
      <c r="F133" s="94">
        <f ca="1">TblProd[[#This Row],[Gems]]</f>
        <v>96750</v>
      </c>
      <c r="G133" s="154"/>
      <c r="H133" s="94">
        <f ca="1">TblMili[[#This Row],[Draftees]]</f>
        <v>4625</v>
      </c>
      <c r="I133" s="180">
        <f ca="1">TblPop[[#This Row],[Employment]]</f>
        <v>1</v>
      </c>
      <c r="J133" s="180">
        <f ca="1">TblPop[[#This Row],[Total]]/TblPop[[#This Row],[Net max]]</f>
        <v>1</v>
      </c>
      <c r="K133" s="283">
        <f>TblRezone[[#This Row],[Hour]]</f>
        <v>130</v>
      </c>
      <c r="L133" s="284">
        <f ca="1">TblImps[[#This Row],[Real time]]</f>
        <v>45820.374999999687</v>
      </c>
      <c r="M133" s="61">
        <f>IF(ISERROR(TblImps[[#This Row],[algorithm]]),0,TblImps[[#This Row],[algorithm]]*1)</f>
        <v>0</v>
      </c>
      <c r="N133" s="94">
        <f ca="1">TblImps[[#This Row],[Land]]</f>
        <v>370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45820.374999999687</v>
      </c>
      <c r="BZ133" s="294">
        <f ca="1">OFFSET(TblImps[[#This Row],[Servertime]],-1,0)+1/24</f>
        <v>45820.374999999687</v>
      </c>
      <c r="CA133" s="57"/>
      <c r="CB133" s="292"/>
      <c r="CC133" s="292"/>
    </row>
    <row r="134" spans="1:81" x14ac:dyDescent="0.2">
      <c r="A134" s="214">
        <f ca="1">TblConstr[[#This Row],[Land]]</f>
        <v>370</v>
      </c>
      <c r="B134" s="142"/>
      <c r="C134" s="94">
        <f ca="1">TblProd[[#This Row],[Platinum]]</f>
        <v>1584533</v>
      </c>
      <c r="D134" s="94">
        <f ca="1">TblProd[[#This Row],[Lumber]]</f>
        <v>76983</v>
      </c>
      <c r="E134" s="94">
        <f ca="1">TblProd[[#This Row],[Ore]]</f>
        <v>0</v>
      </c>
      <c r="F134" s="94">
        <f ca="1">TblProd[[#This Row],[Gems]]</f>
        <v>97500</v>
      </c>
      <c r="G134" s="154"/>
      <c r="H134" s="94">
        <f ca="1">TblMili[[#This Row],[Draftees]]</f>
        <v>4641</v>
      </c>
      <c r="I134" s="180">
        <f ca="1">TblPop[[#This Row],[Employment]]</f>
        <v>1</v>
      </c>
      <c r="J134" s="180">
        <f ca="1">TblPop[[#This Row],[Total]]/TblPop[[#This Row],[Net max]]</f>
        <v>1</v>
      </c>
      <c r="K134" s="283">
        <f>TblRezone[[#This Row],[Hour]]</f>
        <v>131</v>
      </c>
      <c r="L134" s="284">
        <f ca="1">TblImps[[#This Row],[Real time]]</f>
        <v>45820.416666666351</v>
      </c>
      <c r="M134" s="61">
        <f>IF(ISERROR(TblImps[[#This Row],[algorithm]]),0,TblImps[[#This Row],[algorithm]]*1)</f>
        <v>0</v>
      </c>
      <c r="N134" s="94">
        <f ca="1">TblImps[[#This Row],[Land]]</f>
        <v>370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45820.416666666351</v>
      </c>
      <c r="BZ134" s="294">
        <f ca="1">OFFSET(TblImps[[#This Row],[Servertime]],-1,0)+1/24</f>
        <v>45820.416666666351</v>
      </c>
      <c r="CA134" s="57"/>
      <c r="CB134" s="292"/>
      <c r="CC134" s="292"/>
    </row>
    <row r="135" spans="1:81" x14ac:dyDescent="0.2">
      <c r="A135" s="214">
        <f ca="1">TblConstr[[#This Row],[Land]]</f>
        <v>370</v>
      </c>
      <c r="B135" s="142"/>
      <c r="C135" s="94">
        <f ca="1">TblProd[[#This Row],[Platinum]]</f>
        <v>1591135</v>
      </c>
      <c r="D135" s="94">
        <f ca="1">TblProd[[#This Row],[Lumber]]</f>
        <v>77213</v>
      </c>
      <c r="E135" s="94">
        <f ca="1">TblProd[[#This Row],[Ore]]</f>
        <v>0</v>
      </c>
      <c r="F135" s="94">
        <f ca="1">TblProd[[#This Row],[Gems]]</f>
        <v>98250</v>
      </c>
      <c r="G135" s="154"/>
      <c r="H135" s="94">
        <f ca="1">TblMili[[#This Row],[Draftees]]</f>
        <v>4657</v>
      </c>
      <c r="I135" s="180">
        <f ca="1">TblPop[[#This Row],[Employment]]</f>
        <v>1</v>
      </c>
      <c r="J135" s="180">
        <f ca="1">TblPop[[#This Row],[Total]]/TblPop[[#This Row],[Net max]]</f>
        <v>1</v>
      </c>
      <c r="K135" s="283">
        <f>TblRezone[[#This Row],[Hour]]</f>
        <v>132</v>
      </c>
      <c r="L135" s="284">
        <f ca="1">TblImps[[#This Row],[Real time]]</f>
        <v>45820.458333333016</v>
      </c>
      <c r="M135" s="61">
        <f>IF(ISERROR(TblImps[[#This Row],[algorithm]]),0,TblImps[[#This Row],[algorithm]]*1)</f>
        <v>0</v>
      </c>
      <c r="N135" s="94">
        <f ca="1">TblImps[[#This Row],[Land]]</f>
        <v>370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45820.458333333016</v>
      </c>
      <c r="BZ135" s="294">
        <f ca="1">OFFSET(TblImps[[#This Row],[Servertime]],-1,0)+1/24</f>
        <v>45820.458333333016</v>
      </c>
      <c r="CA135" s="57"/>
      <c r="CB135" s="292"/>
      <c r="CC135" s="292"/>
    </row>
    <row r="136" spans="1:81" x14ac:dyDescent="0.2">
      <c r="A136" s="214">
        <f ca="1">TblConstr[[#This Row],[Land]]</f>
        <v>370</v>
      </c>
      <c r="B136" s="142"/>
      <c r="C136" s="94">
        <f ca="1">TblProd[[#This Row],[Platinum]]</f>
        <v>1597694</v>
      </c>
      <c r="D136" s="94">
        <f ca="1">TblProd[[#This Row],[Lumber]]</f>
        <v>77441</v>
      </c>
      <c r="E136" s="94">
        <f ca="1">TblProd[[#This Row],[Ore]]</f>
        <v>0</v>
      </c>
      <c r="F136" s="94">
        <f ca="1">TblProd[[#This Row],[Gems]]</f>
        <v>99000</v>
      </c>
      <c r="G136" s="154"/>
      <c r="H136" s="94">
        <f ca="1">TblMili[[#This Row],[Draftees]]</f>
        <v>4673</v>
      </c>
      <c r="I136" s="180">
        <f ca="1">TblPop[[#This Row],[Employment]]</f>
        <v>0</v>
      </c>
      <c r="J136" s="180">
        <f ca="1">TblPop[[#This Row],[Total]]/TblPop[[#This Row],[Net max]]</f>
        <v>1</v>
      </c>
      <c r="K136" s="283">
        <f>TblRezone[[#This Row],[Hour]]</f>
        <v>133</v>
      </c>
      <c r="L136" s="284">
        <f ca="1">TblImps[[#This Row],[Real time]]</f>
        <v>45820.49999999968</v>
      </c>
      <c r="M136" s="61">
        <f>IF(ISERROR(TblImps[[#This Row],[algorithm]]),0,TblImps[[#This Row],[algorithm]]*1)</f>
        <v>0</v>
      </c>
      <c r="N136" s="94">
        <f ca="1">TblImps[[#This Row],[Land]]</f>
        <v>370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45820.49999999968</v>
      </c>
      <c r="BZ136" s="294">
        <f ca="1">OFFSET(TblImps[[#This Row],[Servertime]],-1,0)+1/24</f>
        <v>45820.49999999968</v>
      </c>
      <c r="CA136" s="57"/>
      <c r="CB136" s="292"/>
      <c r="CC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$K4=49</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election activeCell="A26" sqref="A26"/>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50</v>
      </c>
      <c r="B26" s="247">
        <f>Overview!L17</f>
        <v>50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50</v>
      </c>
      <c r="O26" s="247">
        <f>Overview!L30</f>
        <v>50</v>
      </c>
      <c r="P26" s="247">
        <f>Overview!L31</f>
        <v>0</v>
      </c>
      <c r="Q26" s="247">
        <f>Overview!L32</f>
        <v>50</v>
      </c>
      <c r="R26" s="247">
        <f>Overview!L33</f>
        <v>50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HLOOKUP(1,E33:J37,2)</f>
        <v>1300</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IF(OR(Overview!$B$14="Halfling",Overview!$B$14="Dwarf",Overview!$B$14="Gnome"),10,IF(race="Nomad",25,5))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0.05</v>
      </c>
      <c r="G92" s="45" t="s">
        <v>1138</v>
      </c>
      <c r="L92" s="45" t="s">
        <v>570</v>
      </c>
      <c r="M92" s="407">
        <v>7.4999999999999997E-2</v>
      </c>
      <c r="N92" s="45" t="s">
        <v>647</v>
      </c>
      <c r="O92" s="118">
        <v>0.25</v>
      </c>
      <c r="P92" s="45" t="s">
        <v>648</v>
      </c>
      <c r="S92" s="108" t="s">
        <v>700</v>
      </c>
      <c r="T92" s="108"/>
      <c r="U92" s="157"/>
      <c r="W92" s="156"/>
    </row>
    <row r="93" spans="1:23" x14ac:dyDescent="0.2">
      <c r="F93" s="45">
        <v>0.75</v>
      </c>
      <c r="G93" s="45" t="s">
        <v>1139</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1141</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0.4</v>
      </c>
      <c r="D173" s="45" t="s">
        <v>466</v>
      </c>
      <c r="E173" s="45">
        <v>1</v>
      </c>
    </row>
    <row r="175" spans="1:5" x14ac:dyDescent="0.2">
      <c r="A175" s="302" t="s">
        <v>1158</v>
      </c>
      <c r="B175" s="45">
        <v>350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v>0.05</v>
      </c>
      <c r="R25" s="344">
        <v>-0.2</v>
      </c>
      <c r="S25" s="344"/>
      <c r="T25" s="343">
        <v>7.4999999999999997E-2</v>
      </c>
      <c r="U25" s="344"/>
      <c r="V25" s="344"/>
      <c r="W25" s="93"/>
      <c r="X25" s="330"/>
      <c r="Y25" s="342"/>
      <c r="Z25" s="344">
        <v>0.05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330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550</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940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1350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1075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940</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1142</v>
      </c>
      <c r="E85" s="93">
        <v>3</v>
      </c>
      <c r="F85" s="93">
        <v>0</v>
      </c>
      <c r="G85" s="93">
        <v>260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860</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2025-07-31T15:00:06Z</dcterms:modified>
</cp:coreProperties>
</file>