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65B5EDC-8C8B-4B0F-94C9-3AC28B475615}"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J41" i="8" l="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H41" i="8" l="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BW5" i="11" l="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7" i="7" l="1"/>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O4" i="5" l="1"/>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O5" i="5" l="1"/>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O6" i="5" l="1"/>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O7" i="5" l="1"/>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O8" i="5" l="1"/>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K41" i="8" l="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O10" i="5" l="1"/>
  <c r="AM10" i="5"/>
  <c r="AN10" i="5"/>
  <c r="AR10" i="5" s="1"/>
  <c r="J13" i="2"/>
  <c r="BF14" i="5" a="1"/>
  <c r="BF14" i="5" s="1"/>
  <c r="AE13" i="1" s="1"/>
  <c r="AV11" i="5"/>
  <c r="AW11" i="5"/>
  <c r="E17" i="8"/>
  <c r="CM17" i="8" s="1"/>
  <c r="CM16" i="8"/>
  <c r="AF9" i="7"/>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BH16" i="5" l="1"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O12" i="5" l="1"/>
  <c r="AM12" i="5"/>
  <c r="AN12" i="5"/>
  <c r="AR12" i="5" s="1"/>
  <c r="AE14" i="1"/>
  <c r="W14" i="1" s="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O13" i="5" l="1"/>
  <c r="AM13" i="5"/>
  <c r="AN13" i="5"/>
  <c r="AR13" i="5" s="1"/>
  <c r="AV14" i="5"/>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O14" i="5" l="1"/>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O15" i="5" l="1"/>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O16" i="5" l="1"/>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O17" i="5" l="1"/>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O18" i="5" l="1"/>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O19" i="5" l="1"/>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O20" i="5" l="1"/>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O21" i="5" l="1"/>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O22" i="5" l="1"/>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O23" i="5" l="1"/>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O24" i="5" l="1"/>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O25" i="5" l="1"/>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O26" i="5" l="1"/>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O27" i="5" l="1"/>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O28" i="5" l="1"/>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O29" i="5" l="1"/>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O30" i="5" l="1"/>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O31" i="5" l="1"/>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O32" i="5" l="1"/>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O33" i="5" l="1"/>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O34" i="5" l="1"/>
  <c r="AM34" i="5"/>
  <c r="AN34" i="5"/>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O35" i="5" l="1"/>
  <c r="AM35" i="5"/>
  <c r="AN35" i="5"/>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R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E39" i="1" l="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J40" i="2" l="1"/>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O38" i="5" l="1"/>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O39" i="5" l="1"/>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O40" i="5" l="1"/>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O41" i="5" l="1"/>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O42" i="5" l="1"/>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O43" i="5" l="1"/>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O44" i="5" l="1"/>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O45" i="5" l="1"/>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O46" i="5" l="1"/>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O47" i="5" l="1"/>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O48" i="5" l="1"/>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O49" i="5" l="1"/>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O50" i="5" l="1"/>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O51" i="5" l="1"/>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O52" i="5" l="1"/>
  <c r="AM52" i="5"/>
  <c r="AN52" i="5"/>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AR52" i="5"/>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B69" i="4" l="1"/>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O54" i="5" l="1"/>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O55" i="5" l="1"/>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O56" i="5" l="1"/>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O57" i="5" l="1"/>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O58" i="5" l="1"/>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O59" i="5" l="1"/>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O60" i="5" l="1"/>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O61" i="5" l="1"/>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O62" i="5" l="1"/>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O63" i="5" l="1"/>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O64" i="5" l="1"/>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O65" i="5" l="1"/>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O66" i="5" l="1"/>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O67" i="5" l="1"/>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O68" i="5" l="1"/>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O69" i="5" l="1"/>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O70" i="5" l="1"/>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O71" i="5" l="1"/>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O72" i="5" l="1"/>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O73" i="5" l="1"/>
  <c r="AM73" i="5"/>
  <c r="AN73" i="5"/>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R73" i="5"/>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O74" i="5" l="1"/>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O75" i="5" l="1"/>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O76" i="5" l="1"/>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O77" i="5" l="1"/>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O78" i="5" l="1"/>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O79" i="5" l="1"/>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O80" i="5" l="1"/>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O81" i="5" l="1"/>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O82" i="5" l="1"/>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O83" i="5" l="1"/>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O84" i="5" l="1"/>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O85" i="5" l="1"/>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I85" i="7" l="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O87" i="5" l="1"/>
  <c r="AM87" i="5"/>
  <c r="AN87" i="5"/>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R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O88" i="5" l="1"/>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O89" i="5" l="1"/>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O90" i="5" l="1"/>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O91" i="5" l="1"/>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O92" i="5" l="1"/>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O93" i="5" l="1"/>
  <c r="AM93" i="5"/>
  <c r="AN93" i="5"/>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R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O94" i="5" l="1"/>
  <c r="AM94" i="5"/>
  <c r="AN94" i="5"/>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R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O95" i="5" l="1"/>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O96" i="5" l="1"/>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O97" i="5" l="1"/>
  <c r="AM97" i="5"/>
  <c r="AN97" i="5"/>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R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I97" i="7" l="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O99" i="5" l="1"/>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O100" i="5" l="1"/>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O101" i="5" l="1"/>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O102" i="5" l="1"/>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O103" i="5" l="1"/>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O104" i="5" l="1"/>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O105" i="5" l="1"/>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O106" i="5" l="1"/>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O107" i="5" l="1"/>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O108" i="5" l="1"/>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O109" i="5" l="1"/>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O116" i="5" l="1"/>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AR128" i="5"/>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S4" i="8"/>
  <c r="V4" i="8" s="1"/>
  <c r="F4" i="1"/>
  <c r="I4" i="2"/>
  <c r="AA4" i="1" s="1"/>
  <c r="S4" i="1" s="1"/>
  <c r="H5" i="1" s="1"/>
  <c r="AK5" i="5" s="1"/>
  <c r="AP4" i="1"/>
  <c r="T4" i="1" s="1"/>
  <c r="I5" i="1" s="1"/>
  <c r="G4" i="2"/>
  <c r="BM136" i="1"/>
  <c r="P4" i="7"/>
  <c r="F4" i="9"/>
  <c r="AR4" i="1"/>
  <c r="V4" i="1" s="1"/>
  <c r="K5" i="1" s="1"/>
  <c r="AR5" i="1" s="1"/>
  <c r="V5" i="1" s="1"/>
  <c r="K6" i="1" s="1"/>
  <c r="AR6" i="1" s="1"/>
  <c r="C4" i="9"/>
  <c r="BL4" i="1"/>
  <c r="E41" i="4"/>
  <c r="E40" i="4"/>
  <c r="T4" i="8" l="1"/>
  <c r="W4" i="8" s="1"/>
  <c r="O4" i="7"/>
  <c r="I4" i="11"/>
  <c r="AQ5" i="8"/>
  <c r="AC5" i="7"/>
  <c r="BI5" i="1"/>
  <c r="C5" i="11"/>
  <c r="V5" i="10"/>
  <c r="AO5" i="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<sst xmlns="http://schemas.openxmlformats.org/spreadsheetml/2006/main" count="3095" uniqueCount="1165">
  <si>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</si>
  <si>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</si>
  <si>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</si>
  <si>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</si>
  <si>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</si>
  <si>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</si>
  <si>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</si>
  <si>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</si>
  <si>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</si>
  <si>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</si>
  <si>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</si>
  <si>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</si>
  <si>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</si>
  <si>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</si>
  <si>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</si>
  <si>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</si>
  <si>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</si>
  <si>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</si>
  <si>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</si>
  <si>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</si>
  <si>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</si>
  <si>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</si>
  <si>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</si>
  <si>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</si>
  <si>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</si>
  <si>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</si>
  <si>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</si>
  <si>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</si>
  <si>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</si>
  <si>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</si>
  <si>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</si>
  <si>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</si>
  <si>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</si>
  <si>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</si>
  <si>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</si>
  <si>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</si>
  <si>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</si>
  <si>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</si>
  <si>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</si>
  <si>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</si>
  <si>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</si>
  <si>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</si>
  <si>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</si>
  <si>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</si>
  <si>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</si>
  <si>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</si>
  <si>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</si>
  <si>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</si>
  <si>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</si>
  <si>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</si>
  <si>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</si>
  <si>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</si>
  <si>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</si>
  <si>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</si>
  <si>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</si>
  <si>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</si>
  <si>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</si>
  <si>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</si>
  <si>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</si>
  <si>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</si>
  <si>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</si>
  <si>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</si>
  <si>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</si>
  <si>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</si>
  <si>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</si>
  <si>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</si>
  <si>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</si>
  <si>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</si>
  <si>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</si>
  <si>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</si>
  <si>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</si>
  <si>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</si>
  <si>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</si>
  <si>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</si>
  <si>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</si>
  <si>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</si>
  <si>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</si>
  <si>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</si>
  <si>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</si>
  <si>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</si>
  <si>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</si>
  <si>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</si>
  <si>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</si>
  <si>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</si>
  <si>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</si>
  <si>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</si>
  <si>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</si>
  <si>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</si>
  <si>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</si>
  <si>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</si>
  <si>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</si>
  <si>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</si>
  <si>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</si>
  <si>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</si>
  <si>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</si>
  <si>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</si>
  <si>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</si>
  <si>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</si>
  <si>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</si>
  <si>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</si>
  <si>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</si>
  <si>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</si>
  <si>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</si>
  <si>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</si>
  <si>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</si>
  <si>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</si>
  <si>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</si>
  <si>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</si>
  <si>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</si>
  <si>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</si>
  <si>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</si>
  <si>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</si>
  <si>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</si>
  <si>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</si>
  <si>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</si>
  <si>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</si>
  <si>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</si>
  <si>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</si>
  <si>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</si>
  <si>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</si>
  <si>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</si>
  <si>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</si>
  <si>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</si>
  <si>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</si>
  <si>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</si>
  <si>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</si>
  <si>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</si>
  <si>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</si>
  <si>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</si>
  <si>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</si>
  <si>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</si>
  <si>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</si>
  <si>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</si>
  <si>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</si>
  <si>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</si>
  <si>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</si>
  <si>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</si>
  <si>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</si>
  <si>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</si>
  <si>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</si>
  <si>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</si>
  <si>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</si>
  <si>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</si>
  <si>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</si>
  <si>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</si>
  <si>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</si>
  <si>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</si>
  <si>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</si>
  <si>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</si>
  <si>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</si>
  <si>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</si>
  <si>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</si>
  <si>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</si>
  <si>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</si>
  <si>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</si>
  <si>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</si>
  <si>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</si>
  <si>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</si>
  <si>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</si>
  <si>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</si>
  <si>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</si>
  <si>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</si>
  <si>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</si>
  <si>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</si>
  <si>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</si>
  <si>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</si>
  <si>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</si>
  <si>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</si>
  <si>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</si>
  <si>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</si>
  <si>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</si>
  <si>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</si>
  <si>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</si>
  <si>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</si>
  <si>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</si>
  <si>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</si>
  <si>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</si>
  <si>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</si>
  <si>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</si>
  <si>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</si>
  <si>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</si>
  <si>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</si>
  <si>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</si>
  <si>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</si>
  <si>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</si>
  <si>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</si>
  <si>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</si>
  <si>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</si>
  <si>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</si>
  <si>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</si>
  <si>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</si>
  <si>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</si>
  <si>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</si>
  <si>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</si>
  <si>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</si>
  <si>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</si>
  <si>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</si>
  <si>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</si>
  <si>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</si>
  <si>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</si>
  <si>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</si>
  <si>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</si>
  <si>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</si>
  <si>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</si>
  <si>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</si>
  <si>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</si>
  <si>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</si>
  <si>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</si>
  <si>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</si>
  <si>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</si>
  <si>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</si>
  <si>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</si>
  <si>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</si>
  <si>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</si>
  <si>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</si>
  <si>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</si>
  <si>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</si>
  <si>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</si>
  <si>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</si>
  <si>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</si>
  <si>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</si>
  <si>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</si>
  <si>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</si>
  <si>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</si>
  <si>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</si>
  <si>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</si>
  <si>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</si>
  <si>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</si>
  <si>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</si>
  <si>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</si>
  <si>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</si>
  <si>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</si>
  <si>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</si>
  <si>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</si>
  <si>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</si>
  <si>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</si>
  <si>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</si>
  <si>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</si>
  <si>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</si>
  <si>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</si>
  <si>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</si>
  <si>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</si>
  <si>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</si>
  <si>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</si>
  <si>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</si>
  <si>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</si>
  <si>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</si>
  <si>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</si>
  <si>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</si>
  <si>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</si>
  <si>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</si>
  <si>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</si>
  <si>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</si>
  <si>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</si>
  <si>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</si>
  <si>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</si>
  <si>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</si>
  <si>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</si>
  <si>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</si>
  <si>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</si>
  <si>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</si>
  <si>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</si>
  <si>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</si>
  <si>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</si>
  <si>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</si>
  <si>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</si>
  <si>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</si>
  <si>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</si>
  <si>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</si>
  <si>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</si>
  <si>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</si>
  <si>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</si>
  <si>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</si>
  <si>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</si>
  <si>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</si>
  <si>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</si>
  <si>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</si>
  <si>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</si>
  <si>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</si>
  <si>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</si>
  <si>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</si>
  <si>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</si>
  <si>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</si>
  <si>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</si>
  <si>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</si>
  <si>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</si>
  <si>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</si>
  <si>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</si>
  <si>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</si>
  <si>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</si>
  <si>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</si>
  <si>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</si>
  <si>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</si>
  <si>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</si>
  <si>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</si>
  <si>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</si>
  <si>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</si>
  <si>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</si>
  <si>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</si>
  <si>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</si>
  <si>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</si>
  <si>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</si>
  <si>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</si>
  <si>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</si>
  <si>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</si>
  <si>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</si>
  <si>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</si>
  <si>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</si>
  <si>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</si>
  <si>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</si>
  <si>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</si>
  <si>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</si>
  <si>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</si>
  <si>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</si>
  <si>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</si>
  <si>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</si>
  <si>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</si>
  <si>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</si>
  <si>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</si>
  <si>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</si>
  <si>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</si>
  <si>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</si>
  <si>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</si>
  <si>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</si>
  <si>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</si>
  <si>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</si>
  <si>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</si>
  <si>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</si>
  <si>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</si>
  <si>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</si>
  <si>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</si>
  <si>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</si>
  <si>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</si>
  <si>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</si>
  <si>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</si>
  <si>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</si>
  <si>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</si>
  <si>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</si>
  <si>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</si>
  <si>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</si>
  <si>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</si>
  <si>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</si>
  <si>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</si>
  <si>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</si>
  <si>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</si>
  <si>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</si>
  <si>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</si>
  <si>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</si>
  <si>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</si>
  <si>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</si>
  <si>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</si>
  <si>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</si>
  <si>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</si>
  <si>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</si>
  <si>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</si>
  <si>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</si>
  <si>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</si>
  <si>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</si>
  <si>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</si>
  <si>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</si>
  <si>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</si>
  <si>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</si>
  <si>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</si>
  <si>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</si>
  <si>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</si>
  <si>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</si>
  <si>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</si>
  <si>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</si>
  <si>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</si>
  <si>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</si>
  <si>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</si>
  <si>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</si>
  <si>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</si>
  <si>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</si>
  <si>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</si>
  <si>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</si>
  <si>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</si>
  <si>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</si>
  <si>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</si>
  <si>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</si>
  <si>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</si>
  <si>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</si>
  <si>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</si>
  <si>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</si>
  <si>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</si>
  <si>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</si>
  <si>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</si>
  <si>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</si>
  <si>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</si>
  <si>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</si>
  <si>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</si>
  <si>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</si>
  <si>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</si>
  <si>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</si>
  <si>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</si>
  <si>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</si>
  <si>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</si>
  <si>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</si>
  <si>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</si>
  <si>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</si>
  <si>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</si>
  <si>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</si>
  <si>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</si>
  <si>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</si>
  <si>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</si>
  <si>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</si>
  <si>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</si>
  <si>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</si>
  <si>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</si>
  <si>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</si>
  <si>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</si>
  <si>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</si>
  <si>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</si>
  <si>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</si>
  <si>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</si>
  <si>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</si>
  <si>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</si>
  <si>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</si>
  <si>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</si>
  <si>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</si>
  <si>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</si>
  <si>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</si>
  <si>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</si>
  <si>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</si>
  <si>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</si>
  <si>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</si>
  <si>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</si>
  <si>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</si>
  <si>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</si>
  <si>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</si>
  <si>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</si>
  <si>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</si>
  <si>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</si>
  <si>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</si>
  <si>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</si>
  <si>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</si>
  <si>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</si>
  <si>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</si>
  <si>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</si>
  <si>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</si>
  <si>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</si>
  <si>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</si>
  <si>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</si>
  <si>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</si>
  <si>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</si>
  <si>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</si>
  <si>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</si>
  <si>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</si>
  <si>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</si>
  <si>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</si>
  <si>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</si>
  <si>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</si>
  <si>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</si>
  <si>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</si>
  <si>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</si>
  <si>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</si>
  <si>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</si>
  <si>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</si>
  <si>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</si>
  <si>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</si>
  <si>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</si>
  <si>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</si>
  <si>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</si>
  <si>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</si>
  <si>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</si>
  <si>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</si>
  <si>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</si>
  <si>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</si>
  <si>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</si>
  <si>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</si>
  <si>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</si>
  <si>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</si>
  <si>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</si>
  <si>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</si>
  <si>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</si>
  <si>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</si>
  <si>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</si>
  <si>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</si>
  <si>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</si>
  <si>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</si>
  <si>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</si>
  <si>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</si>
  <si>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</si>
  <si>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</si>
  <si>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</si>
  <si>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</si>
  <si>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</si>
  <si>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</si>
  <si>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</si>
  <si>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</si>
  <si>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</si>
  <si>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</si>
  <si>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</si>
  <si>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</si>
  <si>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</si>
  <si>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</si>
  <si>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</si>
  <si>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</si>
  <si>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</si>
  <si>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</si>
  <si>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</si>
  <si>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</si>
  <si>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</si>
  <si>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</si>
  <si>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</si>
  <si>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</si>
  <si>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</si>
  <si>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</si>
  <si>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</si>
  <si>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</si>
  <si>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</si>
  <si>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</si>
  <si>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</si>
  <si>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</si>
  <si>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</si>
  <si>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</si>
  <si>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</si>
  <si>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</si>
  <si>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</si>
  <si>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</si>
  <si>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</si>
  <si>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</si>
  <si>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</si>
  <si>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</si>
  <si>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</si>
  <si>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</si>
  <si>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</si>
  <si>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</si>
  <si>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</si>
  <si>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</si>
  <si>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</si>
  <si>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</si>
  <si>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</si>
  <si>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</si>
  <si>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</si>
  <si>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</si>
  <si>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</si>
  <si>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</si>
  <si>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</si>
  <si>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</si>
  <si>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</si>
  <si>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</si>
  <si>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</si>
  <si>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</si>
  <si>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</si>
  <si>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</si>
  <si>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</si>
  <si>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</si>
  <si>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</si>
  <si>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</si>
  <si>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</si>
  <si>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</si>
  <si>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</si>
  <si>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</si>
  <si>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</si>
  <si>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</si>
  <si>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</si>
  <si>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</si>
  <si>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</si>
  <si>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</si>
  <si>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</si>
  <si>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</si>
  <si>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</si>
  <si>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</si>
  <si>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</si>
  <si>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</si>
  <si>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</si>
  <si>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</si>
  <si>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</si>
  <si>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</si>
  <si>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</si>
  <si>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</si>
  <si>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</si>
  <si>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</si>
  <si>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</si>
  <si>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</si>
  <si>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</si>
  <si>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</si>
  <si>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</si>
  <si>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</si>
  <si>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</si>
  <si>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</si>
  <si>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</si>
  <si>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</si>
  <si>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</si>
  <si>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</si>
  <si>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</si>
  <si>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</si>
  <si>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</si>
  <si>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</si>
  <si>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</si>
  <si>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</si>
  <si>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</si>
  <si>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</si>
  <si>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</si>
  <si>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</si>
  <si>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</si>
  <si>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</si>
  <si>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</si>
  <si>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</si>
  <si>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</si>
  <si>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</si>
  <si>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</si>
  <si>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</si>
  <si>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</si>
  <si>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</si>
  <si>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</si>
  <si>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</si>
  <si>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</si>
  <si>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</si>
  <si>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</si>
  <si>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</si>
  <si>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</si>
  <si>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</si>
  <si>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</si>
  <si>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</si>
  <si>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</si>
  <si>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</si>
  <si>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</si>
  <si>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</si>
  <si>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</si>
  <si>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</si>
  <si>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</si>
  <si>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</si>
  <si>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</si>
  <si>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</si>
  <si>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</si>
  <si>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</si>
  <si>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</si>
  <si>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</si>
  <si>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</si>
  <si>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</si>
  <si>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</si>
  <si>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</si>
  <si>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</si>
  <si>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</si>
  <si>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</si>
  <si>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</si>
  <si>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</si>
  <si>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</si>
  <si>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</si>
  <si>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</si>
  <si>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</si>
  <si>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</si>
  <si>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</si>
  <si>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</si>
  <si>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</si>
  <si>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</si>
  <si>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</si>
  <si>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</si>
  <si>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</si>
  <si>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</si>
  <si>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</si>
  <si>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</si>
  <si>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</si>
  <si>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</si>
  <si>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</si>
  <si>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</si>
  <si>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</si>
  <si>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</si>
  <si>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</si>
  <si>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</si>
  <si>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</si>
  <si>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</si>
  <si>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</si>
  <si>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</si>
  <si>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</si>
  <si>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</si>
  <si>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</si>
  <si>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</si>
  <si>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</si>
  <si>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</si>
  <si>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</si>
  <si>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</si>
  <si>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</si>
  <si>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</si>
  <si>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</si>
  <si>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</si>
  <si>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</si>
  <si>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</si>
  <si>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</si>
  <si>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</si>
  <si>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</si>
  <si>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</si>
  <si>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</si>
  <si>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</si>
  <si>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</si>
  <si>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</si>
  <si>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</si>
  <si>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</si>
  <si>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</si>
  <si>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</si>
  <si>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</si>
  <si>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</si>
  <si>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</si>
  <si>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</si>
  <si>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</si>
  <si>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</si>
  <si>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</si>
  <si>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</si>
  <si>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</si>
  <si>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</si>
  <si>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</si>
  <si>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</si>
  <si>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</si>
  <si>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</si>
  <si>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</si>
  <si>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</si>
  <si>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</si>
  <si>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</si>
  <si>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</si>
  <si>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</si>
  <si>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</si>
  <si>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</si>
  <si>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</si>
  <si>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</si>
  <si>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</si>
  <si>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</si>
  <si>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</si>
  <si>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</si>
  <si>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</si>
  <si>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</si>
  <si>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</si>
  <si>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</si>
  <si>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</si>
  <si>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</si>
  <si>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</si>
  <si>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</si>
  <si>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</si>
  <si>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</si>
  <si>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</si>
  <si>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</si>
  <si>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</si>
  <si>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</si>
  <si>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</si>
  <si>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</si>
  <si>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</si>
  <si>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</si>
  <si>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</si>
  <si>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</si>
  <si>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</si>
  <si>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</si>
  <si>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</si>
  <si>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</si>
  <si>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</si>
  <si>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</si>
  <si>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</si>
  <si>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</si>
  <si>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</si>
  <si>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</si>
  <si>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</si>
  <si>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</si>
  <si>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</si>
  <si>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</si>
  <si>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</si>
  <si>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</si>
  <si>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</si>
  <si>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</si>
  <si>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</si>
  <si>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</si>
  <si>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</si>
  <si>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</si>
  <si>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</si>
  <si>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</si>
  <si>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</si>
  <si>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</si>
  <si>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</si>
  <si>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</si>
  <si>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</si>
  <si>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</si>
  <si>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</si>
  <si>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</si>
  <si>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</si>
  <si>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</si>
  <si>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</si>
  <si>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</si>
  <si>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</si>
  <si>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</si>
  <si>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</si>
  <si>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</si>
  <si>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</si>
  <si>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</si>
  <si>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</si>
  <si>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</si>
  <si>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</si>
  <si>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</si>
  <si>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</si>
  <si>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</si>
  <si>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</si>
  <si>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</si>
  <si>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</si>
  <si>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</si>
  <si>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</si>
  <si>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</si>
  <si>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</si>
  <si>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</si>
  <si>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</si>
  <si>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</si>
  <si>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</si>
  <si>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</si>
  <si>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</si>
  <si>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</si>
  <si>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</si>
  <si>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</si>
  <si>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</si>
  <si>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</si>
  <si>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</si>
  <si>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</si>
  <si>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</si>
  <si>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</si>
  <si>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</si>
  <si>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</si>
  <si>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</si>
  <si>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</si>
  <si>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</si>
  <si>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</si>
  <si>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</si>
  <si>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</si>
  <si>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</si>
  <si>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</si>
  <si>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</si>
  <si>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</si>
  <si>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</si>
  <si>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</si>
  <si>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</si>
  <si>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</si>
  <si>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</si>
  <si>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</si>
  <si>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</si>
  <si>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</si>
  <si>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</si>
  <si>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</si>
  <si>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</si>
  <si>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</si>
  <si>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</si>
  <si>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</si>
  <si>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</si>
  <si>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</si>
  <si>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</si>
  <si>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</si>
  <si>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</si>
  <si>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</si>
  <si>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</si>
  <si>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</si>
  <si>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</si>
  <si>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</si>
  <si>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</si>
  <si>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</si>
  <si>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</si>
  <si>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</si>
  <si>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</si>
  <si>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</si>
  <si>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</si>
  <si>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</si>
  <si>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</si>
  <si>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</si>
  <si>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</si>
  <si>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</si>
  <si>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</si>
  <si>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</si>
  <si>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</si>
  <si>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</si>
  <si>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</si>
  <si>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</si>
  <si>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</si>
  <si>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</si>
  <si>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</si>
  <si>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</si>
  <si>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</si>
  <si>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</si>
  <si>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</si>
  <si>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</si>
  <si>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</si>
  <si>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</si>
  <si>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</si>
  <si>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</si>
  <si>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</si>
  <si>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</si>
  <si>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</si>
  <si>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</si>
  <si>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</si>
  <si>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</si>
  <si>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</si>
  <si>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</si>
  <si>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</si>
  <si>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</si>
  <si>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</si>
  <si>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</si>
  <si>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</si>
  <si>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</si>
  <si>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</si>
  <si>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</si>
  <si>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</si>
  <si>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</si>
  <si>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</si>
  <si>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</si>
  <si>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</si>
  <si>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</si>
  <si>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</si>
  <si>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</si>
  <si>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</si>
  <si>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</si>
  <si>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</si>
  <si>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</si>
  <si>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</si>
  <si>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</si>
  <si>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</si>
  <si>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</si>
  <si>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</si>
  <si>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</si>
  <si>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</si>
  <si>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</si>
  <si>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</si>
  <si>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</si>
  <si>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</si>
  <si>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</si>
  <si>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</si>
  <si>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</si>
  <si>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</si>
  <si>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</si>
  <si>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</si>
  <si>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</si>
  <si>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</si>
  <si>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</si>
  <si>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</si>
  <si>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</si>
  <si>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</si>
  <si>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</si>
  <si>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</si>
  <si>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</si>
  <si>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</si>
  <si>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</si>
  <si>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</si>
  <si>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</si>
  <si>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</si>
  <si>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</si>
  <si>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</si>
  <si>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</si>
  <si>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</si>
  <si>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</si>
  <si>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</si>
  <si>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</si>
  <si>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</si>
  <si>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</si>
  <si>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</si>
  <si>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</si>
  <si>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</si>
  <si>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</si>
  <si>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</si>
  <si>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</si>
  <si>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</si>
  <si>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</si>
  <si>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</si>
  <si>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</si>
  <si>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</si>
  <si>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</si>
  <si>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</si>
  <si>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</si>
  <si>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</si>
  <si>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</si>
  <si>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</si>
  <si>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</si>
  <si>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</si>
  <si>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</si>
  <si>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</si>
  <si>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</si>
  <si>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</si>
  <si>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</si>
  <si>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</si>
  <si>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</si>
  <si>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</si>
  <si>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</si>
  <si>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</si>
  <si>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</si>
  <si>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</si>
  <si>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</si>
  <si>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</si>
  <si>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</si>
  <si>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</si>
  <si>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</si>
  <si>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</si>
  <si>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</si>
  <si>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</si>
  <si>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</si>
  <si>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</si>
  <si>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</si>
  <si>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</si>
  <si>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</si>
  <si>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</si>
  <si>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</si>
  <si>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</si>
  <si>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</si>
  <si>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</si>
  <si>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</si>
  <si>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</si>
  <si>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</si>
  <si>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</si>
  <si>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</si>
  <si>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</si>
  <si>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</si>
  <si>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</si>
  <si>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</si>
  <si>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</si>
  <si>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</si>
  <si>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</si>
  <si>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</si>
  <si>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</si>
  <si>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</si>
  <si>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</si>
  <si>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</si>
  <si>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</si>
  <si>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</si>
  <si>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</si>
  <si>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</si>
  <si>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</si>
  <si>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</si>
  <si>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</si>
  <si>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</si>
  <si>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</si>
  <si>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</si>
  <si>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</si>
  <si>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</si>
  <si>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</si>
  <si>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</si>
  <si>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</si>
  <si>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</si>
  <si>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</si>
  <si>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</si>
  <si>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</si>
  <si>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</si>
  <si>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</si>
  <si>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</si>
  <si>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</si>
  <si>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</si>
  <si>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</si>
  <si>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</si>
  <si>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</si>
  <si>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</si>
  <si>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</si>
  <si>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</si>
  <si>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</si>
  <si>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</si>
  <si>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</si>
  <si>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</si>
  <si>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</si>
  <si>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</si>
  <si>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</si>
  <si>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</si>
  <si>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</si>
  <si>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</si>
  <si>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</si>
  <si>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</si>
  <si>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</si>
  <si>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</si>
  <si>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</si>
  <si>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</si>
  <si>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</si>
  <si>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</si>
  <si>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</si>
  <si>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</si>
  <si>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</si>
  <si>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</si>
  <si>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</si>
  <si>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</si>
  <si>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</si>
  <si>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</si>
  <si>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</si>
  <si>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</si>
  <si>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</si>
  <si>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</si>
  <si>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</si>
  <si>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</si>
  <si>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</si>
  <si>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</si>
  <si>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</si>
  <si>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</si>
  <si>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</si>
  <si>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</si>
  <si>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</si>
  <si>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</si>
  <si>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</si>
  <si>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</si>
  <si>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</si>
  <si>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</si>
  <si>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</si>
  <si>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</si>
  <si>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</si>
  <si>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</si>
  <si>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</si>
  <si>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</si>
  <si>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</si>
  <si>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</si>
  <si>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</si>
  <si>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</si>
  <si>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</si>
  <si>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</si>
  <si>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</si>
  <si>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</si>
  <si>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</si>
  <si>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</si>
  <si>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</si>
  <si>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</si>
  <si>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</si>
  <si>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</si>
  <si>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</si>
  <si>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</si>
  <si>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</si>
  <si>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</si>
  <si>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</si>
  <si>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</si>
  <si>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</si>
  <si>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</si>
  <si>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</si>
  <si>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</si>
  <si>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</si>
  <si>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</si>
  <si>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</si>
  <si>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</si>
  <si>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</si>
  <si>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</si>
  <si>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</si>
  <si>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</si>
  <si>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</si>
  <si>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</si>
  <si>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</si>
  <si>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</si>
  <si>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</si>
  <si>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</si>
  <si>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</si>
  <si>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</si>
  <si>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</si>
  <si>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</si>
  <si>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</si>
  <si>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</si>
  <si>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</si>
  <si>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</si>
  <si>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</si>
  <si>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</si>
  <si>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</si>
  <si>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</si>
  <si>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</si>
  <si>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</si>
  <si>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</si>
  <si>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</si>
  <si>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</si>
  <si>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</si>
  <si>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</si>
  <si>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</si>
  <si>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</si>
  <si>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</si>
  <si>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</si>
  <si>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</si>
  <si>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</si>
  <si>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</si>
  <si>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</si>
  <si>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</si>
  <si>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</si>
  <si>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</si>
  <si>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</si>
  <si>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</si>
  <si>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</si>
  <si>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</si>
  <si>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You have </t>
    </r>
    <r>
      <rPr>
        <b/>
        <sz val="10"/>
        <rFont val="Arial"/>
        <family val="2"/>
      </rPr>
      <t>560</t>
    </r>
    <r>
      <rPr>
        <sz val="10"/>
        <rFont val="Arial"/>
        <family val="2"/>
      </rPr>
      <t xml:space="preserve"> starting acres to construct:</t>
    </r>
  </si>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</sst>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1163</v>
      </c>
      <c r="K8" s="499"/>
      <c r="L8" s="500"/>
      <c r="M8" s="515"/>
      <c r="N8" s="516"/>
      <c r="O8" s="517"/>
    </row>
    <row r="9" spans="1:15" s="44" customFormat="1" ht="12.75" customHeight="1" x14ac:dyDescent="0.2">
      <c r="A9" s="493" t="s">
        <v>1164</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1162</v>
      </c>
      <c r="L14" s="44"/>
      <c r="M14" s="44"/>
      <c r="O14" s="79"/>
    </row>
    <row r="15" spans="1:15" s="44" customFormat="1" ht="12.75" customHeight="1" x14ac:dyDescent="0.2">
      <c r="A15" s="45" t="s">
        <v>446</v>
      </c>
      <c r="B15" s="131">
        <v>45815</v>
      </c>
      <c r="D15" s="45" t="s">
        <v>322</v>
      </c>
      <c r="E15" s="53">
        <f>B15+(1+B16-1)/24+B18-0/24</f>
        <v>45815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45875.525926388887</v>
      </c>
      <c r="H16" s="45" t="s">
        <v>163</v>
      </c>
      <c r="I16" s="54">
        <f>INDEX(TblRaces[[Max population]:[Explore Cost]],MATCH(race,TblRaces[Race],0),MATCH(Table4[[#This Row],[Race Bonuses]],TblRaces[[#Headers],[Max population]:[Explore Cost]],0))</f>
        <v>0</v>
      </c>
      <c r="K16" s="45" t="s">
        <v>170</v>
      </c>
      <c r="L16" s="474">
        <v>0</v>
      </c>
      <c r="M16" s="478" t="s">
        <v>1157</v>
      </c>
      <c r="O16" s="51"/>
    </row>
    <row r="17" spans="1:15" s="44" customFormat="1" ht="12.75" customHeight="1" thickBot="1" x14ac:dyDescent="0.25">
      <c r="A17" s="45" t="s">
        <v>319</v>
      </c>
      <c r="B17" s="55">
        <f ca="1">TODAY()</f>
        <v>45875</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1158</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1159</v>
      </c>
      <c r="O18" s="51"/>
    </row>
    <row r="19" spans="1:15" s="44" customFormat="1" x14ac:dyDescent="0.2">
      <c r="H19" s="45" t="s">
        <v>107</v>
      </c>
      <c r="I19" s="54">
        <f>INDEX(TblRaces[[Max population]:[Explore Cost]],MATCH(race,TblRaces[Race],0),MATCH(Table4[[#This Row],[Race Bonuses]],TblRaces[[#Headers],[Max population]:[Explore Cost]],0))</f>
        <v>0.05</v>
      </c>
      <c r="J19" s="49"/>
      <c r="K19" s="45" t="s">
        <v>1153</v>
      </c>
      <c r="L19" s="472">
        <v>0</v>
      </c>
      <c r="M19" s="477" t="s">
        <v>1160</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1149</v>
      </c>
      <c r="L20" s="472">
        <v>0</v>
      </c>
      <c r="M20" s="477" t="s">
        <v>1161</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1150</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1147</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1146</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1148</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1152</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1154</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1155</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1145</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1151</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332</v>
      </c>
      <c r="C44" s="101"/>
      <c r="E44" s="102"/>
      <c r="F44" s="94">
        <f ca="1">Military!AA40</f>
        <v>332</v>
      </c>
      <c r="H44" s="94">
        <f ca="1">F44*(1+$G$39)</f>
        <v>332</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332</v>
      </c>
      <c r="H46" s="100">
        <f ca="1">H44+H43+H45</f>
        <v>332</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1144</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50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0.6</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50</v>
      </c>
      <c r="C56" s="44"/>
      <c r="D56" s="108" t="str">
        <f>Construction!BD3</f>
        <v>Tot Ly</v>
      </c>
      <c r="E56" s="45">
        <f ca="1">Construction!BD40</f>
        <v>20</v>
      </c>
      <c r="F56" s="110">
        <f t="shared" ca="1" si="0"/>
        <v>0.4</v>
      </c>
      <c r="G56" s="44"/>
      <c r="H56" s="50" t="s">
        <v>2</v>
      </c>
      <c r="I56" s="44"/>
      <c r="J56" s="44"/>
      <c r="K56" s="44"/>
      <c r="L56" s="210"/>
      <c r="M56" s="466"/>
      <c r="N56" s="210"/>
      <c r="O56" s="51"/>
    </row>
    <row r="57" spans="1:15" x14ac:dyDescent="0.2">
      <c r="A57" s="114" t="s">
        <v>21</v>
      </c>
      <c r="B57" s="400">
        <f ca="1">Population!C40</f>
        <v>437</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332</v>
      </c>
      <c r="C58" s="44"/>
      <c r="D58" s="108" t="str">
        <f>Construction!BF3</f>
        <v>Tot OM</v>
      </c>
      <c r="E58" s="45">
        <f ca="1">Construction!BF40</f>
        <v>0</v>
      </c>
      <c r="F58" s="110">
        <f t="shared" ca="1" si="0"/>
        <v>0</v>
      </c>
      <c r="G58" s="44"/>
      <c r="H58" s="116">
        <v>37</v>
      </c>
      <c r="I58" s="61">
        <f ca="1">Production!H28</f>
        <v>83936</v>
      </c>
      <c r="J58" s="61">
        <f ca="1">Production!H28+SUM(Military!AS4:AS28)</f>
        <v>83936</v>
      </c>
      <c r="K58" s="44"/>
      <c r="L58" s="210"/>
      <c r="M58" s="466"/>
      <c r="N58" s="210"/>
      <c r="O58" s="51"/>
    </row>
    <row r="59" spans="1:15" x14ac:dyDescent="0.2">
      <c r="A59" s="114" t="s">
        <v>230</v>
      </c>
      <c r="B59" s="400">
        <f ca="1">Production!G40</f>
        <v>1250</v>
      </c>
      <c r="C59" s="44"/>
      <c r="D59" s="108" t="str">
        <f>Construction!BG3</f>
        <v>Tot GN</v>
      </c>
      <c r="E59" s="45">
        <f ca="1">Construction!BG40</f>
        <v>0</v>
      </c>
      <c r="F59" s="110">
        <f t="shared" ca="1" si="0"/>
        <v>0</v>
      </c>
      <c r="G59" s="44"/>
      <c r="H59" s="116">
        <v>40</v>
      </c>
      <c r="I59" s="61">
        <f ca="1">Production!H31</f>
        <v>87895</v>
      </c>
      <c r="J59" s="61">
        <f ca="1">Production!H31+SUM(Military!AS5:AS31)</f>
        <v>87895</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99052</v>
      </c>
      <c r="J60" s="61">
        <f ca="1">Production!H40+SUM(Military!AS4:AS40)</f>
        <v>99052</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1179</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99052</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83088</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30</v>
      </c>
      <c r="F70" s="120">
        <f ca="1">E70/E50</f>
        <v>0.6</v>
      </c>
      <c r="G70" s="44"/>
      <c r="I70" s="44"/>
      <c r="K70" s="44"/>
      <c r="L70" s="44"/>
      <c r="M70" s="44"/>
      <c r="N70" s="44"/>
      <c r="O70" s="51"/>
    </row>
    <row r="71" spans="1:15" x14ac:dyDescent="0.2">
      <c r="A71" s="114" t="s">
        <v>274</v>
      </c>
      <c r="B71" s="400">
        <f>Construction!D40</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3" sqref="A3"/>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45815</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45815.041666666664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45815.083333333328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45815.124999999993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45815.166666666657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45815.208333333321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45815.249999999985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45815.29166666665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45815.333333333314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45815.374999999978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45815.416666666642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45815.458333333307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-6</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45815.499999999971</v>
      </c>
      <c r="C16" s="94">
        <f ca="1">OFFSET(TblPop[[#This Row],[Peasants]],-1,0)+OFFSET(TblPop[[#This Row],[Net Peasant]],-1,0)+TblMili[[#This Row],[Release Draft]]</f>
        <v>556</v>
      </c>
      <c r="D16" s="94">
        <f ca="1">TblMili[[#This Row],[Military]]</f>
        <v>213</v>
      </c>
      <c r="E16" s="94">
        <f ca="1">TblMili[[#This Row],[Draftees]]</f>
        <v>213</v>
      </c>
      <c r="F16" s="94">
        <f ca="1">TblPop[[#This Row],[Peasants]]+TblPop[[#This Row],[Military]]</f>
        <v>769</v>
      </c>
      <c r="G16" s="139">
        <f ca="1">TblPop[[#This Row],[Military]]/TblPop[[#This Row],[Total]]</f>
        <v>0.27698309492847856</v>
      </c>
      <c r="H16" s="140">
        <f ca="1">MIN(TblPop[[#This Row],[Peasants]],TblPop[[#This Row],[Jobs]])</f>
        <v>556</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-6</v>
      </c>
      <c r="X16" s="94">
        <f ca="1">ROUND(TblPop[[#This Row],[Raw Birth]]*(1+TblPop[[#This Row],[Growth]]),0)</f>
        <v>17</v>
      </c>
      <c r="Y16" s="94">
        <f ca="1">(TblPop[[#This Row],[Peasants]]-TblPop[[#This Row],[Draft Growth]])*raw_pop_growth</f>
        <v>16.5</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45815.541666666635</v>
      </c>
      <c r="C17" s="94">
        <f ca="1">OFFSET(TblPop[[#This Row],[Peasants]],-1,0)+OFFSET(TblPop[[#This Row],[Net Peasant]],-1,0)+TblMili[[#This Row],[Release Draft]]</f>
        <v>550</v>
      </c>
      <c r="D17" s="94">
        <f ca="1">TblMili[[#This Row],[Military]]</f>
        <v>219</v>
      </c>
      <c r="E17" s="94">
        <f ca="1">TblMili[[#This Row],[Draftees]]</f>
        <v>219</v>
      </c>
      <c r="F17" s="94">
        <f ca="1">TblPop[[#This Row],[Peasants]]+TblPop[[#This Row],[Military]]</f>
        <v>769</v>
      </c>
      <c r="G17" s="139">
        <f ca="1">TblPop[[#This Row],[Military]]/TblPop[[#This Row],[Total]]</f>
        <v>0.2847854356306892</v>
      </c>
      <c r="H17" s="140">
        <f ca="1">MIN(TblPop[[#This Row],[Peasants]],TblPop[[#This Row],[Jobs]])</f>
        <v>550</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-6</v>
      </c>
      <c r="X17" s="94">
        <f ca="1">ROUND(TblPop[[#This Row],[Raw Birth]]*(1+TblPop[[#This Row],[Growth]]),0)</f>
        <v>16</v>
      </c>
      <c r="Y17" s="94">
        <f ca="1">(TblPop[[#This Row],[Peasants]]-TblPop[[#This Row],[Draft Growth]])*raw_pop_growth</f>
        <v>16.32</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45815.583333333299</v>
      </c>
      <c r="C18" s="94">
        <f ca="1">OFFSET(TblPop[[#This Row],[Peasants]],-1,0)+OFFSET(TblPop[[#This Row],[Net Peasant]],-1,0)+TblMili[[#This Row],[Release Draft]]</f>
        <v>544</v>
      </c>
      <c r="D18" s="94">
        <f ca="1">TblMili[[#This Row],[Military]]</f>
        <v>225</v>
      </c>
      <c r="E18" s="94">
        <f ca="1">TblMili[[#This Row],[Draftees]]</f>
        <v>225</v>
      </c>
      <c r="F18" s="94">
        <f ca="1">TblPop[[#This Row],[Peasants]]+TblPop[[#This Row],[Military]]</f>
        <v>769</v>
      </c>
      <c r="G18" s="139">
        <f ca="1">TblPop[[#This Row],[Military]]/TblPop[[#This Row],[Total]]</f>
        <v>0.2925877763328999</v>
      </c>
      <c r="H18" s="140">
        <f ca="1">MIN(TblPop[[#This Row],[Peasants]],TblPop[[#This Row],[Jobs]])</f>
        <v>544</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-5</v>
      </c>
      <c r="X18" s="94">
        <f ca="1">ROUND(TblPop[[#This Row],[Raw Birth]]*(1+TblPop[[#This Row],[Growth]]),0)</f>
        <v>16</v>
      </c>
      <c r="Y18" s="94">
        <f ca="1">(TblPop[[#This Row],[Peasants]]-TblPop[[#This Row],[Draft Growth]])*raw_pop_growth</f>
        <v>16.169999999999998</v>
      </c>
      <c r="Z18" s="94">
        <f ca="1">ROUND(IF(TblPop[[#This Row],[Military%]]&lt;TblMili[[#This Row],[Draftrate]],ROUND(TblPop[[#This Row],[Peasants]]*Constants!$B$55,0), 0) * IF(AND(TblMagic[[#This Row],[Active DnD]]&lt;=12,TblMagic[[#This Row],[Active DnD]]&gt;6),1.6,1),0)</f>
        <v>5</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45815.624999999964</v>
      </c>
      <c r="C19" s="94">
        <f ca="1">OFFSET(TblPop[[#This Row],[Peasants]],-1,0)+OFFSET(TblPop[[#This Row],[Net Peasant]],-1,0)+TblMili[[#This Row],[Release Draft]]</f>
        <v>539</v>
      </c>
      <c r="D19" s="94">
        <f ca="1">TblMili[[#This Row],[Military]]</f>
        <v>230</v>
      </c>
      <c r="E19" s="94">
        <f ca="1">TblMili[[#This Row],[Draftees]]</f>
        <v>230</v>
      </c>
      <c r="F19" s="94">
        <f ca="1">TblPop[[#This Row],[Peasants]]+TblPop[[#This Row],[Military]]</f>
        <v>769</v>
      </c>
      <c r="G19" s="139">
        <f ca="1">TblPop[[#This Row],[Military]]/TblPop[[#This Row],[Total]]</f>
        <v>0.29908972691807545</v>
      </c>
      <c r="H19" s="140">
        <f ca="1">MIN(TblPop[[#This Row],[Peasants]],TblPop[[#This Row],[Jobs]])</f>
        <v>539</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230</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-5</v>
      </c>
      <c r="X19" s="94">
        <f ca="1">ROUND(TblPop[[#This Row],[Raw Birth]]*(1+TblPop[[#This Row],[Growth]]),0)</f>
        <v>16</v>
      </c>
      <c r="Y19" s="94">
        <f ca="1">(TblPop[[#This Row],[Peasants]]-TblPop[[#This Row],[Draft Growth]])*raw_pop_growth</f>
        <v>16.02</v>
      </c>
      <c r="Z19" s="94">
        <f ca="1">ROUND(IF(TblPop[[#This Row],[Military%]]&lt;TblMili[[#This Row],[Draftrate]],ROUND(TblPop[[#This Row],[Peasants]]*Constants!$B$55,0), 0) * IF(AND(TblMagic[[#This Row],[Active DnD]]&lt;=12,TblMagic[[#This Row],[Active DnD]]&gt;6),1.6,1),0)</f>
        <v>5</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45815.666666666628</v>
      </c>
      <c r="C20" s="94">
        <f ca="1">OFFSET(TblPop[[#This Row],[Peasants]],-1,0)+OFFSET(TblPop[[#This Row],[Net Peasant]],-1,0)+TblMili[[#This Row],[Release Draft]]</f>
        <v>534</v>
      </c>
      <c r="D20" s="94">
        <f ca="1">TblMili[[#This Row],[Military]]</f>
        <v>235</v>
      </c>
      <c r="E20" s="94">
        <f ca="1">TblMili[[#This Row],[Draftees]]</f>
        <v>235</v>
      </c>
      <c r="F20" s="94">
        <f ca="1">TblPop[[#This Row],[Peasants]]+TblPop[[#This Row],[Military]]</f>
        <v>769</v>
      </c>
      <c r="G20" s="139">
        <f ca="1">TblPop[[#This Row],[Military]]/TblPop[[#This Row],[Total]]</f>
        <v>0.305591677503251</v>
      </c>
      <c r="H20" s="140">
        <f ca="1">MIN(TblPop[[#This Row],[Peasants]],TblPop[[#This Row],[Jobs]])</f>
        <v>534</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235</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-5</v>
      </c>
      <c r="X20" s="94">
        <f ca="1">ROUND(TblPop[[#This Row],[Raw Birth]]*(1+TblPop[[#This Row],[Growth]]),0)</f>
        <v>16</v>
      </c>
      <c r="Y20" s="94">
        <f ca="1">(TblPop[[#This Row],[Peasants]]-TblPop[[#This Row],[Draft Growth]])*raw_pop_growth</f>
        <v>15.87</v>
      </c>
      <c r="Z20" s="94">
        <f ca="1">ROUND(IF(TblPop[[#This Row],[Military%]]&lt;TblMili[[#This Row],[Draftrate]],ROUND(TblPop[[#This Row],[Peasants]]*Constants!$B$55,0), 0) * IF(AND(TblMagic[[#This Row],[Active DnD]]&lt;=12,TblMagic[[#This Row],[Active DnD]]&gt;6),1.6,1),0)</f>
        <v>5</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45815.708333333292</v>
      </c>
      <c r="C21" s="94">
        <f ca="1">OFFSET(TblPop[[#This Row],[Peasants]],-1,0)+OFFSET(TblPop[[#This Row],[Net Peasant]],-1,0)+TblMili[[#This Row],[Release Draft]]</f>
        <v>529</v>
      </c>
      <c r="D21" s="94">
        <f ca="1">TblMili[[#This Row],[Military]]</f>
        <v>240</v>
      </c>
      <c r="E21" s="94">
        <f ca="1">TblMili[[#This Row],[Draftees]]</f>
        <v>240</v>
      </c>
      <c r="F21" s="94">
        <f ca="1">TblPop[[#This Row],[Peasants]]+TblPop[[#This Row],[Military]]</f>
        <v>769</v>
      </c>
      <c r="G21" s="139">
        <f ca="1">TblPop[[#This Row],[Military]]/TblPop[[#This Row],[Total]]</f>
        <v>0.31209362808842656</v>
      </c>
      <c r="H21" s="140">
        <f ca="1">MIN(TblPop[[#This Row],[Peasants]],TblPop[[#This Row],[Jobs]])</f>
        <v>529</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240</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-5</v>
      </c>
      <c r="X21" s="94">
        <f ca="1">ROUND(TblPop[[#This Row],[Raw Birth]]*(1+TblPop[[#This Row],[Growth]]),0)</f>
        <v>16</v>
      </c>
      <c r="Y21" s="94">
        <f ca="1">(TblPop[[#This Row],[Peasants]]-TblPop[[#This Row],[Draft Growth]])*raw_pop_growth</f>
        <v>15.719999999999999</v>
      </c>
      <c r="Z21" s="94">
        <f ca="1">ROUND(IF(TblPop[[#This Row],[Military%]]&lt;TblMili[[#This Row],[Draftrate]],ROUND(TblPop[[#This Row],[Peasants]]*Constants!$B$55,0), 0) * IF(AND(TblMagic[[#This Row],[Active DnD]]&lt;=12,TblMagic[[#This Row],[Active DnD]]&gt;6),1.6,1),0)</f>
        <v>5</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45815.749999999956</v>
      </c>
      <c r="C22" s="94">
        <f ca="1">OFFSET(TblPop[[#This Row],[Peasants]],-1,0)+OFFSET(TblPop[[#This Row],[Net Peasant]],-1,0)+TblMili[[#This Row],[Release Draft]]</f>
        <v>524</v>
      </c>
      <c r="D22" s="94">
        <f ca="1">TblMili[[#This Row],[Military]]</f>
        <v>245</v>
      </c>
      <c r="E22" s="94">
        <f ca="1">TblMili[[#This Row],[Draftees]]</f>
        <v>245</v>
      </c>
      <c r="F22" s="94">
        <f ca="1">TblPop[[#This Row],[Peasants]]+TblPop[[#This Row],[Military]]</f>
        <v>769</v>
      </c>
      <c r="G22" s="139">
        <f ca="1">TblPop[[#This Row],[Military]]/TblPop[[#This Row],[Total]]</f>
        <v>0.31859557867360205</v>
      </c>
      <c r="H22" s="140">
        <f ca="1">MIN(TblPop[[#This Row],[Peasants]],TblPop[[#This Row],[Jobs]])</f>
        <v>524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245</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-5</v>
      </c>
      <c r="X22" s="94">
        <f ca="1">ROUND(TblPop[[#This Row],[Raw Birth]]*(1+TblPop[[#This Row],[Growth]]),0)</f>
        <v>16</v>
      </c>
      <c r="Y22" s="94">
        <f ca="1">(TblPop[[#This Row],[Peasants]]-TblPop[[#This Row],[Draft Growth]])*raw_pop_growth</f>
        <v>15.57</v>
      </c>
      <c r="Z22" s="94">
        <f ca="1">ROUND(IF(TblPop[[#This Row],[Military%]]&lt;TblMili[[#This Row],[Draftrate]],ROUND(TblPop[[#This Row],[Peasants]]*Constants!$B$55,0), 0) * IF(AND(TblMagic[[#This Row],[Active DnD]]&lt;=12,TblMagic[[#This Row],[Active DnD]]&gt;6),1.6,1),0)</f>
        <v>5</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45815.791666666621</v>
      </c>
      <c r="C23" s="94">
        <f ca="1">OFFSET(TblPop[[#This Row],[Peasants]],-1,0)+OFFSET(TblPop[[#This Row],[Net Peasant]],-1,0)+TblMili[[#This Row],[Release Draft]]</f>
        <v>519</v>
      </c>
      <c r="D23" s="94">
        <f ca="1">TblMili[[#This Row],[Military]]</f>
        <v>250</v>
      </c>
      <c r="E23" s="94">
        <f ca="1">TblMili[[#This Row],[Draftees]]</f>
        <v>250</v>
      </c>
      <c r="F23" s="94">
        <f ca="1">TblPop[[#This Row],[Peasants]]+TblPop[[#This Row],[Military]]</f>
        <v>769</v>
      </c>
      <c r="G23" s="139">
        <f ca="1">TblPop[[#This Row],[Military]]/TblPop[[#This Row],[Total]]</f>
        <v>0.32509752925877761</v>
      </c>
      <c r="H23" s="140">
        <f ca="1">MIN(TblPop[[#This Row],[Peasants]],TblPop[[#This Row],[Jobs]])</f>
        <v>519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-5</v>
      </c>
      <c r="X23" s="94">
        <f ca="1">ROUND(TblPop[[#This Row],[Raw Birth]]*(1+TblPop[[#This Row],[Growth]]),0)</f>
        <v>15</v>
      </c>
      <c r="Y23" s="94">
        <f ca="1">(TblPop[[#This Row],[Peasants]]-TblPop[[#This Row],[Draft Growth]])*raw_pop_growth</f>
        <v>15.42</v>
      </c>
      <c r="Z23" s="94">
        <f ca="1">ROUND(IF(TblPop[[#This Row],[Military%]]&lt;TblMili[[#This Row],[Draftrate]],ROUND(TblPop[[#This Row],[Peasants]]*Constants!$B$55,0), 0) * IF(AND(TblMagic[[#This Row],[Active DnD]]&lt;=12,TblMagic[[#This Row],[Active DnD]]&gt;6),1.6,1),0)</f>
        <v>5</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45815.833333333285</v>
      </c>
      <c r="C24" s="94">
        <f ca="1">OFFSET(TblPop[[#This Row],[Peasants]],-1,0)+OFFSET(TblPop[[#This Row],[Net Peasant]],-1,0)+TblMili[[#This Row],[Release Draft]]</f>
        <v>514</v>
      </c>
      <c r="D24" s="94">
        <f ca="1">TblMili[[#This Row],[Military]]</f>
        <v>255</v>
      </c>
      <c r="E24" s="94">
        <f ca="1">TblMili[[#This Row],[Draftees]]</f>
        <v>255</v>
      </c>
      <c r="F24" s="94">
        <f ca="1">TblPop[[#This Row],[Peasants]]+TblPop[[#This Row],[Military]]</f>
        <v>769</v>
      </c>
      <c r="G24" s="139">
        <f ca="1">TblPop[[#This Row],[Military]]/TblPop[[#This Row],[Total]]</f>
        <v>0.33159947984395316</v>
      </c>
      <c r="H24" s="140">
        <f ca="1">MIN(TblPop[[#This Row],[Peasants]],TblPop[[#This Row],[Jobs]])</f>
        <v>514</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255</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-5</v>
      </c>
      <c r="X24" s="94">
        <f ca="1">ROUND(TblPop[[#This Row],[Raw Birth]]*(1+TblPop[[#This Row],[Growth]]),0)</f>
        <v>15</v>
      </c>
      <c r="Y24" s="94">
        <f ca="1">(TblPop[[#This Row],[Peasants]]-TblPop[[#This Row],[Draft Growth]])*raw_pop_growth</f>
        <v>15.27</v>
      </c>
      <c r="Z24" s="94">
        <f ca="1">ROUND(IF(TblPop[[#This Row],[Military%]]&lt;TblMili[[#This Row],[Draftrate]],ROUND(TblPop[[#This Row],[Peasants]]*Constants!$B$55,0), 0) * IF(AND(TblMagic[[#This Row],[Active DnD]]&lt;=12,TblMagic[[#This Row],[Active DnD]]&gt;6),1.6,1),0)</f>
        <v>5</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45815.874999999949</v>
      </c>
      <c r="C25" s="94">
        <f ca="1">OFFSET(TblPop[[#This Row],[Peasants]],-1,0)+OFFSET(TblPop[[#This Row],[Net Peasant]],-1,0)+TblMili[[#This Row],[Release Draft]]</f>
        <v>509</v>
      </c>
      <c r="D25" s="94">
        <f ca="1">TblMili[[#This Row],[Military]]</f>
        <v>260</v>
      </c>
      <c r="E25" s="94">
        <f ca="1">TblMili[[#This Row],[Draftees]]</f>
        <v>260</v>
      </c>
      <c r="F25" s="94">
        <f ca="1">TblPop[[#This Row],[Peasants]]+TblPop[[#This Row],[Military]]</f>
        <v>769</v>
      </c>
      <c r="G25" s="139">
        <f ca="1">TblPop[[#This Row],[Military]]/TblPop[[#This Row],[Total]]</f>
        <v>0.33810143042912871</v>
      </c>
      <c r="H25" s="140">
        <f ca="1">MIN(TblPop[[#This Row],[Peasants]],TblPop[[#This Row],[Jobs]])</f>
        <v>509</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260</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-5</v>
      </c>
      <c r="X25" s="94">
        <f ca="1">ROUND(TblPop[[#This Row],[Raw Birth]]*(1+TblPop[[#This Row],[Growth]]),0)</f>
        <v>15</v>
      </c>
      <c r="Y25" s="94">
        <f ca="1">(TblPop[[#This Row],[Peasants]]-TblPop[[#This Row],[Draft Growth]])*raw_pop_growth</f>
        <v>15.12</v>
      </c>
      <c r="Z25" s="94">
        <f ca="1">ROUND(IF(TblPop[[#This Row],[Military%]]&lt;TblMili[[#This Row],[Draftrate]],ROUND(TblPop[[#This Row],[Peasants]]*Constants!$B$55,0), 0) * IF(AND(TblMagic[[#This Row],[Active DnD]]&lt;=12,TblMagic[[#This Row],[Active DnD]]&gt;6),1.6,1),0)</f>
        <v>5</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45815.916666666613</v>
      </c>
      <c r="C26" s="94">
        <f ca="1">OFFSET(TblPop[[#This Row],[Peasants]],-1,0)+OFFSET(TblPop[[#This Row],[Net Peasant]],-1,0)+TblMili[[#This Row],[Release Draft]]</f>
        <v>504</v>
      </c>
      <c r="D26" s="94">
        <f ca="1">TblMili[[#This Row],[Military]]</f>
        <v>265</v>
      </c>
      <c r="E26" s="94">
        <f ca="1">TblMili[[#This Row],[Draftees]]</f>
        <v>265</v>
      </c>
      <c r="F26" s="94">
        <f ca="1">TblPop[[#This Row],[Peasants]]+TblPop[[#This Row],[Military]]</f>
        <v>769</v>
      </c>
      <c r="G26" s="139">
        <f ca="1">TblPop[[#This Row],[Military]]/TblPop[[#This Row],[Total]]</f>
        <v>0.34460338101430427</v>
      </c>
      <c r="H26" s="140">
        <f ca="1">MIN(TblPop[[#This Row],[Peasants]],TblPop[[#This Row],[Jobs]])</f>
        <v>504</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265</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-5</v>
      </c>
      <c r="X26" s="94">
        <f ca="1">ROUND(TblPop[[#This Row],[Raw Birth]]*(1+TblPop[[#This Row],[Growth]]),0)</f>
        <v>15</v>
      </c>
      <c r="Y26" s="94">
        <f ca="1">(TblPop[[#This Row],[Peasants]]-TblPop[[#This Row],[Draft Growth]])*raw_pop_growth</f>
        <v>14.969999999999999</v>
      </c>
      <c r="Z26" s="94">
        <f ca="1">ROUND(IF(TblPop[[#This Row],[Military%]]&lt;TblMili[[#This Row],[Draftrate]],ROUND(TblPop[[#This Row],[Peasants]]*Constants!$B$55,0), 0) * IF(AND(TblMagic[[#This Row],[Active DnD]]&lt;=12,TblMagic[[#This Row],[Active DnD]]&gt;6),1.6,1),0)</f>
        <v>5</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45815.958333333278</v>
      </c>
      <c r="C27" s="94">
        <f ca="1">OFFSET(TblPop[[#This Row],[Peasants]],-1,0)+OFFSET(TblPop[[#This Row],[Net Peasant]],-1,0)+TblMili[[#This Row],[Release Draft]]</f>
        <v>499</v>
      </c>
      <c r="D27" s="94">
        <f ca="1">TblMili[[#This Row],[Military]]</f>
        <v>270</v>
      </c>
      <c r="E27" s="94">
        <f ca="1">TblMili[[#This Row],[Draftees]]</f>
        <v>270</v>
      </c>
      <c r="F27" s="94">
        <f ca="1">TblPop[[#This Row],[Peasants]]+TblPop[[#This Row],[Military]]</f>
        <v>769</v>
      </c>
      <c r="G27" s="139">
        <f ca="1">TblPop[[#This Row],[Military]]/TblPop[[#This Row],[Total]]</f>
        <v>0.35110533159947982</v>
      </c>
      <c r="H27" s="140">
        <f ca="1">MIN(TblPop[[#This Row],[Peasants]],TblPop[[#This Row],[Jobs]])</f>
        <v>499</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270</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-5</v>
      </c>
      <c r="X27" s="94">
        <f ca="1">ROUND(TblPop[[#This Row],[Raw Birth]]*(1+TblPop[[#This Row],[Growth]]),0)</f>
        <v>15</v>
      </c>
      <c r="Y27" s="94">
        <f ca="1">(TblPop[[#This Row],[Peasants]]-TblPop[[#This Row],[Draft Growth]])*raw_pop_growth</f>
        <v>14.82</v>
      </c>
      <c r="Z27" s="94">
        <f ca="1">ROUND(IF(TblPop[[#This Row],[Military%]]&lt;TblMili[[#This Row],[Draftrate]],ROUND(TblPop[[#This Row],[Peasants]]*Constants!$B$55,0), 0) * IF(AND(TblMagic[[#This Row],[Active DnD]]&lt;=12,TblMagic[[#This Row],[Active DnD]]&gt;6),1.6,1),0)</f>
        <v>5</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45815.999999999942</v>
      </c>
      <c r="C28" s="94">
        <f ca="1">OFFSET(TblPop[[#This Row],[Peasants]],-1,0)+OFFSET(TblPop[[#This Row],[Net Peasant]],-1,0)+TblMili[[#This Row],[Release Draft]]</f>
        <v>494</v>
      </c>
      <c r="D28" s="94">
        <f ca="1">TblMili[[#This Row],[Military]]</f>
        <v>275</v>
      </c>
      <c r="E28" s="94">
        <f ca="1">TblMili[[#This Row],[Draftees]]</f>
        <v>275</v>
      </c>
      <c r="F28" s="94">
        <f ca="1">TblPop[[#This Row],[Peasants]]+TblPop[[#This Row],[Military]]</f>
        <v>769</v>
      </c>
      <c r="G28" s="139">
        <f ca="1">TblPop[[#This Row],[Military]]/TblPop[[#This Row],[Total]]</f>
        <v>0.35760728218465537</v>
      </c>
      <c r="H28" s="140">
        <f ca="1">MIN(TblPop[[#This Row],[Peasants]],TblPop[[#This Row],[Jobs]])</f>
        <v>494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275</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-5</v>
      </c>
      <c r="X28" s="94">
        <f ca="1">ROUND(TblPop[[#This Row],[Raw Birth]]*(1+TblPop[[#This Row],[Growth]]),0)</f>
        <v>15</v>
      </c>
      <c r="Y28" s="94">
        <f ca="1">(TblPop[[#This Row],[Peasants]]-TblPop[[#This Row],[Draft Growth]])*raw_pop_growth</f>
        <v>14.67</v>
      </c>
      <c r="Z28" s="94">
        <f ca="1">ROUND(IF(TblPop[[#This Row],[Military%]]&lt;TblMili[[#This Row],[Draftrate]],ROUND(TblPop[[#This Row],[Peasants]]*Constants!$B$55,0), 0) * IF(AND(TblMagic[[#This Row],[Active DnD]]&lt;=12,TblMagic[[#This Row],[Active DnD]]&gt;6),1.6,1),0)</f>
        <v>5</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45816.041666666606</v>
      </c>
      <c r="C29" s="94">
        <f ca="1">OFFSET(TblPop[[#This Row],[Peasants]],-1,0)+OFFSET(TblPop[[#This Row],[Net Peasant]],-1,0)+TblMili[[#This Row],[Release Draft]]</f>
        <v>489</v>
      </c>
      <c r="D29" s="94">
        <f ca="1">TblMili[[#This Row],[Military]]</f>
        <v>280</v>
      </c>
      <c r="E29" s="94">
        <f ca="1">TblMili[[#This Row],[Draftees]]</f>
        <v>280</v>
      </c>
      <c r="F29" s="94">
        <f ca="1">TblPop[[#This Row],[Peasants]]+TblPop[[#This Row],[Military]]</f>
        <v>769</v>
      </c>
      <c r="G29" s="139">
        <f ca="1">TblPop[[#This Row],[Military]]/TblPop[[#This Row],[Total]]</f>
        <v>0.36410923276983093</v>
      </c>
      <c r="H29" s="140">
        <f ca="1">MIN(TblPop[[#This Row],[Peasants]],TblPop[[#This Row],[Jobs]])</f>
        <v>489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280</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-5</v>
      </c>
      <c r="X29" s="94">
        <f ca="1">ROUND(TblPop[[#This Row],[Raw Birth]]*(1+TblPop[[#This Row],[Growth]]),0)</f>
        <v>15</v>
      </c>
      <c r="Y29" s="94">
        <f ca="1">(TblPop[[#This Row],[Peasants]]-TblPop[[#This Row],[Draft Growth]])*raw_pop_growth</f>
        <v>14.52</v>
      </c>
      <c r="Z29" s="94">
        <f ca="1">ROUND(IF(TblPop[[#This Row],[Military%]]&lt;TblMili[[#This Row],[Draftrate]],ROUND(TblPop[[#This Row],[Peasants]]*Constants!$B$55,0), 0) * IF(AND(TblMagic[[#This Row],[Active DnD]]&lt;=12,TblMagic[[#This Row],[Active DnD]]&gt;6),1.6,1),0)</f>
        <v>5</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45816.08333333327</v>
      </c>
      <c r="C30" s="94">
        <f ca="1">OFFSET(TblPop[[#This Row],[Peasants]],-1,0)+OFFSET(TblPop[[#This Row],[Net Peasant]],-1,0)+TblMili[[#This Row],[Release Draft]]</f>
        <v>484</v>
      </c>
      <c r="D30" s="94">
        <f ca="1">TblMili[[#This Row],[Military]]</f>
        <v>285</v>
      </c>
      <c r="E30" s="94">
        <f ca="1">TblMili[[#This Row],[Draftees]]</f>
        <v>285</v>
      </c>
      <c r="F30" s="94">
        <f ca="1">TblPop[[#This Row],[Peasants]]+TblPop[[#This Row],[Military]]</f>
        <v>769</v>
      </c>
      <c r="G30" s="139">
        <f ca="1">TblPop[[#This Row],[Military]]/TblPop[[#This Row],[Total]]</f>
        <v>0.37061118335500648</v>
      </c>
      <c r="H30" s="140">
        <f ca="1">MIN(TblPop[[#This Row],[Peasants]],TblPop[[#This Row],[Jobs]])</f>
        <v>484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285</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-5</v>
      </c>
      <c r="X30" s="94">
        <f ca="1">ROUND(TblPop[[#This Row],[Raw Birth]]*(1+TblPop[[#This Row],[Growth]]),0)</f>
        <v>14</v>
      </c>
      <c r="Y30" s="94">
        <f ca="1">(TblPop[[#This Row],[Peasants]]-TblPop[[#This Row],[Draft Growth]])*raw_pop_growth</f>
        <v>14.37</v>
      </c>
      <c r="Z30" s="94">
        <f ca="1">ROUND(IF(TblPop[[#This Row],[Military%]]&lt;TblMili[[#This Row],[Draftrate]],ROUND(TblPop[[#This Row],[Peasants]]*Constants!$B$55,0), 0) * IF(AND(TblMagic[[#This Row],[Active DnD]]&lt;=12,TblMagic[[#This Row],[Active DnD]]&gt;6),1.6,1),0)</f>
        <v>5</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45816.124999999935</v>
      </c>
      <c r="C31" s="94">
        <f ca="1">OFFSET(TblPop[[#This Row],[Peasants]],-1,0)+OFFSET(TblPop[[#This Row],[Net Peasant]],-1,0)+TblMili[[#This Row],[Release Draft]]</f>
        <v>479</v>
      </c>
      <c r="D31" s="94">
        <f ca="1">TblMili[[#This Row],[Military]]</f>
        <v>290</v>
      </c>
      <c r="E31" s="94">
        <f ca="1">TblMili[[#This Row],[Draftees]]</f>
        <v>290</v>
      </c>
      <c r="F31" s="94">
        <f ca="1">TblPop[[#This Row],[Peasants]]+TblPop[[#This Row],[Military]]</f>
        <v>769</v>
      </c>
      <c r="G31" s="139">
        <f ca="1">TblPop[[#This Row],[Military]]/TblPop[[#This Row],[Total]]</f>
        <v>0.37711313394018203</v>
      </c>
      <c r="H31" s="140">
        <f ca="1">MIN(TblPop[[#This Row],[Peasants]],TblPop[[#This Row],[Jobs]])</f>
        <v>479</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290</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-5</v>
      </c>
      <c r="X31" s="94">
        <f ca="1">ROUND(TblPop[[#This Row],[Raw Birth]]*(1+TblPop[[#This Row],[Growth]]),0)</f>
        <v>14</v>
      </c>
      <c r="Y31" s="94">
        <f ca="1">(TblPop[[#This Row],[Peasants]]-TblPop[[#This Row],[Draft Growth]])*raw_pop_growth</f>
        <v>14.219999999999999</v>
      </c>
      <c r="Z31" s="94">
        <f ca="1">ROUND(IF(TblPop[[#This Row],[Military%]]&lt;TblMili[[#This Row],[Draftrate]],ROUND(TblPop[[#This Row],[Peasants]]*Constants!$B$55,0), 0) * IF(AND(TblMagic[[#This Row],[Active DnD]]&lt;=12,TblMagic[[#This Row],[Active DnD]]&gt;6),1.6,1),0)</f>
        <v>5</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45816.166666666599</v>
      </c>
      <c r="C32" s="94">
        <f ca="1">OFFSET(TblPop[[#This Row],[Peasants]],-1,0)+OFFSET(TblPop[[#This Row],[Net Peasant]],-1,0)+TblMili[[#This Row],[Release Draft]]</f>
        <v>474</v>
      </c>
      <c r="D32" s="94">
        <f ca="1">TblMili[[#This Row],[Military]]</f>
        <v>295</v>
      </c>
      <c r="E32" s="94">
        <f ca="1">TblMili[[#This Row],[Draftees]]</f>
        <v>295</v>
      </c>
      <c r="F32" s="94">
        <f ca="1">TblPop[[#This Row],[Peasants]]+TblPop[[#This Row],[Military]]</f>
        <v>769</v>
      </c>
      <c r="G32" s="139">
        <f ca="1">TblPop[[#This Row],[Military]]/TblPop[[#This Row],[Total]]</f>
        <v>0.38361508452535759</v>
      </c>
      <c r="H32" s="140">
        <f ca="1">MIN(TblPop[[#This Row],[Peasants]],TblPop[[#This Row],[Jobs]])</f>
        <v>474</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295</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-5</v>
      </c>
      <c r="X32" s="94">
        <f ca="1">ROUND(TblPop[[#This Row],[Raw Birth]]*(1+TblPop[[#This Row],[Growth]]),0)</f>
        <v>14</v>
      </c>
      <c r="Y32" s="94">
        <f ca="1">(TblPop[[#This Row],[Peasants]]-TblPop[[#This Row],[Draft Growth]])*raw_pop_growth</f>
        <v>14.07</v>
      </c>
      <c r="Z32" s="94">
        <f ca="1">ROUND(IF(TblPop[[#This Row],[Military%]]&lt;TblMili[[#This Row],[Draftrate]],ROUND(TblPop[[#This Row],[Peasants]]*Constants!$B$55,0), 0) * IF(AND(TblMagic[[#This Row],[Active DnD]]&lt;=12,TblMagic[[#This Row],[Active DnD]]&gt;6),1.6,1),0)</f>
        <v>5</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45816.208333333263</v>
      </c>
      <c r="C33" s="94">
        <f ca="1">OFFSET(TblPop[[#This Row],[Peasants]],-1,0)+OFFSET(TblPop[[#This Row],[Net Peasant]],-1,0)+TblMili[[#This Row],[Release Draft]]</f>
        <v>469</v>
      </c>
      <c r="D33" s="94">
        <f ca="1">TblMili[[#This Row],[Military]]</f>
        <v>300</v>
      </c>
      <c r="E33" s="94">
        <f ca="1">TblMili[[#This Row],[Draftees]]</f>
        <v>300</v>
      </c>
      <c r="F33" s="94">
        <f ca="1">TblPop[[#This Row],[Peasants]]+TblPop[[#This Row],[Military]]</f>
        <v>769</v>
      </c>
      <c r="G33" s="139">
        <f ca="1">TblPop[[#This Row],[Military]]/TblPop[[#This Row],[Total]]</f>
        <v>0.39011703511053314</v>
      </c>
      <c r="H33" s="140">
        <f ca="1">MIN(TblPop[[#This Row],[Peasants]],TblPop[[#This Row],[Jobs]])</f>
        <v>469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300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-5</v>
      </c>
      <c r="X33" s="94">
        <f ca="1">ROUND(TblPop[[#This Row],[Raw Birth]]*(1+TblPop[[#This Row],[Growth]]),0)</f>
        <v>14</v>
      </c>
      <c r="Y33" s="94">
        <f ca="1">(TblPop[[#This Row],[Peasants]]-TblPop[[#This Row],[Draft Growth]])*raw_pop_growth</f>
        <v>13.92</v>
      </c>
      <c r="Z33" s="94">
        <f ca="1">ROUND(IF(TblPop[[#This Row],[Military%]]&lt;TblMili[[#This Row],[Draftrate]],ROUND(TblPop[[#This Row],[Peasants]]*Constants!$B$55,0), 0) * IF(AND(TblMagic[[#This Row],[Active DnD]]&lt;=12,TblMagic[[#This Row],[Active DnD]]&gt;6),1.6,1),0)</f>
        <v>5</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45816.249999999927</v>
      </c>
      <c r="C34" s="94">
        <f ca="1">OFFSET(TblPop[[#This Row],[Peasants]],-1,0)+OFFSET(TblPop[[#This Row],[Net Peasant]],-1,0)+TblMili[[#This Row],[Release Draft]]</f>
        <v>464</v>
      </c>
      <c r="D34" s="94">
        <f ca="1">TblMili[[#This Row],[Military]]</f>
        <v>305</v>
      </c>
      <c r="E34" s="94">
        <f ca="1">TblMili[[#This Row],[Draftees]]</f>
        <v>305</v>
      </c>
      <c r="F34" s="94">
        <f ca="1">TblPop[[#This Row],[Peasants]]+TblPop[[#This Row],[Military]]</f>
        <v>769</v>
      </c>
      <c r="G34" s="139">
        <f ca="1">TblPop[[#This Row],[Military]]/TblPop[[#This Row],[Total]]</f>
        <v>0.39661898569570869</v>
      </c>
      <c r="H34" s="140">
        <f ca="1">MIN(TblPop[[#This Row],[Peasants]],TblPop[[#This Row],[Jobs]])</f>
        <v>464</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305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-5</v>
      </c>
      <c r="X34" s="94">
        <f ca="1">ROUND(TblPop[[#This Row],[Raw Birth]]*(1+TblPop[[#This Row],[Growth]]),0)</f>
        <v>14</v>
      </c>
      <c r="Y34" s="94">
        <f ca="1">(TblPop[[#This Row],[Peasants]]-TblPop[[#This Row],[Draft Growth]])*raw_pop_growth</f>
        <v>13.77</v>
      </c>
      <c r="Z34" s="94">
        <f ca="1">ROUND(IF(TblPop[[#This Row],[Military%]]&lt;TblMili[[#This Row],[Draftrate]],ROUND(TblPop[[#This Row],[Peasants]]*Constants!$B$55,0), 0) * IF(AND(TblMagic[[#This Row],[Active DnD]]&lt;=12,TblMagic[[#This Row],[Active DnD]]&gt;6),1.6,1),0)</f>
        <v>5</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45816.291666666591</v>
      </c>
      <c r="C35" s="94">
        <f ca="1">OFFSET(TblPop[[#This Row],[Peasants]],-1,0)+OFFSET(TblPop[[#This Row],[Net Peasant]],-1,0)+TblMili[[#This Row],[Release Draft]]</f>
        <v>459</v>
      </c>
      <c r="D35" s="94">
        <f ca="1">TblMili[[#This Row],[Military]]</f>
        <v>310</v>
      </c>
      <c r="E35" s="94">
        <f ca="1">TblMili[[#This Row],[Draftees]]</f>
        <v>310</v>
      </c>
      <c r="F35" s="94">
        <f ca="1">TblPop[[#This Row],[Peasants]]+TblPop[[#This Row],[Military]]</f>
        <v>769</v>
      </c>
      <c r="G35" s="139">
        <f ca="1">TblPop[[#This Row],[Military]]/TblPop[[#This Row],[Total]]</f>
        <v>0.40312093628088425</v>
      </c>
      <c r="H35" s="140">
        <f ca="1">MIN(TblPop[[#This Row],[Peasants]],TblPop[[#This Row],[Jobs]])</f>
        <v>459</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310</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-5</v>
      </c>
      <c r="X35" s="94">
        <f ca="1">ROUND(TblPop[[#This Row],[Raw Birth]]*(1+TblPop[[#This Row],[Growth]]),0)</f>
        <v>14</v>
      </c>
      <c r="Y35" s="94">
        <f ca="1">(TblPop[[#This Row],[Peasants]]-TblPop[[#This Row],[Draft Growth]])*raw_pop_growth</f>
        <v>13.62</v>
      </c>
      <c r="Z35" s="94">
        <f ca="1">ROUND(IF(TblPop[[#This Row],[Military%]]&lt;TblMili[[#This Row],[Draftrate]],ROUND(TblPop[[#This Row],[Peasants]]*Constants!$B$55,0), 0) * IF(AND(TblMagic[[#This Row],[Active DnD]]&lt;=12,TblMagic[[#This Row],[Active DnD]]&gt;6),1.6,1),0)</f>
        <v>5</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45816.333333333256</v>
      </c>
      <c r="C36" s="94">
        <f ca="1">OFFSET(TblPop[[#This Row],[Peasants]],-1,0)+OFFSET(TblPop[[#This Row],[Net Peasant]],-1,0)+TblMili[[#This Row],[Release Draft]]</f>
        <v>454</v>
      </c>
      <c r="D36" s="94">
        <f ca="1">TblMili[[#This Row],[Military]]</f>
        <v>315</v>
      </c>
      <c r="E36" s="94">
        <f ca="1">TblMili[[#This Row],[Draftees]]</f>
        <v>315</v>
      </c>
      <c r="F36" s="94">
        <f ca="1">TblPop[[#This Row],[Peasants]]+TblPop[[#This Row],[Military]]</f>
        <v>769</v>
      </c>
      <c r="G36" s="139">
        <f ca="1">TblPop[[#This Row],[Military]]/TblPop[[#This Row],[Total]]</f>
        <v>0.4096228868660598</v>
      </c>
      <c r="H36" s="140">
        <f ca="1">MIN(TblPop[[#This Row],[Peasants]],TblPop[[#This Row],[Jobs]])</f>
        <v>454</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315</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-5</v>
      </c>
      <c r="X36" s="94">
        <f ca="1">ROUND(TblPop[[#This Row],[Raw Birth]]*(1+TblPop[[#This Row],[Growth]]),0)</f>
        <v>13</v>
      </c>
      <c r="Y36" s="94">
        <f ca="1">(TblPop[[#This Row],[Peasants]]-TblPop[[#This Row],[Draft Growth]])*raw_pop_growth</f>
        <v>13.469999999999999</v>
      </c>
      <c r="Z36" s="94">
        <f ca="1">ROUND(IF(TblPop[[#This Row],[Military%]]&lt;TblMili[[#This Row],[Draftrate]],ROUND(TblPop[[#This Row],[Peasants]]*Constants!$B$55,0), 0) * IF(AND(TblMagic[[#This Row],[Active DnD]]&lt;=12,TblMagic[[#This Row],[Active DnD]]&gt;6),1.6,1),0)</f>
        <v>5</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45816.37499999992</v>
      </c>
      <c r="C37" s="94">
        <f ca="1">OFFSET(TblPop[[#This Row],[Peasants]],-1,0)+OFFSET(TblPop[[#This Row],[Net Peasant]],-1,0)+TblMili[[#This Row],[Release Draft]]</f>
        <v>449</v>
      </c>
      <c r="D37" s="94">
        <f ca="1">TblMili[[#This Row],[Military]]</f>
        <v>320</v>
      </c>
      <c r="E37" s="94">
        <f ca="1">TblMili[[#This Row],[Draftees]]</f>
        <v>320</v>
      </c>
      <c r="F37" s="94">
        <f ca="1">TblPop[[#This Row],[Peasants]]+TblPop[[#This Row],[Military]]</f>
        <v>769</v>
      </c>
      <c r="G37" s="139">
        <f ca="1">TblPop[[#This Row],[Military]]/TblPop[[#This Row],[Total]]</f>
        <v>0.41612483745123535</v>
      </c>
      <c r="H37" s="140">
        <f ca="1">MIN(TblPop[[#This Row],[Peasants]],TblPop[[#This Row],[Jobs]])</f>
        <v>449</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320</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-4</v>
      </c>
      <c r="X37" s="94">
        <f ca="1">ROUND(TblPop[[#This Row],[Raw Birth]]*(1+TblPop[[#This Row],[Growth]]),0)</f>
        <v>13</v>
      </c>
      <c r="Y37" s="94">
        <f ca="1">(TblPop[[#This Row],[Peasants]]-TblPop[[#This Row],[Draft Growth]])*raw_pop_growth</f>
        <v>13.35</v>
      </c>
      <c r="Z37" s="94">
        <f ca="1">ROUND(IF(TblPop[[#This Row],[Military%]]&lt;TblMili[[#This Row],[Draftrate]],ROUND(TblPop[[#This Row],[Peasants]]*Constants!$B$55,0), 0) * IF(AND(TblMagic[[#This Row],[Active DnD]]&lt;=12,TblMagic[[#This Row],[Active DnD]]&gt;6),1.6,1),0)</f>
        <v>4</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45816.416666666584</v>
      </c>
      <c r="C38" s="94">
        <f ca="1">OFFSET(TblPop[[#This Row],[Peasants]],-1,0)+OFFSET(TblPop[[#This Row],[Net Peasant]],-1,0)+TblMili[[#This Row],[Release Draft]]</f>
        <v>445</v>
      </c>
      <c r="D38" s="94">
        <f ca="1">TblMili[[#This Row],[Military]]</f>
        <v>324</v>
      </c>
      <c r="E38" s="94">
        <f ca="1">TblMili[[#This Row],[Draftees]]</f>
        <v>324</v>
      </c>
      <c r="F38" s="94">
        <f ca="1">TblPop[[#This Row],[Peasants]]+TblPop[[#This Row],[Military]]</f>
        <v>769</v>
      </c>
      <c r="G38" s="139">
        <f ca="1">TblPop[[#This Row],[Military]]/TblPop[[#This Row],[Total]]</f>
        <v>0.42132639791937582</v>
      </c>
      <c r="H38" s="140">
        <f ca="1">MIN(TblPop[[#This Row],[Peasants]],TblPop[[#This Row],[Jobs]])</f>
        <v>445</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324</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-4</v>
      </c>
      <c r="X38" s="94">
        <f ca="1">ROUND(TblPop[[#This Row],[Raw Birth]]*(1+TblPop[[#This Row],[Growth]]),0)</f>
        <v>13</v>
      </c>
      <c r="Y38" s="94">
        <f ca="1">(TblPop[[#This Row],[Peasants]]-TblPop[[#This Row],[Draft Growth]])*raw_pop_growth</f>
        <v>13.229999999999999</v>
      </c>
      <c r="Z38" s="94">
        <f ca="1">ROUND(IF(TblPop[[#This Row],[Military%]]&lt;TblMili[[#This Row],[Draftrate]],ROUND(TblPop[[#This Row],[Peasants]]*Constants!$B$55,0), 0) * IF(AND(TblMagic[[#This Row],[Active DnD]]&lt;=12,TblMagic[[#This Row],[Active DnD]]&gt;6),1.6,1),0)</f>
        <v>4</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45816.458333333248</v>
      </c>
      <c r="C39" s="94">
        <f ca="1">OFFSET(TblPop[[#This Row],[Peasants]],-1,0)+OFFSET(TblPop[[#This Row],[Net Peasant]],-1,0)+TblMili[[#This Row],[Release Draft]]</f>
        <v>441</v>
      </c>
      <c r="D39" s="94">
        <f ca="1">TblMili[[#This Row],[Military]]</f>
        <v>328</v>
      </c>
      <c r="E39" s="94">
        <f ca="1">TblMili[[#This Row],[Draftees]]</f>
        <v>328</v>
      </c>
      <c r="F39" s="94">
        <f ca="1">TblPop[[#This Row],[Peasants]]+TblPop[[#This Row],[Military]]</f>
        <v>769</v>
      </c>
      <c r="G39" s="139">
        <f ca="1">TblPop[[#This Row],[Military]]/TblPop[[#This Row],[Total]]</f>
        <v>0.42652795838751628</v>
      </c>
      <c r="H39" s="140">
        <f ca="1">MIN(TblPop[[#This Row],[Peasants]],TblPop[[#This Row],[Jobs]])</f>
        <v>441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328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-4</v>
      </c>
      <c r="X39" s="94">
        <f ca="1">ROUND(TblPop[[#This Row],[Raw Birth]]*(1+TblPop[[#This Row],[Growth]]),0)</f>
        <v>13</v>
      </c>
      <c r="Y39" s="94">
        <f ca="1">(TblPop[[#This Row],[Peasants]]-TblPop[[#This Row],[Draft Growth]])*raw_pop_growth</f>
        <v>13.11</v>
      </c>
      <c r="Z39" s="94">
        <f ca="1">ROUND(IF(TblPop[[#This Row],[Military%]]&lt;TblMili[[#This Row],[Draftrate]],ROUND(TblPop[[#This Row],[Peasants]]*Constants!$B$55,0), 0) * IF(AND(TblMagic[[#This Row],[Active DnD]]&lt;=12,TblMagic[[#This Row],[Active DnD]]&gt;6),1.6,1),0)</f>
        <v>4</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45816.499999999913</v>
      </c>
      <c r="C40" s="94">
        <f ca="1">OFFSET(TblPop[[#This Row],[Peasants]],-1,0)+OFFSET(TblPop[[#This Row],[Net Peasant]],-1,0)+TblMili[[#This Row],[Release Draft]]</f>
        <v>437</v>
      </c>
      <c r="D40" s="94">
        <f ca="1">TblMili[[#This Row],[Military]]</f>
        <v>332</v>
      </c>
      <c r="E40" s="94">
        <f ca="1">TblMili[[#This Row],[Draftees]]</f>
        <v>332</v>
      </c>
      <c r="F40" s="94">
        <f ca="1">TblPop[[#This Row],[Peasants]]+TblPop[[#This Row],[Military]]</f>
        <v>769</v>
      </c>
      <c r="G40" s="139">
        <f ca="1">TblPop[[#This Row],[Military]]/TblPop[[#This Row],[Total]]</f>
        <v>0.43172951885565669</v>
      </c>
      <c r="H40" s="140">
        <f ca="1">MIN(TblPop[[#This Row],[Peasants]],TblPop[[#This Row],[Jobs]])</f>
        <v>437</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332</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-4</v>
      </c>
      <c r="X40" s="94">
        <f ca="1">ROUND(TblPop[[#This Row],[Raw Birth]]*(1+TblPop[[#This Row],[Growth]]),0)</f>
        <v>13</v>
      </c>
      <c r="Y40" s="94">
        <f ca="1">(TblPop[[#This Row],[Peasants]]-TblPop[[#This Row],[Draft Growth]])*raw_pop_growth</f>
        <v>12.99</v>
      </c>
      <c r="Z40" s="94">
        <f ca="1">ROUND(IF(TblPop[[#This Row],[Military%]]&lt;TblMili[[#This Row],[Draftrate]],ROUND(TblPop[[#This Row],[Peasants]]*Constants!$B$55,0), 0) * IF(AND(TblMagic[[#This Row],[Active DnD]]&lt;=12,TblMagic[[#This Row],[Active DnD]]&gt;6),1.6,1),0)</f>
        <v>4</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45816.541666666577</v>
      </c>
      <c r="C41" s="94">
        <f ca="1">OFFSET(TblPop[[#This Row],[Peasants]],-1,0)+OFFSET(TblPop[[#This Row],[Net Peasant]],-1,0)+TblMili[[#This Row],[Release Draft]]</f>
        <v>433</v>
      </c>
      <c r="D41" s="94">
        <f ca="1">TblMili[[#This Row],[Military]]</f>
        <v>336</v>
      </c>
      <c r="E41" s="94">
        <f ca="1">TblMili[[#This Row],[Draftees]]</f>
        <v>336</v>
      </c>
      <c r="F41" s="94">
        <f ca="1">TblPop[[#This Row],[Peasants]]+TblPop[[#This Row],[Military]]</f>
        <v>769</v>
      </c>
      <c r="G41" s="139">
        <f ca="1">TblPop[[#This Row],[Military]]/TblPop[[#This Row],[Total]]</f>
        <v>0.43693107932379716</v>
      </c>
      <c r="H41" s="140">
        <f ca="1">MIN(TblPop[[#This Row],[Peasants]],TblPop[[#This Row],[Jobs]])</f>
        <v>433</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336</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-4</v>
      </c>
      <c r="X41" s="94">
        <f ca="1">ROUND(TblPop[[#This Row],[Raw Birth]]*(1+TblPop[[#This Row],[Growth]]),0)</f>
        <v>13</v>
      </c>
      <c r="Y41" s="94">
        <f ca="1">(TblPop[[#This Row],[Peasants]]-TblPop[[#This Row],[Draft Growth]])*raw_pop_growth</f>
        <v>12.87</v>
      </c>
      <c r="Z41" s="94">
        <f ca="1">ROUND(IF(TblPop[[#This Row],[Military%]]&lt;TblMili[[#This Row],[Draftrate]],ROUND(TblPop[[#This Row],[Peasants]]*Constants!$B$55,0), 0) * IF(AND(TblMagic[[#This Row],[Active DnD]]&lt;=12,TblMagic[[#This Row],[Active DnD]]&gt;6),1.6,1),0)</f>
        <v>4</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45816.583333333241</v>
      </c>
      <c r="C42" s="94">
        <f ca="1">OFFSET(TblPop[[#This Row],[Peasants]],-1,0)+OFFSET(TblPop[[#This Row],[Net Peasant]],-1,0)+TblMili[[#This Row],[Release Draft]]</f>
        <v>429</v>
      </c>
      <c r="D42" s="94">
        <f ca="1">TblMili[[#This Row],[Military]]</f>
        <v>340</v>
      </c>
      <c r="E42" s="94">
        <f ca="1">TblMili[[#This Row],[Draftees]]</f>
        <v>340</v>
      </c>
      <c r="F42" s="94">
        <f ca="1">TblPop[[#This Row],[Peasants]]+TblPop[[#This Row],[Military]]</f>
        <v>769</v>
      </c>
      <c r="G42" s="139">
        <f ca="1">TblPop[[#This Row],[Military]]/TblPop[[#This Row],[Total]]</f>
        <v>0.44213263979193757</v>
      </c>
      <c r="H42" s="140">
        <f ca="1">MIN(TblPop[[#This Row],[Peasants]],TblPop[[#This Row],[Jobs]])</f>
        <v>429</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340</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-4</v>
      </c>
      <c r="X42" s="94">
        <f ca="1">ROUND(TblPop[[#This Row],[Raw Birth]]*(1+TblPop[[#This Row],[Growth]]),0)</f>
        <v>13</v>
      </c>
      <c r="Y42" s="94">
        <f ca="1">(TblPop[[#This Row],[Peasants]]-TblPop[[#This Row],[Draft Growth]])*raw_pop_growth</f>
        <v>12.75</v>
      </c>
      <c r="Z42" s="94">
        <f ca="1">ROUND(IF(TblPop[[#This Row],[Military%]]&lt;TblMili[[#This Row],[Draftrate]],ROUND(TblPop[[#This Row],[Peasants]]*Constants!$B$55,0), 0) * IF(AND(TblMagic[[#This Row],[Active DnD]]&lt;=12,TblMagic[[#This Row],[Active DnD]]&gt;6),1.6,1),0)</f>
        <v>4</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45816.624999999905</v>
      </c>
      <c r="C43" s="94">
        <f ca="1">OFFSET(TblPop[[#This Row],[Peasants]],-1,0)+OFFSET(TblPop[[#This Row],[Net Peasant]],-1,0)+TblMili[[#This Row],[Release Draft]]</f>
        <v>425</v>
      </c>
      <c r="D43" s="94">
        <f ca="1">TblMili[[#This Row],[Military]]</f>
        <v>344</v>
      </c>
      <c r="E43" s="94">
        <f ca="1">TblMili[[#This Row],[Draftees]]</f>
        <v>344</v>
      </c>
      <c r="F43" s="94">
        <f ca="1">TblPop[[#This Row],[Peasants]]+TblPop[[#This Row],[Military]]</f>
        <v>769</v>
      </c>
      <c r="G43" s="139">
        <f ca="1">TblPop[[#This Row],[Military]]/TblPop[[#This Row],[Total]]</f>
        <v>0.44733420026007803</v>
      </c>
      <c r="H43" s="140">
        <f ca="1">MIN(TblPop[[#This Row],[Peasants]],TblPop[[#This Row],[Jobs]])</f>
        <v>425</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344</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-4</v>
      </c>
      <c r="X43" s="94">
        <f ca="1">ROUND(TblPop[[#This Row],[Raw Birth]]*(1+TblPop[[#This Row],[Growth]]),0)</f>
        <v>13</v>
      </c>
      <c r="Y43" s="94">
        <f ca="1">(TblPop[[#This Row],[Peasants]]-TblPop[[#This Row],[Draft Growth]])*raw_pop_growth</f>
        <v>12.629999999999999</v>
      </c>
      <c r="Z43" s="94">
        <f ca="1">ROUND(IF(TblPop[[#This Row],[Military%]]&lt;TblMili[[#This Row],[Draftrate]],ROUND(TblPop[[#This Row],[Peasants]]*Constants!$B$55,0), 0) * IF(AND(TblMagic[[#This Row],[Active DnD]]&lt;=12,TblMagic[[#This Row],[Active DnD]]&gt;6),1.6,1),0)</f>
        <v>4</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45816.66666666657</v>
      </c>
      <c r="C44" s="94">
        <f ca="1">OFFSET(TblPop[[#This Row],[Peasants]],-1,0)+OFFSET(TblPop[[#This Row],[Net Peasant]],-1,0)+TblMili[[#This Row],[Release Draft]]</f>
        <v>421</v>
      </c>
      <c r="D44" s="94">
        <f ca="1">TblMili[[#This Row],[Military]]</f>
        <v>348</v>
      </c>
      <c r="E44" s="94">
        <f ca="1">TblMili[[#This Row],[Draftees]]</f>
        <v>348</v>
      </c>
      <c r="F44" s="94">
        <f ca="1">TblPop[[#This Row],[Peasants]]+TblPop[[#This Row],[Military]]</f>
        <v>769</v>
      </c>
      <c r="G44" s="139">
        <f ca="1">TblPop[[#This Row],[Military]]/TblPop[[#This Row],[Total]]</f>
        <v>0.45253576072821844</v>
      </c>
      <c r="H44" s="140">
        <f ca="1">MIN(TblPop[[#This Row],[Peasants]],TblPop[[#This Row],[Jobs]])</f>
        <v>421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348</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-4</v>
      </c>
      <c r="X44" s="94">
        <f ca="1">ROUND(TblPop[[#This Row],[Raw Birth]]*(1+TblPop[[#This Row],[Growth]]),0)</f>
        <v>13</v>
      </c>
      <c r="Y44" s="94">
        <f ca="1">(TblPop[[#This Row],[Peasants]]-TblPop[[#This Row],[Draft Growth]])*raw_pop_growth</f>
        <v>12.51</v>
      </c>
      <c r="Z44" s="94">
        <f ca="1">ROUND(IF(TblPop[[#This Row],[Military%]]&lt;TblMili[[#This Row],[Draftrate]],ROUND(TblPop[[#This Row],[Peasants]]*Constants!$B$55,0), 0) * IF(AND(TblMagic[[#This Row],[Active DnD]]&lt;=12,TblMagic[[#This Row],[Active DnD]]&gt;6),1.6,1),0)</f>
        <v>4</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45816.708333333234</v>
      </c>
      <c r="C45" s="94">
        <f ca="1">OFFSET(TblPop[[#This Row],[Peasants]],-1,0)+OFFSET(TblPop[[#This Row],[Net Peasant]],-1,0)+TblMili[[#This Row],[Release Draft]]</f>
        <v>417</v>
      </c>
      <c r="D45" s="94">
        <f ca="1">TblMili[[#This Row],[Military]]</f>
        <v>352</v>
      </c>
      <c r="E45" s="94">
        <f ca="1">TblMili[[#This Row],[Draftees]]</f>
        <v>352</v>
      </c>
      <c r="F45" s="94">
        <f ca="1">TblPop[[#This Row],[Peasants]]+TblPop[[#This Row],[Military]]</f>
        <v>769</v>
      </c>
      <c r="G45" s="139">
        <f ca="1">TblPop[[#This Row],[Military]]/TblPop[[#This Row],[Total]]</f>
        <v>0.4577373211963589</v>
      </c>
      <c r="H45" s="140">
        <f ca="1">MIN(TblPop[[#This Row],[Peasants]],TblPop[[#This Row],[Jobs]])</f>
        <v>417</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352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-4</v>
      </c>
      <c r="X45" s="94">
        <f ca="1">ROUND(TblPop[[#This Row],[Raw Birth]]*(1+TblPop[[#This Row],[Growth]]),0)</f>
        <v>12</v>
      </c>
      <c r="Y45" s="94">
        <f ca="1">(TblPop[[#This Row],[Peasants]]-TblPop[[#This Row],[Draft Growth]])*raw_pop_growth</f>
        <v>12.389999999999999</v>
      </c>
      <c r="Z45" s="94">
        <f ca="1">ROUND(IF(TblPop[[#This Row],[Military%]]&lt;TblMili[[#This Row],[Draftrate]],ROUND(TblPop[[#This Row],[Peasants]]*Constants!$B$55,0), 0) * IF(AND(TblMagic[[#This Row],[Active DnD]]&lt;=12,TblMagic[[#This Row],[Active DnD]]&gt;6),1.6,1),0)</f>
        <v>4</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45816.749999999898</v>
      </c>
      <c r="C46" s="94">
        <f ca="1">OFFSET(TblPop[[#This Row],[Peasants]],-1,0)+OFFSET(TblPop[[#This Row],[Net Peasant]],-1,0)+TblMili[[#This Row],[Release Draft]]</f>
        <v>413</v>
      </c>
      <c r="D46" s="94">
        <f ca="1">TblMili[[#This Row],[Military]]</f>
        <v>356</v>
      </c>
      <c r="E46" s="94">
        <f ca="1">TblMili[[#This Row],[Draftees]]</f>
        <v>356</v>
      </c>
      <c r="F46" s="94">
        <f ca="1">TblPop[[#This Row],[Peasants]]+TblPop[[#This Row],[Military]]</f>
        <v>769</v>
      </c>
      <c r="G46" s="139">
        <f ca="1">TblPop[[#This Row],[Military]]/TblPop[[#This Row],[Total]]</f>
        <v>0.46293888166449937</v>
      </c>
      <c r="H46" s="140">
        <f ca="1">MIN(TblPop[[#This Row],[Peasants]],TblPop[[#This Row],[Jobs]])</f>
        <v>413</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356</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-4</v>
      </c>
      <c r="X46" s="94">
        <f ca="1">ROUND(TblPop[[#This Row],[Raw Birth]]*(1+TblPop[[#This Row],[Growth]]),0)</f>
        <v>12</v>
      </c>
      <c r="Y46" s="94">
        <f ca="1">(TblPop[[#This Row],[Peasants]]-TblPop[[#This Row],[Draft Growth]])*raw_pop_growth</f>
        <v>12.27</v>
      </c>
      <c r="Z46" s="94">
        <f ca="1">ROUND(IF(TblPop[[#This Row],[Military%]]&lt;TblMili[[#This Row],[Draftrate]],ROUND(TblPop[[#This Row],[Peasants]]*Constants!$B$55,0), 0) * IF(AND(TblMagic[[#This Row],[Active DnD]]&lt;=12,TblMagic[[#This Row],[Active DnD]]&gt;6),1.6,1),0)</f>
        <v>4</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45816.791666666562</v>
      </c>
      <c r="C47" s="94">
        <f ca="1">OFFSET(TblPop[[#This Row],[Peasants]],-1,0)+OFFSET(TblPop[[#This Row],[Net Peasant]],-1,0)+TblMili[[#This Row],[Release Draft]]</f>
        <v>409</v>
      </c>
      <c r="D47" s="94">
        <f ca="1">TblMili[[#This Row],[Military]]</f>
        <v>360</v>
      </c>
      <c r="E47" s="94">
        <f ca="1">TblMili[[#This Row],[Draftees]]</f>
        <v>360</v>
      </c>
      <c r="F47" s="94">
        <f ca="1">TblPop[[#This Row],[Peasants]]+TblPop[[#This Row],[Military]]</f>
        <v>769</v>
      </c>
      <c r="G47" s="139">
        <f ca="1">TblPop[[#This Row],[Military]]/TblPop[[#This Row],[Total]]</f>
        <v>0.46814044213263978</v>
      </c>
      <c r="H47" s="140">
        <f ca="1">MIN(TblPop[[#This Row],[Peasants]],TblPop[[#This Row],[Jobs]])</f>
        <v>409</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360</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-4</v>
      </c>
      <c r="X47" s="94">
        <f ca="1">ROUND(TblPop[[#This Row],[Raw Birth]]*(1+TblPop[[#This Row],[Growth]]),0)</f>
        <v>12</v>
      </c>
      <c r="Y47" s="94">
        <f ca="1">(TblPop[[#This Row],[Peasants]]-TblPop[[#This Row],[Draft Growth]])*raw_pop_growth</f>
        <v>12.15</v>
      </c>
      <c r="Z47" s="94">
        <f ca="1">ROUND(IF(TblPop[[#This Row],[Military%]]&lt;TblMili[[#This Row],[Draftrate]],ROUND(TblPop[[#This Row],[Peasants]]*Constants!$B$55,0), 0) * IF(AND(TblMagic[[#This Row],[Active DnD]]&lt;=12,TblMagic[[#This Row],[Active DnD]]&gt;6),1.6,1),0)</f>
        <v>4</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45816.833333333227</v>
      </c>
      <c r="C48" s="94">
        <f ca="1">OFFSET(TblPop[[#This Row],[Peasants]],-1,0)+OFFSET(TblPop[[#This Row],[Net Peasant]],-1,0)+TblMili[[#This Row],[Release Draft]]</f>
        <v>405</v>
      </c>
      <c r="D48" s="94">
        <f ca="1">TblMili[[#This Row],[Military]]</f>
        <v>364</v>
      </c>
      <c r="E48" s="94">
        <f ca="1">TblMili[[#This Row],[Draftees]]</f>
        <v>364</v>
      </c>
      <c r="F48" s="94">
        <f ca="1">TblPop[[#This Row],[Peasants]]+TblPop[[#This Row],[Military]]</f>
        <v>769</v>
      </c>
      <c r="G48" s="139">
        <f ca="1">TblPop[[#This Row],[Military]]/TblPop[[#This Row],[Total]]</f>
        <v>0.47334200260078024</v>
      </c>
      <c r="H48" s="140">
        <f ca="1">MIN(TblPop[[#This Row],[Peasants]],TblPop[[#This Row],[Jobs]])</f>
        <v>405</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364</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-4</v>
      </c>
      <c r="X48" s="94">
        <f ca="1">ROUND(TblPop[[#This Row],[Raw Birth]]*(1+TblPop[[#This Row],[Growth]]),0)</f>
        <v>12</v>
      </c>
      <c r="Y48" s="94">
        <f ca="1">(TblPop[[#This Row],[Peasants]]-TblPop[[#This Row],[Draft Growth]])*raw_pop_growth</f>
        <v>12.03</v>
      </c>
      <c r="Z48" s="94">
        <f ca="1">ROUND(IF(TblPop[[#This Row],[Military%]]&lt;TblMili[[#This Row],[Draftrate]],ROUND(TblPop[[#This Row],[Peasants]]*Constants!$B$55,0), 0) * IF(AND(TblMagic[[#This Row],[Active DnD]]&lt;=12,TblMagic[[#This Row],[Active DnD]]&gt;6),1.6,1),0)</f>
        <v>4</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45816.874999999891</v>
      </c>
      <c r="C49" s="94">
        <f ca="1">OFFSET(TblPop[[#This Row],[Peasants]],-1,0)+OFFSET(TblPop[[#This Row],[Net Peasant]],-1,0)+TblMili[[#This Row],[Release Draft]]</f>
        <v>401</v>
      </c>
      <c r="D49" s="94">
        <f ca="1">TblMili[[#This Row],[Military]]</f>
        <v>368</v>
      </c>
      <c r="E49" s="94">
        <f ca="1">TblMili[[#This Row],[Draftees]]</f>
        <v>368</v>
      </c>
      <c r="F49" s="94">
        <f ca="1">TblPop[[#This Row],[Peasants]]+TblPop[[#This Row],[Military]]</f>
        <v>769</v>
      </c>
      <c r="G49" s="139">
        <f ca="1">TblPop[[#This Row],[Military]]/TblPop[[#This Row],[Total]]</f>
        <v>0.47854356306892065</v>
      </c>
      <c r="H49" s="140">
        <f ca="1">MIN(TblPop[[#This Row],[Peasants]],TblPop[[#This Row],[Jobs]])</f>
        <v>401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368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-4</v>
      </c>
      <c r="X49" s="94">
        <f ca="1">ROUND(TblPop[[#This Row],[Raw Birth]]*(1+TblPop[[#This Row],[Growth]]),0)</f>
        <v>12</v>
      </c>
      <c r="Y49" s="94">
        <f ca="1">(TblPop[[#This Row],[Peasants]]-TblPop[[#This Row],[Draft Growth]])*raw_pop_growth</f>
        <v>11.91</v>
      </c>
      <c r="Z49" s="94">
        <f ca="1">ROUND(IF(TblPop[[#This Row],[Military%]]&lt;TblMili[[#This Row],[Draftrate]],ROUND(TblPop[[#This Row],[Peasants]]*Constants!$B$55,0), 0) * IF(AND(TblMagic[[#This Row],[Active DnD]]&lt;=12,TblMagic[[#This Row],[Active DnD]]&gt;6),1.6,1),0)</f>
        <v>4</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45816.916666666555</v>
      </c>
      <c r="C50" s="94">
        <f ca="1">OFFSET(TblPop[[#This Row],[Peasants]],-1,0)+OFFSET(TblPop[[#This Row],[Net Peasant]],-1,0)+TblMili[[#This Row],[Release Draft]]</f>
        <v>397</v>
      </c>
      <c r="D50" s="94">
        <f ca="1">TblMili[[#This Row],[Military]]</f>
        <v>372</v>
      </c>
      <c r="E50" s="94">
        <f ca="1">TblMili[[#This Row],[Draftees]]</f>
        <v>372</v>
      </c>
      <c r="F50" s="94">
        <f ca="1">TblPop[[#This Row],[Peasants]]+TblPop[[#This Row],[Military]]</f>
        <v>769</v>
      </c>
      <c r="G50" s="139">
        <f ca="1">TblPop[[#This Row],[Military]]/TblPop[[#This Row],[Total]]</f>
        <v>0.48374512353706112</v>
      </c>
      <c r="H50" s="140">
        <f ca="1">MIN(TblPop[[#This Row],[Peasants]],TblPop[[#This Row],[Jobs]])</f>
        <v>397</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372</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-4</v>
      </c>
      <c r="X50" s="94">
        <f ca="1">ROUND(TblPop[[#This Row],[Raw Birth]]*(1+TblPop[[#This Row],[Growth]]),0)</f>
        <v>12</v>
      </c>
      <c r="Y50" s="94">
        <f ca="1">(TblPop[[#This Row],[Peasants]]-TblPop[[#This Row],[Draft Growth]])*raw_pop_growth</f>
        <v>11.79</v>
      </c>
      <c r="Z50" s="94">
        <f ca="1">ROUND(IF(TblPop[[#This Row],[Military%]]&lt;TblMili[[#This Row],[Draftrate]],ROUND(TblPop[[#This Row],[Peasants]]*Constants!$B$55,0), 0) * IF(AND(TblMagic[[#This Row],[Active DnD]]&lt;=12,TblMagic[[#This Row],[Active DnD]]&gt;6),1.6,1),0)</f>
        <v>4</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45816.958333333219</v>
      </c>
      <c r="C51" s="94">
        <f ca="1">OFFSET(TblPop[[#This Row],[Peasants]],-1,0)+OFFSET(TblPop[[#This Row],[Net Peasant]],-1,0)+TblMili[[#This Row],[Release Draft]]</f>
        <v>393</v>
      </c>
      <c r="D51" s="94">
        <f ca="1">TblMili[[#This Row],[Military]]</f>
        <v>376</v>
      </c>
      <c r="E51" s="94">
        <f ca="1">TblMili[[#This Row],[Draftees]]</f>
        <v>376</v>
      </c>
      <c r="F51" s="94">
        <f ca="1">TblPop[[#This Row],[Peasants]]+TblPop[[#This Row],[Military]]</f>
        <v>769</v>
      </c>
      <c r="G51" s="139">
        <f ca="1">TblPop[[#This Row],[Military]]/TblPop[[#This Row],[Total]]</f>
        <v>0.48894668400520158</v>
      </c>
      <c r="H51" s="140">
        <f ca="1">MIN(TblPop[[#This Row],[Peasants]],TblPop[[#This Row],[Jobs]])</f>
        <v>393</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376</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-4</v>
      </c>
      <c r="X51" s="94">
        <f ca="1">ROUND(TblPop[[#This Row],[Raw Birth]]*(1+TblPop[[#This Row],[Growth]]),0)</f>
        <v>12</v>
      </c>
      <c r="Y51" s="94">
        <f ca="1">(TblPop[[#This Row],[Peasants]]-TblPop[[#This Row],[Draft Growth]])*raw_pop_growth</f>
        <v>11.67</v>
      </c>
      <c r="Z51" s="94">
        <f ca="1">ROUND(IF(TblPop[[#This Row],[Military%]]&lt;TblMili[[#This Row],[Draftrate]],ROUND(TblPop[[#This Row],[Peasants]]*Constants!$B$55,0), 0) * IF(AND(TblMagic[[#This Row],[Active DnD]]&lt;=12,TblMagic[[#This Row],[Active DnD]]&gt;6),1.6,1),0)</f>
        <v>4</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45816.999999999884</v>
      </c>
      <c r="C52" s="35">
        <f ca="1">OFFSET(TblPop[[#This Row],[Peasants]],-1,0)+OFFSET(TblPop[[#This Row],[Net Peasant]],-1,0)+TblMili[[#This Row],[Release Draft]]</f>
        <v>389</v>
      </c>
      <c r="D52" s="35">
        <f ca="1">TblMili[[#This Row],[Military]]</f>
        <v>380</v>
      </c>
      <c r="E52" s="35">
        <f ca="1">TblMili[[#This Row],[Draftees]]</f>
        <v>380</v>
      </c>
      <c r="F52" s="35">
        <f ca="1">TblPop[[#This Row],[Peasants]]+TblPop[[#This Row],[Military]]</f>
        <v>769</v>
      </c>
      <c r="G52" s="146">
        <f ca="1">TblPop[[#This Row],[Military]]/TblPop[[#This Row],[Total]]</f>
        <v>0.49414824447334199</v>
      </c>
      <c r="H52" s="147">
        <f ca="1">MIN(TblPop[[#This Row],[Peasants]],TblPop[[#This Row],[Jobs]])</f>
        <v>389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380</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-4</v>
      </c>
      <c r="X52" s="35">
        <f ca="1">ROUND(TblPop[[#This Row],[Raw Birth]]*(1+TblPop[[#This Row],[Growth]]),0)</f>
        <v>12</v>
      </c>
      <c r="Y52" s="35">
        <f ca="1">(TblPop[[#This Row],[Peasants]]-TblPop[[#This Row],[Draft Growth]])*raw_pop_growth</f>
        <v>11.549999999999999</v>
      </c>
      <c r="Z52" s="35">
        <f ca="1">ROUND(IF(TblPop[[#This Row],[Military%]]&lt;TblMili[[#This Row],[Draftrate]],ROUND(TblPop[[#This Row],[Peasants]]*Constants!$B$55,0), 0) * IF(AND(TblMagic[[#This Row],[Active DnD]]&lt;=12,TblMagic[[#This Row],[Active DnD]]&gt;6),1.6,1),0)</f>
        <v>4</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45817.041666666548</v>
      </c>
      <c r="C53" s="94">
        <f ca="1">OFFSET(TblPop[[#This Row],[Peasants]],-1,0)+OFFSET(TblPop[[#This Row],[Net Peasant]],-1,0)+TblMili[[#This Row],[Release Draft]]</f>
        <v>385</v>
      </c>
      <c r="D53" s="94">
        <f ca="1">TblMili[[#This Row],[Military]]</f>
        <v>384</v>
      </c>
      <c r="E53" s="94">
        <f ca="1">TblMili[[#This Row],[Draftees]]</f>
        <v>384</v>
      </c>
      <c r="F53" s="94">
        <f ca="1">TblPop[[#This Row],[Peasants]]+TblPop[[#This Row],[Military]]</f>
        <v>769</v>
      </c>
      <c r="G53" s="139">
        <f ca="1">TblPop[[#This Row],[Military]]/TblPop[[#This Row],[Total]]</f>
        <v>0.49934980494148246</v>
      </c>
      <c r="H53" s="140">
        <f ca="1">MIN(TblPop[[#This Row],[Peasants]],TblPop[[#This Row],[Jobs]])</f>
        <v>385</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384</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-4</v>
      </c>
      <c r="X53" s="94">
        <f ca="1">ROUND(TblPop[[#This Row],[Raw Birth]]*(1+TblPop[[#This Row],[Growth]]),0)</f>
        <v>11</v>
      </c>
      <c r="Y53" s="94">
        <f ca="1">(TblPop[[#This Row],[Peasants]]-TblPop[[#This Row],[Draft Growth]])*raw_pop_growth</f>
        <v>11.43</v>
      </c>
      <c r="Z53" s="94">
        <f ca="1">ROUND(IF(TblPop[[#This Row],[Military%]]&lt;TblMili[[#This Row],[Draftrate]],ROUND(TblPop[[#This Row],[Peasants]]*Constants!$B$55,0), 0) * IF(AND(TblMagic[[#This Row],[Active DnD]]&lt;=12,TblMagic[[#This Row],[Active DnD]]&gt;6),1.6,1),0)</f>
        <v>4</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45817.083333333212</v>
      </c>
      <c r="C54" s="94">
        <f ca="1">OFFSET(TblPop[[#This Row],[Peasants]],-1,0)+OFFSET(TblPop[[#This Row],[Net Peasant]],-1,0)+TblMili[[#This Row],[Release Draft]]</f>
        <v>381</v>
      </c>
      <c r="D54" s="94">
        <f ca="1">TblMili[[#This Row],[Military]]</f>
        <v>388</v>
      </c>
      <c r="E54" s="94">
        <f ca="1">TblMili[[#This Row],[Draftees]]</f>
        <v>388</v>
      </c>
      <c r="F54" s="94">
        <f ca="1">TblPop[[#This Row],[Peasants]]+TblPop[[#This Row],[Military]]</f>
        <v>769</v>
      </c>
      <c r="G54" s="139">
        <f ca="1">TblPop[[#This Row],[Military]]/TblPop[[#This Row],[Total]]</f>
        <v>0.50455136540962287</v>
      </c>
      <c r="H54" s="140">
        <f ca="1">MIN(TblPop[[#This Row],[Peasants]],TblPop[[#This Row],[Jobs]])</f>
        <v>381</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388</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-4</v>
      </c>
      <c r="X54" s="94">
        <f ca="1">ROUND(TblPop[[#This Row],[Raw Birth]]*(1+TblPop[[#This Row],[Growth]]),0)</f>
        <v>11</v>
      </c>
      <c r="Y54" s="94">
        <f ca="1">(TblPop[[#This Row],[Peasants]]-TblPop[[#This Row],[Draft Growth]])*raw_pop_growth</f>
        <v>11.309999999999999</v>
      </c>
      <c r="Z54" s="94">
        <f ca="1">ROUND(IF(TblPop[[#This Row],[Military%]]&lt;TblMili[[#This Row],[Draftrate]],ROUND(TblPop[[#This Row],[Peasants]]*Constants!$B$55,0), 0) * IF(AND(TblMagic[[#This Row],[Active DnD]]&lt;=12,TblMagic[[#This Row],[Active DnD]]&gt;6),1.6,1),0)</f>
        <v>4</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45817.124999999876</v>
      </c>
      <c r="C55" s="94">
        <f ca="1">OFFSET(TblPop[[#This Row],[Peasants]],-1,0)+OFFSET(TblPop[[#This Row],[Net Peasant]],-1,0)+TblMili[[#This Row],[Release Draft]]</f>
        <v>377</v>
      </c>
      <c r="D55" s="94">
        <f ca="1">TblMili[[#This Row],[Military]]</f>
        <v>392</v>
      </c>
      <c r="E55" s="94">
        <f ca="1">TblMili[[#This Row],[Draftees]]</f>
        <v>392</v>
      </c>
      <c r="F55" s="94">
        <f ca="1">TblPop[[#This Row],[Peasants]]+TblPop[[#This Row],[Military]]</f>
        <v>769</v>
      </c>
      <c r="G55" s="139">
        <f ca="1">TblPop[[#This Row],[Military]]/TblPop[[#This Row],[Total]]</f>
        <v>0.50975292587776333</v>
      </c>
      <c r="H55" s="140">
        <f ca="1">MIN(TblPop[[#This Row],[Peasants]],TblPop[[#This Row],[Jobs]])</f>
        <v>377</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392</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-4</v>
      </c>
      <c r="X55" s="94">
        <f ca="1">ROUND(TblPop[[#This Row],[Raw Birth]]*(1+TblPop[[#This Row],[Growth]]),0)</f>
        <v>11</v>
      </c>
      <c r="Y55" s="94">
        <f ca="1">(TblPop[[#This Row],[Peasants]]-TblPop[[#This Row],[Draft Growth]])*raw_pop_growth</f>
        <v>11.19</v>
      </c>
      <c r="Z55" s="94">
        <f ca="1">ROUND(IF(TblPop[[#This Row],[Military%]]&lt;TblMili[[#This Row],[Draftrate]],ROUND(TblPop[[#This Row],[Peasants]]*Constants!$B$55,0), 0) * IF(AND(TblMagic[[#This Row],[Active DnD]]&lt;=12,TblMagic[[#This Row],[Active DnD]]&gt;6),1.6,1),0)</f>
        <v>4</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45817.166666666541</v>
      </c>
      <c r="C56" s="94">
        <f ca="1">OFFSET(TblPop[[#This Row],[Peasants]],-1,0)+OFFSET(TblPop[[#This Row],[Net Peasant]],-1,0)+TblMili[[#This Row],[Release Draft]]</f>
        <v>373</v>
      </c>
      <c r="D56" s="94">
        <f ca="1">TblMili[[#This Row],[Military]]</f>
        <v>396</v>
      </c>
      <c r="E56" s="94">
        <f ca="1">TblMili[[#This Row],[Draftees]]</f>
        <v>396</v>
      </c>
      <c r="F56" s="94">
        <f ca="1">TblPop[[#This Row],[Peasants]]+TblPop[[#This Row],[Military]]</f>
        <v>769</v>
      </c>
      <c r="G56" s="139">
        <f ca="1">TblPop[[#This Row],[Military]]/TblPop[[#This Row],[Total]]</f>
        <v>0.51495448634590379</v>
      </c>
      <c r="H56" s="140">
        <f ca="1">MIN(TblPop[[#This Row],[Peasants]],TblPop[[#This Row],[Jobs]])</f>
        <v>373</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396</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-4</v>
      </c>
      <c r="X56" s="94">
        <f ca="1">ROUND(TblPop[[#This Row],[Raw Birth]]*(1+TblPop[[#This Row],[Growth]]),0)</f>
        <v>11</v>
      </c>
      <c r="Y56" s="94">
        <f ca="1">(TblPop[[#This Row],[Peasants]]-TblPop[[#This Row],[Draft Growth]])*raw_pop_growth</f>
        <v>11.07</v>
      </c>
      <c r="Z56" s="94">
        <f ca="1">ROUND(IF(TblPop[[#This Row],[Military%]]&lt;TblMili[[#This Row],[Draftrate]],ROUND(TblPop[[#This Row],[Peasants]]*Constants!$B$55,0), 0) * IF(AND(TblMagic[[#This Row],[Active DnD]]&lt;=12,TblMagic[[#This Row],[Active DnD]]&gt;6),1.6,1),0)</f>
        <v>4</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45817.208333333205</v>
      </c>
      <c r="C57" s="94">
        <f ca="1">OFFSET(TblPop[[#This Row],[Peasants]],-1,0)+OFFSET(TblPop[[#This Row],[Net Peasant]],-1,0)+TblMili[[#This Row],[Release Draft]]</f>
        <v>369</v>
      </c>
      <c r="D57" s="94">
        <f ca="1">TblMili[[#This Row],[Military]]</f>
        <v>400</v>
      </c>
      <c r="E57" s="94">
        <f ca="1">TblMili[[#This Row],[Draftees]]</f>
        <v>400</v>
      </c>
      <c r="F57" s="94">
        <f ca="1">TblPop[[#This Row],[Peasants]]+TblPop[[#This Row],[Military]]</f>
        <v>769</v>
      </c>
      <c r="G57" s="139">
        <f ca="1">TblPop[[#This Row],[Military]]/TblPop[[#This Row],[Total]]</f>
        <v>0.52015604681404426</v>
      </c>
      <c r="H57" s="140">
        <f ca="1">MIN(TblPop[[#This Row],[Peasants]],TblPop[[#This Row],[Jobs]])</f>
        <v>369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400</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-4</v>
      </c>
      <c r="X57" s="94">
        <f ca="1">ROUND(TblPop[[#This Row],[Raw Birth]]*(1+TblPop[[#This Row],[Growth]]),0)</f>
        <v>11</v>
      </c>
      <c r="Y57" s="94">
        <f ca="1">(TblPop[[#This Row],[Peasants]]-TblPop[[#This Row],[Draft Growth]])*raw_pop_growth</f>
        <v>10.95</v>
      </c>
      <c r="Z57" s="94">
        <f ca="1">ROUND(IF(TblPop[[#This Row],[Military%]]&lt;TblMili[[#This Row],[Draftrate]],ROUND(TblPop[[#This Row],[Peasants]]*Constants!$B$55,0), 0) * IF(AND(TblMagic[[#This Row],[Active DnD]]&lt;=12,TblMagic[[#This Row],[Active DnD]]&gt;6),1.6,1),0)</f>
        <v>4</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45817.249999999869</v>
      </c>
      <c r="C58" s="94">
        <f ca="1">OFFSET(TblPop[[#This Row],[Peasants]],-1,0)+OFFSET(TblPop[[#This Row],[Net Peasant]],-1,0)+TblMili[[#This Row],[Release Draft]]</f>
        <v>365</v>
      </c>
      <c r="D58" s="94">
        <f ca="1">TblMili[[#This Row],[Military]]</f>
        <v>404</v>
      </c>
      <c r="E58" s="94">
        <f ca="1">TblMili[[#This Row],[Draftees]]</f>
        <v>404</v>
      </c>
      <c r="F58" s="94">
        <f ca="1">TblPop[[#This Row],[Peasants]]+TblPop[[#This Row],[Military]]</f>
        <v>769</v>
      </c>
      <c r="G58" s="139">
        <f ca="1">TblPop[[#This Row],[Military]]/TblPop[[#This Row],[Total]]</f>
        <v>0.52535760728218461</v>
      </c>
      <c r="H58" s="140">
        <f ca="1">MIN(TblPop[[#This Row],[Peasants]],TblPop[[#This Row],[Jobs]])</f>
        <v>365</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404</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-4</v>
      </c>
      <c r="X58" s="94">
        <f ca="1">ROUND(TblPop[[#This Row],[Raw Birth]]*(1+TblPop[[#This Row],[Growth]]),0)</f>
        <v>11</v>
      </c>
      <c r="Y58" s="94">
        <f ca="1">(TblPop[[#This Row],[Peasants]]-TblPop[[#This Row],[Draft Growth]])*raw_pop_growth</f>
        <v>10.83</v>
      </c>
      <c r="Z58" s="94">
        <f ca="1">ROUND(IF(TblPop[[#This Row],[Military%]]&lt;TblMili[[#This Row],[Draftrate]],ROUND(TblPop[[#This Row],[Peasants]]*Constants!$B$55,0), 0) * IF(AND(TblMagic[[#This Row],[Active DnD]]&lt;=12,TblMagic[[#This Row],[Active DnD]]&gt;6),1.6,1),0)</f>
        <v>4</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45817.291666666533</v>
      </c>
      <c r="C59" s="94">
        <f ca="1">OFFSET(TblPop[[#This Row],[Peasants]],-1,0)+OFFSET(TblPop[[#This Row],[Net Peasant]],-1,0)+TblMili[[#This Row],[Release Draft]]</f>
        <v>361</v>
      </c>
      <c r="D59" s="94">
        <f ca="1">TblMili[[#This Row],[Military]]</f>
        <v>408</v>
      </c>
      <c r="E59" s="94">
        <f ca="1">TblMili[[#This Row],[Draftees]]</f>
        <v>408</v>
      </c>
      <c r="F59" s="94">
        <f ca="1">TblPop[[#This Row],[Peasants]]+TblPop[[#This Row],[Military]]</f>
        <v>769</v>
      </c>
      <c r="G59" s="139">
        <f ca="1">TblPop[[#This Row],[Military]]/TblPop[[#This Row],[Total]]</f>
        <v>0.53055916775032508</v>
      </c>
      <c r="H59" s="140">
        <f ca="1">MIN(TblPop[[#This Row],[Peasants]],TblPop[[#This Row],[Jobs]])</f>
        <v>361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408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-4</v>
      </c>
      <c r="X59" s="94">
        <f ca="1">ROUND(TblPop[[#This Row],[Raw Birth]]*(1+TblPop[[#This Row],[Growth]]),0)</f>
        <v>11</v>
      </c>
      <c r="Y59" s="94">
        <f ca="1">(TblPop[[#This Row],[Peasants]]-TblPop[[#This Row],[Draft Growth]])*raw_pop_growth</f>
        <v>10.709999999999999</v>
      </c>
      <c r="Z59" s="94">
        <f ca="1">ROUND(IF(TblPop[[#This Row],[Military%]]&lt;TblMili[[#This Row],[Draftrate]],ROUND(TblPop[[#This Row],[Peasants]]*Constants!$B$55,0), 0) * IF(AND(TblMagic[[#This Row],[Active DnD]]&lt;=12,TblMagic[[#This Row],[Active DnD]]&gt;6),1.6,1),0)</f>
        <v>4</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45817.333333333198</v>
      </c>
      <c r="C60" s="94">
        <f ca="1">OFFSET(TblPop[[#This Row],[Peasants]],-1,0)+OFFSET(TblPop[[#This Row],[Net Peasant]],-1,0)+TblMili[[#This Row],[Release Draft]]</f>
        <v>357</v>
      </c>
      <c r="D60" s="94">
        <f ca="1">TblMili[[#This Row],[Military]]</f>
        <v>412</v>
      </c>
      <c r="E60" s="94">
        <f ca="1">TblMili[[#This Row],[Draftees]]</f>
        <v>412</v>
      </c>
      <c r="F60" s="94">
        <f ca="1">TblPop[[#This Row],[Peasants]]+TblPop[[#This Row],[Military]]</f>
        <v>769</v>
      </c>
      <c r="G60" s="139">
        <f ca="1">TblPop[[#This Row],[Military]]/TblPop[[#This Row],[Total]]</f>
        <v>0.53576072821846554</v>
      </c>
      <c r="H60" s="140">
        <f ca="1">MIN(TblPop[[#This Row],[Peasants]],TblPop[[#This Row],[Jobs]])</f>
        <v>357</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412</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-4</v>
      </c>
      <c r="X60" s="94">
        <f ca="1">ROUND(TblPop[[#This Row],[Raw Birth]]*(1+TblPop[[#This Row],[Growth]]),0)</f>
        <v>11</v>
      </c>
      <c r="Y60" s="94">
        <f ca="1">(TblPop[[#This Row],[Peasants]]-TblPop[[#This Row],[Draft Growth]])*raw_pop_growth</f>
        <v>10.59</v>
      </c>
      <c r="Z60" s="94">
        <f ca="1">ROUND(IF(TblPop[[#This Row],[Military%]]&lt;TblMili[[#This Row],[Draftrate]],ROUND(TblPop[[#This Row],[Peasants]]*Constants!$B$55,0), 0) * IF(AND(TblMagic[[#This Row],[Active DnD]]&lt;=12,TblMagic[[#This Row],[Active DnD]]&gt;6),1.6,1),0)</f>
        <v>4</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45817.374999999862</v>
      </c>
      <c r="C61" s="94">
        <f ca="1">OFFSET(TblPop[[#This Row],[Peasants]],-1,0)+OFFSET(TblPop[[#This Row],[Net Peasant]],-1,0)+TblMili[[#This Row],[Release Draft]]</f>
        <v>353</v>
      </c>
      <c r="D61" s="94">
        <f ca="1">TblMili[[#This Row],[Military]]</f>
        <v>416</v>
      </c>
      <c r="E61" s="94">
        <f ca="1">TblMili[[#This Row],[Draftees]]</f>
        <v>416</v>
      </c>
      <c r="F61" s="94">
        <f ca="1">TblPop[[#This Row],[Peasants]]+TblPop[[#This Row],[Military]]</f>
        <v>769</v>
      </c>
      <c r="G61" s="139">
        <f ca="1">TblPop[[#This Row],[Military]]/TblPop[[#This Row],[Total]]</f>
        <v>0.54096228868660601</v>
      </c>
      <c r="H61" s="140">
        <f ca="1">MIN(TblPop[[#This Row],[Peasants]],TblPop[[#This Row],[Jobs]])</f>
        <v>353</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416</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-4</v>
      </c>
      <c r="X61" s="94">
        <f ca="1">ROUND(TblPop[[#This Row],[Raw Birth]]*(1+TblPop[[#This Row],[Growth]]),0)</f>
        <v>10</v>
      </c>
      <c r="Y61" s="94">
        <f ca="1">(TblPop[[#This Row],[Peasants]]-TblPop[[#This Row],[Draft Growth]])*raw_pop_growth</f>
        <v>10.469999999999999</v>
      </c>
      <c r="Z61" s="94">
        <f ca="1">ROUND(IF(TblPop[[#This Row],[Military%]]&lt;TblMili[[#This Row],[Draftrate]],ROUND(TblPop[[#This Row],[Peasants]]*Constants!$B$55,0), 0) * IF(AND(TblMagic[[#This Row],[Active DnD]]&lt;=12,TblMagic[[#This Row],[Active DnD]]&gt;6),1.6,1),0)</f>
        <v>4</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45817.416666666526</v>
      </c>
      <c r="C62" s="94">
        <f ca="1">OFFSET(TblPop[[#This Row],[Peasants]],-1,0)+OFFSET(TblPop[[#This Row],[Net Peasant]],-1,0)+TblMili[[#This Row],[Release Draft]]</f>
        <v>349</v>
      </c>
      <c r="D62" s="94">
        <f ca="1">TblMili[[#This Row],[Military]]</f>
        <v>420</v>
      </c>
      <c r="E62" s="94">
        <f ca="1">TblMili[[#This Row],[Draftees]]</f>
        <v>420</v>
      </c>
      <c r="F62" s="94">
        <f ca="1">TblPop[[#This Row],[Peasants]]+TblPop[[#This Row],[Military]]</f>
        <v>769</v>
      </c>
      <c r="G62" s="139">
        <f ca="1">TblPop[[#This Row],[Military]]/TblPop[[#This Row],[Total]]</f>
        <v>0.54616384915474647</v>
      </c>
      <c r="H62" s="140">
        <f ca="1">MIN(TblPop[[#This Row],[Peasants]],TblPop[[#This Row],[Jobs]])</f>
        <v>349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420</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10</v>
      </c>
      <c r="Y62" s="94">
        <f ca="1">(TblPop[[#This Row],[Peasants]]-TblPop[[#This Row],[Draft Growth]])*raw_pop_growth</f>
        <v>10.379999999999999</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45817.45833333319</v>
      </c>
      <c r="C63" s="94">
        <f ca="1">OFFSET(TblPop[[#This Row],[Peasants]],-1,0)+OFFSET(TblPop[[#This Row],[Net Peasant]],-1,0)+TblMili[[#This Row],[Release Draft]]</f>
        <v>346</v>
      </c>
      <c r="D63" s="94">
        <f ca="1">TblMili[[#This Row],[Military]]</f>
        <v>423</v>
      </c>
      <c r="E63" s="94">
        <f ca="1">TblMili[[#This Row],[Draftees]]</f>
        <v>423</v>
      </c>
      <c r="F63" s="94">
        <f ca="1">TblPop[[#This Row],[Peasants]]+TblPop[[#This Row],[Military]]</f>
        <v>769</v>
      </c>
      <c r="G63" s="139">
        <f ca="1">TblPop[[#This Row],[Military]]/TblPop[[#This Row],[Total]]</f>
        <v>0.55006501950585174</v>
      </c>
      <c r="H63" s="140">
        <f ca="1">MIN(TblPop[[#This Row],[Peasants]],TblPop[[#This Row],[Jobs]])</f>
        <v>346</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423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10</v>
      </c>
      <c r="Y63" s="94">
        <f ca="1">(TblPop[[#This Row],[Peasants]]-TblPop[[#This Row],[Draft Growth]])*raw_pop_growth</f>
        <v>10.29</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45817.499999999854</v>
      </c>
      <c r="C64" s="94">
        <f ca="1">OFFSET(TblPop[[#This Row],[Peasants]],-1,0)+OFFSET(TblPop[[#This Row],[Net Peasant]],-1,0)+TblMili[[#This Row],[Release Draft]]</f>
        <v>343</v>
      </c>
      <c r="D64" s="94">
        <f ca="1">TblMili[[#This Row],[Military]]</f>
        <v>426</v>
      </c>
      <c r="E64" s="94">
        <f ca="1">TblMili[[#This Row],[Draftees]]</f>
        <v>426</v>
      </c>
      <c r="F64" s="94">
        <f ca="1">TblPop[[#This Row],[Peasants]]+TblPop[[#This Row],[Military]]</f>
        <v>769</v>
      </c>
      <c r="G64" s="139">
        <f ca="1">TblPop[[#This Row],[Military]]/TblPop[[#This Row],[Total]]</f>
        <v>0.55396618985695711</v>
      </c>
      <c r="H64" s="140">
        <f ca="1">MIN(TblPop[[#This Row],[Peasants]],TblPop[[#This Row],[Jobs]])</f>
        <v>343</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426</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10</v>
      </c>
      <c r="Y64" s="94">
        <f ca="1">(TblPop[[#This Row],[Peasants]]-TblPop[[#This Row],[Draft Growth]])*raw_pop_growth</f>
        <v>10.199999999999999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45817.541666666519</v>
      </c>
      <c r="C65" s="94">
        <f ca="1">OFFSET(TblPop[[#This Row],[Peasants]],-1,0)+OFFSET(TblPop[[#This Row],[Net Peasant]],-1,0)+TblMili[[#This Row],[Release Draft]]</f>
        <v>340</v>
      </c>
      <c r="D65" s="94">
        <f ca="1">TblMili[[#This Row],[Military]]</f>
        <v>429</v>
      </c>
      <c r="E65" s="94">
        <f ca="1">TblMili[[#This Row],[Draftees]]</f>
        <v>429</v>
      </c>
      <c r="F65" s="94">
        <f ca="1">TblPop[[#This Row],[Peasants]]+TblPop[[#This Row],[Military]]</f>
        <v>769</v>
      </c>
      <c r="G65" s="139">
        <f ca="1">TblPop[[#This Row],[Military]]/TblPop[[#This Row],[Total]]</f>
        <v>0.55786736020806238</v>
      </c>
      <c r="H65" s="140">
        <f ca="1">MIN(TblPop[[#This Row],[Peasants]],TblPop[[#This Row],[Jobs]])</f>
        <v>340</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429</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10</v>
      </c>
      <c r="Y65" s="94">
        <f ca="1">(TblPop[[#This Row],[Peasants]]-TblPop[[#This Row],[Draft Growth]])*raw_pop_growth</f>
        <v>10.11</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45817.583333333183</v>
      </c>
      <c r="C66" s="94">
        <f ca="1">OFFSET(TblPop[[#This Row],[Peasants]],-1,0)+OFFSET(TblPop[[#This Row],[Net Peasant]],-1,0)+TblMili[[#This Row],[Release Draft]]</f>
        <v>337</v>
      </c>
      <c r="D66" s="94">
        <f ca="1">TblMili[[#This Row],[Military]]</f>
        <v>432</v>
      </c>
      <c r="E66" s="94">
        <f ca="1">TblMili[[#This Row],[Draftees]]</f>
        <v>432</v>
      </c>
      <c r="F66" s="94">
        <f ca="1">TblPop[[#This Row],[Peasants]]+TblPop[[#This Row],[Military]]</f>
        <v>769</v>
      </c>
      <c r="G66" s="139">
        <f ca="1">TblPop[[#This Row],[Military]]/TblPop[[#This Row],[Total]]</f>
        <v>0.56176853055916776</v>
      </c>
      <c r="H66" s="140">
        <f ca="1">MIN(TblPop[[#This Row],[Peasants]],TblPop[[#This Row],[Jobs]])</f>
        <v>337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432</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10</v>
      </c>
      <c r="Y66" s="94">
        <f ca="1">(TblPop[[#This Row],[Peasants]]-TblPop[[#This Row],[Draft Growth]])*raw_pop_growth</f>
        <v>10.02</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45817.624999999847</v>
      </c>
      <c r="C67" s="94">
        <f ca="1">OFFSET(TblPop[[#This Row],[Peasants]],-1,0)+OFFSET(TblPop[[#This Row],[Net Peasant]],-1,0)+TblMili[[#This Row],[Release Draft]]</f>
        <v>334</v>
      </c>
      <c r="D67" s="94">
        <f ca="1">TblMili[[#This Row],[Military]]</f>
        <v>435</v>
      </c>
      <c r="E67" s="94">
        <f ca="1">TblMili[[#This Row],[Draftees]]</f>
        <v>435</v>
      </c>
      <c r="F67" s="94">
        <f ca="1">TblPop[[#This Row],[Peasants]]+TblPop[[#This Row],[Military]]</f>
        <v>769</v>
      </c>
      <c r="G67" s="139">
        <f ca="1">TblPop[[#This Row],[Military]]/TblPop[[#This Row],[Total]]</f>
        <v>0.56566970091027313</v>
      </c>
      <c r="H67" s="140">
        <f ca="1">MIN(TblPop[[#This Row],[Peasants]],TblPop[[#This Row],[Jobs]])</f>
        <v>334</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435</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-3</v>
      </c>
      <c r="X67" s="94">
        <f ca="1">ROUND(TblPop[[#This Row],[Raw Birth]]*(1+TblPop[[#This Row],[Growth]]),0)</f>
        <v>10</v>
      </c>
      <c r="Y67" s="94">
        <f ca="1">(TblPop[[#This Row],[Peasants]]-TblPop[[#This Row],[Draft Growth]])*raw_pop_growth</f>
        <v>9.93</v>
      </c>
      <c r="Z67" s="94">
        <f ca="1">ROUND(IF(TblPop[[#This Row],[Military%]]&lt;TblMili[[#This Row],[Draftrate]],ROUND(TblPop[[#This Row],[Peasants]]*Constants!$B$55,0), 0) * IF(AND(TblMagic[[#This Row],[Active DnD]]&lt;=12,TblMagic[[#This Row],[Active DnD]]&gt;6),1.6,1),0)</f>
        <v>3</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45817.666666666511</v>
      </c>
      <c r="C68" s="94">
        <f ca="1">OFFSET(TblPop[[#This Row],[Peasants]],-1,0)+OFFSET(TblPop[[#This Row],[Net Peasant]],-1,0)+TblMili[[#This Row],[Release Draft]]</f>
        <v>331</v>
      </c>
      <c r="D68" s="94">
        <f ca="1">TblMili[[#This Row],[Military]]</f>
        <v>438</v>
      </c>
      <c r="E68" s="94">
        <f ca="1">TblMili[[#This Row],[Draftees]]</f>
        <v>438</v>
      </c>
      <c r="F68" s="94">
        <f ca="1">TblPop[[#This Row],[Peasants]]+TblPop[[#This Row],[Military]]</f>
        <v>769</v>
      </c>
      <c r="G68" s="139">
        <f ca="1">TblPop[[#This Row],[Military]]/TblPop[[#This Row],[Total]]</f>
        <v>0.5695708712613784</v>
      </c>
      <c r="H68" s="140">
        <f ca="1">MIN(TblPop[[#This Row],[Peasants]],TblPop[[#This Row],[Jobs]])</f>
        <v>331</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438</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-3</v>
      </c>
      <c r="X68" s="94">
        <f ca="1">ROUND(TblPop[[#This Row],[Raw Birth]]*(1+TblPop[[#This Row],[Growth]]),0)</f>
        <v>10</v>
      </c>
      <c r="Y68" s="94">
        <f ca="1">(TblPop[[#This Row],[Peasants]]-TblPop[[#This Row],[Draft Growth]])*raw_pop_growth</f>
        <v>9.84</v>
      </c>
      <c r="Z68" s="94">
        <f ca="1">ROUND(IF(TblPop[[#This Row],[Military%]]&lt;TblMili[[#This Row],[Draftrate]],ROUND(TblPop[[#This Row],[Peasants]]*Constants!$B$55,0), 0) * IF(AND(TblMagic[[#This Row],[Active DnD]]&lt;=12,TblMagic[[#This Row],[Active DnD]]&gt;6),1.6,1),0)</f>
        <v>3</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45817.708333333176</v>
      </c>
      <c r="C69" s="94">
        <f ca="1">OFFSET(TblPop[[#This Row],[Peasants]],-1,0)+OFFSET(TblPop[[#This Row],[Net Peasant]],-1,0)+TblMili[[#This Row],[Release Draft]]</f>
        <v>328</v>
      </c>
      <c r="D69" s="94">
        <f ca="1">TblMili[[#This Row],[Military]]</f>
        <v>441</v>
      </c>
      <c r="E69" s="94">
        <f ca="1">TblMili[[#This Row],[Draftees]]</f>
        <v>441</v>
      </c>
      <c r="F69" s="94">
        <f ca="1">TblPop[[#This Row],[Peasants]]+TblPop[[#This Row],[Military]]</f>
        <v>769</v>
      </c>
      <c r="G69" s="139">
        <f ca="1">TblPop[[#This Row],[Military]]/TblPop[[#This Row],[Total]]</f>
        <v>0.57347204161248377</v>
      </c>
      <c r="H69" s="140">
        <f ca="1">MIN(TblPop[[#This Row],[Peasants]],TblPop[[#This Row],[Jobs]])</f>
        <v>328</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441</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-3</v>
      </c>
      <c r="X69" s="94">
        <f ca="1">ROUND(TblPop[[#This Row],[Raw Birth]]*(1+TblPop[[#This Row],[Growth]]),0)</f>
        <v>10</v>
      </c>
      <c r="Y69" s="94">
        <f ca="1">(TblPop[[#This Row],[Peasants]]-TblPop[[#This Row],[Draft Growth]])*raw_pop_growth</f>
        <v>9.75</v>
      </c>
      <c r="Z69" s="94">
        <f ca="1">ROUND(IF(TblPop[[#This Row],[Military%]]&lt;TblMili[[#This Row],[Draftrate]],ROUND(TblPop[[#This Row],[Peasants]]*Constants!$B$55,0), 0) * IF(AND(TblMagic[[#This Row],[Active DnD]]&lt;=12,TblMagic[[#This Row],[Active DnD]]&gt;6),1.6,1),0)</f>
        <v>3</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45817.74999999984</v>
      </c>
      <c r="C70" s="94">
        <f ca="1">OFFSET(TblPop[[#This Row],[Peasants]],-1,0)+OFFSET(TblPop[[#This Row],[Net Peasant]],-1,0)+TblMili[[#This Row],[Release Draft]]</f>
        <v>325</v>
      </c>
      <c r="D70" s="94">
        <f ca="1">TblMili[[#This Row],[Military]]</f>
        <v>444</v>
      </c>
      <c r="E70" s="94">
        <f ca="1">TblMili[[#This Row],[Draftees]]</f>
        <v>444</v>
      </c>
      <c r="F70" s="94">
        <f ca="1">TblPop[[#This Row],[Peasants]]+TblPop[[#This Row],[Military]]</f>
        <v>769</v>
      </c>
      <c r="G70" s="139">
        <f ca="1">TblPop[[#This Row],[Military]]/TblPop[[#This Row],[Total]]</f>
        <v>0.57737321196358904</v>
      </c>
      <c r="H70" s="140">
        <f ca="1">MIN(TblPop[[#This Row],[Peasants]],TblPop[[#This Row],[Jobs]])</f>
        <v>325</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444</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-3</v>
      </c>
      <c r="X70" s="94">
        <f ca="1">ROUND(TblPop[[#This Row],[Raw Birth]]*(1+TblPop[[#This Row],[Growth]]),0)</f>
        <v>10</v>
      </c>
      <c r="Y70" s="94">
        <f ca="1">(TblPop[[#This Row],[Peasants]]-TblPop[[#This Row],[Draft Growth]])*raw_pop_growth</f>
        <v>9.66</v>
      </c>
      <c r="Z70" s="94">
        <f ca="1">ROUND(IF(TblPop[[#This Row],[Military%]]&lt;TblMili[[#This Row],[Draftrate]],ROUND(TblPop[[#This Row],[Peasants]]*Constants!$B$55,0), 0) * IF(AND(TblMagic[[#This Row],[Active DnD]]&lt;=12,TblMagic[[#This Row],[Active DnD]]&gt;6),1.6,1),0)</f>
        <v>3</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45817.791666666504</v>
      </c>
      <c r="C71" s="94">
        <f ca="1">OFFSET(TblPop[[#This Row],[Peasants]],-1,0)+OFFSET(TblPop[[#This Row],[Net Peasant]],-1,0)+TblMili[[#This Row],[Release Draft]]</f>
        <v>322</v>
      </c>
      <c r="D71" s="94">
        <f ca="1">TblMili[[#This Row],[Military]]</f>
        <v>447</v>
      </c>
      <c r="E71" s="94">
        <f ca="1">TblMili[[#This Row],[Draftees]]</f>
        <v>447</v>
      </c>
      <c r="F71" s="94">
        <f ca="1">TblPop[[#This Row],[Peasants]]+TblPop[[#This Row],[Military]]</f>
        <v>769</v>
      </c>
      <c r="G71" s="139">
        <f ca="1">TblPop[[#This Row],[Military]]/TblPop[[#This Row],[Total]]</f>
        <v>0.58127438231469442</v>
      </c>
      <c r="H71" s="140">
        <f ca="1">MIN(TblPop[[#This Row],[Peasants]],TblPop[[#This Row],[Jobs]])</f>
        <v>322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447</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-3</v>
      </c>
      <c r="X71" s="94">
        <f ca="1">ROUND(TblPop[[#This Row],[Raw Birth]]*(1+TblPop[[#This Row],[Growth]]),0)</f>
        <v>10</v>
      </c>
      <c r="Y71" s="94">
        <f ca="1">(TblPop[[#This Row],[Peasants]]-TblPop[[#This Row],[Draft Growth]])*raw_pop_growth</f>
        <v>9.57</v>
      </c>
      <c r="Z71" s="94">
        <f ca="1">ROUND(IF(TblPop[[#This Row],[Military%]]&lt;TblMili[[#This Row],[Draftrate]],ROUND(TblPop[[#This Row],[Peasants]]*Constants!$B$55,0), 0) * IF(AND(TblMagic[[#This Row],[Active DnD]]&lt;=12,TblMagic[[#This Row],[Active DnD]]&gt;6),1.6,1),0)</f>
        <v>3</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45817.833333333168</v>
      </c>
      <c r="C72" s="94">
        <f ca="1">OFFSET(TblPop[[#This Row],[Peasants]],-1,0)+OFFSET(TblPop[[#This Row],[Net Peasant]],-1,0)+TblMili[[#This Row],[Release Draft]]</f>
        <v>319</v>
      </c>
      <c r="D72" s="94">
        <f ca="1">TblMili[[#This Row],[Military]]</f>
        <v>450</v>
      </c>
      <c r="E72" s="94">
        <f ca="1">TblMili[[#This Row],[Draftees]]</f>
        <v>450</v>
      </c>
      <c r="F72" s="94">
        <f ca="1">TblPop[[#This Row],[Peasants]]+TblPop[[#This Row],[Military]]</f>
        <v>769</v>
      </c>
      <c r="G72" s="139">
        <f ca="1">TblPop[[#This Row],[Military]]/TblPop[[#This Row],[Total]]</f>
        <v>0.58517555266579979</v>
      </c>
      <c r="H72" s="140">
        <f ca="1">MIN(TblPop[[#This Row],[Peasants]],TblPop[[#This Row],[Jobs]])</f>
        <v>319</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450</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-3</v>
      </c>
      <c r="X72" s="94">
        <f ca="1">ROUND(TblPop[[#This Row],[Raw Birth]]*(1+TblPop[[#This Row],[Growth]]),0)</f>
        <v>9</v>
      </c>
      <c r="Y72" s="94">
        <f ca="1">(TblPop[[#This Row],[Peasants]]-TblPop[[#This Row],[Draft Growth]])*raw_pop_growth</f>
        <v>9.48</v>
      </c>
      <c r="Z72" s="94">
        <f ca="1">ROUND(IF(TblPop[[#This Row],[Military%]]&lt;TblMili[[#This Row],[Draftrate]],ROUND(TblPop[[#This Row],[Peasants]]*Constants!$B$55,0), 0) * IF(AND(TblMagic[[#This Row],[Active DnD]]&lt;=12,TblMagic[[#This Row],[Active DnD]]&gt;6),1.6,1),0)</f>
        <v>3</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45817.874999999833</v>
      </c>
      <c r="C73" s="94">
        <f ca="1">OFFSET(TblPop[[#This Row],[Peasants]],-1,0)+OFFSET(TblPop[[#This Row],[Net Peasant]],-1,0)+TblMili[[#This Row],[Release Draft]]</f>
        <v>316</v>
      </c>
      <c r="D73" s="94">
        <f ca="1">TblMili[[#This Row],[Military]]</f>
        <v>453</v>
      </c>
      <c r="E73" s="94">
        <f ca="1">TblMili[[#This Row],[Draftees]]</f>
        <v>453</v>
      </c>
      <c r="F73" s="94">
        <f ca="1">TblPop[[#This Row],[Peasants]]+TblPop[[#This Row],[Military]]</f>
        <v>769</v>
      </c>
      <c r="G73" s="139">
        <f ca="1">TblPop[[#This Row],[Military]]/TblPop[[#This Row],[Total]]</f>
        <v>0.58907672301690506</v>
      </c>
      <c r="H73" s="140">
        <f ca="1">MIN(TblPop[[#This Row],[Peasants]],TblPop[[#This Row],[Jobs]])</f>
        <v>316</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453</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-3</v>
      </c>
      <c r="X73" s="94">
        <f ca="1">ROUND(TblPop[[#This Row],[Raw Birth]]*(1+TblPop[[#This Row],[Growth]]),0)</f>
        <v>9</v>
      </c>
      <c r="Y73" s="94">
        <f ca="1">(TblPop[[#This Row],[Peasants]]-TblPop[[#This Row],[Draft Growth]])*raw_pop_growth</f>
        <v>9.3899999999999988</v>
      </c>
      <c r="Z73" s="94">
        <f ca="1">ROUND(IF(TblPop[[#This Row],[Military%]]&lt;TblMili[[#This Row],[Draftrate]],ROUND(TblPop[[#This Row],[Peasants]]*Constants!$B$55,0), 0) * IF(AND(TblMagic[[#This Row],[Active DnD]]&lt;=12,TblMagic[[#This Row],[Active DnD]]&gt;6),1.6,1),0)</f>
        <v>3</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45817.916666666497</v>
      </c>
      <c r="C74" s="94">
        <f ca="1">OFFSET(TblPop[[#This Row],[Peasants]],-1,0)+OFFSET(TblPop[[#This Row],[Net Peasant]],-1,0)+TblMili[[#This Row],[Release Draft]]</f>
        <v>313</v>
      </c>
      <c r="D74" s="94">
        <f ca="1">TblMili[[#This Row],[Military]]</f>
        <v>456</v>
      </c>
      <c r="E74" s="94">
        <f ca="1">TblMili[[#This Row],[Draftees]]</f>
        <v>456</v>
      </c>
      <c r="F74" s="94">
        <f ca="1">TblPop[[#This Row],[Peasants]]+TblPop[[#This Row],[Military]]</f>
        <v>769</v>
      </c>
      <c r="G74" s="139">
        <f ca="1">TblPop[[#This Row],[Military]]/TblPop[[#This Row],[Total]]</f>
        <v>0.59297789336801043</v>
      </c>
      <c r="H74" s="140">
        <f ca="1">MIN(TblPop[[#This Row],[Peasants]],TblPop[[#This Row],[Jobs]])</f>
        <v>313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456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-3</v>
      </c>
      <c r="X74" s="94">
        <f ca="1">ROUND(TblPop[[#This Row],[Raw Birth]]*(1+TblPop[[#This Row],[Growth]]),0)</f>
        <v>9</v>
      </c>
      <c r="Y74" s="94">
        <f ca="1">(TblPop[[#This Row],[Peasants]]-TblPop[[#This Row],[Draft Growth]])*raw_pop_growth</f>
        <v>9.2999999999999989</v>
      </c>
      <c r="Z74" s="94">
        <f ca="1">ROUND(IF(TblPop[[#This Row],[Military%]]&lt;TblMili[[#This Row],[Draftrate]],ROUND(TblPop[[#This Row],[Peasants]]*Constants!$B$55,0), 0) * IF(AND(TblMagic[[#This Row],[Active DnD]]&lt;=12,TblMagic[[#This Row],[Active DnD]]&gt;6),1.6,1),0)</f>
        <v>3</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45817.958333333161</v>
      </c>
      <c r="C75" s="94">
        <f ca="1">OFFSET(TblPop[[#This Row],[Peasants]],-1,0)+OFFSET(TblPop[[#This Row],[Net Peasant]],-1,0)+TblMili[[#This Row],[Release Draft]]</f>
        <v>310</v>
      </c>
      <c r="D75" s="94">
        <f ca="1">TblMili[[#This Row],[Military]]</f>
        <v>459</v>
      </c>
      <c r="E75" s="94">
        <f ca="1">TblMili[[#This Row],[Draftees]]</f>
        <v>459</v>
      </c>
      <c r="F75" s="94">
        <f ca="1">TblPop[[#This Row],[Peasants]]+TblPop[[#This Row],[Military]]</f>
        <v>769</v>
      </c>
      <c r="G75" s="139">
        <f ca="1">TblPop[[#This Row],[Military]]/TblPop[[#This Row],[Total]]</f>
        <v>0.5968790637191157</v>
      </c>
      <c r="H75" s="140">
        <f ca="1">MIN(TblPop[[#This Row],[Peasants]],TblPop[[#This Row],[Jobs]])</f>
        <v>310</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459</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-3</v>
      </c>
      <c r="X75" s="94">
        <f ca="1">ROUND(TblPop[[#This Row],[Raw Birth]]*(1+TblPop[[#This Row],[Growth]]),0)</f>
        <v>9</v>
      </c>
      <c r="Y75" s="94">
        <f ca="1">(TblPop[[#This Row],[Peasants]]-TblPop[[#This Row],[Draft Growth]])*raw_pop_growth</f>
        <v>9.2099999999999991</v>
      </c>
      <c r="Z75" s="94">
        <f ca="1">ROUND(IF(TblPop[[#This Row],[Military%]]&lt;TblMili[[#This Row],[Draftrate]],ROUND(TblPop[[#This Row],[Peasants]]*Constants!$B$55,0), 0) * IF(AND(TblMagic[[#This Row],[Active DnD]]&lt;=12,TblMagic[[#This Row],[Active DnD]]&gt;6),1.6,1),0)</f>
        <v>3</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45817.999999999825</v>
      </c>
      <c r="C76" s="94">
        <f ca="1">OFFSET(TblPop[[#This Row],[Peasants]],-1,0)+OFFSET(TblPop[[#This Row],[Net Peasant]],-1,0)+TblMili[[#This Row],[Release Draft]]</f>
        <v>307</v>
      </c>
      <c r="D76" s="94">
        <f ca="1">TblMili[[#This Row],[Military]]</f>
        <v>462</v>
      </c>
      <c r="E76" s="94">
        <f ca="1">TblMili[[#This Row],[Draftees]]</f>
        <v>462</v>
      </c>
      <c r="F76" s="94">
        <f ca="1">TblPop[[#This Row],[Peasants]]+TblPop[[#This Row],[Military]]</f>
        <v>769</v>
      </c>
      <c r="G76" s="139">
        <f ca="1">TblPop[[#This Row],[Military]]/TblPop[[#This Row],[Total]]</f>
        <v>0.60078023407022108</v>
      </c>
      <c r="H76" s="140">
        <f ca="1">MIN(TblPop[[#This Row],[Peasants]],TblPop[[#This Row],[Jobs]])</f>
        <v>307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462</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-3</v>
      </c>
      <c r="X76" s="94">
        <f ca="1">ROUND(TblPop[[#This Row],[Raw Birth]]*(1+TblPop[[#This Row],[Growth]]),0)</f>
        <v>9</v>
      </c>
      <c r="Y76" s="94">
        <f ca="1">(TblPop[[#This Row],[Peasants]]-TblPop[[#This Row],[Draft Growth]])*raw_pop_growth</f>
        <v>9.1199999999999992</v>
      </c>
      <c r="Z76" s="94">
        <f ca="1">ROUND(IF(TblPop[[#This Row],[Military%]]&lt;TblMili[[#This Row],[Draftrate]],ROUND(TblPop[[#This Row],[Peasants]]*Constants!$B$55,0), 0) * IF(AND(TblMagic[[#This Row],[Active DnD]]&lt;=12,TblMagic[[#This Row],[Active DnD]]&gt;6),1.6,1),0)</f>
        <v>3</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45818.04166666649</v>
      </c>
      <c r="C77" s="94">
        <f ca="1">OFFSET(TblPop[[#This Row],[Peasants]],-1,0)+OFFSET(TblPop[[#This Row],[Net Peasant]],-1,0)+TblMili[[#This Row],[Release Draft]]</f>
        <v>304</v>
      </c>
      <c r="D77" s="94">
        <f ca="1">TblMili[[#This Row],[Military]]</f>
        <v>465</v>
      </c>
      <c r="E77" s="94">
        <f ca="1">TblMili[[#This Row],[Draftees]]</f>
        <v>465</v>
      </c>
      <c r="F77" s="94">
        <f ca="1">TblPop[[#This Row],[Peasants]]+TblPop[[#This Row],[Military]]</f>
        <v>769</v>
      </c>
      <c r="G77" s="139">
        <f ca="1">TblPop[[#This Row],[Military]]/TblPop[[#This Row],[Total]]</f>
        <v>0.60468140442132645</v>
      </c>
      <c r="H77" s="140">
        <f ca="1">MIN(TblPop[[#This Row],[Peasants]],TblPop[[#This Row],[Jobs]])</f>
        <v>304</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465</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-3</v>
      </c>
      <c r="X77" s="94">
        <f ca="1">ROUND(TblPop[[#This Row],[Raw Birth]]*(1+TblPop[[#This Row],[Growth]]),0)</f>
        <v>9</v>
      </c>
      <c r="Y77" s="94">
        <f ca="1">(TblPop[[#This Row],[Peasants]]-TblPop[[#This Row],[Draft Growth]])*raw_pop_growth</f>
        <v>9.0299999999999994</v>
      </c>
      <c r="Z77" s="94">
        <f ca="1">ROUND(IF(TblPop[[#This Row],[Military%]]&lt;TblMili[[#This Row],[Draftrate]],ROUND(TblPop[[#This Row],[Peasants]]*Constants!$B$55,0), 0) * IF(AND(TblMagic[[#This Row],[Active DnD]]&lt;=12,TblMagic[[#This Row],[Active DnD]]&gt;6),1.6,1),0)</f>
        <v>3</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45818.083333333154</v>
      </c>
      <c r="C78" s="94">
        <f ca="1">OFFSET(TblPop[[#This Row],[Peasants]],-1,0)+OFFSET(TblPop[[#This Row],[Net Peasant]],-1,0)+TblMili[[#This Row],[Release Draft]]</f>
        <v>301</v>
      </c>
      <c r="D78" s="94">
        <f ca="1">TblMili[[#This Row],[Military]]</f>
        <v>468</v>
      </c>
      <c r="E78" s="94">
        <f ca="1">TblMili[[#This Row],[Draftees]]</f>
        <v>468</v>
      </c>
      <c r="F78" s="94">
        <f ca="1">TblPop[[#This Row],[Peasants]]+TblPop[[#This Row],[Military]]</f>
        <v>769</v>
      </c>
      <c r="G78" s="139">
        <f ca="1">TblPop[[#This Row],[Military]]/TblPop[[#This Row],[Total]]</f>
        <v>0.60858257477243172</v>
      </c>
      <c r="H78" s="140">
        <f ca="1">MIN(TblPop[[#This Row],[Peasants]],TblPop[[#This Row],[Jobs]])</f>
        <v>301</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468</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-3</v>
      </c>
      <c r="X78" s="94">
        <f ca="1">ROUND(TblPop[[#This Row],[Raw Birth]]*(1+TblPop[[#This Row],[Growth]]),0)</f>
        <v>9</v>
      </c>
      <c r="Y78" s="94">
        <f ca="1">(TblPop[[#This Row],[Peasants]]-TblPop[[#This Row],[Draft Growth]])*raw_pop_growth</f>
        <v>8.94</v>
      </c>
      <c r="Z78" s="94">
        <f ca="1">ROUND(IF(TblPop[[#This Row],[Military%]]&lt;TblMili[[#This Row],[Draftrate]],ROUND(TblPop[[#This Row],[Peasants]]*Constants!$B$55,0), 0) * IF(AND(TblMagic[[#This Row],[Active DnD]]&lt;=12,TblMagic[[#This Row],[Active DnD]]&gt;6),1.6,1),0)</f>
        <v>3</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45818.124999999818</v>
      </c>
      <c r="C79" s="94">
        <f ca="1">OFFSET(TblPop[[#This Row],[Peasants]],-1,0)+OFFSET(TblPop[[#This Row],[Net Peasant]],-1,0)+TblMili[[#This Row],[Release Draft]]</f>
        <v>298</v>
      </c>
      <c r="D79" s="94">
        <f ca="1">TblMili[[#This Row],[Military]]</f>
        <v>471</v>
      </c>
      <c r="E79" s="94">
        <f ca="1">TblMili[[#This Row],[Draftees]]</f>
        <v>471</v>
      </c>
      <c r="F79" s="94">
        <f ca="1">TblPop[[#This Row],[Peasants]]+TblPop[[#This Row],[Military]]</f>
        <v>769</v>
      </c>
      <c r="G79" s="139">
        <f ca="1">TblPop[[#This Row],[Military]]/TblPop[[#This Row],[Total]]</f>
        <v>0.61248374512353709</v>
      </c>
      <c r="H79" s="140">
        <f ca="1">MIN(TblPop[[#This Row],[Peasants]],TblPop[[#This Row],[Jobs]])</f>
        <v>298</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471</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-3</v>
      </c>
      <c r="X79" s="94">
        <f ca="1">ROUND(TblPop[[#This Row],[Raw Birth]]*(1+TblPop[[#This Row],[Growth]]),0)</f>
        <v>9</v>
      </c>
      <c r="Y79" s="94">
        <f ca="1">(TblPop[[#This Row],[Peasants]]-TblPop[[#This Row],[Draft Growth]])*raw_pop_growth</f>
        <v>8.85</v>
      </c>
      <c r="Z79" s="94">
        <f ca="1">ROUND(IF(TblPop[[#This Row],[Military%]]&lt;TblMili[[#This Row],[Draftrate]],ROUND(TblPop[[#This Row],[Peasants]]*Constants!$B$55,0), 0) * IF(AND(TblMagic[[#This Row],[Active DnD]]&lt;=12,TblMagic[[#This Row],[Active DnD]]&gt;6),1.6,1),0)</f>
        <v>3</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45818.166666666482</v>
      </c>
      <c r="C80" s="94">
        <f ca="1">OFFSET(TblPop[[#This Row],[Peasants]],-1,0)+OFFSET(TblPop[[#This Row],[Net Peasant]],-1,0)+TblMili[[#This Row],[Release Draft]]</f>
        <v>295</v>
      </c>
      <c r="D80" s="94">
        <f ca="1">TblMili[[#This Row],[Military]]</f>
        <v>474</v>
      </c>
      <c r="E80" s="94">
        <f ca="1">TblMili[[#This Row],[Draftees]]</f>
        <v>474</v>
      </c>
      <c r="F80" s="94">
        <f ca="1">TblPop[[#This Row],[Peasants]]+TblPop[[#This Row],[Military]]</f>
        <v>769</v>
      </c>
      <c r="G80" s="139">
        <f ca="1">TblPop[[#This Row],[Military]]/TblPop[[#This Row],[Total]]</f>
        <v>0.61638491547464236</v>
      </c>
      <c r="H80" s="140">
        <f ca="1">MIN(TblPop[[#This Row],[Peasants]],TblPop[[#This Row],[Jobs]])</f>
        <v>295</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474</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-3</v>
      </c>
      <c r="X80" s="94">
        <f ca="1">ROUND(TblPop[[#This Row],[Raw Birth]]*(1+TblPop[[#This Row],[Growth]]),0)</f>
        <v>9</v>
      </c>
      <c r="Y80" s="94">
        <f ca="1">(TblPop[[#This Row],[Peasants]]-TblPop[[#This Row],[Draft Growth]])*raw_pop_growth</f>
        <v>8.76</v>
      </c>
      <c r="Z80" s="94">
        <f ca="1">ROUND(IF(TblPop[[#This Row],[Military%]]&lt;TblMili[[#This Row],[Draftrate]],ROUND(TblPop[[#This Row],[Peasants]]*Constants!$B$55,0), 0) * IF(AND(TblMagic[[#This Row],[Active DnD]]&lt;=12,TblMagic[[#This Row],[Active DnD]]&gt;6),1.6,1),0)</f>
        <v>3</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45818.208333333147</v>
      </c>
      <c r="C81" s="94">
        <f ca="1">OFFSET(TblPop[[#This Row],[Peasants]],-1,0)+OFFSET(TblPop[[#This Row],[Net Peasant]],-1,0)+TblMili[[#This Row],[Release Draft]]</f>
        <v>292</v>
      </c>
      <c r="D81" s="94">
        <f ca="1">TblMili[[#This Row],[Military]]</f>
        <v>477</v>
      </c>
      <c r="E81" s="94">
        <f ca="1">TblMili[[#This Row],[Draftees]]</f>
        <v>477</v>
      </c>
      <c r="F81" s="94">
        <f ca="1">TblPop[[#This Row],[Peasants]]+TblPop[[#This Row],[Military]]</f>
        <v>769</v>
      </c>
      <c r="G81" s="139">
        <f ca="1">TblPop[[#This Row],[Military]]/TblPop[[#This Row],[Total]]</f>
        <v>0.62028608582574774</v>
      </c>
      <c r="H81" s="140">
        <f ca="1">MIN(TblPop[[#This Row],[Peasants]],TblPop[[#This Row],[Jobs]])</f>
        <v>292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477</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-3</v>
      </c>
      <c r="X81" s="94">
        <f ca="1">ROUND(TblPop[[#This Row],[Raw Birth]]*(1+TblPop[[#This Row],[Growth]]),0)</f>
        <v>9</v>
      </c>
      <c r="Y81" s="94">
        <f ca="1">(TblPop[[#This Row],[Peasants]]-TblPop[[#This Row],[Draft Growth]])*raw_pop_growth</f>
        <v>8.67</v>
      </c>
      <c r="Z81" s="94">
        <f ca="1">ROUND(IF(TblPop[[#This Row],[Military%]]&lt;TblMili[[#This Row],[Draftrate]],ROUND(TblPop[[#This Row],[Peasants]]*Constants!$B$55,0), 0) * IF(AND(TblMagic[[#This Row],[Active DnD]]&lt;=12,TblMagic[[#This Row],[Active DnD]]&gt;6),1.6,1),0)</f>
        <v>3</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45818.249999999811</v>
      </c>
      <c r="C82" s="94">
        <f ca="1">OFFSET(TblPop[[#This Row],[Peasants]],-1,0)+OFFSET(TblPop[[#This Row],[Net Peasant]],-1,0)+TblMili[[#This Row],[Release Draft]]</f>
        <v>289</v>
      </c>
      <c r="D82" s="94">
        <f ca="1">TblMili[[#This Row],[Military]]</f>
        <v>480</v>
      </c>
      <c r="E82" s="94">
        <f ca="1">TblMili[[#This Row],[Draftees]]</f>
        <v>480</v>
      </c>
      <c r="F82" s="94">
        <f ca="1">TblPop[[#This Row],[Peasants]]+TblPop[[#This Row],[Military]]</f>
        <v>769</v>
      </c>
      <c r="G82" s="139">
        <f ca="1">TblPop[[#This Row],[Military]]/TblPop[[#This Row],[Total]]</f>
        <v>0.62418725617685311</v>
      </c>
      <c r="H82" s="140">
        <f ca="1">MIN(TblPop[[#This Row],[Peasants]],TblPop[[#This Row],[Jobs]])</f>
        <v>289</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480</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-3</v>
      </c>
      <c r="X82" s="94">
        <f ca="1">ROUND(TblPop[[#This Row],[Raw Birth]]*(1+TblPop[[#This Row],[Growth]]),0)</f>
        <v>9</v>
      </c>
      <c r="Y82" s="94">
        <f ca="1">(TblPop[[#This Row],[Peasants]]-TblPop[[#This Row],[Draft Growth]])*raw_pop_growth</f>
        <v>8.58</v>
      </c>
      <c r="Z82" s="94">
        <f ca="1">ROUND(IF(TblPop[[#This Row],[Military%]]&lt;TblMili[[#This Row],[Draftrate]],ROUND(TblPop[[#This Row],[Peasants]]*Constants!$B$55,0), 0) * IF(AND(TblMagic[[#This Row],[Active DnD]]&lt;=12,TblMagic[[#This Row],[Active DnD]]&gt;6),1.6,1),0)</f>
        <v>3</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45818.291666666475</v>
      </c>
      <c r="C83" s="94">
        <f ca="1">OFFSET(TblPop[[#This Row],[Peasants]],-1,0)+OFFSET(TblPop[[#This Row],[Net Peasant]],-1,0)+TblMili[[#This Row],[Release Draft]]</f>
        <v>286</v>
      </c>
      <c r="D83" s="94">
        <f ca="1">TblMili[[#This Row],[Military]]</f>
        <v>483</v>
      </c>
      <c r="E83" s="94">
        <f ca="1">TblMili[[#This Row],[Draftees]]</f>
        <v>483</v>
      </c>
      <c r="F83" s="94">
        <f ca="1">TblPop[[#This Row],[Peasants]]+TblPop[[#This Row],[Military]]</f>
        <v>769</v>
      </c>
      <c r="G83" s="139">
        <f ca="1">TblPop[[#This Row],[Military]]/TblPop[[#This Row],[Total]]</f>
        <v>0.62808842652795838</v>
      </c>
      <c r="H83" s="140">
        <f ca="1">MIN(TblPop[[#This Row],[Peasants]],TblPop[[#This Row],[Jobs]])</f>
        <v>286</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483</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-3</v>
      </c>
      <c r="X83" s="94">
        <f ca="1">ROUND(TblPop[[#This Row],[Raw Birth]]*(1+TblPop[[#This Row],[Growth]]),0)</f>
        <v>8</v>
      </c>
      <c r="Y83" s="94">
        <f ca="1">(TblPop[[#This Row],[Peasants]]-TblPop[[#This Row],[Draft Growth]])*raw_pop_growth</f>
        <v>8.49</v>
      </c>
      <c r="Z83" s="94">
        <f ca="1">ROUND(IF(TblPop[[#This Row],[Military%]]&lt;TblMili[[#This Row],[Draftrate]],ROUND(TblPop[[#This Row],[Peasants]]*Constants!$B$55,0), 0) * IF(AND(TblMagic[[#This Row],[Active DnD]]&lt;=12,TblMagic[[#This Row],[Active DnD]]&gt;6),1.6,1),0)</f>
        <v>3</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45818.333333333139</v>
      </c>
      <c r="C84" s="94">
        <f ca="1">OFFSET(TblPop[[#This Row],[Peasants]],-1,0)+OFFSET(TblPop[[#This Row],[Net Peasant]],-1,0)+TblMili[[#This Row],[Release Draft]]</f>
        <v>283</v>
      </c>
      <c r="D84" s="94">
        <f ca="1">TblMili[[#This Row],[Military]]</f>
        <v>486</v>
      </c>
      <c r="E84" s="94">
        <f ca="1">TblMili[[#This Row],[Draftees]]</f>
        <v>486</v>
      </c>
      <c r="F84" s="94">
        <f ca="1">TblPop[[#This Row],[Peasants]]+TblPop[[#This Row],[Military]]</f>
        <v>769</v>
      </c>
      <c r="G84" s="139">
        <f ca="1">TblPop[[#This Row],[Military]]/TblPop[[#This Row],[Total]]</f>
        <v>0.63198959687906375</v>
      </c>
      <c r="H84" s="140">
        <f ca="1">MIN(TblPop[[#This Row],[Peasants]],TblPop[[#This Row],[Jobs]])</f>
        <v>283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486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-3</v>
      </c>
      <c r="X84" s="94">
        <f ca="1">ROUND(TblPop[[#This Row],[Raw Birth]]*(1+TblPop[[#This Row],[Growth]]),0)</f>
        <v>8</v>
      </c>
      <c r="Y84" s="94">
        <f ca="1">(TblPop[[#This Row],[Peasants]]-TblPop[[#This Row],[Draft Growth]])*raw_pop_growth</f>
        <v>8.4</v>
      </c>
      <c r="Z84" s="94">
        <f ca="1">ROUND(IF(TblPop[[#This Row],[Military%]]&lt;TblMili[[#This Row],[Draftrate]],ROUND(TblPop[[#This Row],[Peasants]]*Constants!$B$55,0), 0) * IF(AND(TblMagic[[#This Row],[Active DnD]]&lt;=12,TblMagic[[#This Row],[Active DnD]]&gt;6),1.6,1),0)</f>
        <v>3</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45818.374999999804</v>
      </c>
      <c r="C85" s="94">
        <f ca="1">OFFSET(TblPop[[#This Row],[Peasants]],-1,0)+OFFSET(TblPop[[#This Row],[Net Peasant]],-1,0)+TblMili[[#This Row],[Release Draft]]</f>
        <v>280</v>
      </c>
      <c r="D85" s="94">
        <f ca="1">TblMili[[#This Row],[Military]]</f>
        <v>489</v>
      </c>
      <c r="E85" s="94">
        <f ca="1">TblMili[[#This Row],[Draftees]]</f>
        <v>489</v>
      </c>
      <c r="F85" s="94">
        <f ca="1">TblPop[[#This Row],[Peasants]]+TblPop[[#This Row],[Military]]</f>
        <v>769</v>
      </c>
      <c r="G85" s="139">
        <f ca="1">TblPop[[#This Row],[Military]]/TblPop[[#This Row],[Total]]</f>
        <v>0.63589076723016902</v>
      </c>
      <c r="H85" s="140">
        <f ca="1">MIN(TblPop[[#This Row],[Peasants]],TblPop[[#This Row],[Jobs]])</f>
        <v>280</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489</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-3</v>
      </c>
      <c r="X85" s="94">
        <f ca="1">ROUND(TblPop[[#This Row],[Raw Birth]]*(1+TblPop[[#This Row],[Growth]]),0)</f>
        <v>8</v>
      </c>
      <c r="Y85" s="94">
        <f ca="1">(TblPop[[#This Row],[Peasants]]-TblPop[[#This Row],[Draft Growth]])*raw_pop_growth</f>
        <v>8.31</v>
      </c>
      <c r="Z85" s="94">
        <f ca="1">ROUND(IF(TblPop[[#This Row],[Military%]]&lt;TblMili[[#This Row],[Draftrate]],ROUND(TblPop[[#This Row],[Peasants]]*Constants!$B$55,0), 0) * IF(AND(TblMagic[[#This Row],[Active DnD]]&lt;=12,TblMagic[[#This Row],[Active DnD]]&gt;6),1.6,1),0)</f>
        <v>3</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45818.416666666468</v>
      </c>
      <c r="C86" s="94">
        <f ca="1">OFFSET(TblPop[[#This Row],[Peasants]],-1,0)+OFFSET(TblPop[[#This Row],[Net Peasant]],-1,0)+TblMili[[#This Row],[Release Draft]]</f>
        <v>277</v>
      </c>
      <c r="D86" s="94">
        <f ca="1">TblMili[[#This Row],[Military]]</f>
        <v>492</v>
      </c>
      <c r="E86" s="94">
        <f ca="1">TblMili[[#This Row],[Draftees]]</f>
        <v>492</v>
      </c>
      <c r="F86" s="94">
        <f ca="1">TblPop[[#This Row],[Peasants]]+TblPop[[#This Row],[Military]]</f>
        <v>769</v>
      </c>
      <c r="G86" s="139">
        <f ca="1">TblPop[[#This Row],[Military]]/TblPop[[#This Row],[Total]]</f>
        <v>0.63979193758127439</v>
      </c>
      <c r="H86" s="140">
        <f ca="1">MIN(TblPop[[#This Row],[Peasants]],TblPop[[#This Row],[Jobs]])</f>
        <v>277</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492</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-3</v>
      </c>
      <c r="X86" s="94">
        <f ca="1">ROUND(TblPop[[#This Row],[Raw Birth]]*(1+TblPop[[#This Row],[Growth]]),0)</f>
        <v>8</v>
      </c>
      <c r="Y86" s="94">
        <f ca="1">(TblPop[[#This Row],[Peasants]]-TblPop[[#This Row],[Draft Growth]])*raw_pop_growth</f>
        <v>8.2199999999999989</v>
      </c>
      <c r="Z86" s="94">
        <f ca="1">ROUND(IF(TblPop[[#This Row],[Military%]]&lt;TblMili[[#This Row],[Draftrate]],ROUND(TblPop[[#This Row],[Peasants]]*Constants!$B$55,0), 0) * IF(AND(TblMagic[[#This Row],[Active DnD]]&lt;=12,TblMagic[[#This Row],[Active DnD]]&gt;6),1.6,1),0)</f>
        <v>3</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45818.458333333132</v>
      </c>
      <c r="C87" s="94">
        <f ca="1">OFFSET(TblPop[[#This Row],[Peasants]],-1,0)+OFFSET(TblPop[[#This Row],[Net Peasant]],-1,0)+TblMili[[#This Row],[Release Draft]]</f>
        <v>274</v>
      </c>
      <c r="D87" s="94">
        <f ca="1">TblMili[[#This Row],[Military]]</f>
        <v>495</v>
      </c>
      <c r="E87" s="94">
        <f ca="1">TblMili[[#This Row],[Draftees]]</f>
        <v>495</v>
      </c>
      <c r="F87" s="94">
        <f ca="1">TblPop[[#This Row],[Peasants]]+TblPop[[#This Row],[Military]]</f>
        <v>769</v>
      </c>
      <c r="G87" s="139">
        <f ca="1">TblPop[[#This Row],[Military]]/TblPop[[#This Row],[Total]]</f>
        <v>0.64369310793237966</v>
      </c>
      <c r="H87" s="140">
        <f ca="1">MIN(TblPop[[#This Row],[Peasants]],TblPop[[#This Row],[Jobs]])</f>
        <v>274</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495</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-3</v>
      </c>
      <c r="X87" s="94">
        <f ca="1">ROUND(TblPop[[#This Row],[Raw Birth]]*(1+TblPop[[#This Row],[Growth]]),0)</f>
        <v>8</v>
      </c>
      <c r="Y87" s="94">
        <f ca="1">(TblPop[[#This Row],[Peasants]]-TblPop[[#This Row],[Draft Growth]])*raw_pop_growth</f>
        <v>8.129999999999999</v>
      </c>
      <c r="Z87" s="94">
        <f ca="1">ROUND(IF(TblPop[[#This Row],[Military%]]&lt;TblMili[[#This Row],[Draftrate]],ROUND(TblPop[[#This Row],[Peasants]]*Constants!$B$55,0), 0) * IF(AND(TblMagic[[#This Row],[Active DnD]]&lt;=12,TblMagic[[#This Row],[Active DnD]]&gt;6),1.6,1),0)</f>
        <v>3</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45818.499999999796</v>
      </c>
      <c r="C88" s="94">
        <f ca="1">OFFSET(TblPop[[#This Row],[Peasants]],-1,0)+OFFSET(TblPop[[#This Row],[Net Peasant]],-1,0)+TblMili[[#This Row],[Release Draft]]</f>
        <v>271</v>
      </c>
      <c r="D88" s="94">
        <f ca="1">TblMili[[#This Row],[Military]]</f>
        <v>498</v>
      </c>
      <c r="E88" s="94">
        <f ca="1">TblMili[[#This Row],[Draftees]]</f>
        <v>498</v>
      </c>
      <c r="F88" s="94">
        <f ca="1">TblPop[[#This Row],[Peasants]]+TblPop[[#This Row],[Military]]</f>
        <v>769</v>
      </c>
      <c r="G88" s="139">
        <f ca="1">TblPop[[#This Row],[Military]]/TblPop[[#This Row],[Total]]</f>
        <v>0.64759427828348504</v>
      </c>
      <c r="H88" s="140">
        <f ca="1">MIN(TblPop[[#This Row],[Peasants]],TblPop[[#This Row],[Jobs]])</f>
        <v>271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498</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-3</v>
      </c>
      <c r="X88" s="94">
        <f ca="1">ROUND(TblPop[[#This Row],[Raw Birth]]*(1+TblPop[[#This Row],[Growth]]),0)</f>
        <v>8</v>
      </c>
      <c r="Y88" s="94">
        <f ca="1">(TblPop[[#This Row],[Peasants]]-TblPop[[#This Row],[Draft Growth]])*raw_pop_growth</f>
        <v>8.0399999999999991</v>
      </c>
      <c r="Z88" s="94">
        <f ca="1">ROUND(IF(TblPop[[#This Row],[Military%]]&lt;TblMili[[#This Row],[Draftrate]],ROUND(TblPop[[#This Row],[Peasants]]*Constants!$B$55,0), 0) * IF(AND(TblMagic[[#This Row],[Active DnD]]&lt;=12,TblMagic[[#This Row],[Active DnD]]&gt;6),1.6,1),0)</f>
        <v>3</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45818.541666666461</v>
      </c>
      <c r="C89" s="94">
        <f ca="1">OFFSET(TblPop[[#This Row],[Peasants]],-1,0)+OFFSET(TblPop[[#This Row],[Net Peasant]],-1,0)+TblMili[[#This Row],[Release Draft]]</f>
        <v>268</v>
      </c>
      <c r="D89" s="94">
        <f ca="1">TblMili[[#This Row],[Military]]</f>
        <v>501</v>
      </c>
      <c r="E89" s="94">
        <f ca="1">TblMili[[#This Row],[Draftees]]</f>
        <v>501</v>
      </c>
      <c r="F89" s="94">
        <f ca="1">TblPop[[#This Row],[Peasants]]+TblPop[[#This Row],[Military]]</f>
        <v>769</v>
      </c>
      <c r="G89" s="139">
        <f ca="1">TblPop[[#This Row],[Military]]/TblPop[[#This Row],[Total]]</f>
        <v>0.65149544863459041</v>
      </c>
      <c r="H89" s="140">
        <f ca="1">MIN(TblPop[[#This Row],[Peasants]],TblPop[[#This Row],[Jobs]])</f>
        <v>268</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501</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-3</v>
      </c>
      <c r="X89" s="94">
        <f ca="1">ROUND(TblPop[[#This Row],[Raw Birth]]*(1+TblPop[[#This Row],[Growth]]),0)</f>
        <v>8</v>
      </c>
      <c r="Y89" s="94">
        <f ca="1">(TblPop[[#This Row],[Peasants]]-TblPop[[#This Row],[Draft Growth]])*raw_pop_growth</f>
        <v>7.9499999999999993</v>
      </c>
      <c r="Z89" s="94">
        <f ca="1">ROUND(IF(TblPop[[#This Row],[Military%]]&lt;TblMili[[#This Row],[Draftrate]],ROUND(TblPop[[#This Row],[Peasants]]*Constants!$B$55,0), 0) * IF(AND(TblMagic[[#This Row],[Active DnD]]&lt;=12,TblMagic[[#This Row],[Active DnD]]&gt;6),1.6,1),0)</f>
        <v>3</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45818.583333333125</v>
      </c>
      <c r="C90" s="94">
        <f ca="1">OFFSET(TblPop[[#This Row],[Peasants]],-1,0)+OFFSET(TblPop[[#This Row],[Net Peasant]],-1,0)+TblMili[[#This Row],[Release Draft]]</f>
        <v>265</v>
      </c>
      <c r="D90" s="94">
        <f ca="1">TblMili[[#This Row],[Military]]</f>
        <v>504</v>
      </c>
      <c r="E90" s="94">
        <f ca="1">TblMili[[#This Row],[Draftees]]</f>
        <v>504</v>
      </c>
      <c r="F90" s="94">
        <f ca="1">TblPop[[#This Row],[Peasants]]+TblPop[[#This Row],[Military]]</f>
        <v>769</v>
      </c>
      <c r="G90" s="139">
        <f ca="1">TblPop[[#This Row],[Military]]/TblPop[[#This Row],[Total]]</f>
        <v>0.65539661898569568</v>
      </c>
      <c r="H90" s="140">
        <f ca="1">MIN(TblPop[[#This Row],[Peasants]],TblPop[[#This Row],[Jobs]])</f>
        <v>265</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504</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-3</v>
      </c>
      <c r="X90" s="94">
        <f ca="1">ROUND(TblPop[[#This Row],[Raw Birth]]*(1+TblPop[[#This Row],[Growth]]),0)</f>
        <v>8</v>
      </c>
      <c r="Y90" s="94">
        <f ca="1">(TblPop[[#This Row],[Peasants]]-TblPop[[#This Row],[Draft Growth]])*raw_pop_growth</f>
        <v>7.8599999999999994</v>
      </c>
      <c r="Z90" s="94">
        <f ca="1">ROUND(IF(TblPop[[#This Row],[Military%]]&lt;TblMili[[#This Row],[Draftrate]],ROUND(TblPop[[#This Row],[Peasants]]*Constants!$B$55,0), 0) * IF(AND(TblMagic[[#This Row],[Active DnD]]&lt;=12,TblMagic[[#This Row],[Active DnD]]&gt;6),1.6,1),0)</f>
        <v>3</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45818.624999999789</v>
      </c>
      <c r="C91" s="94">
        <f ca="1">OFFSET(TblPop[[#This Row],[Peasants]],-1,0)+OFFSET(TblPop[[#This Row],[Net Peasant]],-1,0)+TblMili[[#This Row],[Release Draft]]</f>
        <v>262</v>
      </c>
      <c r="D91" s="94">
        <f ca="1">TblMili[[#This Row],[Military]]</f>
        <v>507</v>
      </c>
      <c r="E91" s="94">
        <f ca="1">TblMili[[#This Row],[Draftees]]</f>
        <v>507</v>
      </c>
      <c r="F91" s="94">
        <f ca="1">TblPop[[#This Row],[Peasants]]+TblPop[[#This Row],[Military]]</f>
        <v>769</v>
      </c>
      <c r="G91" s="139">
        <f ca="1">TblPop[[#This Row],[Military]]/TblPop[[#This Row],[Total]]</f>
        <v>0.65929778933680105</v>
      </c>
      <c r="H91" s="140">
        <f ca="1">MIN(TblPop[[#This Row],[Peasants]],TblPop[[#This Row],[Jobs]])</f>
        <v>262</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507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-3</v>
      </c>
      <c r="X91" s="94">
        <f ca="1">ROUND(TblPop[[#This Row],[Raw Birth]]*(1+TblPop[[#This Row],[Growth]]),0)</f>
        <v>8</v>
      </c>
      <c r="Y91" s="94">
        <f ca="1">(TblPop[[#This Row],[Peasants]]-TblPop[[#This Row],[Draft Growth]])*raw_pop_growth</f>
        <v>7.77</v>
      </c>
      <c r="Z91" s="94">
        <f ca="1">ROUND(IF(TblPop[[#This Row],[Military%]]&lt;TblMili[[#This Row],[Draftrate]],ROUND(TblPop[[#This Row],[Peasants]]*Constants!$B$55,0), 0) * IF(AND(TblMagic[[#This Row],[Active DnD]]&lt;=12,TblMagic[[#This Row],[Active DnD]]&gt;6),1.6,1),0)</f>
        <v>3</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45818.666666666453</v>
      </c>
      <c r="C92" s="94">
        <f ca="1">OFFSET(TblPop[[#This Row],[Peasants]],-1,0)+OFFSET(TblPop[[#This Row],[Net Peasant]],-1,0)+TblMili[[#This Row],[Release Draft]]</f>
        <v>259</v>
      </c>
      <c r="D92" s="94">
        <f ca="1">TblMili[[#This Row],[Military]]</f>
        <v>510</v>
      </c>
      <c r="E92" s="94">
        <f ca="1">TblMili[[#This Row],[Draftees]]</f>
        <v>510</v>
      </c>
      <c r="F92" s="94">
        <f ca="1">TblPop[[#This Row],[Peasants]]+TblPop[[#This Row],[Military]]</f>
        <v>769</v>
      </c>
      <c r="G92" s="139">
        <f ca="1">TblPop[[#This Row],[Military]]/TblPop[[#This Row],[Total]]</f>
        <v>0.66319895968790632</v>
      </c>
      <c r="H92" s="140">
        <f ca="1">MIN(TblPop[[#This Row],[Peasants]],TblPop[[#This Row],[Jobs]])</f>
        <v>259</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510</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-3</v>
      </c>
      <c r="X92" s="94">
        <f ca="1">ROUND(TblPop[[#This Row],[Raw Birth]]*(1+TblPop[[#This Row],[Growth]]),0)</f>
        <v>8</v>
      </c>
      <c r="Y92" s="94">
        <f ca="1">(TblPop[[#This Row],[Peasants]]-TblPop[[#This Row],[Draft Growth]])*raw_pop_growth</f>
        <v>7.68</v>
      </c>
      <c r="Z92" s="94">
        <f ca="1">ROUND(IF(TblPop[[#This Row],[Military%]]&lt;TblMili[[#This Row],[Draftrate]],ROUND(TblPop[[#This Row],[Peasants]]*Constants!$B$55,0), 0) * IF(AND(TblMagic[[#This Row],[Active DnD]]&lt;=12,TblMagic[[#This Row],[Active DnD]]&gt;6),1.6,1),0)</f>
        <v>3</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45818.708333333117</v>
      </c>
      <c r="C93" s="94">
        <f ca="1">OFFSET(TblPop[[#This Row],[Peasants]],-1,0)+OFFSET(TblPop[[#This Row],[Net Peasant]],-1,0)+TblMili[[#This Row],[Release Draft]]</f>
        <v>256</v>
      </c>
      <c r="D93" s="94">
        <f ca="1">TblMili[[#This Row],[Military]]</f>
        <v>513</v>
      </c>
      <c r="E93" s="94">
        <f ca="1">TblMili[[#This Row],[Draftees]]</f>
        <v>513</v>
      </c>
      <c r="F93" s="94">
        <f ca="1">TblPop[[#This Row],[Peasants]]+TblPop[[#This Row],[Military]]</f>
        <v>769</v>
      </c>
      <c r="G93" s="139">
        <f ca="1">TblPop[[#This Row],[Military]]/TblPop[[#This Row],[Total]]</f>
        <v>0.6671001300390117</v>
      </c>
      <c r="H93" s="140">
        <f ca="1">MIN(TblPop[[#This Row],[Peasants]],TblPop[[#This Row],[Jobs]])</f>
        <v>256</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513</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-3</v>
      </c>
      <c r="X93" s="94">
        <f ca="1">ROUND(TblPop[[#This Row],[Raw Birth]]*(1+TblPop[[#This Row],[Growth]]),0)</f>
        <v>8</v>
      </c>
      <c r="Y93" s="94">
        <f ca="1">(TblPop[[#This Row],[Peasants]]-TblPop[[#This Row],[Draft Growth]])*raw_pop_growth</f>
        <v>7.59</v>
      </c>
      <c r="Z93" s="94">
        <f ca="1">ROUND(IF(TblPop[[#This Row],[Military%]]&lt;TblMili[[#This Row],[Draftrate]],ROUND(TblPop[[#This Row],[Peasants]]*Constants!$B$55,0), 0) * IF(AND(TblMagic[[#This Row],[Active DnD]]&lt;=12,TblMagic[[#This Row],[Active DnD]]&gt;6),1.6,1),0)</f>
        <v>3</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45818.749999999782</v>
      </c>
      <c r="C94" s="94">
        <f ca="1">OFFSET(TblPop[[#This Row],[Peasants]],-1,0)+OFFSET(TblPop[[#This Row],[Net Peasant]],-1,0)+TblMili[[#This Row],[Release Draft]]</f>
        <v>253</v>
      </c>
      <c r="D94" s="94">
        <f ca="1">TblMili[[#This Row],[Military]]</f>
        <v>516</v>
      </c>
      <c r="E94" s="94">
        <f ca="1">TblMili[[#This Row],[Draftees]]</f>
        <v>516</v>
      </c>
      <c r="F94" s="94">
        <f ca="1">TblPop[[#This Row],[Peasants]]+TblPop[[#This Row],[Military]]</f>
        <v>769</v>
      </c>
      <c r="G94" s="139">
        <f ca="1">TblPop[[#This Row],[Military]]/TblPop[[#This Row],[Total]]</f>
        <v>0.67100130039011707</v>
      </c>
      <c r="H94" s="140">
        <f ca="1">MIN(TblPop[[#This Row],[Peasants]],TblPop[[#This Row],[Jobs]])</f>
        <v>253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516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-3</v>
      </c>
      <c r="X94" s="94">
        <f ca="1">ROUND(TblPop[[#This Row],[Raw Birth]]*(1+TblPop[[#This Row],[Growth]]),0)</f>
        <v>8</v>
      </c>
      <c r="Y94" s="94">
        <f ca="1">(TblPop[[#This Row],[Peasants]]-TblPop[[#This Row],[Draft Growth]])*raw_pop_growth</f>
        <v>7.5</v>
      </c>
      <c r="Z94" s="94">
        <f ca="1">ROUND(IF(TblPop[[#This Row],[Military%]]&lt;TblMili[[#This Row],[Draftrate]],ROUND(TblPop[[#This Row],[Peasants]]*Constants!$B$55,0), 0) * IF(AND(TblMagic[[#This Row],[Active DnD]]&lt;=12,TblMagic[[#This Row],[Active DnD]]&gt;6),1.6,1),0)</f>
        <v>3</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45818.791666666446</v>
      </c>
      <c r="C95" s="94">
        <f ca="1">OFFSET(TblPop[[#This Row],[Peasants]],-1,0)+OFFSET(TblPop[[#This Row],[Net Peasant]],-1,0)+TblMili[[#This Row],[Release Draft]]</f>
        <v>250</v>
      </c>
      <c r="D95" s="94">
        <f ca="1">TblMili[[#This Row],[Military]]</f>
        <v>519</v>
      </c>
      <c r="E95" s="94">
        <f ca="1">TblMili[[#This Row],[Draftees]]</f>
        <v>519</v>
      </c>
      <c r="F95" s="94">
        <f ca="1">TblPop[[#This Row],[Peasants]]+TblPop[[#This Row],[Military]]</f>
        <v>769</v>
      </c>
      <c r="G95" s="139">
        <f ca="1">TblPop[[#This Row],[Military]]/TblPop[[#This Row],[Total]]</f>
        <v>0.67490247074122234</v>
      </c>
      <c r="H95" s="140">
        <f ca="1">MIN(TblPop[[#This Row],[Peasants]],TblPop[[#This Row],[Jobs]])</f>
        <v>250</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519</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-3</v>
      </c>
      <c r="X95" s="94">
        <f ca="1">ROUND(TblPop[[#This Row],[Raw Birth]]*(1+TblPop[[#This Row],[Growth]]),0)</f>
        <v>7</v>
      </c>
      <c r="Y95" s="94">
        <f ca="1">(TblPop[[#This Row],[Peasants]]-TblPop[[#This Row],[Draft Growth]])*raw_pop_growth</f>
        <v>7.41</v>
      </c>
      <c r="Z95" s="94">
        <f ca="1">ROUND(IF(TblPop[[#This Row],[Military%]]&lt;TblMili[[#This Row],[Draftrate]],ROUND(TblPop[[#This Row],[Peasants]]*Constants!$B$55,0), 0) * IF(AND(TblMagic[[#This Row],[Active DnD]]&lt;=12,TblMagic[[#This Row],[Active DnD]]&gt;6),1.6,1),0)</f>
        <v>3</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45818.83333333311</v>
      </c>
      <c r="C96" s="94">
        <f ca="1">OFFSET(TblPop[[#This Row],[Peasants]],-1,0)+OFFSET(TblPop[[#This Row],[Net Peasant]],-1,0)+TblMili[[#This Row],[Release Draft]]</f>
        <v>247</v>
      </c>
      <c r="D96" s="94">
        <f ca="1">TblMili[[#This Row],[Military]]</f>
        <v>522</v>
      </c>
      <c r="E96" s="94">
        <f ca="1">TblMili[[#This Row],[Draftees]]</f>
        <v>522</v>
      </c>
      <c r="F96" s="94">
        <f ca="1">TblPop[[#This Row],[Peasants]]+TblPop[[#This Row],[Military]]</f>
        <v>769</v>
      </c>
      <c r="G96" s="139">
        <f ca="1">TblPop[[#This Row],[Military]]/TblPop[[#This Row],[Total]]</f>
        <v>0.67880364109232771</v>
      </c>
      <c r="H96" s="140">
        <f ca="1">MIN(TblPop[[#This Row],[Peasants]],TblPop[[#This Row],[Jobs]])</f>
        <v>247</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522</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7</v>
      </c>
      <c r="Y96" s="94">
        <f ca="1">(TblPop[[#This Row],[Peasants]]-TblPop[[#This Row],[Draft Growth]])*raw_pop_growth</f>
        <v>7.35</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45818.874999999774</v>
      </c>
      <c r="C97" s="94">
        <f ca="1">OFFSET(TblPop[[#This Row],[Peasants]],-1,0)+OFFSET(TblPop[[#This Row],[Net Peasant]],-1,0)+TblMili[[#This Row],[Release Draft]]</f>
        <v>245</v>
      </c>
      <c r="D97" s="94">
        <f ca="1">TblMili[[#This Row],[Military]]</f>
        <v>524</v>
      </c>
      <c r="E97" s="94">
        <f ca="1">TblMili[[#This Row],[Draftees]]</f>
        <v>524</v>
      </c>
      <c r="F97" s="94">
        <f ca="1">TblPop[[#This Row],[Peasants]]+TblPop[[#This Row],[Military]]</f>
        <v>769</v>
      </c>
      <c r="G97" s="139">
        <f ca="1">TblPop[[#This Row],[Military]]/TblPop[[#This Row],[Total]]</f>
        <v>0.68140442132639789</v>
      </c>
      <c r="H97" s="140">
        <f ca="1">MIN(TblPop[[#This Row],[Peasants]],TblPop[[#This Row],[Jobs]])</f>
        <v>245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524</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7</v>
      </c>
      <c r="Y97" s="94">
        <f ca="1">(TblPop[[#This Row],[Peasants]]-TblPop[[#This Row],[Draft Growth]])*raw_pop_growth</f>
        <v>7.29</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45818.916666666439</v>
      </c>
      <c r="C98" s="94">
        <f ca="1">OFFSET(TblPop[[#This Row],[Peasants]],-1,0)+OFFSET(TblPop[[#This Row],[Net Peasant]],-1,0)+TblMili[[#This Row],[Release Draft]]</f>
        <v>243</v>
      </c>
      <c r="D98" s="94">
        <f ca="1">TblMili[[#This Row],[Military]]</f>
        <v>526</v>
      </c>
      <c r="E98" s="94">
        <f ca="1">TblMili[[#This Row],[Draftees]]</f>
        <v>526</v>
      </c>
      <c r="F98" s="94">
        <f ca="1">TblPop[[#This Row],[Peasants]]+TblPop[[#This Row],[Military]]</f>
        <v>769</v>
      </c>
      <c r="G98" s="139">
        <f ca="1">TblPop[[#This Row],[Military]]/TblPop[[#This Row],[Total]]</f>
        <v>0.68400520156046818</v>
      </c>
      <c r="H98" s="140">
        <f ca="1">MIN(TblPop[[#This Row],[Peasants]],TblPop[[#This Row],[Jobs]])</f>
        <v>243</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526</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7</v>
      </c>
      <c r="Y98" s="94">
        <f ca="1">(TblPop[[#This Row],[Peasants]]-TblPop[[#This Row],[Draft Growth]])*raw_pop_growth</f>
        <v>7.2299999999999995</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45818.958333333103</v>
      </c>
      <c r="C99" s="94">
        <f ca="1">OFFSET(TblPop[[#This Row],[Peasants]],-1,0)+OFFSET(TblPop[[#This Row],[Net Peasant]],-1,0)+TblMili[[#This Row],[Release Draft]]</f>
        <v>241</v>
      </c>
      <c r="D99" s="94">
        <f ca="1">TblMili[[#This Row],[Military]]</f>
        <v>528</v>
      </c>
      <c r="E99" s="94">
        <f ca="1">TblMili[[#This Row],[Draftees]]</f>
        <v>528</v>
      </c>
      <c r="F99" s="94">
        <f ca="1">TblPop[[#This Row],[Peasants]]+TblPop[[#This Row],[Military]]</f>
        <v>769</v>
      </c>
      <c r="G99" s="139">
        <f ca="1">TblPop[[#This Row],[Military]]/TblPop[[#This Row],[Total]]</f>
        <v>0.68660598179453836</v>
      </c>
      <c r="H99" s="140">
        <f ca="1">MIN(TblPop[[#This Row],[Peasants]],TblPop[[#This Row],[Jobs]])</f>
        <v>241</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528</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7</v>
      </c>
      <c r="Y99" s="94">
        <f ca="1">(TblPop[[#This Row],[Peasants]]-TblPop[[#This Row],[Draft Growth]])*raw_pop_growth</f>
        <v>7.17</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45818.999999999767</v>
      </c>
      <c r="C100" s="94">
        <f ca="1">OFFSET(TblPop[[#This Row],[Peasants]],-1,0)+OFFSET(TblPop[[#This Row],[Net Peasant]],-1,0)+TblMili[[#This Row],[Release Draft]]</f>
        <v>239</v>
      </c>
      <c r="D100" s="94">
        <f ca="1">TblMili[[#This Row],[Military]]</f>
        <v>530</v>
      </c>
      <c r="E100" s="94">
        <f ca="1">TblMili[[#This Row],[Draftees]]</f>
        <v>530</v>
      </c>
      <c r="F100" s="94">
        <f ca="1">TblPop[[#This Row],[Peasants]]+TblPop[[#This Row],[Military]]</f>
        <v>769</v>
      </c>
      <c r="G100" s="139">
        <f ca="1">TblPop[[#This Row],[Military]]/TblPop[[#This Row],[Total]]</f>
        <v>0.68920676202860853</v>
      </c>
      <c r="H100" s="140">
        <f ca="1">MIN(TblPop[[#This Row],[Peasants]],TblPop[[#This Row],[Jobs]])</f>
        <v>239</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530</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7</v>
      </c>
      <c r="Y100" s="94">
        <f ca="1">(TblPop[[#This Row],[Peasants]]-TblPop[[#This Row],[Draft Growth]])*raw_pop_growth</f>
        <v>7.1099999999999994</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45819.041666666431</v>
      </c>
      <c r="C101" s="94">
        <f ca="1">OFFSET(TblPop[[#This Row],[Peasants]],-1,0)+OFFSET(TblPop[[#This Row],[Net Peasant]],-1,0)+TblMili[[#This Row],[Release Draft]]</f>
        <v>237</v>
      </c>
      <c r="D101" s="94">
        <f ca="1">TblMili[[#This Row],[Military]]</f>
        <v>532</v>
      </c>
      <c r="E101" s="94">
        <f ca="1">TblMili[[#This Row],[Draftees]]</f>
        <v>532</v>
      </c>
      <c r="F101" s="94">
        <f ca="1">TblPop[[#This Row],[Peasants]]+TblPop[[#This Row],[Military]]</f>
        <v>769</v>
      </c>
      <c r="G101" s="139">
        <f ca="1">TblPop[[#This Row],[Military]]/TblPop[[#This Row],[Total]]</f>
        <v>0.69180754226267882</v>
      </c>
      <c r="H101" s="140">
        <f ca="1">MIN(TblPop[[#This Row],[Peasants]],TblPop[[#This Row],[Jobs]])</f>
        <v>237</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532</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7</v>
      </c>
      <c r="Y101" s="94">
        <f ca="1">(TblPop[[#This Row],[Peasants]]-TblPop[[#This Row],[Draft Growth]])*raw_pop_growth</f>
        <v>7.05</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45819.083333333096</v>
      </c>
      <c r="C102" s="94">
        <f ca="1">OFFSET(TblPop[[#This Row],[Peasants]],-1,0)+OFFSET(TblPop[[#This Row],[Net Peasant]],-1,0)+TblMili[[#This Row],[Release Draft]]</f>
        <v>235</v>
      </c>
      <c r="D102" s="94">
        <f ca="1">TblMili[[#This Row],[Military]]</f>
        <v>534</v>
      </c>
      <c r="E102" s="94">
        <f ca="1">TblMili[[#This Row],[Draftees]]</f>
        <v>534</v>
      </c>
      <c r="F102" s="94">
        <f ca="1">TblPop[[#This Row],[Peasants]]+TblPop[[#This Row],[Military]]</f>
        <v>769</v>
      </c>
      <c r="G102" s="139">
        <f ca="1">TblPop[[#This Row],[Military]]/TblPop[[#This Row],[Total]]</f>
        <v>0.694408322496749</v>
      </c>
      <c r="H102" s="140">
        <f ca="1">MIN(TblPop[[#This Row],[Peasants]],TblPop[[#This Row],[Jobs]])</f>
        <v>235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534</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7</v>
      </c>
      <c r="Y102" s="94">
        <f ca="1">(TblPop[[#This Row],[Peasants]]-TblPop[[#This Row],[Draft Growth]])*raw_pop_growth</f>
        <v>6.9899999999999993</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45819.12499999976</v>
      </c>
      <c r="C103" s="94">
        <f ca="1">OFFSET(TblPop[[#This Row],[Peasants]],-1,0)+OFFSET(TblPop[[#This Row],[Net Peasant]],-1,0)+TblMili[[#This Row],[Release Draft]]</f>
        <v>233</v>
      </c>
      <c r="D103" s="94">
        <f ca="1">TblMili[[#This Row],[Military]]</f>
        <v>536</v>
      </c>
      <c r="E103" s="94">
        <f ca="1">TblMili[[#This Row],[Draftees]]</f>
        <v>536</v>
      </c>
      <c r="F103" s="94">
        <f ca="1">TblPop[[#This Row],[Peasants]]+TblPop[[#This Row],[Military]]</f>
        <v>769</v>
      </c>
      <c r="G103" s="139">
        <f ca="1">TblPop[[#This Row],[Military]]/TblPop[[#This Row],[Total]]</f>
        <v>0.69700910273081929</v>
      </c>
      <c r="H103" s="140">
        <f ca="1">MIN(TblPop[[#This Row],[Peasants]],TblPop[[#This Row],[Jobs]])</f>
        <v>233</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536</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7</v>
      </c>
      <c r="Y103" s="94">
        <f ca="1">(TblPop[[#This Row],[Peasants]]-TblPop[[#This Row],[Draft Growth]])*raw_pop_growth</f>
        <v>6.93</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45819.166666666424</v>
      </c>
      <c r="C104" s="94">
        <f ca="1">OFFSET(TblPop[[#This Row],[Peasants]],-1,0)+OFFSET(TblPop[[#This Row],[Net Peasant]],-1,0)+TblMili[[#This Row],[Release Draft]]</f>
        <v>231</v>
      </c>
      <c r="D104" s="94">
        <f ca="1">TblMili[[#This Row],[Military]]</f>
        <v>538</v>
      </c>
      <c r="E104" s="94">
        <f ca="1">TblMili[[#This Row],[Draftees]]</f>
        <v>538</v>
      </c>
      <c r="F104" s="94">
        <f ca="1">TblPop[[#This Row],[Peasants]]+TblPop[[#This Row],[Military]]</f>
        <v>769</v>
      </c>
      <c r="G104" s="139">
        <f ca="1">TblPop[[#This Row],[Military]]/TblPop[[#This Row],[Total]]</f>
        <v>0.69960988296488946</v>
      </c>
      <c r="H104" s="140">
        <f ca="1">MIN(TblPop[[#This Row],[Peasants]],TblPop[[#This Row],[Jobs]])</f>
        <v>231</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538</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7</v>
      </c>
      <c r="Y104" s="94">
        <f ca="1">(TblPop[[#This Row],[Peasants]]-TblPop[[#This Row],[Draft Growth]])*raw_pop_growth</f>
        <v>6.87</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45819.208333333088</v>
      </c>
      <c r="C105" s="94">
        <f ca="1">OFFSET(TblPop[[#This Row],[Peasants]],-1,0)+OFFSET(TblPop[[#This Row],[Net Peasant]],-1,0)+TblMili[[#This Row],[Release Draft]]</f>
        <v>229</v>
      </c>
      <c r="D105" s="94">
        <f ca="1">TblMili[[#This Row],[Military]]</f>
        <v>540</v>
      </c>
      <c r="E105" s="94">
        <f ca="1">TblMili[[#This Row],[Draftees]]</f>
        <v>540</v>
      </c>
      <c r="F105" s="94">
        <f ca="1">TblPop[[#This Row],[Peasants]]+TblPop[[#This Row],[Military]]</f>
        <v>769</v>
      </c>
      <c r="G105" s="139">
        <f ca="1">TblPop[[#This Row],[Military]]/TblPop[[#This Row],[Total]]</f>
        <v>0.70221066319895964</v>
      </c>
      <c r="H105" s="140">
        <f ca="1">MIN(TblPop[[#This Row],[Peasants]],TblPop[[#This Row],[Jobs]])</f>
        <v>229</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540</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7</v>
      </c>
      <c r="Y105" s="94">
        <f ca="1">(TblPop[[#This Row],[Peasants]]-TblPop[[#This Row],[Draft Growth]])*raw_pop_growth</f>
        <v>6.81</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45819.249999999753</v>
      </c>
      <c r="C106" s="94">
        <f ca="1">OFFSET(TblPop[[#This Row],[Peasants]],-1,0)+OFFSET(TblPop[[#This Row],[Net Peasant]],-1,0)+TblMili[[#This Row],[Release Draft]]</f>
        <v>227</v>
      </c>
      <c r="D106" s="94">
        <f ca="1">TblMili[[#This Row],[Military]]</f>
        <v>542</v>
      </c>
      <c r="E106" s="94">
        <f ca="1">TblMili[[#This Row],[Draftees]]</f>
        <v>542</v>
      </c>
      <c r="F106" s="94">
        <f ca="1">TblPop[[#This Row],[Peasants]]+TblPop[[#This Row],[Military]]</f>
        <v>769</v>
      </c>
      <c r="G106" s="139">
        <f ca="1">TblPop[[#This Row],[Military]]/TblPop[[#This Row],[Total]]</f>
        <v>0.70481144343302993</v>
      </c>
      <c r="H106" s="140">
        <f ca="1">MIN(TblPop[[#This Row],[Peasants]],TblPop[[#This Row],[Jobs]])</f>
        <v>227</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542</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7</v>
      </c>
      <c r="Y106" s="94">
        <f ca="1">(TblPop[[#This Row],[Peasants]]-TblPop[[#This Row],[Draft Growth]])*raw_pop_growth</f>
        <v>6.75</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45819.291666666417</v>
      </c>
      <c r="C107" s="94">
        <f ca="1">OFFSET(TblPop[[#This Row],[Peasants]],-1,0)+OFFSET(TblPop[[#This Row],[Net Peasant]],-1,0)+TblMili[[#This Row],[Release Draft]]</f>
        <v>225</v>
      </c>
      <c r="D107" s="94">
        <f ca="1">TblMili[[#This Row],[Military]]</f>
        <v>544</v>
      </c>
      <c r="E107" s="94">
        <f ca="1">TblMili[[#This Row],[Draftees]]</f>
        <v>544</v>
      </c>
      <c r="F107" s="94">
        <f ca="1">TblPop[[#This Row],[Peasants]]+TblPop[[#This Row],[Military]]</f>
        <v>769</v>
      </c>
      <c r="G107" s="139">
        <f ca="1">TblPop[[#This Row],[Military]]/TblPop[[#This Row],[Total]]</f>
        <v>0.7074122236671001</v>
      </c>
      <c r="H107" s="140">
        <f ca="1">MIN(TblPop[[#This Row],[Peasants]],TblPop[[#This Row],[Jobs]])</f>
        <v>225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544</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7</v>
      </c>
      <c r="Y107" s="94">
        <f ca="1">(TblPop[[#This Row],[Peasants]]-TblPop[[#This Row],[Draft Growth]])*raw_pop_growth</f>
        <v>6.6899999999999995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45819.333333333081</v>
      </c>
      <c r="C108" s="94">
        <f ca="1">OFFSET(TblPop[[#This Row],[Peasants]],-1,0)+OFFSET(TblPop[[#This Row],[Net Peasant]],-1,0)+TblMili[[#This Row],[Release Draft]]</f>
        <v>223</v>
      </c>
      <c r="D108" s="94">
        <f ca="1">TblMili[[#This Row],[Military]]</f>
        <v>546</v>
      </c>
      <c r="E108" s="94">
        <f ca="1">TblMili[[#This Row],[Draftees]]</f>
        <v>546</v>
      </c>
      <c r="F108" s="94">
        <f ca="1">TblPop[[#This Row],[Peasants]]+TblPop[[#This Row],[Military]]</f>
        <v>769</v>
      </c>
      <c r="G108" s="139">
        <f ca="1">TblPop[[#This Row],[Military]]/TblPop[[#This Row],[Total]]</f>
        <v>0.71001300390117039</v>
      </c>
      <c r="H108" s="140">
        <f ca="1">MIN(TblPop[[#This Row],[Peasants]],TblPop[[#This Row],[Jobs]])</f>
        <v>223</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546</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7</v>
      </c>
      <c r="Y108" s="94">
        <f ca="1">(TblPop[[#This Row],[Peasants]]-TblPop[[#This Row],[Draft Growth]])*raw_pop_growth</f>
        <v>6.63</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45819.374999999745</v>
      </c>
      <c r="C109" s="94">
        <f ca="1">OFFSET(TblPop[[#This Row],[Peasants]],-1,0)+OFFSET(TblPop[[#This Row],[Net Peasant]],-1,0)+TblMili[[#This Row],[Release Draft]]</f>
        <v>221</v>
      </c>
      <c r="D109" s="94">
        <f ca="1">TblMili[[#This Row],[Military]]</f>
        <v>548</v>
      </c>
      <c r="E109" s="94">
        <f ca="1">TblMili[[#This Row],[Draftees]]</f>
        <v>548</v>
      </c>
      <c r="F109" s="94">
        <f ca="1">TblPop[[#This Row],[Peasants]]+TblPop[[#This Row],[Military]]</f>
        <v>769</v>
      </c>
      <c r="G109" s="139">
        <f ca="1">TblPop[[#This Row],[Military]]/TblPop[[#This Row],[Total]]</f>
        <v>0.71261378413524057</v>
      </c>
      <c r="H109" s="140">
        <f ca="1">MIN(TblPop[[#This Row],[Peasants]],TblPop[[#This Row],[Jobs]])</f>
        <v>221</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548</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7</v>
      </c>
      <c r="Y109" s="94">
        <f ca="1">(TblPop[[#This Row],[Peasants]]-TblPop[[#This Row],[Draft Growth]])*raw_pop_growth</f>
        <v>6.5699999999999994</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45819.41666666641</v>
      </c>
      <c r="C110" s="94">
        <f ca="1">OFFSET(TblPop[[#This Row],[Peasants]],-1,0)+OFFSET(TblPop[[#This Row],[Net Peasant]],-1,0)+TblMili[[#This Row],[Release Draft]]</f>
        <v>219</v>
      </c>
      <c r="D110" s="94">
        <f ca="1">TblMili[[#This Row],[Military]]</f>
        <v>550</v>
      </c>
      <c r="E110" s="94">
        <f ca="1">TblMili[[#This Row],[Draftees]]</f>
        <v>550</v>
      </c>
      <c r="F110" s="94">
        <f ca="1">TblPop[[#This Row],[Peasants]]+TblPop[[#This Row],[Military]]</f>
        <v>769</v>
      </c>
      <c r="G110" s="139">
        <f ca="1">TblPop[[#This Row],[Military]]/TblPop[[#This Row],[Total]]</f>
        <v>0.71521456436931075</v>
      </c>
      <c r="H110" s="140">
        <f ca="1">MIN(TblPop[[#This Row],[Peasants]],TblPop[[#This Row],[Jobs]])</f>
        <v>219</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550</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7</v>
      </c>
      <c r="Y110" s="94">
        <f ca="1">(TblPop[[#This Row],[Peasants]]-TblPop[[#This Row],[Draft Growth]])*raw_pop_growth</f>
        <v>6.51</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45819.458333333074</v>
      </c>
      <c r="C111" s="94">
        <f ca="1">OFFSET(TblPop[[#This Row],[Peasants]],-1,0)+OFFSET(TblPop[[#This Row],[Net Peasant]],-1,0)+TblMili[[#This Row],[Release Draft]]</f>
        <v>217</v>
      </c>
      <c r="D111" s="94">
        <f ca="1">TblMili[[#This Row],[Military]]</f>
        <v>552</v>
      </c>
      <c r="E111" s="94">
        <f ca="1">TblMili[[#This Row],[Draftees]]</f>
        <v>552</v>
      </c>
      <c r="F111" s="94">
        <f ca="1">TblPop[[#This Row],[Peasants]]+TblPop[[#This Row],[Military]]</f>
        <v>769</v>
      </c>
      <c r="G111" s="139">
        <f ca="1">TblPop[[#This Row],[Military]]/TblPop[[#This Row],[Total]]</f>
        <v>0.71781534460338103</v>
      </c>
      <c r="H111" s="140">
        <f ca="1">MIN(TblPop[[#This Row],[Peasants]],TblPop[[#This Row],[Jobs]])</f>
        <v>217</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552</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6</v>
      </c>
      <c r="Y111" s="94">
        <f ca="1">(TblPop[[#This Row],[Peasants]]-TblPop[[#This Row],[Draft Growth]])*raw_pop_growth</f>
        <v>6.45</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45819.499999999738</v>
      </c>
      <c r="C112" s="94">
        <f ca="1">OFFSET(TblPop[[#This Row],[Peasants]],-1,0)+OFFSET(TblPop[[#This Row],[Net Peasant]],-1,0)+TblMili[[#This Row],[Release Draft]]</f>
        <v>215</v>
      </c>
      <c r="D112" s="94">
        <f ca="1">TblMili[[#This Row],[Military]]</f>
        <v>554</v>
      </c>
      <c r="E112" s="94">
        <f ca="1">TblMili[[#This Row],[Draftees]]</f>
        <v>554</v>
      </c>
      <c r="F112" s="94">
        <f ca="1">TblPop[[#This Row],[Peasants]]+TblPop[[#This Row],[Military]]</f>
        <v>769</v>
      </c>
      <c r="G112" s="139">
        <f ca="1">TblPop[[#This Row],[Military]]/TblPop[[#This Row],[Total]]</f>
        <v>0.72041612483745121</v>
      </c>
      <c r="H112" s="140">
        <f ca="1">MIN(TblPop[[#This Row],[Peasants]],TblPop[[#This Row],[Jobs]])</f>
        <v>215</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554</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6</v>
      </c>
      <c r="Y112" s="94">
        <f ca="1">(TblPop[[#This Row],[Peasants]]-TblPop[[#This Row],[Draft Growth]])*raw_pop_growth</f>
        <v>6.39</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45819.541666666402</v>
      </c>
      <c r="C113" s="94">
        <f ca="1">OFFSET(TblPop[[#This Row],[Peasants]],-1,0)+OFFSET(TblPop[[#This Row],[Net Peasant]],-1,0)+TblMili[[#This Row],[Release Draft]]</f>
        <v>213</v>
      </c>
      <c r="D113" s="94">
        <f ca="1">TblMili[[#This Row],[Military]]</f>
        <v>556</v>
      </c>
      <c r="E113" s="94">
        <f ca="1">TblMili[[#This Row],[Draftees]]</f>
        <v>556</v>
      </c>
      <c r="F113" s="94">
        <f ca="1">TblPop[[#This Row],[Peasants]]+TblPop[[#This Row],[Military]]</f>
        <v>769</v>
      </c>
      <c r="G113" s="139">
        <f ca="1">TblPop[[#This Row],[Military]]/TblPop[[#This Row],[Total]]</f>
        <v>0.7230169050715215</v>
      </c>
      <c r="H113" s="140">
        <f ca="1">MIN(TblPop[[#This Row],[Peasants]],TblPop[[#This Row],[Jobs]])</f>
        <v>213</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556</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6</v>
      </c>
      <c r="Y113" s="94">
        <f ca="1">(TblPop[[#This Row],[Peasants]]-TblPop[[#This Row],[Draft Growth]])*raw_pop_growth</f>
        <v>6.33</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45819.583333333067</v>
      </c>
      <c r="C114" s="94">
        <f ca="1">OFFSET(TblPop[[#This Row],[Peasants]],-1,0)+OFFSET(TblPop[[#This Row],[Net Peasant]],-1,0)+TblMili[[#This Row],[Release Draft]]</f>
        <v>211</v>
      </c>
      <c r="D114" s="94">
        <f ca="1">TblMili[[#This Row],[Military]]</f>
        <v>558</v>
      </c>
      <c r="E114" s="94">
        <f ca="1">TblMili[[#This Row],[Draftees]]</f>
        <v>558</v>
      </c>
      <c r="F114" s="94">
        <f ca="1">TblPop[[#This Row],[Peasants]]+TblPop[[#This Row],[Military]]</f>
        <v>769</v>
      </c>
      <c r="G114" s="139">
        <f ca="1">TblPop[[#This Row],[Military]]/TblPop[[#This Row],[Total]]</f>
        <v>0.72561768530559168</v>
      </c>
      <c r="H114" s="140">
        <f ca="1">MIN(TblPop[[#This Row],[Peasants]],TblPop[[#This Row],[Jobs]])</f>
        <v>211</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558</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6</v>
      </c>
      <c r="Y114" s="94">
        <f ca="1">(TblPop[[#This Row],[Peasants]]-TblPop[[#This Row],[Draft Growth]])*raw_pop_growth</f>
        <v>6.27</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45819.624999999731</v>
      </c>
      <c r="C115" s="94">
        <f ca="1">OFFSET(TblPop[[#This Row],[Peasants]],-1,0)+OFFSET(TblPop[[#This Row],[Net Peasant]],-1,0)+TblMili[[#This Row],[Release Draft]]</f>
        <v>209</v>
      </c>
      <c r="D115" s="94">
        <f ca="1">TblMili[[#This Row],[Military]]</f>
        <v>560</v>
      </c>
      <c r="E115" s="94">
        <f ca="1">TblMili[[#This Row],[Draftees]]</f>
        <v>560</v>
      </c>
      <c r="F115" s="94">
        <f ca="1">TblPop[[#This Row],[Peasants]]+TblPop[[#This Row],[Military]]</f>
        <v>769</v>
      </c>
      <c r="G115" s="139">
        <f ca="1">TblPop[[#This Row],[Military]]/TblPop[[#This Row],[Total]]</f>
        <v>0.72821846553966185</v>
      </c>
      <c r="H115" s="140">
        <f ca="1">MIN(TblPop[[#This Row],[Peasants]],TblPop[[#This Row],[Jobs]])</f>
        <v>209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560</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6</v>
      </c>
      <c r="Y115" s="94">
        <f ca="1">(TblPop[[#This Row],[Peasants]]-TblPop[[#This Row],[Draft Growth]])*raw_pop_growth</f>
        <v>6.21</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45819.666666666395</v>
      </c>
      <c r="C116" s="94">
        <f ca="1">OFFSET(TblPop[[#This Row],[Peasants]],-1,0)+OFFSET(TblPop[[#This Row],[Net Peasant]],-1,0)+TblMili[[#This Row],[Release Draft]]</f>
        <v>207</v>
      </c>
      <c r="D116" s="94">
        <f ca="1">TblMili[[#This Row],[Military]]</f>
        <v>562</v>
      </c>
      <c r="E116" s="94">
        <f ca="1">TblMili[[#This Row],[Draftees]]</f>
        <v>562</v>
      </c>
      <c r="F116" s="94">
        <f ca="1">TblPop[[#This Row],[Peasants]]+TblPop[[#This Row],[Military]]</f>
        <v>769</v>
      </c>
      <c r="G116" s="139">
        <f ca="1">TblPop[[#This Row],[Military]]/TblPop[[#This Row],[Total]]</f>
        <v>0.73081924577373214</v>
      </c>
      <c r="H116" s="140">
        <f ca="1">MIN(TblPop[[#This Row],[Peasants]],TblPop[[#This Row],[Jobs]])</f>
        <v>207</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562</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-2</v>
      </c>
      <c r="X116" s="94">
        <f ca="1">ROUND(TblPop[[#This Row],[Raw Birth]]*(1+TblPop[[#This Row],[Growth]]),0)</f>
        <v>6</v>
      </c>
      <c r="Y116" s="94">
        <f ca="1">(TblPop[[#This Row],[Peasants]]-TblPop[[#This Row],[Draft Growth]])*raw_pop_growth</f>
        <v>6.1499999999999995</v>
      </c>
      <c r="Z116" s="94">
        <f ca="1">ROUND(IF(TblPop[[#This Row],[Military%]]&lt;TblMili[[#This Row],[Draftrate]],ROUND(TblPop[[#This Row],[Peasants]]*Constants!$B$55,0), 0) * IF(AND(TblMagic[[#This Row],[Active DnD]]&lt;=12,TblMagic[[#This Row],[Active DnD]]&gt;6),1.6,1),0)</f>
        <v>2</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45819.708333333059</v>
      </c>
      <c r="C117" s="94">
        <f ca="1">OFFSET(TblPop[[#This Row],[Peasants]],-1,0)+OFFSET(TblPop[[#This Row],[Net Peasant]],-1,0)+TblMili[[#This Row],[Release Draft]]</f>
        <v>205</v>
      </c>
      <c r="D117" s="94">
        <f ca="1">TblMili[[#This Row],[Military]]</f>
        <v>564</v>
      </c>
      <c r="E117" s="94">
        <f ca="1">TblMili[[#This Row],[Draftees]]</f>
        <v>564</v>
      </c>
      <c r="F117" s="94">
        <f ca="1">TblPop[[#This Row],[Peasants]]+TblPop[[#This Row],[Military]]</f>
        <v>769</v>
      </c>
      <c r="G117" s="139">
        <f ca="1">TblPop[[#This Row],[Military]]/TblPop[[#This Row],[Total]]</f>
        <v>0.73342002600780232</v>
      </c>
      <c r="H117" s="140">
        <f ca="1">MIN(TblPop[[#This Row],[Peasants]],TblPop[[#This Row],[Jobs]])</f>
        <v>205</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564</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-2</v>
      </c>
      <c r="X117" s="94">
        <f ca="1">ROUND(TblPop[[#This Row],[Raw Birth]]*(1+TblPop[[#This Row],[Growth]]),0)</f>
        <v>6</v>
      </c>
      <c r="Y117" s="94">
        <f ca="1">(TblPop[[#This Row],[Peasants]]-TblPop[[#This Row],[Draft Growth]])*raw_pop_growth</f>
        <v>6.09</v>
      </c>
      <c r="Z117" s="94">
        <f ca="1">ROUND(IF(TblPop[[#This Row],[Military%]]&lt;TblMili[[#This Row],[Draftrate]],ROUND(TblPop[[#This Row],[Peasants]]*Constants!$B$55,0), 0) * IF(AND(TblMagic[[#This Row],[Active DnD]]&lt;=12,TblMagic[[#This Row],[Active DnD]]&gt;6),1.6,1),0)</f>
        <v>2</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45819.749999999724</v>
      </c>
      <c r="C118" s="94">
        <f ca="1">OFFSET(TblPop[[#This Row],[Peasants]],-1,0)+OFFSET(TblPop[[#This Row],[Net Peasant]],-1,0)+TblMili[[#This Row],[Release Draft]]</f>
        <v>203</v>
      </c>
      <c r="D118" s="94">
        <f ca="1">TblMili[[#This Row],[Military]]</f>
        <v>566</v>
      </c>
      <c r="E118" s="94">
        <f ca="1">TblMili[[#This Row],[Draftees]]</f>
        <v>566</v>
      </c>
      <c r="F118" s="94">
        <f ca="1">TblPop[[#This Row],[Peasants]]+TblPop[[#This Row],[Military]]</f>
        <v>769</v>
      </c>
      <c r="G118" s="139">
        <f ca="1">TblPop[[#This Row],[Military]]/TblPop[[#This Row],[Total]]</f>
        <v>0.7360208062418726</v>
      </c>
      <c r="H118" s="140">
        <f ca="1">MIN(TblPop[[#This Row],[Peasants]],TblPop[[#This Row],[Jobs]])</f>
        <v>203</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566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-2</v>
      </c>
      <c r="X118" s="94">
        <f ca="1">ROUND(TblPop[[#This Row],[Raw Birth]]*(1+TblPop[[#This Row],[Growth]]),0)</f>
        <v>6</v>
      </c>
      <c r="Y118" s="94">
        <f ca="1">(TblPop[[#This Row],[Peasants]]-TblPop[[#This Row],[Draft Growth]])*raw_pop_growth</f>
        <v>6.0299999999999994</v>
      </c>
      <c r="Z118" s="94">
        <f ca="1">ROUND(IF(TblPop[[#This Row],[Military%]]&lt;TblMili[[#This Row],[Draftrate]],ROUND(TblPop[[#This Row],[Peasants]]*Constants!$B$55,0), 0) * IF(AND(TblMagic[[#This Row],[Active DnD]]&lt;=12,TblMagic[[#This Row],[Active DnD]]&gt;6),1.6,1),0)</f>
        <v>2</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45819.791666666388</v>
      </c>
      <c r="C119" s="94">
        <f ca="1">OFFSET(TblPop[[#This Row],[Peasants]],-1,0)+OFFSET(TblPop[[#This Row],[Net Peasant]],-1,0)+TblMili[[#This Row],[Release Draft]]</f>
        <v>201</v>
      </c>
      <c r="D119" s="94">
        <f ca="1">TblMili[[#This Row],[Military]]</f>
        <v>568</v>
      </c>
      <c r="E119" s="94">
        <f ca="1">TblMili[[#This Row],[Draftees]]</f>
        <v>568</v>
      </c>
      <c r="F119" s="94">
        <f ca="1">TblPop[[#This Row],[Peasants]]+TblPop[[#This Row],[Military]]</f>
        <v>769</v>
      </c>
      <c r="G119" s="139">
        <f ca="1">TblPop[[#This Row],[Military]]/TblPop[[#This Row],[Total]]</f>
        <v>0.73862158647594278</v>
      </c>
      <c r="H119" s="140">
        <f ca="1">MIN(TblPop[[#This Row],[Peasants]],TblPop[[#This Row],[Jobs]])</f>
        <v>201</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568</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-2</v>
      </c>
      <c r="X119" s="94">
        <f ca="1">ROUND(TblPop[[#This Row],[Raw Birth]]*(1+TblPop[[#This Row],[Growth]]),0)</f>
        <v>6</v>
      </c>
      <c r="Y119" s="94">
        <f ca="1">(TblPop[[#This Row],[Peasants]]-TblPop[[#This Row],[Draft Growth]])*raw_pop_growth</f>
        <v>5.97</v>
      </c>
      <c r="Z119" s="94">
        <f ca="1">ROUND(IF(TblPop[[#This Row],[Military%]]&lt;TblMili[[#This Row],[Draftrate]],ROUND(TblPop[[#This Row],[Peasants]]*Constants!$B$55,0), 0) * IF(AND(TblMagic[[#This Row],[Active DnD]]&lt;=12,TblMagic[[#This Row],[Active DnD]]&gt;6),1.6,1),0)</f>
        <v>2</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45819.833333333052</v>
      </c>
      <c r="C120" s="94">
        <f ca="1">OFFSET(TblPop[[#This Row],[Peasants]],-1,0)+OFFSET(TblPop[[#This Row],[Net Peasant]],-1,0)+TblMili[[#This Row],[Release Draft]]</f>
        <v>199</v>
      </c>
      <c r="D120" s="94">
        <f ca="1">TblMili[[#This Row],[Military]]</f>
        <v>570</v>
      </c>
      <c r="E120" s="94">
        <f ca="1">TblMili[[#This Row],[Draftees]]</f>
        <v>570</v>
      </c>
      <c r="F120" s="94">
        <f ca="1">TblPop[[#This Row],[Peasants]]+TblPop[[#This Row],[Military]]</f>
        <v>769</v>
      </c>
      <c r="G120" s="139">
        <f ca="1">TblPop[[#This Row],[Military]]/TblPop[[#This Row],[Total]]</f>
        <v>0.74122236671001296</v>
      </c>
      <c r="H120" s="140">
        <f ca="1">MIN(TblPop[[#This Row],[Peasants]],TblPop[[#This Row],[Jobs]])</f>
        <v>199</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570</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-2</v>
      </c>
      <c r="X120" s="94">
        <f ca="1">ROUND(TblPop[[#This Row],[Raw Birth]]*(1+TblPop[[#This Row],[Growth]]),0)</f>
        <v>6</v>
      </c>
      <c r="Y120" s="94">
        <f ca="1">(TblPop[[#This Row],[Peasants]]-TblPop[[#This Row],[Draft Growth]])*raw_pop_growth</f>
        <v>5.91</v>
      </c>
      <c r="Z120" s="94">
        <f ca="1">ROUND(IF(TblPop[[#This Row],[Military%]]&lt;TblMili[[#This Row],[Draftrate]],ROUND(TblPop[[#This Row],[Peasants]]*Constants!$B$55,0), 0) * IF(AND(TblMagic[[#This Row],[Active DnD]]&lt;=12,TblMagic[[#This Row],[Active DnD]]&gt;6),1.6,1),0)</f>
        <v>2</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45819.874999999716</v>
      </c>
      <c r="C121" s="94">
        <f ca="1">OFFSET(TblPop[[#This Row],[Peasants]],-1,0)+OFFSET(TblPop[[#This Row],[Net Peasant]],-1,0)+TblMili[[#This Row],[Release Draft]]</f>
        <v>197</v>
      </c>
      <c r="D121" s="94">
        <f ca="1">TblMili[[#This Row],[Military]]</f>
        <v>572</v>
      </c>
      <c r="E121" s="94">
        <f ca="1">TblMili[[#This Row],[Draftees]]</f>
        <v>572</v>
      </c>
      <c r="F121" s="94">
        <f ca="1">TblPop[[#This Row],[Peasants]]+TblPop[[#This Row],[Military]]</f>
        <v>769</v>
      </c>
      <c r="G121" s="139">
        <f ca="1">TblPop[[#This Row],[Military]]/TblPop[[#This Row],[Total]]</f>
        <v>0.74382314694408325</v>
      </c>
      <c r="H121" s="140">
        <f ca="1">MIN(TblPop[[#This Row],[Peasants]],TblPop[[#This Row],[Jobs]])</f>
        <v>197</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572</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-2</v>
      </c>
      <c r="X121" s="94">
        <f ca="1">ROUND(TblPop[[#This Row],[Raw Birth]]*(1+TblPop[[#This Row],[Growth]]),0)</f>
        <v>6</v>
      </c>
      <c r="Y121" s="94">
        <f ca="1">(TblPop[[#This Row],[Peasants]]-TblPop[[#This Row],[Draft Growth]])*raw_pop_growth</f>
        <v>5.85</v>
      </c>
      <c r="Z121" s="94">
        <f ca="1">ROUND(IF(TblPop[[#This Row],[Military%]]&lt;TblMili[[#This Row],[Draftrate]],ROUND(TblPop[[#This Row],[Peasants]]*Constants!$B$55,0), 0) * IF(AND(TblMagic[[#This Row],[Active DnD]]&lt;=12,TblMagic[[#This Row],[Active DnD]]&gt;6),1.6,1),0)</f>
        <v>2</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45819.91666666638</v>
      </c>
      <c r="C122" s="94">
        <f ca="1">OFFSET(TblPop[[#This Row],[Peasants]],-1,0)+OFFSET(TblPop[[#This Row],[Net Peasant]],-1,0)+TblMili[[#This Row],[Release Draft]]</f>
        <v>195</v>
      </c>
      <c r="D122" s="94">
        <f ca="1">TblMili[[#This Row],[Military]]</f>
        <v>574</v>
      </c>
      <c r="E122" s="94">
        <f ca="1">TblMili[[#This Row],[Draftees]]</f>
        <v>574</v>
      </c>
      <c r="F122" s="94">
        <f ca="1">TblPop[[#This Row],[Peasants]]+TblPop[[#This Row],[Military]]</f>
        <v>769</v>
      </c>
      <c r="G122" s="139">
        <f ca="1">TblPop[[#This Row],[Military]]/TblPop[[#This Row],[Total]]</f>
        <v>0.74642392717815342</v>
      </c>
      <c r="H122" s="140">
        <f ca="1">MIN(TblPop[[#This Row],[Peasants]],TblPop[[#This Row],[Jobs]])</f>
        <v>195</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574</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-2</v>
      </c>
      <c r="X122" s="94">
        <f ca="1">ROUND(TblPop[[#This Row],[Raw Birth]]*(1+TblPop[[#This Row],[Growth]]),0)</f>
        <v>6</v>
      </c>
      <c r="Y122" s="94">
        <f ca="1">(TblPop[[#This Row],[Peasants]]-TblPop[[#This Row],[Draft Growth]])*raw_pop_growth</f>
        <v>5.79</v>
      </c>
      <c r="Z122" s="94">
        <f ca="1">ROUND(IF(TblPop[[#This Row],[Military%]]&lt;TblMili[[#This Row],[Draftrate]],ROUND(TblPop[[#This Row],[Peasants]]*Constants!$B$55,0), 0) * IF(AND(TblMagic[[#This Row],[Active DnD]]&lt;=12,TblMagic[[#This Row],[Active DnD]]&gt;6),1.6,1),0)</f>
        <v>2</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45819.958333333045</v>
      </c>
      <c r="C123" s="94">
        <f ca="1">OFFSET(TblPop[[#This Row],[Peasants]],-1,0)+OFFSET(TblPop[[#This Row],[Net Peasant]],-1,0)+TblMili[[#This Row],[Release Draft]]</f>
        <v>193</v>
      </c>
      <c r="D123" s="94">
        <f ca="1">TblMili[[#This Row],[Military]]</f>
        <v>576</v>
      </c>
      <c r="E123" s="94">
        <f ca="1">TblMili[[#This Row],[Draftees]]</f>
        <v>576</v>
      </c>
      <c r="F123" s="94">
        <f ca="1">TblPop[[#This Row],[Peasants]]+TblPop[[#This Row],[Military]]</f>
        <v>769</v>
      </c>
      <c r="G123" s="139">
        <f ca="1">TblPop[[#This Row],[Military]]/TblPop[[#This Row],[Total]]</f>
        <v>0.74902470741222371</v>
      </c>
      <c r="H123" s="140">
        <f ca="1">MIN(TblPop[[#This Row],[Peasants]],TblPop[[#This Row],[Jobs]])</f>
        <v>193</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576</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-2</v>
      </c>
      <c r="X123" s="94">
        <f ca="1">ROUND(TblPop[[#This Row],[Raw Birth]]*(1+TblPop[[#This Row],[Growth]]),0)</f>
        <v>6</v>
      </c>
      <c r="Y123" s="94">
        <f ca="1">(TblPop[[#This Row],[Peasants]]-TblPop[[#This Row],[Draft Growth]])*raw_pop_growth</f>
        <v>5.7299999999999995</v>
      </c>
      <c r="Z123" s="94">
        <f ca="1">ROUND(IF(TblPop[[#This Row],[Military%]]&lt;TblMili[[#This Row],[Draftrate]],ROUND(TblPop[[#This Row],[Peasants]]*Constants!$B$55,0), 0) * IF(AND(TblMagic[[#This Row],[Active DnD]]&lt;=12,TblMagic[[#This Row],[Active DnD]]&gt;6),1.6,1),0)</f>
        <v>2</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45819.999999999709</v>
      </c>
      <c r="C124" s="94">
        <f ca="1">OFFSET(TblPop[[#This Row],[Peasants]],-1,0)+OFFSET(TblPop[[#This Row],[Net Peasant]],-1,0)+TblMili[[#This Row],[Release Draft]]</f>
        <v>191</v>
      </c>
      <c r="D124" s="94">
        <f ca="1">TblMili[[#This Row],[Military]]</f>
        <v>578</v>
      </c>
      <c r="E124" s="94">
        <f ca="1">TblMili[[#This Row],[Draftees]]</f>
        <v>578</v>
      </c>
      <c r="F124" s="94">
        <f ca="1">TblPop[[#This Row],[Peasants]]+TblPop[[#This Row],[Military]]</f>
        <v>769</v>
      </c>
      <c r="G124" s="139">
        <f ca="1">TblPop[[#This Row],[Military]]/TblPop[[#This Row],[Total]]</f>
        <v>0.75162548764629389</v>
      </c>
      <c r="H124" s="140">
        <f ca="1">MIN(TblPop[[#This Row],[Peasants]],TblPop[[#This Row],[Jobs]])</f>
        <v>191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578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-2</v>
      </c>
      <c r="X124" s="94">
        <f ca="1">ROUND(TblPop[[#This Row],[Raw Birth]]*(1+TblPop[[#This Row],[Growth]]),0)</f>
        <v>6</v>
      </c>
      <c r="Y124" s="94">
        <f ca="1">(TblPop[[#This Row],[Peasants]]-TblPop[[#This Row],[Draft Growth]])*raw_pop_growth</f>
        <v>5.67</v>
      </c>
      <c r="Z124" s="94">
        <f ca="1">ROUND(IF(TblPop[[#This Row],[Military%]]&lt;TblMili[[#This Row],[Draftrate]],ROUND(TblPop[[#This Row],[Peasants]]*Constants!$B$55,0), 0) * IF(AND(TblMagic[[#This Row],[Active DnD]]&lt;=12,TblMagic[[#This Row],[Active DnD]]&gt;6),1.6,1),0)</f>
        <v>2</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45820.041666666373</v>
      </c>
      <c r="C125" s="94">
        <f ca="1">OFFSET(TblPop[[#This Row],[Peasants]],-1,0)+OFFSET(TblPop[[#This Row],[Net Peasant]],-1,0)+TblMili[[#This Row],[Release Draft]]</f>
        <v>189</v>
      </c>
      <c r="D125" s="94">
        <f ca="1">TblMili[[#This Row],[Military]]</f>
        <v>580</v>
      </c>
      <c r="E125" s="94">
        <f ca="1">TblMili[[#This Row],[Draftees]]</f>
        <v>580</v>
      </c>
      <c r="F125" s="94">
        <f ca="1">TblPop[[#This Row],[Peasants]]+TblPop[[#This Row],[Military]]</f>
        <v>769</v>
      </c>
      <c r="G125" s="139">
        <f ca="1">TblPop[[#This Row],[Military]]/TblPop[[#This Row],[Total]]</f>
        <v>0.75422626788036407</v>
      </c>
      <c r="H125" s="140">
        <f ca="1">MIN(TblPop[[#This Row],[Peasants]],TblPop[[#This Row],[Jobs]])</f>
        <v>189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580</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-2</v>
      </c>
      <c r="X125" s="94">
        <f ca="1">ROUND(TblPop[[#This Row],[Raw Birth]]*(1+TblPop[[#This Row],[Growth]]),0)</f>
        <v>6</v>
      </c>
      <c r="Y125" s="94">
        <f ca="1">(TblPop[[#This Row],[Peasants]]-TblPop[[#This Row],[Draft Growth]])*raw_pop_growth</f>
        <v>5.6099999999999994</v>
      </c>
      <c r="Z125" s="94">
        <f ca="1">ROUND(IF(TblPop[[#This Row],[Military%]]&lt;TblMili[[#This Row],[Draftrate]],ROUND(TblPop[[#This Row],[Peasants]]*Constants!$B$55,0), 0) * IF(AND(TblMagic[[#This Row],[Active DnD]]&lt;=12,TblMagic[[#This Row],[Active DnD]]&gt;6),1.6,1),0)</f>
        <v>2</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45820.083333333037</v>
      </c>
      <c r="C126" s="94">
        <f ca="1">OFFSET(TblPop[[#This Row],[Peasants]],-1,0)+OFFSET(TblPop[[#This Row],[Net Peasant]],-1,0)+TblMili[[#This Row],[Release Draft]]</f>
        <v>187</v>
      </c>
      <c r="D126" s="94">
        <f ca="1">TblMili[[#This Row],[Military]]</f>
        <v>582</v>
      </c>
      <c r="E126" s="94">
        <f ca="1">TblMili[[#This Row],[Draftees]]</f>
        <v>582</v>
      </c>
      <c r="F126" s="94">
        <f ca="1">TblPop[[#This Row],[Peasants]]+TblPop[[#This Row],[Military]]</f>
        <v>769</v>
      </c>
      <c r="G126" s="139">
        <f ca="1">TblPop[[#This Row],[Military]]/TblPop[[#This Row],[Total]]</f>
        <v>0.75682704811443435</v>
      </c>
      <c r="H126" s="140">
        <f ca="1">MIN(TblPop[[#This Row],[Peasants]],TblPop[[#This Row],[Jobs]])</f>
        <v>187</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582</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-2</v>
      </c>
      <c r="X126" s="94">
        <f ca="1">ROUND(TblPop[[#This Row],[Raw Birth]]*(1+TblPop[[#This Row],[Growth]]),0)</f>
        <v>6</v>
      </c>
      <c r="Y126" s="94">
        <f ca="1">(TblPop[[#This Row],[Peasants]]-TblPop[[#This Row],[Draft Growth]])*raw_pop_growth</f>
        <v>5.55</v>
      </c>
      <c r="Z126" s="94">
        <f ca="1">ROUND(IF(TblPop[[#This Row],[Military%]]&lt;TblMili[[#This Row],[Draftrate]],ROUND(TblPop[[#This Row],[Peasants]]*Constants!$B$55,0), 0) * IF(AND(TblMagic[[#This Row],[Active DnD]]&lt;=12,TblMagic[[#This Row],[Active DnD]]&gt;6),1.6,1),0)</f>
        <v>2</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45820.124999999702</v>
      </c>
      <c r="C127" s="94">
        <f ca="1">OFFSET(TblPop[[#This Row],[Peasants]],-1,0)+OFFSET(TblPop[[#This Row],[Net Peasant]],-1,0)+TblMili[[#This Row],[Release Draft]]</f>
        <v>185</v>
      </c>
      <c r="D127" s="94">
        <f ca="1">TblMili[[#This Row],[Military]]</f>
        <v>584</v>
      </c>
      <c r="E127" s="94">
        <f ca="1">TblMili[[#This Row],[Draftees]]</f>
        <v>584</v>
      </c>
      <c r="F127" s="94">
        <f ca="1">TblPop[[#This Row],[Peasants]]+TblPop[[#This Row],[Military]]</f>
        <v>769</v>
      </c>
      <c r="G127" s="139">
        <f ca="1">TblPop[[#This Row],[Military]]/TblPop[[#This Row],[Total]]</f>
        <v>0.75942782834850453</v>
      </c>
      <c r="H127" s="140">
        <f ca="1">MIN(TblPop[[#This Row],[Peasants]],TblPop[[#This Row],[Jobs]])</f>
        <v>185</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584</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-2</v>
      </c>
      <c r="X127" s="94">
        <f ca="1">ROUND(TblPop[[#This Row],[Raw Birth]]*(1+TblPop[[#This Row],[Growth]]),0)</f>
        <v>5</v>
      </c>
      <c r="Y127" s="94">
        <f ca="1">(TblPop[[#This Row],[Peasants]]-TblPop[[#This Row],[Draft Growth]])*raw_pop_growth</f>
        <v>5.49</v>
      </c>
      <c r="Z127" s="94">
        <f ca="1">ROUND(IF(TblPop[[#This Row],[Military%]]&lt;TblMili[[#This Row],[Draftrate]],ROUND(TblPop[[#This Row],[Peasants]]*Constants!$B$55,0), 0) * IF(AND(TblMagic[[#This Row],[Active DnD]]&lt;=12,TblMagic[[#This Row],[Active DnD]]&gt;6),1.6,1),0)</f>
        <v>2</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45820.166666666366</v>
      </c>
      <c r="C128" s="94">
        <f ca="1">OFFSET(TblPop[[#This Row],[Peasants]],-1,0)+OFFSET(TblPop[[#This Row],[Net Peasant]],-1,0)+TblMili[[#This Row],[Release Draft]]</f>
        <v>183</v>
      </c>
      <c r="D128" s="94">
        <f ca="1">TblMili[[#This Row],[Military]]</f>
        <v>586</v>
      </c>
      <c r="E128" s="94">
        <f ca="1">TblMili[[#This Row],[Draftees]]</f>
        <v>586</v>
      </c>
      <c r="F128" s="94">
        <f ca="1">TblPop[[#This Row],[Peasants]]+TblPop[[#This Row],[Military]]</f>
        <v>769</v>
      </c>
      <c r="G128" s="139">
        <f ca="1">TblPop[[#This Row],[Military]]/TblPop[[#This Row],[Total]]</f>
        <v>0.76202860858257482</v>
      </c>
      <c r="H128" s="140">
        <f ca="1">MIN(TblPop[[#This Row],[Peasants]],TblPop[[#This Row],[Jobs]])</f>
        <v>183</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586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-2</v>
      </c>
      <c r="X128" s="94">
        <f ca="1">ROUND(TblPop[[#This Row],[Raw Birth]]*(1+TblPop[[#This Row],[Growth]]),0)</f>
        <v>5</v>
      </c>
      <c r="Y128" s="94">
        <f ca="1">(TblPop[[#This Row],[Peasants]]-TblPop[[#This Row],[Draft Growth]])*raw_pop_growth</f>
        <v>5.43</v>
      </c>
      <c r="Z128" s="94">
        <f ca="1">ROUND(IF(TblPop[[#This Row],[Military%]]&lt;TblMili[[#This Row],[Draftrate]],ROUND(TblPop[[#This Row],[Peasants]]*Constants!$B$55,0), 0) * IF(AND(TblMagic[[#This Row],[Active DnD]]&lt;=12,TblMagic[[#This Row],[Active DnD]]&gt;6),1.6,1),0)</f>
        <v>2</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45820.20833333303</v>
      </c>
      <c r="C129" s="94">
        <f ca="1">OFFSET(TblPop[[#This Row],[Peasants]],-1,0)+OFFSET(TblPop[[#This Row],[Net Peasant]],-1,0)+TblMili[[#This Row],[Release Draft]]</f>
        <v>181</v>
      </c>
      <c r="D129" s="94">
        <f ca="1">TblMili[[#This Row],[Military]]</f>
        <v>588</v>
      </c>
      <c r="E129" s="94">
        <f ca="1">TblMili[[#This Row],[Draftees]]</f>
        <v>588</v>
      </c>
      <c r="F129" s="94">
        <f ca="1">TblPop[[#This Row],[Peasants]]+TblPop[[#This Row],[Military]]</f>
        <v>769</v>
      </c>
      <c r="G129" s="139">
        <f ca="1">TblPop[[#This Row],[Military]]/TblPop[[#This Row],[Total]]</f>
        <v>0.76462938881664499</v>
      </c>
      <c r="H129" s="140">
        <f ca="1">MIN(TblPop[[#This Row],[Peasants]],TblPop[[#This Row],[Jobs]])</f>
        <v>181</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588</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-2</v>
      </c>
      <c r="X129" s="94">
        <f ca="1">ROUND(TblPop[[#This Row],[Raw Birth]]*(1+TblPop[[#This Row],[Growth]]),0)</f>
        <v>5</v>
      </c>
      <c r="Y129" s="94">
        <f ca="1">(TblPop[[#This Row],[Peasants]]-TblPop[[#This Row],[Draft Growth]])*raw_pop_growth</f>
        <v>5.37</v>
      </c>
      <c r="Z129" s="94">
        <f ca="1">ROUND(IF(TblPop[[#This Row],[Military%]]&lt;TblMili[[#This Row],[Draftrate]],ROUND(TblPop[[#This Row],[Peasants]]*Constants!$B$55,0), 0) * IF(AND(TblMagic[[#This Row],[Active DnD]]&lt;=12,TblMagic[[#This Row],[Active DnD]]&gt;6),1.6,1),0)</f>
        <v>2</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45820.249999999694</v>
      </c>
      <c r="C130" s="94">
        <f ca="1">OFFSET(TblPop[[#This Row],[Peasants]],-1,0)+OFFSET(TblPop[[#This Row],[Net Peasant]],-1,0)+TblMili[[#This Row],[Release Draft]]</f>
        <v>179</v>
      </c>
      <c r="D130" s="94">
        <f ca="1">TblMili[[#This Row],[Military]]</f>
        <v>590</v>
      </c>
      <c r="E130" s="94">
        <f ca="1">TblMili[[#This Row],[Draftees]]</f>
        <v>590</v>
      </c>
      <c r="F130" s="94">
        <f ca="1">TblPop[[#This Row],[Peasants]]+TblPop[[#This Row],[Military]]</f>
        <v>769</v>
      </c>
      <c r="G130" s="139">
        <f ca="1">TblPop[[#This Row],[Military]]/TblPop[[#This Row],[Total]]</f>
        <v>0.76723016905071517</v>
      </c>
      <c r="H130" s="140">
        <f ca="1">MIN(TblPop[[#This Row],[Peasants]],TblPop[[#This Row],[Jobs]])</f>
        <v>179</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590</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-2</v>
      </c>
      <c r="X130" s="94">
        <f ca="1">ROUND(TblPop[[#This Row],[Raw Birth]]*(1+TblPop[[#This Row],[Growth]]),0)</f>
        <v>5</v>
      </c>
      <c r="Y130" s="94">
        <f ca="1">(TblPop[[#This Row],[Peasants]]-TblPop[[#This Row],[Draft Growth]])*raw_pop_growth</f>
        <v>5.31</v>
      </c>
      <c r="Z130" s="94">
        <f ca="1">ROUND(IF(TblPop[[#This Row],[Military%]]&lt;TblMili[[#This Row],[Draftrate]],ROUND(TblPop[[#This Row],[Peasants]]*Constants!$B$55,0), 0) * IF(AND(TblMagic[[#This Row],[Active DnD]]&lt;=12,TblMagic[[#This Row],[Active DnD]]&gt;6),1.6,1),0)</f>
        <v>2</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45820.291666666359</v>
      </c>
      <c r="C131" s="94">
        <f ca="1">OFFSET(TblPop[[#This Row],[Peasants]],-1,0)+OFFSET(TblPop[[#This Row],[Net Peasant]],-1,0)+TblMili[[#This Row],[Release Draft]]</f>
        <v>177</v>
      </c>
      <c r="D131" s="94">
        <f ca="1">TblMili[[#This Row],[Military]]</f>
        <v>592</v>
      </c>
      <c r="E131" s="94">
        <f ca="1">TblMili[[#This Row],[Draftees]]</f>
        <v>592</v>
      </c>
      <c r="F131" s="94">
        <f ca="1">TblPop[[#This Row],[Peasants]]+TblPop[[#This Row],[Military]]</f>
        <v>769</v>
      </c>
      <c r="G131" s="139">
        <f ca="1">TblPop[[#This Row],[Military]]/TblPop[[#This Row],[Total]]</f>
        <v>0.76983094928478546</v>
      </c>
      <c r="H131" s="140">
        <f ca="1">MIN(TblPop[[#This Row],[Peasants]],TblPop[[#This Row],[Jobs]])</f>
        <v>177</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592</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-2</v>
      </c>
      <c r="X131" s="94">
        <f ca="1">ROUND(TblPop[[#This Row],[Raw Birth]]*(1+TblPop[[#This Row],[Growth]]),0)</f>
        <v>5</v>
      </c>
      <c r="Y131" s="94">
        <f ca="1">(TblPop[[#This Row],[Peasants]]-TblPop[[#This Row],[Draft Growth]])*raw_pop_growth</f>
        <v>5.25</v>
      </c>
      <c r="Z131" s="94">
        <f ca="1">ROUND(IF(TblPop[[#This Row],[Military%]]&lt;TblMili[[#This Row],[Draftrate]],ROUND(TblPop[[#This Row],[Peasants]]*Constants!$B$55,0), 0) * IF(AND(TblMagic[[#This Row],[Active DnD]]&lt;=12,TblMagic[[#This Row],[Active DnD]]&gt;6),1.6,1),0)</f>
        <v>2</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45820.333333333023</v>
      </c>
      <c r="C132" s="94">
        <f ca="1">OFFSET(TblPop[[#This Row],[Peasants]],-1,0)+OFFSET(TblPop[[#This Row],[Net Peasant]],-1,0)+TblMili[[#This Row],[Release Draft]]</f>
        <v>175</v>
      </c>
      <c r="D132" s="94">
        <f ca="1">TblMili[[#This Row],[Military]]</f>
        <v>594</v>
      </c>
      <c r="E132" s="94">
        <f ca="1">TblMili[[#This Row],[Draftees]]</f>
        <v>594</v>
      </c>
      <c r="F132" s="94">
        <f ca="1">TblPop[[#This Row],[Peasants]]+TblPop[[#This Row],[Military]]</f>
        <v>769</v>
      </c>
      <c r="G132" s="139">
        <f ca="1">TblPop[[#This Row],[Military]]/TblPop[[#This Row],[Total]]</f>
        <v>0.77243172951885564</v>
      </c>
      <c r="H132" s="140">
        <f ca="1">MIN(TblPop[[#This Row],[Peasants]],TblPop[[#This Row],[Jobs]])</f>
        <v>175</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594</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-2</v>
      </c>
      <c r="X132" s="94">
        <f ca="1">ROUND(TblPop[[#This Row],[Raw Birth]]*(1+TblPop[[#This Row],[Growth]]),0)</f>
        <v>5</v>
      </c>
      <c r="Y132" s="94">
        <f ca="1">(TblPop[[#This Row],[Peasants]]-TblPop[[#This Row],[Draft Growth]])*raw_pop_growth</f>
        <v>5.1899999999999995</v>
      </c>
      <c r="Z132" s="94">
        <f ca="1">ROUND(IF(TblPop[[#This Row],[Military%]]&lt;TblMili[[#This Row],[Draftrate]],ROUND(TblPop[[#This Row],[Peasants]]*Constants!$B$55,0), 0) * IF(AND(TblMagic[[#This Row],[Active DnD]]&lt;=12,TblMagic[[#This Row],[Active DnD]]&gt;6),1.6,1),0)</f>
        <v>2</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45820.374999999687</v>
      </c>
      <c r="C133" s="94">
        <f ca="1">OFFSET(TblPop[[#This Row],[Peasants]],-1,0)+OFFSET(TblPop[[#This Row],[Net Peasant]],-1,0)+TblMili[[#This Row],[Release Draft]]</f>
        <v>173</v>
      </c>
      <c r="D133" s="94">
        <f ca="1">TblMili[[#This Row],[Military]]</f>
        <v>596</v>
      </c>
      <c r="E133" s="94">
        <f ca="1">TblMili[[#This Row],[Draftees]]</f>
        <v>596</v>
      </c>
      <c r="F133" s="94">
        <f ca="1">TblPop[[#This Row],[Peasants]]+TblPop[[#This Row],[Military]]</f>
        <v>769</v>
      </c>
      <c r="G133" s="139">
        <f ca="1">TblPop[[#This Row],[Military]]/TblPop[[#This Row],[Total]]</f>
        <v>0.77503250975292592</v>
      </c>
      <c r="H133" s="140">
        <f ca="1">MIN(TblPop[[#This Row],[Peasants]],TblPop[[#This Row],[Jobs]])</f>
        <v>173</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596</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-2</v>
      </c>
      <c r="X133" s="94">
        <f ca="1">ROUND(TblPop[[#This Row],[Raw Birth]]*(1+TblPop[[#This Row],[Growth]]),0)</f>
        <v>5</v>
      </c>
      <c r="Y133" s="94">
        <f ca="1">(TblPop[[#This Row],[Peasants]]-TblPop[[#This Row],[Draft Growth]])*raw_pop_growth</f>
        <v>5.13</v>
      </c>
      <c r="Z133" s="94">
        <f ca="1">ROUND(IF(TblPop[[#This Row],[Military%]]&lt;TblMili[[#This Row],[Draftrate]],ROUND(TblPop[[#This Row],[Peasants]]*Constants!$B$55,0), 0) * IF(AND(TblMagic[[#This Row],[Active DnD]]&lt;=12,TblMagic[[#This Row],[Active DnD]]&gt;6),1.6,1),0)</f>
        <v>2</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45820.416666666351</v>
      </c>
      <c r="C134" s="94">
        <f ca="1">OFFSET(TblPop[[#This Row],[Peasants]],-1,0)+OFFSET(TblPop[[#This Row],[Net Peasant]],-1,0)+TblMili[[#This Row],[Release Draft]]</f>
        <v>171</v>
      </c>
      <c r="D134" s="94">
        <f ca="1">TblMili[[#This Row],[Military]]</f>
        <v>598</v>
      </c>
      <c r="E134" s="94">
        <f ca="1">TblMili[[#This Row],[Draftees]]</f>
        <v>598</v>
      </c>
      <c r="F134" s="94">
        <f ca="1">TblPop[[#This Row],[Peasants]]+TblPop[[#This Row],[Military]]</f>
        <v>769</v>
      </c>
      <c r="G134" s="139">
        <f ca="1">TblPop[[#This Row],[Military]]/TblPop[[#This Row],[Total]]</f>
        <v>0.7776332899869961</v>
      </c>
      <c r="H134" s="140">
        <f ca="1">MIN(TblPop[[#This Row],[Peasants]],TblPop[[#This Row],[Jobs]])</f>
        <v>171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598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-2</v>
      </c>
      <c r="X134" s="94">
        <f ca="1">ROUND(TblPop[[#This Row],[Raw Birth]]*(1+TblPop[[#This Row],[Growth]]),0)</f>
        <v>5</v>
      </c>
      <c r="Y134" s="94">
        <f ca="1">(TblPop[[#This Row],[Peasants]]-TblPop[[#This Row],[Draft Growth]])*raw_pop_growth</f>
        <v>5.0699999999999994</v>
      </c>
      <c r="Z134" s="94">
        <f ca="1">ROUND(IF(TblPop[[#This Row],[Military%]]&lt;TblMili[[#This Row],[Draftrate]],ROUND(TblPop[[#This Row],[Peasants]]*Constants!$B$55,0), 0) * IF(AND(TblMagic[[#This Row],[Active DnD]]&lt;=12,TblMagic[[#This Row],[Active DnD]]&gt;6),1.6,1),0)</f>
        <v>2</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45820.458333333016</v>
      </c>
      <c r="C135" s="94">
        <f ca="1">OFFSET(TblPop[[#This Row],[Peasants]],-1,0)+OFFSET(TblPop[[#This Row],[Net Peasant]],-1,0)+TblMili[[#This Row],[Release Draft]]</f>
        <v>169</v>
      </c>
      <c r="D135" s="94">
        <f ca="1">TblMili[[#This Row],[Military]]</f>
        <v>600</v>
      </c>
      <c r="E135" s="94">
        <f ca="1">TblMili[[#This Row],[Draftees]]</f>
        <v>600</v>
      </c>
      <c r="F135" s="94">
        <f ca="1">TblPop[[#This Row],[Peasants]]+TblPop[[#This Row],[Military]]</f>
        <v>769</v>
      </c>
      <c r="G135" s="139">
        <f ca="1">TblPop[[#This Row],[Military]]/TblPop[[#This Row],[Total]]</f>
        <v>0.78023407022106628</v>
      </c>
      <c r="H135" s="140">
        <f ca="1">MIN(TblPop[[#This Row],[Peasants]],TblPop[[#This Row],[Jobs]])</f>
        <v>169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600</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-2</v>
      </c>
      <c r="X135" s="94">
        <f ca="1">ROUND(TblPop[[#This Row],[Raw Birth]]*(1+TblPop[[#This Row],[Growth]]),0)</f>
        <v>5</v>
      </c>
      <c r="Y135" s="94">
        <f ca="1">(TblPop[[#This Row],[Peasants]]-TblPop[[#This Row],[Draft Growth]])*raw_pop_growth</f>
        <v>5.01</v>
      </c>
      <c r="Z135" s="94">
        <f ca="1">ROUND(IF(TblPop[[#This Row],[Military%]]&lt;TblMili[[#This Row],[Draftrate]],ROUND(TblPop[[#This Row],[Peasants]]*Constants!$B$55,0), 0) * IF(AND(TblMagic[[#This Row],[Active DnD]]&lt;=12,TblMagic[[#This Row],[Active DnD]]&gt;6),1.6,1),0)</f>
        <v>2</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45820.49999999968</v>
      </c>
      <c r="C136" s="94">
        <f ca="1">OFFSET(TblPop[[#This Row],[Peasants]],-1,0)+OFFSET(TblPop[[#This Row],[Net Peasant]],-1,0)+TblMili[[#This Row],[Release Draft]]</f>
        <v>167</v>
      </c>
      <c r="D136" s="94">
        <f ca="1">TblMili[[#This Row],[Military]]</f>
        <v>602</v>
      </c>
      <c r="E136" s="94">
        <f ca="1">TblMili[[#This Row],[Draftees]]</f>
        <v>602</v>
      </c>
      <c r="F136" s="94">
        <f ca="1">TblPop[[#This Row],[Peasants]]+TblPop[[#This Row],[Military]]</f>
        <v>769</v>
      </c>
      <c r="G136" s="139">
        <f ca="1">TblPop[[#This Row],[Military]]/TblPop[[#This Row],[Total]]</f>
        <v>0.78283485045513657</v>
      </c>
      <c r="H136" s="140">
        <f ca="1">MIN(TblPop[[#This Row],[Peasants]],TblPop[[#This Row],[Jobs]])</f>
        <v>167</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602</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4.95</v>
      </c>
      <c r="Z136" s="94">
        <f ca="1">ROUND(IF(TblPop[[#This Row],[Military%]]&lt;TblMili[[#This Row],[Draftrate]],ROUND(TblPop[[#This Row],[Peasants]]*Constants!$B$55,0), 0) * IF(AND(TblMagic[[#This Row],[Active DnD]]&lt;=12,TblMagic[[#This Row],[Active DnD]]&gt;6),1.6,1),0)</f>
        <v>2</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45815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45815.041666666664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Demonic Pact]]&gt;0,demonic_pact_food_cons,0))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45815.083333333328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Demonic Pact]]&gt;0,demonic_pact_food_cons,0))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45815.124999999993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Demonic Pact]]&gt;0,demonic_pact_food_cons,0))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45815.166666666657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Demonic Pact]]&gt;0,demonic_pact_food_cons,0))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45815.208333333321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Demonic Pact]]&gt;0,demonic_pact_food_cons,0))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45815.249999999985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Demonic Pact]]&gt;0,demonic_pact_food_cons,0))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45815.29166666665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Demonic Pact]]&gt;0,demonic_pact_food_cons,0))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45815.333333333314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Demonic Pact]]&gt;0,demonic_pact_food_cons,0))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45815.374999999978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Demonic Pact]]&gt;0,demonic_pact_food_cons,0))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45815.416666666642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45815.458333333307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45815.499999999971</v>
      </c>
      <c r="C16" s="153"/>
      <c r="D16" s="154"/>
      <c r="E16" s="94">
        <f ca="1">TblConstr[[#This Row],[Land]]</f>
        <v>50</v>
      </c>
      <c r="F16" s="94">
        <f ca="1">TblPop[[#This Row],[Peasants]]</f>
        <v>556</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1501</v>
      </c>
      <c r="T16" s="94">
        <f ca="1">ROUND(TblProd[[#This Row],[Raw Food/hr]]*(1+TblProd[[#This Row],[Bonus Food/hr]])-TblProd[[#This Row],[Food decay]]-TblProd[[#This Row],[Food eaten]],0)</f>
        <v>1982</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1501.2</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Demonic Pact]]&gt;0,demonic_pact_food_cons,0))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45815.541666666635</v>
      </c>
      <c r="C17" s="61"/>
      <c r="D17" s="154"/>
      <c r="E17" s="94">
        <f ca="1">TblConstr[[#This Row],[Land]]</f>
        <v>50</v>
      </c>
      <c r="F17" s="94">
        <f ca="1">TblPop[[#This Row],[Peasants]]</f>
        <v>550</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68376</v>
      </c>
      <c r="I17" s="94">
        <f ca="1">OFFSET(TblProd[[#This Row],[Food]],-1,0)+OFFSET(TblProd[[#This Row],[Food/hr]],-1,0)+ROUNDUP((TblConstr[[#This Row],[Farms]]*80+TblConstr[[#This Row],[Docks]]*35)*(1+OFFSET(TblProd[[#This Row],[Bonus Food/hr]],-1,0)),0)</f>
        <v>42602</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1485</v>
      </c>
      <c r="T17" s="94">
        <f ca="1">ROUND(TblProd[[#This Row],[Raw Food/hr]]*(1+TblProd[[#This Row],[Bonus Food/hr]])-TblProd[[#This Row],[Food decay]]-TblProd[[#This Row],[Food eaten]],0)</f>
        <v>1962</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1485</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426.02</v>
      </c>
      <c r="AP17" s="94">
        <f ca="1">(1+race_food_consumption)*TblPop[[#This Row],[Total]]*food_per_person*(1+tech_1_10*TblTech[[#This Row],[1-10]]+tech_7_5*TblTech[[#This Row],[7-5]] + IF(TblMagic[[#This Row],[Active Demonic Pact]]&gt;0,demonic_pact_food_cons,0))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68376</v>
      </c>
      <c r="BJ17" s="94">
        <f ca="1">TblProd[[#This Row],[Food]]</f>
        <v>42602</v>
      </c>
      <c r="BK17" s="94">
        <f ca="1">TblProd[[#This Row],[Lumber]]</f>
        <v>25410</v>
      </c>
      <c r="BL17" s="94">
        <f ca="1">TblProd[[#This Row],[Mana]]</f>
        <v>0</v>
      </c>
      <c r="BM17" s="94">
        <f ca="1">TblProd[[#This Row],[Ore]]</f>
        <v>0</v>
      </c>
    </row>
    <row r="18" spans="1:65" hidden="1" x14ac:dyDescent="0.2">
      <c r="A18" s="137">
        <v>15</v>
      </c>
      <c r="B18" s="152">
        <f ca="1">TblImps[[#This Row],[Time]]</f>
        <v>45815.583333333299</v>
      </c>
      <c r="C18" s="61"/>
      <c r="D18" s="154"/>
      <c r="E18" s="94">
        <f ca="1">TblConstr[[#This Row],[Land]]</f>
        <v>50</v>
      </c>
      <c r="F18" s="94">
        <f ca="1">TblPop[[#This Row],[Peasants]]</f>
        <v>544</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69861</v>
      </c>
      <c r="I18" s="94">
        <f ca="1">OFFSET(TblProd[[#This Row],[Food]],-1,0)+OFFSET(TblProd[[#This Row],[Food/hr]],-1,0)+ROUNDUP((TblConstr[[#This Row],[Farms]]*80+TblConstr[[#This Row],[Docks]]*35)*(1+OFFSET(TblProd[[#This Row],[Bonus Food/hr]],-1,0)),0)</f>
        <v>44564</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1468</v>
      </c>
      <c r="T18" s="94">
        <f ca="1">ROUND(TblProd[[#This Row],[Raw Food/hr]]*(1+TblProd[[#This Row],[Bonus Food/hr]])-TblProd[[#This Row],[Food decay]]-TblProd[[#This Row],[Food eaten]],0)</f>
        <v>1942</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1468.8000000000002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445.64</v>
      </c>
      <c r="AP18" s="94">
        <f ca="1">(1+race_food_consumption)*TblPop[[#This Row],[Total]]*food_per_person*(1+tech_1_10*TblTech[[#This Row],[1-10]]+tech_7_5*TblTech[[#This Row],[7-5]] + IF(TblMagic[[#This Row],[Active Demonic Pact]]&gt;0,demonic_pact_food_cons,0))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69861</v>
      </c>
      <c r="BJ18" s="94">
        <f ca="1">TblProd[[#This Row],[Food]]</f>
        <v>44564</v>
      </c>
      <c r="BK18" s="94">
        <f ca="1">TblProd[[#This Row],[Lumber]]</f>
        <v>26156</v>
      </c>
      <c r="BL18" s="94">
        <f ca="1">TblProd[[#This Row],[Mana]]</f>
        <v>0</v>
      </c>
      <c r="BM18" s="94">
        <f ca="1">TblProd[[#This Row],[Ore]]</f>
        <v>0</v>
      </c>
    </row>
    <row r="19" spans="1:65" hidden="1" x14ac:dyDescent="0.2">
      <c r="A19" s="137">
        <v>16</v>
      </c>
      <c r="B19" s="152">
        <f ca="1">TblImps[[#This Row],[Time]]</f>
        <v>45815.624999999964</v>
      </c>
      <c r="C19" s="61"/>
      <c r="D19" s="154"/>
      <c r="E19" s="94">
        <f ca="1">TblConstr[[#This Row],[Land]]</f>
        <v>50</v>
      </c>
      <c r="F19" s="94">
        <f ca="1">TblPop[[#This Row],[Peasants]]</f>
        <v>539</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71329</v>
      </c>
      <c r="I19" s="94">
        <f ca="1">OFFSET(TblProd[[#This Row],[Food]],-1,0)+OFFSET(TblProd[[#This Row],[Food/hr]],-1,0)+ROUNDUP((TblConstr[[#This Row],[Farms]]*80+TblConstr[[#This Row],[Docks]]*35)*(1+OFFSET(TblProd[[#This Row],[Bonus Food/hr]],-1,0)),0)</f>
        <v>46506</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1455</v>
      </c>
      <c r="T19" s="94">
        <f ca="1">ROUND(TblProd[[#This Row],[Raw Food/hr]]*(1+TblProd[[#This Row],[Bonus Food/hr]])-TblProd[[#This Row],[Food decay]]-TblProd[[#This Row],[Food eaten]],0)</f>
        <v>1923</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1455.3000000000002</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465.06</v>
      </c>
      <c r="AP19" s="94">
        <f ca="1">(1+race_food_consumption)*TblPop[[#This Row],[Total]]*food_per_person*(1+tech_1_10*TblTech[[#This Row],[1-10]]+tech_7_5*TblTech[[#This Row],[7-5]] + IF(TblMagic[[#This Row],[Active Demonic Pact]]&gt;0,demonic_pact_food_cons,0))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71329</v>
      </c>
      <c r="BJ19" s="94">
        <f ca="1">TblProd[[#This Row],[Food]]</f>
        <v>46506</v>
      </c>
      <c r="BK19" s="94">
        <f ca="1">TblProd[[#This Row],[Lumber]]</f>
        <v>26894</v>
      </c>
      <c r="BL19" s="94">
        <f ca="1">TblProd[[#This Row],[Mana]]</f>
        <v>0</v>
      </c>
      <c r="BM19" s="94">
        <f ca="1">TblProd[[#This Row],[Ore]]</f>
        <v>0</v>
      </c>
    </row>
    <row r="20" spans="1:65" hidden="1" x14ac:dyDescent="0.2">
      <c r="A20" s="137">
        <v>17</v>
      </c>
      <c r="B20" s="152">
        <f ca="1">TblImps[[#This Row],[Time]]</f>
        <v>45815.666666666628</v>
      </c>
      <c r="C20" s="61"/>
      <c r="D20" s="154"/>
      <c r="E20" s="94">
        <f ca="1">TblConstr[[#This Row],[Land]]</f>
        <v>50</v>
      </c>
      <c r="F20" s="94">
        <f ca="1">TblPop[[#This Row],[Peasants]]</f>
        <v>534</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72784</v>
      </c>
      <c r="I20" s="94">
        <f ca="1">OFFSET(TblProd[[#This Row],[Food]],-1,0)+OFFSET(TblProd[[#This Row],[Food/hr]],-1,0)+ROUNDUP((TblConstr[[#This Row],[Farms]]*80+TblConstr[[#This Row],[Docks]]*35)*(1+OFFSET(TblProd[[#This Row],[Bonus Food/hr]],-1,0)),0)</f>
        <v>48429</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1441</v>
      </c>
      <c r="T20" s="94">
        <f ca="1">ROUND(TblProd[[#This Row],[Raw Food/hr]]*(1+TblProd[[#This Row],[Bonus Food/hr]])-TblProd[[#This Row],[Food decay]]-TblProd[[#This Row],[Food eaten]],0)</f>
        <v>1903</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1441.8000000000002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484.29</v>
      </c>
      <c r="AP20" s="94">
        <f ca="1">(1+race_food_consumption)*TblPop[[#This Row],[Total]]*food_per_person*(1+tech_1_10*TblTech[[#This Row],[1-10]]+tech_7_5*TblTech[[#This Row],[7-5]] + IF(TblMagic[[#This Row],[Active Demonic Pact]]&gt;0,demonic_pact_food_cons,0))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72784</v>
      </c>
      <c r="BJ20" s="94">
        <f ca="1">TblProd[[#This Row],[Food]]</f>
        <v>48429</v>
      </c>
      <c r="BK20" s="94">
        <f ca="1">TblProd[[#This Row],[Lumber]]</f>
        <v>27625</v>
      </c>
      <c r="BL20" s="94">
        <f ca="1">TblProd[[#This Row],[Mana]]</f>
        <v>0</v>
      </c>
      <c r="BM20" s="94">
        <f ca="1">TblProd[[#This Row],[Ore]]</f>
        <v>0</v>
      </c>
    </row>
    <row r="21" spans="1:65" hidden="1" x14ac:dyDescent="0.2">
      <c r="A21" s="137">
        <v>18</v>
      </c>
      <c r="B21" s="152">
        <f ca="1">TblImps[[#This Row],[Time]]</f>
        <v>45815.708333333292</v>
      </c>
      <c r="C21" s="61"/>
      <c r="D21" s="154"/>
      <c r="E21" s="94">
        <f ca="1">TblConstr[[#This Row],[Land]]</f>
        <v>50</v>
      </c>
      <c r="F21" s="94">
        <f ca="1">TblPop[[#This Row],[Peasants]]</f>
        <v>529</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74225</v>
      </c>
      <c r="I21" s="94">
        <f ca="1">OFFSET(TblProd[[#This Row],[Food]],-1,0)+OFFSET(TblProd[[#This Row],[Food/hr]],-1,0)+ROUNDUP((TblConstr[[#This Row],[Farms]]*80+TblConstr[[#This Row],[Docks]]*35)*(1+OFFSET(TblProd[[#This Row],[Bonus Food/hr]],-1,0)),0)</f>
        <v>50332</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1428</v>
      </c>
      <c r="T21" s="94">
        <f ca="1">ROUND(TblProd[[#This Row],[Raw Food/hr]]*(1+TblProd[[#This Row],[Bonus Food/hr]])-TblProd[[#This Row],[Food decay]]-TblProd[[#This Row],[Food eaten]],0)</f>
        <v>1884</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1428.3000000000002</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503.32</v>
      </c>
      <c r="AP21" s="94">
        <f ca="1">(1+race_food_consumption)*TblPop[[#This Row],[Total]]*food_per_person*(1+tech_1_10*TblTech[[#This Row],[1-10]]+tech_7_5*TblTech[[#This Row],[7-5]] + IF(TblMagic[[#This Row],[Active Demonic Pact]]&gt;0,demonic_pact_food_cons,0))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74225</v>
      </c>
      <c r="BJ21" s="94">
        <f ca="1">TblProd[[#This Row],[Food]]</f>
        <v>50332</v>
      </c>
      <c r="BK21" s="94">
        <f ca="1">TblProd[[#This Row],[Lumber]]</f>
        <v>28349</v>
      </c>
      <c r="BL21" s="94">
        <f ca="1">TblProd[[#This Row],[Mana]]</f>
        <v>0</v>
      </c>
      <c r="BM21" s="94">
        <f ca="1">TblProd[[#This Row],[Ore]]</f>
        <v>0</v>
      </c>
    </row>
    <row r="22" spans="1:65" hidden="1" x14ac:dyDescent="0.2">
      <c r="A22" s="137">
        <v>19</v>
      </c>
      <c r="B22" s="152">
        <f ca="1">TblImps[[#This Row],[Time]]</f>
        <v>45815.749999999956</v>
      </c>
      <c r="C22" s="61"/>
      <c r="D22" s="154"/>
      <c r="E22" s="94">
        <f ca="1">TblConstr[[#This Row],[Land]]</f>
        <v>50</v>
      </c>
      <c r="F22" s="94">
        <f ca="1">TblPop[[#This Row],[Peasants]]</f>
        <v>524</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75653</v>
      </c>
      <c r="I22" s="94">
        <f ca="1">OFFSET(TblProd[[#This Row],[Food]],-1,0)+OFFSET(TblProd[[#This Row],[Food/hr]],-1,0)+ROUNDUP((TblConstr[[#This Row],[Farms]]*80+TblConstr[[#This Row],[Docks]]*35)*(1+OFFSET(TblProd[[#This Row],[Bonus Food/hr]],-1,0)),0)</f>
        <v>52216</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1414</v>
      </c>
      <c r="T22" s="94">
        <f ca="1">ROUND(TblProd[[#This Row],[Raw Food/hr]]*(1+TblProd[[#This Row],[Bonus Food/hr]])-TblProd[[#This Row],[Food decay]]-TblProd[[#This Row],[Food eaten]],0)</f>
        <v>1866</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1414.8000000000002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522.16</v>
      </c>
      <c r="AP22" s="94">
        <f ca="1">(1+race_food_consumption)*TblPop[[#This Row],[Total]]*food_per_person*(1+tech_1_10*TblTech[[#This Row],[1-10]]+tech_7_5*TblTech[[#This Row],[7-5]] + IF(TblMagic[[#This Row],[Active Demonic Pact]]&gt;0,demonic_pact_food_cons,0))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75653</v>
      </c>
      <c r="BJ22" s="94">
        <f ca="1">TblProd[[#This Row],[Food]]</f>
        <v>52216</v>
      </c>
      <c r="BK22" s="94">
        <f ca="1">TblProd[[#This Row],[Lumber]]</f>
        <v>29066</v>
      </c>
      <c r="BL22" s="94">
        <f ca="1">TblProd[[#This Row],[Mana]]</f>
        <v>0</v>
      </c>
      <c r="BM22" s="94">
        <f ca="1">TblProd[[#This Row],[Ore]]</f>
        <v>0</v>
      </c>
    </row>
    <row r="23" spans="1:65" hidden="1" x14ac:dyDescent="0.2">
      <c r="A23" s="137">
        <v>20</v>
      </c>
      <c r="B23" s="152">
        <f ca="1">TblImps[[#This Row],[Time]]</f>
        <v>45815.791666666621</v>
      </c>
      <c r="C23" s="61"/>
      <c r="D23" s="154"/>
      <c r="E23" s="94">
        <f ca="1">TblConstr[[#This Row],[Land]]</f>
        <v>50</v>
      </c>
      <c r="F23" s="94">
        <f ca="1">TblPop[[#This Row],[Peasants]]</f>
        <v>519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77067</v>
      </c>
      <c r="I23" s="94">
        <f ca="1">OFFSET(TblProd[[#This Row],[Food]],-1,0)+OFFSET(TblProd[[#This Row],[Food/hr]],-1,0)+ROUNDUP((TblConstr[[#This Row],[Farms]]*80+TblConstr[[#This Row],[Docks]]*35)*(1+OFFSET(TblProd[[#This Row],[Bonus Food/hr]],-1,0)),0)</f>
        <v>54082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1401</v>
      </c>
      <c r="T23" s="94">
        <f ca="1">ROUND(TblProd[[#This Row],[Raw Food/hr]]*(1+TblProd[[#This Row],[Bonus Food/hr]])-TblProd[[#This Row],[Food decay]]-TblProd[[#This Row],[Food eaten]],0)</f>
        <v>1847</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1401.3000000000002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540.82000000000005</v>
      </c>
      <c r="AP23" s="94">
        <f ca="1">(1+race_food_consumption)*TblPop[[#This Row],[Total]]*food_per_person*(1+tech_1_10*TblTech[[#This Row],[1-10]]+tech_7_5*TblTech[[#This Row],[7-5]] + IF(TblMagic[[#This Row],[Active Demonic Pact]]&gt;0,demonic_pact_food_cons,0))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77067</v>
      </c>
      <c r="BJ23" s="94">
        <f ca="1">TblProd[[#This Row],[Food]]</f>
        <v>54082</v>
      </c>
      <c r="BK23" s="94">
        <f ca="1">TblProd[[#This Row],[Lumber]]</f>
        <v>29775</v>
      </c>
      <c r="BL23" s="94">
        <f ca="1">TblProd[[#This Row],[Mana]]</f>
        <v>0</v>
      </c>
      <c r="BM23" s="94">
        <f ca="1">TblProd[[#This Row],[Ore]]</f>
        <v>0</v>
      </c>
    </row>
    <row r="24" spans="1:65" hidden="1" x14ac:dyDescent="0.2">
      <c r="A24" s="137">
        <v>21</v>
      </c>
      <c r="B24" s="152">
        <f ca="1">TblImps[[#This Row],[Time]]</f>
        <v>45815.833333333285</v>
      </c>
      <c r="C24" s="61"/>
      <c r="D24" s="154"/>
      <c r="E24" s="94">
        <f ca="1">TblConstr[[#This Row],[Land]]</f>
        <v>50</v>
      </c>
      <c r="F24" s="94">
        <f ca="1">TblPop[[#This Row],[Peasants]]</f>
        <v>514</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78468</v>
      </c>
      <c r="I24" s="94">
        <f ca="1">OFFSET(TblProd[[#This Row],[Food]],-1,0)+OFFSET(TblProd[[#This Row],[Food/hr]],-1,0)+ROUNDUP((TblConstr[[#This Row],[Farms]]*80+TblConstr[[#This Row],[Docks]]*35)*(1+OFFSET(TblProd[[#This Row],[Bonus Food/hr]],-1,0)),0)</f>
        <v>55929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1387</v>
      </c>
      <c r="T24" s="94">
        <f ca="1">ROUND(TblProd[[#This Row],[Raw Food/hr]]*(1+TblProd[[#This Row],[Bonus Food/hr]])-TblProd[[#This Row],[Food decay]]-TblProd[[#This Row],[Food eaten]],0)</f>
        <v>1828</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1387.8000000000002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559.29</v>
      </c>
      <c r="AP24" s="94">
        <f ca="1">(1+race_food_consumption)*TblPop[[#This Row],[Total]]*food_per_person*(1+tech_1_10*TblTech[[#This Row],[1-10]]+tech_7_5*TblTech[[#This Row],[7-5]] + IF(TblMagic[[#This Row],[Active Demonic Pact]]&gt;0,demonic_pact_food_cons,0))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78468</v>
      </c>
      <c r="BJ24" s="94">
        <f ca="1">TblProd[[#This Row],[Food]]</f>
        <v>55929</v>
      </c>
      <c r="BK24" s="94">
        <f ca="1">TblProd[[#This Row],[Lumber]]</f>
        <v>30477</v>
      </c>
      <c r="BL24" s="94">
        <f ca="1">TblProd[[#This Row],[Mana]]</f>
        <v>0</v>
      </c>
      <c r="BM24" s="94">
        <f ca="1">TblProd[[#This Row],[Ore]]</f>
        <v>0</v>
      </c>
    </row>
    <row r="25" spans="1:65" hidden="1" x14ac:dyDescent="0.2">
      <c r="A25" s="137">
        <v>22</v>
      </c>
      <c r="B25" s="152">
        <f ca="1">TblImps[[#This Row],[Time]]</f>
        <v>45815.874999999949</v>
      </c>
      <c r="C25" s="61"/>
      <c r="D25" s="154"/>
      <c r="E25" s="94">
        <f ca="1">TblConstr[[#This Row],[Land]]</f>
        <v>50</v>
      </c>
      <c r="F25" s="94">
        <f ca="1">TblPop[[#This Row],[Peasants]]</f>
        <v>509</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79855</v>
      </c>
      <c r="I25" s="94">
        <f ca="1">OFFSET(TblProd[[#This Row],[Food]],-1,0)+OFFSET(TblProd[[#This Row],[Food/hr]],-1,0)+ROUNDUP((TblConstr[[#This Row],[Farms]]*80+TblConstr[[#This Row],[Docks]]*35)*(1+OFFSET(TblProd[[#This Row],[Bonus Food/hr]],-1,0)),0)</f>
        <v>57757</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1374</v>
      </c>
      <c r="T25" s="94">
        <f ca="1">ROUND(TblProd[[#This Row],[Raw Food/hr]]*(1+TblProd[[#This Row],[Bonus Food/hr]])-TblProd[[#This Row],[Food decay]]-TblProd[[#This Row],[Food eaten]],0)</f>
        <v>1810</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1374.3000000000002</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577.57000000000005</v>
      </c>
      <c r="AP25" s="94">
        <f ca="1">(1+race_food_consumption)*TblPop[[#This Row],[Total]]*food_per_person*(1+tech_1_10*TblTech[[#This Row],[1-10]]+tech_7_5*TblTech[[#This Row],[7-5]] + IF(TblMagic[[#This Row],[Active Demonic Pact]]&gt;0,demonic_pact_food_cons,0))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79855</v>
      </c>
      <c r="BJ25" s="94">
        <f ca="1">TblProd[[#This Row],[Food]]</f>
        <v>57757</v>
      </c>
      <c r="BK25" s="94">
        <f ca="1">TblProd[[#This Row],[Lumber]]</f>
        <v>31172</v>
      </c>
      <c r="BL25" s="94">
        <f ca="1">TblProd[[#This Row],[Mana]]</f>
        <v>0</v>
      </c>
      <c r="BM25" s="94">
        <f ca="1">TblProd[[#This Row],[Ore]]</f>
        <v>0</v>
      </c>
    </row>
    <row r="26" spans="1:65" hidden="1" x14ac:dyDescent="0.2">
      <c r="A26" s="137">
        <v>23</v>
      </c>
      <c r="B26" s="152">
        <f ca="1">TblImps[[#This Row],[Time]]</f>
        <v>45815.916666666613</v>
      </c>
      <c r="C26" s="61"/>
      <c r="D26" s="154"/>
      <c r="E26" s="94">
        <f ca="1">TblConstr[[#This Row],[Land]]</f>
        <v>50</v>
      </c>
      <c r="F26" s="94">
        <f ca="1">TblPop[[#This Row],[Peasants]]</f>
        <v>504</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81229</v>
      </c>
      <c r="I26" s="94">
        <f ca="1">OFFSET(TblProd[[#This Row],[Food]],-1,0)+OFFSET(TblProd[[#This Row],[Food/hr]],-1,0)+ROUNDUP((TblConstr[[#This Row],[Farms]]*80+TblConstr[[#This Row],[Docks]]*35)*(1+OFFSET(TblProd[[#This Row],[Bonus Food/hr]],-1,0)),0)</f>
        <v>59567</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1360</v>
      </c>
      <c r="T26" s="94">
        <f ca="1">ROUND(TblProd[[#This Row],[Raw Food/hr]]*(1+TblProd[[#This Row],[Bonus Food/hr]])-TblProd[[#This Row],[Food decay]]-TblProd[[#This Row],[Food eaten]],0)</f>
        <v>1792</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1360.8000000000002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595.66999999999996</v>
      </c>
      <c r="AP26" s="94">
        <f ca="1">(1+race_food_consumption)*TblPop[[#This Row],[Total]]*food_per_person*(1+tech_1_10*TblTech[[#This Row],[1-10]]+tech_7_5*TblTech[[#This Row],[7-5]] + IF(TblMagic[[#This Row],[Active Demonic Pact]]&gt;0,demonic_pact_food_cons,0))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81229</v>
      </c>
      <c r="BJ26" s="94">
        <f ca="1">TblProd[[#This Row],[Food]]</f>
        <v>59567</v>
      </c>
      <c r="BK26" s="94">
        <f ca="1">TblProd[[#This Row],[Lumber]]</f>
        <v>31860</v>
      </c>
      <c r="BL26" s="94">
        <f ca="1">TblProd[[#This Row],[Mana]]</f>
        <v>0</v>
      </c>
      <c r="BM26" s="94">
        <f ca="1">TblProd[[#This Row],[Ore]]</f>
        <v>0</v>
      </c>
    </row>
    <row r="27" spans="1:65" hidden="1" x14ac:dyDescent="0.2">
      <c r="A27" s="137">
        <v>24</v>
      </c>
      <c r="B27" s="152">
        <f ca="1">TblImps[[#This Row],[Time]]</f>
        <v>45815.958333333278</v>
      </c>
      <c r="C27" s="61"/>
      <c r="D27" s="154"/>
      <c r="E27" s="94">
        <f ca="1">TblConstr[[#This Row],[Land]]</f>
        <v>50</v>
      </c>
      <c r="F27" s="94">
        <f ca="1">TblPop[[#This Row],[Peasants]]</f>
        <v>499</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82589</v>
      </c>
      <c r="I27" s="94">
        <f ca="1">OFFSET(TblProd[[#This Row],[Food]],-1,0)+OFFSET(TblProd[[#This Row],[Food/hr]],-1,0)+ROUNDUP((TblConstr[[#This Row],[Farms]]*80+TblConstr[[#This Row],[Docks]]*35)*(1+OFFSET(TblProd[[#This Row],[Bonus Food/hr]],-1,0)),0)</f>
        <v>61359</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1347</v>
      </c>
      <c r="T27" s="94">
        <f ca="1">ROUND(TblProd[[#This Row],[Raw Food/hr]]*(1+TblProd[[#This Row],[Bonus Food/hr]])-TblProd[[#This Row],[Food decay]]-TblProd[[#This Row],[Food eaten]],0)</f>
        <v>1774</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1347.3000000000002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613.59</v>
      </c>
      <c r="AP27" s="94">
        <f ca="1">(1+race_food_consumption)*TblPop[[#This Row],[Total]]*food_per_person*(1+tech_1_10*TblTech[[#This Row],[1-10]]+tech_7_5*TblTech[[#This Row],[7-5]] + IF(TblMagic[[#This Row],[Active Demonic Pact]]&gt;0,demonic_pact_food_cons,0))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82589</v>
      </c>
      <c r="BJ27" s="94">
        <f ca="1">TblProd[[#This Row],[Food]]</f>
        <v>61359</v>
      </c>
      <c r="BK27" s="94">
        <f ca="1">TblProd[[#This Row],[Lumber]]</f>
        <v>32541</v>
      </c>
      <c r="BL27" s="94">
        <f ca="1">TblProd[[#This Row],[Mana]]</f>
        <v>0</v>
      </c>
      <c r="BM27" s="94">
        <f ca="1">TblProd[[#This Row],[Ore]]</f>
        <v>0</v>
      </c>
    </row>
    <row r="28" spans="1:65" x14ac:dyDescent="0.2">
      <c r="A28" s="137">
        <v>25</v>
      </c>
      <c r="B28" s="152">
        <f ca="1">TblImps[[#This Row],[Time]]</f>
        <v>45815.999999999942</v>
      </c>
      <c r="C28" s="153"/>
      <c r="D28" s="154"/>
      <c r="E28" s="94">
        <f ca="1">TblConstr[[#This Row],[Land]]</f>
        <v>50</v>
      </c>
      <c r="F28" s="94">
        <f ca="1">TblPop[[#This Row],[Peasants]]</f>
        <v>494</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83936</v>
      </c>
      <c r="I28" s="94">
        <f ca="1">OFFSET(TblProd[[#This Row],[Food]],-1,0)+OFFSET(TblProd[[#This Row],[Food/hr]],-1,0)+ROUNDUP((TblConstr[[#This Row],[Farms]]*80+TblConstr[[#This Row],[Docks]]*35)*(1+OFFSET(TblProd[[#This Row],[Bonus Food/hr]],-1,0)),0)</f>
        <v>63133</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1333</v>
      </c>
      <c r="T28" s="94">
        <f ca="1">ROUND(TblProd[[#This Row],[Raw Food/hr]]*(1+TblProd[[#This Row],[Bonus Food/hr]])-TblProd[[#This Row],[Food decay]]-TblProd[[#This Row],[Food eaten]],0)</f>
        <v>1756</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1333.8000000000002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631.33000000000004</v>
      </c>
      <c r="AP28" s="94">
        <f ca="1">(1+race_food_consumption)*TblPop[[#This Row],[Total]]*food_per_person*(1+tech_1_10*TblTech[[#This Row],[1-10]]+tech_7_5*TblTech[[#This Row],[7-5]] + IF(TblMagic[[#This Row],[Active Demonic Pact]]&gt;0,demonic_pact_food_cons,0))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83936</v>
      </c>
      <c r="BJ28" s="94">
        <f ca="1">TblProd[[#This Row],[Food]]</f>
        <v>63133</v>
      </c>
      <c r="BK28" s="94">
        <f ca="1">TblProd[[#This Row],[Lumber]]</f>
        <v>33216</v>
      </c>
      <c r="BL28" s="94">
        <f ca="1">TblProd[[#This Row],[Mana]]</f>
        <v>0</v>
      </c>
      <c r="BM28" s="94">
        <f ca="1">TblProd[[#This Row],[Ore]]</f>
        <v>0</v>
      </c>
    </row>
    <row r="29" spans="1:65" x14ac:dyDescent="0.2">
      <c r="A29" s="137">
        <v>26</v>
      </c>
      <c r="B29" s="152">
        <f ca="1">TblImps[[#This Row],[Time]]</f>
        <v>45816.041666666606</v>
      </c>
      <c r="C29" s="153"/>
      <c r="D29" s="154"/>
      <c r="E29" s="94">
        <f ca="1">TblConstr[[#This Row],[Land]]</f>
        <v>50</v>
      </c>
      <c r="F29" s="94">
        <f ca="1">TblPop[[#This Row],[Peasants]]</f>
        <v>489</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85269</v>
      </c>
      <c r="I29" s="94">
        <f ca="1">OFFSET(TblProd[[#This Row],[Food]],-1,0)+OFFSET(TblProd[[#This Row],[Food/hr]],-1,0)+ROUNDUP((TblConstr[[#This Row],[Farms]]*80+TblConstr[[#This Row],[Docks]]*35)*(1+OFFSET(TblProd[[#This Row],[Bonus Food/hr]],-1,0)),0)</f>
        <v>64889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1320</v>
      </c>
      <c r="T29" s="94">
        <f ca="1">ROUND(TblProd[[#This Row],[Raw Food/hr]]*(1+TblProd[[#This Row],[Bonus Food/hr]])-TblProd[[#This Row],[Food decay]]-TblProd[[#This Row],[Food eaten]],0)</f>
        <v>1739</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1320.3000000000002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648.89</v>
      </c>
      <c r="AP29" s="94">
        <f ca="1">(1+race_food_consumption)*TblPop[[#This Row],[Total]]*food_per_person*(1+tech_1_10*TblTech[[#This Row],[1-10]]+tech_7_5*TblTech[[#This Row],[7-5]] + IF(TblMagic[[#This Row],[Active Demonic Pact]]&gt;0,demonic_pact_food_cons,0))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85269</v>
      </c>
      <c r="BJ29" s="94">
        <f ca="1">TblProd[[#This Row],[Food]]</f>
        <v>64889</v>
      </c>
      <c r="BK29" s="94">
        <f ca="1">TblProd[[#This Row],[Lumber]]</f>
        <v>33884</v>
      </c>
      <c r="BL29" s="94">
        <f ca="1">TblProd[[#This Row],[Mana]]</f>
        <v>0</v>
      </c>
      <c r="BM29" s="94">
        <f ca="1">TblProd[[#This Row],[Ore]]</f>
        <v>0</v>
      </c>
    </row>
    <row r="30" spans="1:65" x14ac:dyDescent="0.2">
      <c r="A30" s="137">
        <v>27</v>
      </c>
      <c r="B30" s="152">
        <f ca="1">TblImps[[#This Row],[Time]]</f>
        <v>45816.08333333327</v>
      </c>
      <c r="C30" s="153"/>
      <c r="D30" s="154"/>
      <c r="E30" s="94">
        <f ca="1">TblConstr[[#This Row],[Land]]</f>
        <v>50</v>
      </c>
      <c r="F30" s="94">
        <f ca="1">TblPop[[#This Row],[Peasants]]</f>
        <v>484</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86589</v>
      </c>
      <c r="I30" s="94">
        <f ca="1">OFFSET(TblProd[[#This Row],[Food]],-1,0)+OFFSET(TblProd[[#This Row],[Food/hr]],-1,0)+ROUNDUP((TblConstr[[#This Row],[Farms]]*80+TblConstr[[#This Row],[Docks]]*35)*(1+OFFSET(TblProd[[#This Row],[Bonus Food/hr]],-1,0)),0)</f>
        <v>66628</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1306</v>
      </c>
      <c r="T30" s="94">
        <f ca="1">ROUND(TblProd[[#This Row],[Raw Food/hr]]*(1+TblProd[[#This Row],[Bonus Food/hr]])-TblProd[[#This Row],[Food decay]]-TblProd[[#This Row],[Food eaten]],0)</f>
        <v>1721</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1306.8000000000002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666.28</v>
      </c>
      <c r="AP30" s="94">
        <f ca="1">(1+race_food_consumption)*TblPop[[#This Row],[Total]]*food_per_person*(1+tech_1_10*TblTech[[#This Row],[1-10]]+tech_7_5*TblTech[[#This Row],[7-5]] + IF(TblMagic[[#This Row],[Active Demonic Pact]]&gt;0,demonic_pact_food_cons,0))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86589</v>
      </c>
      <c r="BJ30" s="94">
        <f ca="1">TblProd[[#This Row],[Food]]</f>
        <v>66628</v>
      </c>
      <c r="BK30" s="94">
        <f ca="1">TblProd[[#This Row],[Lumber]]</f>
        <v>34545</v>
      </c>
      <c r="BL30" s="94">
        <f ca="1">TblProd[[#This Row],[Mana]]</f>
        <v>0</v>
      </c>
      <c r="BM30" s="94">
        <f ca="1">TblProd[[#This Row],[Ore]]</f>
        <v>0</v>
      </c>
    </row>
    <row r="31" spans="1:65" x14ac:dyDescent="0.2">
      <c r="A31" s="137">
        <v>28</v>
      </c>
      <c r="B31" s="152">
        <f ca="1">TblImps[[#This Row],[Time]]</f>
        <v>45816.124999999935</v>
      </c>
      <c r="C31" s="153"/>
      <c r="D31" s="154"/>
      <c r="E31" s="94">
        <f ca="1">TblConstr[[#This Row],[Land]]</f>
        <v>50</v>
      </c>
      <c r="F31" s="94">
        <f ca="1">TblPop[[#This Row],[Peasants]]</f>
        <v>479</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87895</v>
      </c>
      <c r="I31" s="94">
        <f ca="1">OFFSET(TblProd[[#This Row],[Food]],-1,0)+OFFSET(TblProd[[#This Row],[Food/hr]],-1,0)+ROUNDUP((TblConstr[[#This Row],[Farms]]*80+TblConstr[[#This Row],[Docks]]*35)*(1+OFFSET(TblProd[[#This Row],[Bonus Food/hr]],-1,0)),0)</f>
        <v>68349</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1293</v>
      </c>
      <c r="T31" s="94">
        <f ca="1">ROUND(TblProd[[#This Row],[Raw Food/hr]]*(1+TblProd[[#This Row],[Bonus Food/hr]])-TblProd[[#This Row],[Food decay]]-TblProd[[#This Row],[Food eaten]],0)</f>
        <v>1704</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1293.3000000000002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683.49</v>
      </c>
      <c r="AP31" s="94">
        <f ca="1">(1+race_food_consumption)*TblPop[[#This Row],[Total]]*food_per_person*(1+tech_1_10*TblTech[[#This Row],[1-10]]+tech_7_5*TblTech[[#This Row],[7-5]] + IF(TblMagic[[#This Row],[Active Demonic Pact]]&gt;0,demonic_pact_food_cons,0))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87895</v>
      </c>
      <c r="BJ31" s="94">
        <f ca="1">TblProd[[#This Row],[Food]]</f>
        <v>68349</v>
      </c>
      <c r="BK31" s="94">
        <f ca="1">TblProd[[#This Row],[Lumber]]</f>
        <v>35200</v>
      </c>
      <c r="BL31" s="94">
        <f ca="1">TblProd[[#This Row],[Mana]]</f>
        <v>0</v>
      </c>
      <c r="BM31" s="94">
        <f ca="1">TblProd[[#This Row],[Ore]]</f>
        <v>0</v>
      </c>
    </row>
    <row r="32" spans="1:65" x14ac:dyDescent="0.2">
      <c r="A32" s="137">
        <v>29</v>
      </c>
      <c r="B32" s="152">
        <f ca="1">TblImps[[#This Row],[Time]]</f>
        <v>45816.166666666599</v>
      </c>
      <c r="C32" s="153"/>
      <c r="D32" s="154"/>
      <c r="E32" s="94">
        <f ca="1">TblConstr[[#This Row],[Land]]</f>
        <v>50</v>
      </c>
      <c r="F32" s="94">
        <f ca="1">TblPop[[#This Row],[Peasants]]</f>
        <v>474</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89188</v>
      </c>
      <c r="I32" s="94">
        <f ca="1">OFFSET(TblProd[[#This Row],[Food]],-1,0)+OFFSET(TblProd[[#This Row],[Food/hr]],-1,0)+ROUNDUP((TblConstr[[#This Row],[Farms]]*80+TblConstr[[#This Row],[Docks]]*35)*(1+OFFSET(TblProd[[#This Row],[Bonus Food/hr]],-1,0)),0)</f>
        <v>70053</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1279</v>
      </c>
      <c r="T32" s="94">
        <f ca="1">ROUND(TblProd[[#This Row],[Raw Food/hr]]*(1+TblProd[[#This Row],[Bonus Food/hr]])-TblProd[[#This Row],[Food decay]]-TblProd[[#This Row],[Food eaten]],0)</f>
        <v>1687</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1279.8000000000002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700.53</v>
      </c>
      <c r="AP32" s="94">
        <f ca="1">(1+race_food_consumption)*TblPop[[#This Row],[Total]]*food_per_person*(1+tech_1_10*TblTech[[#This Row],[1-10]]+tech_7_5*TblTech[[#This Row],[7-5]] + IF(TblMagic[[#This Row],[Active Demonic Pact]]&gt;0,demonic_pact_food_cons,0))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89188</v>
      </c>
      <c r="BJ32" s="94">
        <f ca="1">TblProd[[#This Row],[Food]]</f>
        <v>70053</v>
      </c>
      <c r="BK32" s="94">
        <f ca="1">TblProd[[#This Row],[Lumber]]</f>
        <v>35848</v>
      </c>
      <c r="BL32" s="94">
        <f ca="1">TblProd[[#This Row],[Mana]]</f>
        <v>0</v>
      </c>
      <c r="BM32" s="94">
        <f ca="1">TblProd[[#This Row],[Ore]]</f>
        <v>0</v>
      </c>
    </row>
    <row r="33" spans="1:65" x14ac:dyDescent="0.2">
      <c r="A33" s="137">
        <v>30</v>
      </c>
      <c r="B33" s="152">
        <f ca="1">TblImps[[#This Row],[Time]]</f>
        <v>45816.208333333263</v>
      </c>
      <c r="C33" s="153"/>
      <c r="D33" s="154"/>
      <c r="E33" s="94">
        <f ca="1">TblConstr[[#This Row],[Land]]</f>
        <v>50</v>
      </c>
      <c r="F33" s="94">
        <f ca="1">TblPop[[#This Row],[Peasants]]</f>
        <v>469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90467</v>
      </c>
      <c r="I33" s="94">
        <f ca="1">OFFSET(TblProd[[#This Row],[Food]],-1,0)+OFFSET(TblProd[[#This Row],[Food/hr]],-1,0)+ROUNDUP((TblConstr[[#This Row],[Farms]]*80+TblConstr[[#This Row],[Docks]]*35)*(1+OFFSET(TblProd[[#This Row],[Bonus Food/hr]],-1,0)),0)</f>
        <v>71740</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1266</v>
      </c>
      <c r="T33" s="94">
        <f ca="1">ROUND(TblProd[[#This Row],[Raw Food/hr]]*(1+TblProd[[#This Row],[Bonus Food/hr]])-TblProd[[#This Row],[Food decay]]-TblProd[[#This Row],[Food eaten]],0)</f>
        <v>1670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1266.3000000000002</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717.4</v>
      </c>
      <c r="AP33" s="94">
        <f ca="1">(1+race_food_consumption)*TblPop[[#This Row],[Total]]*food_per_person*(1+tech_1_10*TblTech[[#This Row],[1-10]]+tech_7_5*TblTech[[#This Row],[7-5]] + IF(TblMagic[[#This Row],[Active Demonic Pact]]&gt;0,demonic_pact_food_cons,0))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90467</v>
      </c>
      <c r="BJ33" s="94">
        <f ca="1">TblProd[[#This Row],[Food]]</f>
        <v>71740</v>
      </c>
      <c r="BK33" s="94">
        <f ca="1">TblProd[[#This Row],[Lumber]]</f>
        <v>36490</v>
      </c>
      <c r="BL33" s="94">
        <f ca="1">TblProd[[#This Row],[Mana]]</f>
        <v>0</v>
      </c>
      <c r="BM33" s="94">
        <f ca="1">TblProd[[#This Row],[Ore]]</f>
        <v>0</v>
      </c>
    </row>
    <row r="34" spans="1:65" x14ac:dyDescent="0.2">
      <c r="A34" s="137">
        <v>31</v>
      </c>
      <c r="B34" s="152">
        <f ca="1">TblImps[[#This Row],[Time]]</f>
        <v>45816.249999999927</v>
      </c>
      <c r="C34" s="153"/>
      <c r="D34" s="154"/>
      <c r="E34" s="94">
        <f ca="1">TblConstr[[#This Row],[Land]]</f>
        <v>50</v>
      </c>
      <c r="F34" s="94">
        <f ca="1">TblPop[[#This Row],[Peasants]]</f>
        <v>464</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91733</v>
      </c>
      <c r="I34" s="94">
        <f ca="1">OFFSET(TblProd[[#This Row],[Food]],-1,0)+OFFSET(TblProd[[#This Row],[Food/hr]],-1,0)+ROUNDUP((TblConstr[[#This Row],[Farms]]*80+TblConstr[[#This Row],[Docks]]*35)*(1+OFFSET(TblProd[[#This Row],[Bonus Food/hr]],-1,0)),0)</f>
        <v>73410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1252</v>
      </c>
      <c r="T34" s="94">
        <f ca="1">ROUND(TblProd[[#This Row],[Raw Food/hr]]*(1+TblProd[[#This Row],[Bonus Food/hr]])-TblProd[[#This Row],[Food decay]]-TblProd[[#This Row],[Food eaten]],0)</f>
        <v>1654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1252.8000000000002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734.1</v>
      </c>
      <c r="AP34" s="94">
        <f ca="1">(1+race_food_consumption)*TblPop[[#This Row],[Total]]*food_per_person*(1+tech_1_10*TblTech[[#This Row],[1-10]]+tech_7_5*TblTech[[#This Row],[7-5]] + IF(TblMagic[[#This Row],[Active Demonic Pact]]&gt;0,demonic_pact_food_cons,0))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91733</v>
      </c>
      <c r="BJ34" s="94">
        <f ca="1">TblProd[[#This Row],[Food]]</f>
        <v>73410</v>
      </c>
      <c r="BK34" s="94">
        <f ca="1">TblProd[[#This Row],[Lumber]]</f>
        <v>37125</v>
      </c>
      <c r="BL34" s="94">
        <f ca="1">TblProd[[#This Row],[Mana]]</f>
        <v>0</v>
      </c>
      <c r="BM34" s="94">
        <f ca="1">TblProd[[#This Row],[Ore]]</f>
        <v>0</v>
      </c>
    </row>
    <row r="35" spans="1:65" x14ac:dyDescent="0.2">
      <c r="A35" s="137">
        <v>32</v>
      </c>
      <c r="B35" s="152">
        <f ca="1">TblImps[[#This Row],[Time]]</f>
        <v>45816.291666666591</v>
      </c>
      <c r="C35" s="153"/>
      <c r="D35" s="154"/>
      <c r="E35" s="94">
        <f ca="1">TblConstr[[#This Row],[Land]]</f>
        <v>50</v>
      </c>
      <c r="F35" s="94">
        <f ca="1">TblPop[[#This Row],[Peasants]]</f>
        <v>459</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92985</v>
      </c>
      <c r="I35" s="94">
        <f ca="1">OFFSET(TblProd[[#This Row],[Food]],-1,0)+OFFSET(TblProd[[#This Row],[Food/hr]],-1,0)+ROUNDUP((TblConstr[[#This Row],[Farms]]*80+TblConstr[[#This Row],[Docks]]*35)*(1+OFFSET(TblProd[[#This Row],[Bonus Food/hr]],-1,0)),0)</f>
        <v>75064</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1239</v>
      </c>
      <c r="T35" s="94">
        <f ca="1">ROUND(TblProd[[#This Row],[Raw Food/hr]]*(1+TblProd[[#This Row],[Bonus Food/hr]])-TblProd[[#This Row],[Food decay]]-TblProd[[#This Row],[Food eaten]],0)</f>
        <v>1637</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1239.3000000000002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750.64</v>
      </c>
      <c r="AP35" s="94">
        <f ca="1">(1+race_food_consumption)*TblPop[[#This Row],[Total]]*food_per_person*(1+tech_1_10*TblTech[[#This Row],[1-10]]+tech_7_5*TblTech[[#This Row],[7-5]] + IF(TblMagic[[#This Row],[Active Demonic Pact]]&gt;0,demonic_pact_food_cons,0))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92985</v>
      </c>
      <c r="BJ35" s="94">
        <f ca="1">TblProd[[#This Row],[Food]]</f>
        <v>75064</v>
      </c>
      <c r="BK35" s="94">
        <f ca="1">TblProd[[#This Row],[Lumber]]</f>
        <v>37754</v>
      </c>
      <c r="BL35" s="94">
        <f ca="1">TblProd[[#This Row],[Mana]]</f>
        <v>0</v>
      </c>
      <c r="BM35" s="94">
        <f ca="1">TblProd[[#This Row],[Ore]]</f>
        <v>0</v>
      </c>
    </row>
    <row r="36" spans="1:65" x14ac:dyDescent="0.2">
      <c r="A36" s="137">
        <v>33</v>
      </c>
      <c r="B36" s="152">
        <f ca="1">TblImps[[#This Row],[Time]]</f>
        <v>45816.333333333256</v>
      </c>
      <c r="C36" s="153"/>
      <c r="D36" s="154"/>
      <c r="E36" s="94">
        <f ca="1">TblConstr[[#This Row],[Land]]</f>
        <v>50</v>
      </c>
      <c r="F36" s="94">
        <f ca="1">TblPop[[#This Row],[Peasants]]</f>
        <v>454</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94224</v>
      </c>
      <c r="I36" s="94">
        <f ca="1">OFFSET(TblProd[[#This Row],[Food]],-1,0)+OFFSET(TblProd[[#This Row],[Food/hr]],-1,0)+ROUNDUP((TblConstr[[#This Row],[Farms]]*80+TblConstr[[#This Row],[Docks]]*35)*(1+OFFSET(TblProd[[#This Row],[Bonus Food/hr]],-1,0)),0)</f>
        <v>76701</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1225</v>
      </c>
      <c r="T36" s="94">
        <f ca="1">ROUND(TblProd[[#This Row],[Raw Food/hr]]*(1+TblProd[[#This Row],[Bonus Food/hr]])-TblProd[[#This Row],[Food decay]]-TblProd[[#This Row],[Food eaten]],0)</f>
        <v>1621</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1225.8000000000002</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767.01</v>
      </c>
      <c r="AP36" s="94">
        <f ca="1">(1+race_food_consumption)*TblPop[[#This Row],[Total]]*food_per_person*(1+tech_1_10*TblTech[[#This Row],[1-10]]+tech_7_5*TblTech[[#This Row],[7-5]] + IF(TblMagic[[#This Row],[Active Demonic Pact]]&gt;0,demonic_pact_food_cons,0))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94224</v>
      </c>
      <c r="BJ36" s="94">
        <f ca="1">TblProd[[#This Row],[Food]]</f>
        <v>76701</v>
      </c>
      <c r="BK36" s="94">
        <f ca="1">TblProd[[#This Row],[Lumber]]</f>
        <v>38376</v>
      </c>
      <c r="BL36" s="94">
        <f ca="1">TblProd[[#This Row],[Mana]]</f>
        <v>0</v>
      </c>
      <c r="BM36" s="94">
        <f ca="1">TblProd[[#This Row],[Ore]]</f>
        <v>0</v>
      </c>
    </row>
    <row r="37" spans="1:65" x14ac:dyDescent="0.2">
      <c r="A37" s="137">
        <v>34</v>
      </c>
      <c r="B37" s="152">
        <f ca="1">TblImps[[#This Row],[Time]]</f>
        <v>45816.37499999992</v>
      </c>
      <c r="C37" s="153"/>
      <c r="D37" s="154"/>
      <c r="E37" s="94">
        <f ca="1">TblConstr[[#This Row],[Land]]</f>
        <v>50</v>
      </c>
      <c r="F37" s="94">
        <f ca="1">TblPop[[#This Row],[Peasants]]</f>
        <v>449</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95449</v>
      </c>
      <c r="I37" s="94">
        <f ca="1">OFFSET(TblProd[[#This Row],[Food]],-1,0)+OFFSET(TblProd[[#This Row],[Food/hr]],-1,0)+ROUNDUP((TblConstr[[#This Row],[Farms]]*80+TblConstr[[#This Row],[Docks]]*35)*(1+OFFSET(TblProd[[#This Row],[Bonus Food/hr]],-1,0)),0)</f>
        <v>78322</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1212</v>
      </c>
      <c r="T37" s="94">
        <f ca="1">ROUND(TblProd[[#This Row],[Raw Food/hr]]*(1+TblProd[[#This Row],[Bonus Food/hr]])-TblProd[[#This Row],[Food decay]]-TblProd[[#This Row],[Food eaten]],0)</f>
        <v>1605</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1212.3000000000002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783.22</v>
      </c>
      <c r="AP37" s="94">
        <f ca="1">(1+race_food_consumption)*TblPop[[#This Row],[Total]]*food_per_person*(1+tech_1_10*TblTech[[#This Row],[1-10]]+tech_7_5*TblTech[[#This Row],[7-5]] + IF(TblMagic[[#This Row],[Active Demonic Pact]]&gt;0,demonic_pact_food_cons,0))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95449</v>
      </c>
      <c r="BJ37" s="94">
        <f ca="1">TblProd[[#This Row],[Food]]</f>
        <v>78322</v>
      </c>
      <c r="BK37" s="94">
        <f ca="1">TblProd[[#This Row],[Lumber]]</f>
        <v>38992</v>
      </c>
      <c r="BL37" s="94">
        <f ca="1">TblProd[[#This Row],[Mana]]</f>
        <v>0</v>
      </c>
      <c r="BM37" s="94">
        <f ca="1">TblProd[[#This Row],[Ore]]</f>
        <v>0</v>
      </c>
    </row>
    <row r="38" spans="1:65" x14ac:dyDescent="0.2">
      <c r="A38" s="137">
        <v>35</v>
      </c>
      <c r="B38" s="152">
        <f ca="1">TblImps[[#This Row],[Time]]</f>
        <v>45816.416666666584</v>
      </c>
      <c r="C38" s="153"/>
      <c r="D38" s="154"/>
      <c r="E38" s="94">
        <f ca="1">TblConstr[[#This Row],[Land]]</f>
        <v>50</v>
      </c>
      <c r="F38" s="94">
        <f ca="1">TblPop[[#This Row],[Peasants]]</f>
        <v>445</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96661</v>
      </c>
      <c r="I38" s="94">
        <f ca="1">OFFSET(TblProd[[#This Row],[Food]],-1,0)+OFFSET(TblProd[[#This Row],[Food/hr]],-1,0)+ROUNDUP((TblConstr[[#This Row],[Farms]]*80+TblConstr[[#This Row],[Docks]]*35)*(1+OFFSET(TblProd[[#This Row],[Bonus Food/hr]],-1,0)),0)</f>
        <v>79927</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1201</v>
      </c>
      <c r="T38" s="94">
        <f ca="1">ROUND(TblProd[[#This Row],[Raw Food/hr]]*(1+TblProd[[#This Row],[Bonus Food/hr]])-TblProd[[#This Row],[Food decay]]-TblProd[[#This Row],[Food eaten]],0)</f>
        <v>1588</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1201.5</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799.27</v>
      </c>
      <c r="AP38" s="94">
        <f ca="1">(1+race_food_consumption)*TblPop[[#This Row],[Total]]*food_per_person*(1+tech_1_10*TblTech[[#This Row],[1-10]]+tech_7_5*TblTech[[#This Row],[7-5]] + IF(TblMagic[[#This Row],[Active Demonic Pact]]&gt;0,demonic_pact_food_cons,0))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96661</v>
      </c>
      <c r="BJ38" s="94">
        <f ca="1">TblProd[[#This Row],[Food]]</f>
        <v>79927</v>
      </c>
      <c r="BK38" s="94">
        <f ca="1">TblProd[[#This Row],[Lumber]]</f>
        <v>39602</v>
      </c>
      <c r="BL38" s="94">
        <f ca="1">TblProd[[#This Row],[Mana]]</f>
        <v>0</v>
      </c>
      <c r="BM38" s="94">
        <f ca="1">TblProd[[#This Row],[Ore]]</f>
        <v>0</v>
      </c>
    </row>
    <row r="39" spans="1:65" x14ac:dyDescent="0.2">
      <c r="A39" s="137">
        <v>36</v>
      </c>
      <c r="B39" s="152">
        <f ca="1">TblImps[[#This Row],[Time]]</f>
        <v>45816.458333333248</v>
      </c>
      <c r="C39" s="153"/>
      <c r="D39" s="154"/>
      <c r="E39" s="94">
        <f ca="1">TblConstr[[#This Row],[Land]]</f>
        <v>50</v>
      </c>
      <c r="F39" s="94">
        <f ca="1">TblPop[[#This Row],[Peasants]]</f>
        <v>441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97862</v>
      </c>
      <c r="I39" s="94">
        <f ca="1">OFFSET(TblProd[[#This Row],[Food]],-1,0)+OFFSET(TblProd[[#This Row],[Food/hr]],-1,0)+ROUNDUP((TblConstr[[#This Row],[Farms]]*80+TblConstr[[#This Row],[Docks]]*35)*(1+OFFSET(TblProd[[#This Row],[Bonus Food/hr]],-1,0)),0)</f>
        <v>81515</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1190</v>
      </c>
      <c r="T39" s="94">
        <f ca="1">ROUND(TblProd[[#This Row],[Raw Food/hr]]*(1+TblProd[[#This Row],[Bonus Food/hr]])-TblProd[[#This Row],[Food decay]]-TblProd[[#This Row],[Food eaten]],0)</f>
        <v>1573</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1190.7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815.15</v>
      </c>
      <c r="AP39" s="94">
        <f ca="1">(1+race_food_consumption)*TblPop[[#This Row],[Total]]*food_per_person*(1+tech_1_10*TblTech[[#This Row],[1-10]]+tech_7_5*TblTech[[#This Row],[7-5]] + IF(TblMagic[[#This Row],[Active Demonic Pact]]&gt;0,demonic_pact_food_cons,0))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97862</v>
      </c>
      <c r="BJ39" s="94">
        <f ca="1">TblProd[[#This Row],[Food]]</f>
        <v>81515</v>
      </c>
      <c r="BK39" s="94">
        <f ca="1">TblProd[[#This Row],[Lumber]]</f>
        <v>40206</v>
      </c>
      <c r="BL39" s="94">
        <f ca="1">TblProd[[#This Row],[Mana]]</f>
        <v>0</v>
      </c>
      <c r="BM39" s="94">
        <f ca="1">TblProd[[#This Row],[Ore]]</f>
        <v>0</v>
      </c>
    </row>
    <row r="40" spans="1:65" s="5" customFormat="1" x14ac:dyDescent="0.2">
      <c r="A40" s="144" t="s">
        <v>229</v>
      </c>
      <c r="B40" s="160">
        <f ca="1">TblImps[[#This Row],[Time]]</f>
        <v>45816.499999999913</v>
      </c>
      <c r="C40" s="161"/>
      <c r="D40" s="162"/>
      <c r="E40" s="35">
        <f ca="1">TblConstr[[#This Row],[Land]]</f>
        <v>50</v>
      </c>
      <c r="F40" s="35">
        <f ca="1">TblPop[[#This Row],[Peasants]]</f>
        <v>437</v>
      </c>
      <c r="G40" s="35">
        <f ca="1">TblMili[[#This Row],[Networth (2)]]</f>
        <v>1250</v>
      </c>
      <c r="H40" s="35">
        <f ca="1">OFFSET(TblProd[[#This Row],[Platinum]],-1,0)+OFFSET(TblProd[[#This Row],[Plat/hr]],-1,0) - TblProd[[#This Row],[Expenses Platinum]] + IF(TblProd[[#This Row],[Plat Bonus]],TblPop[[#This Row],[Peasants]]*4) + SUM(TblConstr[[#This Row],[Dest Hom]:[Dest Doc]])*TblConstr[[#This Row],[CPA Platinum -DB]]*tech_3_3_2*TblTech[[#This Row],[3-3]]</f>
        <v>99052</v>
      </c>
      <c r="I40" s="35">
        <f ca="1">OFFSET(TblProd[[#This Row],[Food]],-1,0)+OFFSET(TblProd[[#This Row],[Food/hr]],-1,0)+ROUNDUP((TblConstr[[#This Row],[Farms]]*80+TblConstr[[#This Row],[Docks]]*35)*(1+OFFSET(TblProd[[#This Row],[Bonus Food/hr]],-1,0)),0)</f>
        <v>83088</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MAX(3750,_xlfn.CEILING.MATH(TblProd[[#This Row],[Land]]*2.5+OFFSET(TblTech[[#This Row],[Sum of tech]],-1,0)*150))</f>
        <v>3750</v>
      </c>
      <c r="R40" s="149"/>
      <c r="S40" s="35">
        <f ca="1">ROUNDDOWN(TblProd[[#This Row],[Raw Plat/hr]]*(1+TblProd[[#This Row],[Bonus Plat/hr]]),0)</f>
        <v>1179</v>
      </c>
      <c r="T40" s="35">
        <f ca="1">ROUND(TblProd[[#This Row],[Raw Food/hr]]*(1+TblProd[[#This Row],[Bonus Food/hr]])-TblProd[[#This Row],[Food decay]]-TblProd[[#This Row],[Food eaten]],0)</f>
        <v>1557</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1179.9000000000001</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830.88</v>
      </c>
      <c r="AP40" s="35">
        <f ca="1">(1+race_food_consumption)*TblPop[[#This Row],[Total]]*food_per_person*(1+tech_1_10*TblTech[[#This Row],[1-10]]+tech_7_5*TblTech[[#This Row],[7-5]] + IF(TblMagic[[#This Row],[Active Demonic Pact]]&gt;0,demonic_pact_food_cons,0))</f>
        <v>192.25</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45816.499999999913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99052</v>
      </c>
      <c r="BJ40" s="35">
        <f ca="1">TblProd[[#This Row],[Food]]</f>
        <v>83088</v>
      </c>
      <c r="BK40" s="35">
        <f ca="1">TblProd[[#This Row],[Lumber]]</f>
        <v>40804</v>
      </c>
      <c r="BL40" s="35">
        <f ca="1">TblProd[[#This Row],[Mana]]</f>
        <v>0</v>
      </c>
      <c r="BM40" s="35">
        <f ca="1">TblProd[[#This Row],[Ore]]</f>
        <v>0</v>
      </c>
    </row>
    <row r="41" spans="1:65" x14ac:dyDescent="0.2">
      <c r="A41" s="137">
        <v>2</v>
      </c>
      <c r="B41" s="152">
        <f ca="1">TblImps[[#This Row],[Time]]</f>
        <v>45816.541666666577</v>
      </c>
      <c r="C41" s="153"/>
      <c r="D41" s="154"/>
      <c r="E41" s="94">
        <f ca="1">TblConstr[[#This Row],[Land]]</f>
        <v>50</v>
      </c>
      <c r="F41" s="94">
        <f ca="1">TblPop[[#This Row],[Peasants]]</f>
        <v>433</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100231</v>
      </c>
      <c r="I41" s="94">
        <f ca="1">OFFSET(TblProd[[#This Row],[Food]],-1,0)+OFFSET(TblProd[[#This Row],[Food/hr]],-1,0)+ROUNDUP((TblConstr[[#This Row],[Farms]]*80+TblConstr[[#This Row],[Docks]]*35)*(1+OFFSET(TblProd[[#This Row],[Bonus Food/hr]],-1,0)),0)</f>
        <v>84645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1169</v>
      </c>
      <c r="T41" s="94">
        <f ca="1">ROUND(TblProd[[#This Row],[Raw Food/hr]]*(1+TblProd[[#This Row],[Bonus Food/hr]])-TblProd[[#This Row],[Food decay]]-TblProd[[#This Row],[Food eaten]],0)</f>
        <v>1541</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1169.1000000000001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846.45</v>
      </c>
      <c r="AP41" s="94">
        <f ca="1">(1+race_food_consumption)*TblPop[[#This Row],[Total]]*food_per_person*(1+tech_1_10*TblTech[[#This Row],[1-10]]+tech_7_5*TblTech[[#This Row],[7-5]] + IF(TblMagic[[#This Row],[Active Demonic Pact]]&gt;0,demonic_pact_food_cons,0))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100231</v>
      </c>
      <c r="BJ41" s="94">
        <f ca="1">TblProd[[#This Row],[Food]]</f>
        <v>84645</v>
      </c>
      <c r="BK41" s="94">
        <f ca="1">TblProd[[#This Row],[Lumber]]</f>
        <v>41396</v>
      </c>
      <c r="BL41" s="94">
        <f ca="1">TblProd[[#This Row],[Mana]]</f>
        <v>0</v>
      </c>
      <c r="BM41" s="94">
        <f ca="1">TblProd[[#This Row],[Ore]]</f>
        <v>0</v>
      </c>
    </row>
    <row r="42" spans="1:65" x14ac:dyDescent="0.2">
      <c r="A42" s="137">
        <f>A41+1</f>
        <v>3</v>
      </c>
      <c r="B42" s="152">
        <f ca="1">TblImps[[#This Row],[Time]]</f>
        <v>45816.583333333241</v>
      </c>
      <c r="C42" s="153"/>
      <c r="D42" s="154"/>
      <c r="E42" s="94">
        <f ca="1">TblConstr[[#This Row],[Land]]</f>
        <v>50</v>
      </c>
      <c r="F42" s="94">
        <f ca="1">TblPop[[#This Row],[Peasants]]</f>
        <v>429</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101400</v>
      </c>
      <c r="I42" s="94">
        <f ca="1">OFFSET(TblProd[[#This Row],[Food]],-1,0)+OFFSET(TblProd[[#This Row],[Food/hr]],-1,0)+ROUNDUP((TblConstr[[#This Row],[Farms]]*80+TblConstr[[#This Row],[Docks]]*35)*(1+OFFSET(TblProd[[#This Row],[Bonus Food/hr]],-1,0)),0)</f>
        <v>86186</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1158</v>
      </c>
      <c r="T42" s="94">
        <f ca="1">ROUND(TblProd[[#This Row],[Raw Food/hr]]*(1+TblProd[[#This Row],[Bonus Food/hr]])-TblProd[[#This Row],[Food decay]]-TblProd[[#This Row],[Food eaten]],0)</f>
        <v>1526</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1158.3000000000002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861.86</v>
      </c>
      <c r="AP42" s="94">
        <f ca="1">(1+race_food_consumption)*TblPop[[#This Row],[Total]]*food_per_person*(1+tech_1_10*TblTech[[#This Row],[1-10]]+tech_7_5*TblTech[[#This Row],[7-5]] + IF(TblMagic[[#This Row],[Active Demonic Pact]]&gt;0,demonic_pact_food_cons,0))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101400</v>
      </c>
      <c r="BJ42" s="94">
        <f ca="1">TblProd[[#This Row],[Food]]</f>
        <v>86186</v>
      </c>
      <c r="BK42" s="94">
        <f ca="1">TblProd[[#This Row],[Lumber]]</f>
        <v>41982</v>
      </c>
      <c r="BL42" s="94">
        <f ca="1">TblProd[[#This Row],[Mana]]</f>
        <v>0</v>
      </c>
      <c r="BM42" s="94">
        <f ca="1">TblProd[[#This Row],[Ore]]</f>
        <v>0</v>
      </c>
    </row>
    <row r="43" spans="1:65" x14ac:dyDescent="0.2">
      <c r="A43" s="137">
        <f t="shared" ref="A43:A106" si="0">A42+1</f>
        <v>4</v>
      </c>
      <c r="B43" s="152">
        <f ca="1">TblImps[[#This Row],[Time]]</f>
        <v>45816.624999999905</v>
      </c>
      <c r="C43" s="153"/>
      <c r="D43" s="154"/>
      <c r="E43" s="94">
        <f ca="1">TblConstr[[#This Row],[Land]]</f>
        <v>50</v>
      </c>
      <c r="F43" s="94">
        <f ca="1">TblPop[[#This Row],[Peasants]]</f>
        <v>425</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102558</v>
      </c>
      <c r="I43" s="94">
        <f ca="1">OFFSET(TblProd[[#This Row],[Food]],-1,0)+OFFSET(TblProd[[#This Row],[Food/hr]],-1,0)+ROUNDUP((TblConstr[[#This Row],[Farms]]*80+TblConstr[[#This Row],[Docks]]*35)*(1+OFFSET(TblProd[[#This Row],[Bonus Food/hr]],-1,0)),0)</f>
        <v>87712</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1147</v>
      </c>
      <c r="T43" s="94">
        <f ca="1">ROUND(TblProd[[#This Row],[Raw Food/hr]]*(1+TblProd[[#This Row],[Bonus Food/hr]])-TblProd[[#This Row],[Food decay]]-TblProd[[#This Row],[Food eaten]],0)</f>
        <v>1511</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1147.5</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877.12</v>
      </c>
      <c r="AP43" s="94">
        <f ca="1">(1+race_food_consumption)*TblPop[[#This Row],[Total]]*food_per_person*(1+tech_1_10*TblTech[[#This Row],[1-10]]+tech_7_5*TblTech[[#This Row],[7-5]] + IF(TblMagic[[#This Row],[Active Demonic Pact]]&gt;0,demonic_pact_food_cons,0))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102558</v>
      </c>
      <c r="BJ43" s="94">
        <f ca="1">TblProd[[#This Row],[Food]]</f>
        <v>87712</v>
      </c>
      <c r="BK43" s="94">
        <f ca="1">TblProd[[#This Row],[Lumber]]</f>
        <v>42562</v>
      </c>
      <c r="BL43" s="94">
        <f ca="1">TblProd[[#This Row],[Mana]]</f>
        <v>0</v>
      </c>
      <c r="BM43" s="94">
        <f ca="1">TblProd[[#This Row],[Ore]]</f>
        <v>0</v>
      </c>
    </row>
    <row r="44" spans="1:65" x14ac:dyDescent="0.2">
      <c r="A44" s="137">
        <f t="shared" si="0"/>
        <v>5</v>
      </c>
      <c r="B44" s="152">
        <f ca="1">TblImps[[#This Row],[Time]]</f>
        <v>45816.66666666657</v>
      </c>
      <c r="C44" s="153"/>
      <c r="D44" s="154"/>
      <c r="E44" s="94">
        <f ca="1">TblConstr[[#This Row],[Land]]</f>
        <v>50</v>
      </c>
      <c r="F44" s="94">
        <f ca="1">TblPop[[#This Row],[Peasants]]</f>
        <v>421</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103705</v>
      </c>
      <c r="I44" s="94">
        <f ca="1">OFFSET(TblProd[[#This Row],[Food]],-1,0)+OFFSET(TblProd[[#This Row],[Food/hr]],-1,0)+ROUNDUP((TblConstr[[#This Row],[Farms]]*80+TblConstr[[#This Row],[Docks]]*35)*(1+OFFSET(TblProd[[#This Row],[Bonus Food/hr]],-1,0)),0)</f>
        <v>89223</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1136</v>
      </c>
      <c r="T44" s="94">
        <f ca="1">ROUND(TblProd[[#This Row],[Raw Food/hr]]*(1+TblProd[[#This Row],[Bonus Food/hr]])-TblProd[[#This Row],[Food decay]]-TblProd[[#This Row],[Food eaten]],0)</f>
        <v>1496</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1136.7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892.23</v>
      </c>
      <c r="AP44" s="94">
        <f ca="1">(1+race_food_consumption)*TblPop[[#This Row],[Total]]*food_per_person*(1+tech_1_10*TblTech[[#This Row],[1-10]]+tech_7_5*TblTech[[#This Row],[7-5]] + IF(TblMagic[[#This Row],[Active Demonic Pact]]&gt;0,demonic_pact_food_cons,0))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103705</v>
      </c>
      <c r="BJ44" s="94">
        <f ca="1">TblProd[[#This Row],[Food]]</f>
        <v>89223</v>
      </c>
      <c r="BK44" s="94">
        <f ca="1">TblProd[[#This Row],[Lumber]]</f>
        <v>43136</v>
      </c>
      <c r="BL44" s="94">
        <f ca="1">TblProd[[#This Row],[Mana]]</f>
        <v>0</v>
      </c>
      <c r="BM44" s="94">
        <f ca="1">TblProd[[#This Row],[Ore]]</f>
        <v>0</v>
      </c>
    </row>
    <row r="45" spans="1:65" x14ac:dyDescent="0.2">
      <c r="A45" s="137">
        <f t="shared" si="0"/>
        <v>6</v>
      </c>
      <c r="B45" s="152">
        <f ca="1">TblImps[[#This Row],[Time]]</f>
        <v>45816.708333333234</v>
      </c>
      <c r="C45" s="153"/>
      <c r="D45" s="154"/>
      <c r="E45" s="94">
        <f ca="1">TblConstr[[#This Row],[Land]]</f>
        <v>50</v>
      </c>
      <c r="F45" s="94">
        <f ca="1">TblPop[[#This Row],[Peasants]]</f>
        <v>417</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104841</v>
      </c>
      <c r="I45" s="94">
        <f ca="1">OFFSET(TblProd[[#This Row],[Food]],-1,0)+OFFSET(TblProd[[#This Row],[Food/hr]],-1,0)+ROUNDUP((TblConstr[[#This Row],[Farms]]*80+TblConstr[[#This Row],[Docks]]*35)*(1+OFFSET(TblProd[[#This Row],[Bonus Food/hr]],-1,0)),0)</f>
        <v>90719</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1125</v>
      </c>
      <c r="T45" s="94">
        <f ca="1">ROUND(TblProd[[#This Row],[Raw Food/hr]]*(1+TblProd[[#This Row],[Bonus Food/hr]])-TblProd[[#This Row],[Food decay]]-TblProd[[#This Row],[Food eaten]],0)</f>
        <v>1481</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1125.9000000000001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907.19</v>
      </c>
      <c r="AP45" s="94">
        <f ca="1">(1+race_food_consumption)*TblPop[[#This Row],[Total]]*food_per_person*(1+tech_1_10*TblTech[[#This Row],[1-10]]+tech_7_5*TblTech[[#This Row],[7-5]] + IF(TblMagic[[#This Row],[Active Demonic Pact]]&gt;0,demonic_pact_food_cons,0))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104841</v>
      </c>
      <c r="BJ45" s="94">
        <f ca="1">TblProd[[#This Row],[Food]]</f>
        <v>90719</v>
      </c>
      <c r="BK45" s="94">
        <f ca="1">TblProd[[#This Row],[Lumber]]</f>
        <v>43705</v>
      </c>
      <c r="BL45" s="94">
        <f ca="1">TblProd[[#This Row],[Mana]]</f>
        <v>0</v>
      </c>
      <c r="BM45" s="94">
        <f ca="1">TblProd[[#This Row],[Ore]]</f>
        <v>0</v>
      </c>
    </row>
    <row r="46" spans="1:65" x14ac:dyDescent="0.2">
      <c r="A46" s="137">
        <f t="shared" si="0"/>
        <v>7</v>
      </c>
      <c r="B46" s="152">
        <f ca="1">TblImps[[#This Row],[Time]]</f>
        <v>45816.749999999898</v>
      </c>
      <c r="C46" s="153"/>
      <c r="D46" s="154"/>
      <c r="E46" s="94">
        <f ca="1">TblConstr[[#This Row],[Land]]</f>
        <v>50</v>
      </c>
      <c r="F46" s="94">
        <f ca="1">TblPop[[#This Row],[Peasants]]</f>
        <v>413</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105966</v>
      </c>
      <c r="I46" s="94">
        <f ca="1">OFFSET(TblProd[[#This Row],[Food]],-1,0)+OFFSET(TblProd[[#This Row],[Food/hr]],-1,0)+ROUNDUP((TblConstr[[#This Row],[Farms]]*80+TblConstr[[#This Row],[Docks]]*35)*(1+OFFSET(TblProd[[#This Row],[Bonus Food/hr]],-1,0)),0)</f>
        <v>92200</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1115</v>
      </c>
      <c r="T46" s="94">
        <f ca="1">ROUND(TblProd[[#This Row],[Raw Food/hr]]*(1+TblProd[[#This Row],[Bonus Food/hr]])-TblProd[[#This Row],[Food decay]]-TblProd[[#This Row],[Food eaten]],0)</f>
        <v>1466</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1115.1000000000001</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922</v>
      </c>
      <c r="AP46" s="94">
        <f ca="1">(1+race_food_consumption)*TblPop[[#This Row],[Total]]*food_per_person*(1+tech_1_10*TblTech[[#This Row],[1-10]]+tech_7_5*TblTech[[#This Row],[7-5]] + IF(TblMagic[[#This Row],[Active Demonic Pact]]&gt;0,demonic_pact_food_cons,0))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105966</v>
      </c>
      <c r="BJ46" s="94">
        <f ca="1">TblProd[[#This Row],[Food]]</f>
        <v>92200</v>
      </c>
      <c r="BK46" s="94">
        <f ca="1">TblProd[[#This Row],[Lumber]]</f>
        <v>44268</v>
      </c>
      <c r="BL46" s="94">
        <f ca="1">TblProd[[#This Row],[Mana]]</f>
        <v>0</v>
      </c>
      <c r="BM46" s="94">
        <f ca="1">TblProd[[#This Row],[Ore]]</f>
        <v>0</v>
      </c>
    </row>
    <row r="47" spans="1:65" x14ac:dyDescent="0.2">
      <c r="A47" s="137">
        <f t="shared" si="0"/>
        <v>8</v>
      </c>
      <c r="B47" s="152">
        <f ca="1">TblImps[[#This Row],[Time]]</f>
        <v>45816.791666666562</v>
      </c>
      <c r="C47" s="153"/>
      <c r="D47" s="154"/>
      <c r="E47" s="94">
        <f ca="1">TblConstr[[#This Row],[Land]]</f>
        <v>50</v>
      </c>
      <c r="F47" s="94">
        <f ca="1">TblPop[[#This Row],[Peasants]]</f>
        <v>409</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107081</v>
      </c>
      <c r="I47" s="94">
        <f ca="1">OFFSET(TblProd[[#This Row],[Food]],-1,0)+OFFSET(TblProd[[#This Row],[Food/hr]],-1,0)+ROUNDUP((TblConstr[[#This Row],[Farms]]*80+TblConstr[[#This Row],[Docks]]*35)*(1+OFFSET(TblProd[[#This Row],[Bonus Food/hr]],-1,0)),0)</f>
        <v>93666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1104</v>
      </c>
      <c r="T47" s="94">
        <f ca="1">ROUND(TblProd[[#This Row],[Raw Food/hr]]*(1+TblProd[[#This Row],[Bonus Food/hr]])-TblProd[[#This Row],[Food decay]]-TblProd[[#This Row],[Food eaten]],0)</f>
        <v>1451</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1104.3000000000002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936.66</v>
      </c>
      <c r="AP47" s="94">
        <f ca="1">(1+race_food_consumption)*TblPop[[#This Row],[Total]]*food_per_person*(1+tech_1_10*TblTech[[#This Row],[1-10]]+tech_7_5*TblTech[[#This Row],[7-5]] + IF(TblMagic[[#This Row],[Active Demonic Pact]]&gt;0,demonic_pact_food_cons,0))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107081</v>
      </c>
      <c r="BJ47" s="94">
        <f ca="1">TblProd[[#This Row],[Food]]</f>
        <v>93666</v>
      </c>
      <c r="BK47" s="94">
        <f ca="1">TblProd[[#This Row],[Lumber]]</f>
        <v>44825</v>
      </c>
      <c r="BL47" s="94">
        <f ca="1">TblProd[[#This Row],[Mana]]</f>
        <v>0</v>
      </c>
      <c r="BM47" s="94">
        <f ca="1">TblProd[[#This Row],[Ore]]</f>
        <v>0</v>
      </c>
    </row>
    <row r="48" spans="1:65" x14ac:dyDescent="0.2">
      <c r="A48" s="137">
        <f t="shared" si="0"/>
        <v>9</v>
      </c>
      <c r="B48" s="152">
        <f ca="1">TblImps[[#This Row],[Time]]</f>
        <v>45816.833333333227</v>
      </c>
      <c r="C48" s="153"/>
      <c r="D48" s="154"/>
      <c r="E48" s="94">
        <f ca="1">TblConstr[[#This Row],[Land]]</f>
        <v>50</v>
      </c>
      <c r="F48" s="94">
        <f ca="1">TblPop[[#This Row],[Peasants]]</f>
        <v>405</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108185</v>
      </c>
      <c r="I48" s="94">
        <f ca="1">OFFSET(TblProd[[#This Row],[Food]],-1,0)+OFFSET(TblProd[[#This Row],[Food/hr]],-1,0)+ROUNDUP((TblConstr[[#This Row],[Farms]]*80+TblConstr[[#This Row],[Docks]]*35)*(1+OFFSET(TblProd[[#This Row],[Bonus Food/hr]],-1,0)),0)</f>
        <v>95117</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1093</v>
      </c>
      <c r="T48" s="94">
        <f ca="1">ROUND(TblProd[[#This Row],[Raw Food/hr]]*(1+TblProd[[#This Row],[Bonus Food/hr]])-TblProd[[#This Row],[Food decay]]-TblProd[[#This Row],[Food eaten]],0)</f>
        <v>1437</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1093.5</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951.17000000000007</v>
      </c>
      <c r="AP48" s="94">
        <f ca="1">(1+race_food_consumption)*TblPop[[#This Row],[Total]]*food_per_person*(1+tech_1_10*TblTech[[#This Row],[1-10]]+tech_7_5*TblTech[[#This Row],[7-5]] + IF(TblMagic[[#This Row],[Active Demonic Pact]]&gt;0,demonic_pact_food_cons,0))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108185</v>
      </c>
      <c r="BJ48" s="94">
        <f ca="1">TblProd[[#This Row],[Food]]</f>
        <v>95117</v>
      </c>
      <c r="BK48" s="94">
        <f ca="1">TblProd[[#This Row],[Lumber]]</f>
        <v>45377</v>
      </c>
      <c r="BL48" s="94">
        <f ca="1">TblProd[[#This Row],[Mana]]</f>
        <v>0</v>
      </c>
      <c r="BM48" s="94">
        <f ca="1">TblProd[[#This Row],[Ore]]</f>
        <v>0</v>
      </c>
    </row>
    <row r="49" spans="1:65" x14ac:dyDescent="0.2">
      <c r="A49" s="137">
        <f t="shared" si="0"/>
        <v>10</v>
      </c>
      <c r="B49" s="152">
        <f ca="1">TblImps[[#This Row],[Time]]</f>
        <v>45816.874999999891</v>
      </c>
      <c r="C49" s="153"/>
      <c r="D49" s="154"/>
      <c r="E49" s="94">
        <f ca="1">TblConstr[[#This Row],[Land]]</f>
        <v>50</v>
      </c>
      <c r="F49" s="94">
        <f ca="1">TblPop[[#This Row],[Peasants]]</f>
        <v>401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109278</v>
      </c>
      <c r="I49" s="94">
        <f ca="1">OFFSET(TblProd[[#This Row],[Food]],-1,0)+OFFSET(TblProd[[#This Row],[Food/hr]],-1,0)+ROUNDUP((TblConstr[[#This Row],[Farms]]*80+TblConstr[[#This Row],[Docks]]*35)*(1+OFFSET(TblProd[[#This Row],[Bonus Food/hr]],-1,0)),0)</f>
        <v>96554</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1082</v>
      </c>
      <c r="T49" s="94">
        <f ca="1">ROUND(TblProd[[#This Row],[Raw Food/hr]]*(1+TblProd[[#This Row],[Bonus Food/hr]])-TblProd[[#This Row],[Food decay]]-TblProd[[#This Row],[Food eaten]],0)</f>
        <v>1422</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1082.7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965.54</v>
      </c>
      <c r="AP49" s="94">
        <f ca="1">(1+race_food_consumption)*TblPop[[#This Row],[Total]]*food_per_person*(1+tech_1_10*TblTech[[#This Row],[1-10]]+tech_7_5*TblTech[[#This Row],[7-5]] + IF(TblMagic[[#This Row],[Active Demonic Pact]]&gt;0,demonic_pact_food_cons,0))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109278</v>
      </c>
      <c r="BJ49" s="94">
        <f ca="1">TblProd[[#This Row],[Food]]</f>
        <v>96554</v>
      </c>
      <c r="BK49" s="94">
        <f ca="1">TblProd[[#This Row],[Lumber]]</f>
        <v>45923</v>
      </c>
      <c r="BL49" s="94">
        <f ca="1">TblProd[[#This Row],[Mana]]</f>
        <v>0</v>
      </c>
      <c r="BM49" s="94">
        <f ca="1">TblProd[[#This Row],[Ore]]</f>
        <v>0</v>
      </c>
    </row>
    <row r="50" spans="1:65" x14ac:dyDescent="0.2">
      <c r="A50" s="137">
        <f t="shared" si="0"/>
        <v>11</v>
      </c>
      <c r="B50" s="152">
        <f ca="1">TblImps[[#This Row],[Time]]</f>
        <v>45816.916666666555</v>
      </c>
      <c r="C50" s="153"/>
      <c r="D50" s="154"/>
      <c r="E50" s="94">
        <f ca="1">TblConstr[[#This Row],[Land]]</f>
        <v>50</v>
      </c>
      <c r="F50" s="94">
        <f ca="1">TblPop[[#This Row],[Peasants]]</f>
        <v>397</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110360</v>
      </c>
      <c r="I50" s="94">
        <f ca="1">OFFSET(TblProd[[#This Row],[Food]],-1,0)+OFFSET(TblProd[[#This Row],[Food/hr]],-1,0)+ROUNDUP((TblConstr[[#This Row],[Farms]]*80+TblConstr[[#This Row],[Docks]]*35)*(1+OFFSET(TblProd[[#This Row],[Bonus Food/hr]],-1,0)),0)</f>
        <v>97976</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1071</v>
      </c>
      <c r="T50" s="94">
        <f ca="1">ROUND(TblProd[[#This Row],[Raw Food/hr]]*(1+TblProd[[#This Row],[Bonus Food/hr]])-TblProd[[#This Row],[Food decay]]-TblProd[[#This Row],[Food eaten]],0)</f>
        <v>1408</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1071.9000000000001</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979.76</v>
      </c>
      <c r="AP50" s="94">
        <f ca="1">(1+race_food_consumption)*TblPop[[#This Row],[Total]]*food_per_person*(1+tech_1_10*TblTech[[#This Row],[1-10]]+tech_7_5*TblTech[[#This Row],[7-5]] + IF(TblMagic[[#This Row],[Active Demonic Pact]]&gt;0,demonic_pact_food_cons,0))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110360</v>
      </c>
      <c r="BJ50" s="94">
        <f ca="1">TblProd[[#This Row],[Food]]</f>
        <v>97976</v>
      </c>
      <c r="BK50" s="94">
        <f ca="1">TblProd[[#This Row],[Lumber]]</f>
        <v>46464</v>
      </c>
      <c r="BL50" s="94">
        <f ca="1">TblProd[[#This Row],[Mana]]</f>
        <v>0</v>
      </c>
      <c r="BM50" s="94">
        <f ca="1">TblProd[[#This Row],[Ore]]</f>
        <v>0</v>
      </c>
    </row>
    <row r="51" spans="1:65" x14ac:dyDescent="0.2">
      <c r="A51" s="137">
        <f t="shared" si="0"/>
        <v>12</v>
      </c>
      <c r="B51" s="152">
        <f ca="1">TblImps[[#This Row],[Time]]</f>
        <v>45816.958333333219</v>
      </c>
      <c r="C51" s="153"/>
      <c r="D51" s="154"/>
      <c r="E51" s="94">
        <f ca="1">TblConstr[[#This Row],[Land]]</f>
        <v>50</v>
      </c>
      <c r="F51" s="94">
        <f ca="1">TblPop[[#This Row],[Peasants]]</f>
        <v>393</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111431</v>
      </c>
      <c r="I51" s="94">
        <f ca="1">OFFSET(TblProd[[#This Row],[Food]],-1,0)+OFFSET(TblProd[[#This Row],[Food/hr]],-1,0)+ROUNDUP((TblConstr[[#This Row],[Farms]]*80+TblConstr[[#This Row],[Docks]]*35)*(1+OFFSET(TblProd[[#This Row],[Bonus Food/hr]],-1,0)),0)</f>
        <v>99384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1061</v>
      </c>
      <c r="T51" s="94">
        <f ca="1">ROUND(TblProd[[#This Row],[Raw Food/hr]]*(1+TblProd[[#This Row],[Bonus Food/hr]])-TblProd[[#This Row],[Food decay]]-TblProd[[#This Row],[Food eaten]],0)</f>
        <v>1394</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1061.1000000000001</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993.84</v>
      </c>
      <c r="AP51" s="94">
        <f ca="1">(1+race_food_consumption)*TblPop[[#This Row],[Total]]*food_per_person*(1+tech_1_10*TblTech[[#This Row],[1-10]]+tech_7_5*TblTech[[#This Row],[7-5]] + IF(TblMagic[[#This Row],[Active Demonic Pact]]&gt;0,demonic_pact_food_cons,0))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111431</v>
      </c>
      <c r="BJ51" s="94">
        <f ca="1">TblProd[[#This Row],[Food]]</f>
        <v>99384</v>
      </c>
      <c r="BK51" s="94">
        <f ca="1">TblProd[[#This Row],[Lumber]]</f>
        <v>46999</v>
      </c>
      <c r="BL51" s="94">
        <f ca="1">TblProd[[#This Row],[Mana]]</f>
        <v>0</v>
      </c>
      <c r="BM51" s="94">
        <f ca="1">TblProd[[#This Row],[Ore]]</f>
        <v>0</v>
      </c>
    </row>
    <row r="52" spans="1:65" x14ac:dyDescent="0.2">
      <c r="A52" s="137">
        <f t="shared" si="0"/>
        <v>13</v>
      </c>
      <c r="B52" s="152">
        <f ca="1">TblImps[[#This Row],[Time]]</f>
        <v>45816.999999999884</v>
      </c>
      <c r="C52" s="153"/>
      <c r="D52" s="154"/>
      <c r="E52" s="94">
        <f ca="1">TblConstr[[#This Row],[Land]]</f>
        <v>50</v>
      </c>
      <c r="F52" s="94">
        <f ca="1">TblPop[[#This Row],[Peasants]]</f>
        <v>389</v>
      </c>
      <c r="G52" s="94">
        <f ca="1">TblMili[[#This Row],[Networth (2)]]</f>
        <v>1250</v>
      </c>
      <c r="H52" s="94">
        <f ca="1">OFFSET(TblProd[[#This Row],[Platinum]],-1,0)+OFFSET(TblProd[[#This Row],[Plat/hr]],-1,0) - TblProd[[#This Row],[Expenses Platinum]] + IF(TblProd[[#This Row],[Plat Bonus]],TblPop[[#This Row],[Peasants]]*4) + SUM(TblConstr[[#This Row],[Dest Hom]:[Dest Doc]])*TblConstr[[#This Row],[CPA Platinum -DB]]*tech_3_3_2*TblTech[[#This Row],[3-3]]</f>
        <v>112492</v>
      </c>
      <c r="I52" s="94">
        <f ca="1">OFFSET(TblProd[[#This Row],[Food]],-1,0)+OFFSET(TblProd[[#This Row],[Food/hr]],-1,0)+ROUNDUP((TblConstr[[#This Row],[Farms]]*80+TblConstr[[#This Row],[Docks]]*35)*(1+OFFSET(TblProd[[#This Row],[Bonus Food/hr]],-1,0)),0)</f>
        <v>100778</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MAX(3750,_xlfn.CEILING.MATH(TblProd[[#This Row],[Land]]*2.5+OFFSET(TblTech[[#This Row],[Sum of tech]],-1,0)*150))</f>
        <v>3750</v>
      </c>
      <c r="R52" s="142"/>
      <c r="S52" s="94">
        <f ca="1">ROUNDDOWN(TblProd[[#This Row],[Raw Plat/hr]]*(1+TblProd[[#This Row],[Bonus Plat/hr]]),0)</f>
        <v>1050</v>
      </c>
      <c r="T52" s="94">
        <f ca="1">ROUND(TblProd[[#This Row],[Raw Food/hr]]*(1+TblProd[[#This Row],[Bonus Food/hr]])-TblProd[[#This Row],[Food decay]]-TblProd[[#This Row],[Food eaten]],0)</f>
        <v>1380</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1050.3000000000002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1007.78</v>
      </c>
      <c r="AP52" s="94">
        <f ca="1">(1+race_food_consumption)*TblPop[[#This Row],[Total]]*food_per_person*(1+tech_1_10*TblTech[[#This Row],[1-10]]+tech_7_5*TblTech[[#This Row],[7-5]] + IF(TblMagic[[#This Row],[Active Demonic Pact]]&gt;0,demonic_pact_food_cons,0))</f>
        <v>192.25</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45816.999999999884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112492</v>
      </c>
      <c r="BJ52" s="94">
        <f ca="1">TblProd[[#This Row],[Food]]</f>
        <v>100778</v>
      </c>
      <c r="BK52" s="94">
        <f ca="1">TblProd[[#This Row],[Lumber]]</f>
        <v>47529</v>
      </c>
      <c r="BL52" s="94">
        <f ca="1">TblProd[[#This Row],[Mana]]</f>
        <v>0</v>
      </c>
      <c r="BM52" s="94">
        <f ca="1">TblProd[[#This Row],[Ore]]</f>
        <v>0</v>
      </c>
    </row>
    <row r="53" spans="1:65" x14ac:dyDescent="0.2">
      <c r="A53" s="137">
        <f t="shared" si="0"/>
        <v>14</v>
      </c>
      <c r="B53" s="152">
        <f ca="1">TblImps[[#This Row],[Time]]</f>
        <v>45817.041666666548</v>
      </c>
      <c r="C53" s="153"/>
      <c r="D53" s="154"/>
      <c r="E53" s="94">
        <f ca="1">TblConstr[[#This Row],[Land]]</f>
        <v>50</v>
      </c>
      <c r="F53" s="94">
        <f ca="1">TblPop[[#This Row],[Peasants]]</f>
        <v>385</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113542</v>
      </c>
      <c r="I53" s="94">
        <f ca="1">OFFSET(TblProd[[#This Row],[Food]],-1,0)+OFFSET(TblProd[[#This Row],[Food/hr]],-1,0)+ROUNDUP((TblConstr[[#This Row],[Farms]]*80+TblConstr[[#This Row],[Docks]]*35)*(1+OFFSET(TblProd[[#This Row],[Bonus Food/hr]],-1,0)),0)</f>
        <v>102158</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1039</v>
      </c>
      <c r="T53" s="94">
        <f ca="1">ROUND(TblProd[[#This Row],[Raw Food/hr]]*(1+TblProd[[#This Row],[Bonus Food/hr]])-TblProd[[#This Row],[Food decay]]-TblProd[[#This Row],[Food eaten]],0)</f>
        <v>1366</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1039.5</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1021.58</v>
      </c>
      <c r="AP53" s="94">
        <f ca="1">(1+race_food_consumption)*TblPop[[#This Row],[Total]]*food_per_person*(1+tech_1_10*TblTech[[#This Row],[1-10]]+tech_7_5*TblTech[[#This Row],[7-5]] + IF(TblMagic[[#This Row],[Active Demonic Pact]]&gt;0,demonic_pact_food_cons,0))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113542</v>
      </c>
      <c r="BJ53" s="94">
        <f ca="1">TblProd[[#This Row],[Food]]</f>
        <v>102158</v>
      </c>
      <c r="BK53" s="94">
        <f ca="1">TblProd[[#This Row],[Lumber]]</f>
        <v>48054</v>
      </c>
      <c r="BL53" s="94">
        <f ca="1">TblProd[[#This Row],[Mana]]</f>
        <v>0</v>
      </c>
      <c r="BM53" s="94">
        <f ca="1">TblProd[[#This Row],[Ore]]</f>
        <v>0</v>
      </c>
    </row>
    <row r="54" spans="1:65" x14ac:dyDescent="0.2">
      <c r="A54" s="137">
        <f t="shared" si="0"/>
        <v>15</v>
      </c>
      <c r="B54" s="152">
        <f ca="1">TblImps[[#This Row],[Time]]</f>
        <v>45817.083333333212</v>
      </c>
      <c r="C54" s="153"/>
      <c r="D54" s="154"/>
      <c r="E54" s="94">
        <f ca="1">TblConstr[[#This Row],[Land]]</f>
        <v>50</v>
      </c>
      <c r="F54" s="94">
        <f ca="1">TblPop[[#This Row],[Peasants]]</f>
        <v>381</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114581</v>
      </c>
      <c r="I54" s="94">
        <f ca="1">OFFSET(TblProd[[#This Row],[Food]],-1,0)+OFFSET(TblProd[[#This Row],[Food/hr]],-1,0)+ROUNDUP((TblConstr[[#This Row],[Farms]]*80+TblConstr[[#This Row],[Docks]]*35)*(1+OFFSET(TblProd[[#This Row],[Bonus Food/hr]],-1,0)),0)</f>
        <v>103524</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1028</v>
      </c>
      <c r="T54" s="94">
        <f ca="1">ROUND(TblProd[[#This Row],[Raw Food/hr]]*(1+TblProd[[#This Row],[Bonus Food/hr]])-TblProd[[#This Row],[Food decay]]-TblProd[[#This Row],[Food eaten]],0)</f>
        <v>1353</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1028.7</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1035.24</v>
      </c>
      <c r="AP54" s="94">
        <f ca="1">(1+race_food_consumption)*TblPop[[#This Row],[Total]]*food_per_person*(1+tech_1_10*TblTech[[#This Row],[1-10]]+tech_7_5*TblTech[[#This Row],[7-5]] + IF(TblMagic[[#This Row],[Active Demonic Pact]]&gt;0,demonic_pact_food_cons,0))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114581</v>
      </c>
      <c r="BJ54" s="94">
        <f ca="1">TblProd[[#This Row],[Food]]</f>
        <v>103524</v>
      </c>
      <c r="BK54" s="94">
        <f ca="1">TblProd[[#This Row],[Lumber]]</f>
        <v>48573</v>
      </c>
      <c r="BL54" s="94">
        <f ca="1">TblProd[[#This Row],[Mana]]</f>
        <v>0</v>
      </c>
      <c r="BM54" s="94">
        <f ca="1">TblProd[[#This Row],[Ore]]</f>
        <v>0</v>
      </c>
    </row>
    <row r="55" spans="1:65" x14ac:dyDescent="0.2">
      <c r="A55" s="137">
        <f t="shared" si="0"/>
        <v>16</v>
      </c>
      <c r="B55" s="152">
        <f ca="1">TblImps[[#This Row],[Time]]</f>
        <v>45817.124999999876</v>
      </c>
      <c r="C55" s="153"/>
      <c r="D55" s="154"/>
      <c r="E55" s="94">
        <f ca="1">TblConstr[[#This Row],[Land]]</f>
        <v>50</v>
      </c>
      <c r="F55" s="94">
        <f ca="1">TblPop[[#This Row],[Peasants]]</f>
        <v>377</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115609</v>
      </c>
      <c r="I55" s="94">
        <f ca="1">OFFSET(TblProd[[#This Row],[Food]],-1,0)+OFFSET(TblProd[[#This Row],[Food/hr]],-1,0)+ROUNDUP((TblConstr[[#This Row],[Farms]]*80+TblConstr[[#This Row],[Docks]]*35)*(1+OFFSET(TblProd[[#This Row],[Bonus Food/hr]],-1,0)),0)</f>
        <v>104877</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1017</v>
      </c>
      <c r="T55" s="94">
        <f ca="1">ROUND(TblProd[[#This Row],[Raw Food/hr]]*(1+TblProd[[#This Row],[Bonus Food/hr]])-TblProd[[#This Row],[Food decay]]-TblProd[[#This Row],[Food eaten]],0)</f>
        <v>1339</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1017.9000000000001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1048.77</v>
      </c>
      <c r="AP55" s="94">
        <f ca="1">(1+race_food_consumption)*TblPop[[#This Row],[Total]]*food_per_person*(1+tech_1_10*TblTech[[#This Row],[1-10]]+tech_7_5*TblTech[[#This Row],[7-5]] + IF(TblMagic[[#This Row],[Active Demonic Pact]]&gt;0,demonic_pact_food_cons,0))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115609</v>
      </c>
      <c r="BJ55" s="94">
        <f ca="1">TblProd[[#This Row],[Food]]</f>
        <v>104877</v>
      </c>
      <c r="BK55" s="94">
        <f ca="1">TblProd[[#This Row],[Lumber]]</f>
        <v>49087</v>
      </c>
      <c r="BL55" s="94">
        <f ca="1">TblProd[[#This Row],[Mana]]</f>
        <v>0</v>
      </c>
      <c r="BM55" s="94">
        <f ca="1">TblProd[[#This Row],[Ore]]</f>
        <v>0</v>
      </c>
    </row>
    <row r="56" spans="1:65" x14ac:dyDescent="0.2">
      <c r="A56" s="137">
        <f t="shared" si="0"/>
        <v>17</v>
      </c>
      <c r="B56" s="152">
        <f ca="1">TblImps[[#This Row],[Time]]</f>
        <v>45817.166666666541</v>
      </c>
      <c r="C56" s="153"/>
      <c r="D56" s="154"/>
      <c r="E56" s="94">
        <f ca="1">TblConstr[[#This Row],[Land]]</f>
        <v>50</v>
      </c>
      <c r="F56" s="94">
        <f ca="1">TblPop[[#This Row],[Peasants]]</f>
        <v>373</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116626</v>
      </c>
      <c r="I56" s="94">
        <f ca="1">OFFSET(TblProd[[#This Row],[Food]],-1,0)+OFFSET(TblProd[[#This Row],[Food/hr]],-1,0)+ROUNDUP((TblConstr[[#This Row],[Farms]]*80+TblConstr[[#This Row],[Docks]]*35)*(1+OFFSET(TblProd[[#This Row],[Bonus Food/hr]],-1,0)),0)</f>
        <v>106216</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1007</v>
      </c>
      <c r="T56" s="94">
        <f ca="1">ROUND(TblProd[[#This Row],[Raw Food/hr]]*(1+TblProd[[#This Row],[Bonus Food/hr]])-TblProd[[#This Row],[Food decay]]-TblProd[[#This Row],[Food eaten]],0)</f>
        <v>1326</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1007.1</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1062.1600000000001</v>
      </c>
      <c r="AP56" s="94">
        <f ca="1">(1+race_food_consumption)*TblPop[[#This Row],[Total]]*food_per_person*(1+tech_1_10*TblTech[[#This Row],[1-10]]+tech_7_5*TblTech[[#This Row],[7-5]] + IF(TblMagic[[#This Row],[Active Demonic Pact]]&gt;0,demonic_pact_food_cons,0))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116626</v>
      </c>
      <c r="BJ56" s="94">
        <f ca="1">TblProd[[#This Row],[Food]]</f>
        <v>106216</v>
      </c>
      <c r="BK56" s="94">
        <f ca="1">TblProd[[#This Row],[Lumber]]</f>
        <v>49596</v>
      </c>
      <c r="BL56" s="94">
        <f ca="1">TblProd[[#This Row],[Mana]]</f>
        <v>0</v>
      </c>
      <c r="BM56" s="94">
        <f ca="1">TblProd[[#This Row],[Ore]]</f>
        <v>0</v>
      </c>
    </row>
    <row r="57" spans="1:65" x14ac:dyDescent="0.2">
      <c r="A57" s="137">
        <f t="shared" si="0"/>
        <v>18</v>
      </c>
      <c r="B57" s="152">
        <f ca="1">TblImps[[#This Row],[Time]]</f>
        <v>45817.208333333205</v>
      </c>
      <c r="C57" s="153"/>
      <c r="D57" s="154"/>
      <c r="E57" s="94">
        <f ca="1">TblConstr[[#This Row],[Land]]</f>
        <v>50</v>
      </c>
      <c r="F57" s="94">
        <f ca="1">TblPop[[#This Row],[Peasants]]</f>
        <v>369</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117633</v>
      </c>
      <c r="I57" s="94">
        <f ca="1">OFFSET(TblProd[[#This Row],[Food]],-1,0)+OFFSET(TblProd[[#This Row],[Food/hr]],-1,0)+ROUNDUP((TblConstr[[#This Row],[Farms]]*80+TblConstr[[#This Row],[Docks]]*35)*(1+OFFSET(TblProd[[#This Row],[Bonus Food/hr]],-1,0)),0)</f>
        <v>107542</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996</v>
      </c>
      <c r="T57" s="94">
        <f ca="1">ROUND(TblProd[[#This Row],[Raw Food/hr]]*(1+TblProd[[#This Row],[Bonus Food/hr]])-TblProd[[#This Row],[Food decay]]-TblProd[[#This Row],[Food eaten]],0)</f>
        <v>1312</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996.30000000000007</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1075.42</v>
      </c>
      <c r="AP57" s="94">
        <f ca="1">(1+race_food_consumption)*TblPop[[#This Row],[Total]]*food_per_person*(1+tech_1_10*TblTech[[#This Row],[1-10]]+tech_7_5*TblTech[[#This Row],[7-5]] + IF(TblMagic[[#This Row],[Active Demonic Pact]]&gt;0,demonic_pact_food_cons,0))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117633</v>
      </c>
      <c r="BJ57" s="94">
        <f ca="1">TblProd[[#This Row],[Food]]</f>
        <v>107542</v>
      </c>
      <c r="BK57" s="94">
        <f ca="1">TblProd[[#This Row],[Lumber]]</f>
        <v>50100</v>
      </c>
      <c r="BL57" s="94">
        <f ca="1">TblProd[[#This Row],[Mana]]</f>
        <v>0</v>
      </c>
      <c r="BM57" s="94">
        <f ca="1">TblProd[[#This Row],[Ore]]</f>
        <v>0</v>
      </c>
    </row>
    <row r="58" spans="1:65" x14ac:dyDescent="0.2">
      <c r="A58" s="137">
        <f t="shared" si="0"/>
        <v>19</v>
      </c>
      <c r="B58" s="152">
        <f ca="1">TblImps[[#This Row],[Time]]</f>
        <v>45817.249999999869</v>
      </c>
      <c r="C58" s="153"/>
      <c r="D58" s="154"/>
      <c r="E58" s="94">
        <f ca="1">TblConstr[[#This Row],[Land]]</f>
        <v>50</v>
      </c>
      <c r="F58" s="94">
        <f ca="1">TblPop[[#This Row],[Peasants]]</f>
        <v>365</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118629</v>
      </c>
      <c r="I58" s="94">
        <f ca="1">OFFSET(TblProd[[#This Row],[Food]],-1,0)+OFFSET(TblProd[[#This Row],[Food/hr]],-1,0)+ROUNDUP((TblConstr[[#This Row],[Farms]]*80+TblConstr[[#This Row],[Docks]]*35)*(1+OFFSET(TblProd[[#This Row],[Bonus Food/hr]],-1,0)),0)</f>
        <v>108854</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985</v>
      </c>
      <c r="T58" s="94">
        <f ca="1">ROUND(TblProd[[#This Row],[Raw Food/hr]]*(1+TblProd[[#This Row],[Bonus Food/hr]])-TblProd[[#This Row],[Food decay]]-TblProd[[#This Row],[Food eaten]],0)</f>
        <v>1299</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985.50000000000011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1088.54</v>
      </c>
      <c r="AP58" s="94">
        <f ca="1">(1+race_food_consumption)*TblPop[[#This Row],[Total]]*food_per_person*(1+tech_1_10*TblTech[[#This Row],[1-10]]+tech_7_5*TblTech[[#This Row],[7-5]] + IF(TblMagic[[#This Row],[Active Demonic Pact]]&gt;0,demonic_pact_food_cons,0))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118629</v>
      </c>
      <c r="BJ58" s="94">
        <f ca="1">TblProd[[#This Row],[Food]]</f>
        <v>108854</v>
      </c>
      <c r="BK58" s="94">
        <f ca="1">TblProd[[#This Row],[Lumber]]</f>
        <v>50599</v>
      </c>
      <c r="BL58" s="94">
        <f ca="1">TblProd[[#This Row],[Mana]]</f>
        <v>0</v>
      </c>
      <c r="BM58" s="94">
        <f ca="1">TblProd[[#This Row],[Ore]]</f>
        <v>0</v>
      </c>
    </row>
    <row r="59" spans="1:65" x14ac:dyDescent="0.2">
      <c r="A59" s="137">
        <f t="shared" si="0"/>
        <v>20</v>
      </c>
      <c r="B59" s="152">
        <f ca="1">TblImps[[#This Row],[Time]]</f>
        <v>45817.291666666533</v>
      </c>
      <c r="C59" s="153"/>
      <c r="D59" s="154"/>
      <c r="E59" s="94">
        <f ca="1">TblConstr[[#This Row],[Land]]</f>
        <v>50</v>
      </c>
      <c r="F59" s="94">
        <f ca="1">TblPop[[#This Row],[Peasants]]</f>
        <v>361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119614</v>
      </c>
      <c r="I59" s="94">
        <f ca="1">OFFSET(TblProd[[#This Row],[Food]],-1,0)+OFFSET(TblProd[[#This Row],[Food/hr]],-1,0)+ROUNDUP((TblConstr[[#This Row],[Farms]]*80+TblConstr[[#This Row],[Docks]]*35)*(1+OFFSET(TblProd[[#This Row],[Bonus Food/hr]],-1,0)),0)</f>
        <v>110153</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974</v>
      </c>
      <c r="T59" s="94">
        <f ca="1">ROUND(TblProd[[#This Row],[Raw Food/hr]]*(1+TblProd[[#This Row],[Bonus Food/hr]])-TblProd[[#This Row],[Food decay]]-TblProd[[#This Row],[Food eaten]],0)</f>
        <v>1286</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974.7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1101.53</v>
      </c>
      <c r="AP59" s="94">
        <f ca="1">(1+race_food_consumption)*TblPop[[#This Row],[Total]]*food_per_person*(1+tech_1_10*TblTech[[#This Row],[1-10]]+tech_7_5*TblTech[[#This Row],[7-5]] + IF(TblMagic[[#This Row],[Active Demonic Pact]]&gt;0,demonic_pact_food_cons,0))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119614</v>
      </c>
      <c r="BJ59" s="94">
        <f ca="1">TblProd[[#This Row],[Food]]</f>
        <v>110153</v>
      </c>
      <c r="BK59" s="94">
        <f ca="1">TblProd[[#This Row],[Lumber]]</f>
        <v>51093</v>
      </c>
      <c r="BL59" s="94">
        <f ca="1">TblProd[[#This Row],[Mana]]</f>
        <v>0</v>
      </c>
      <c r="BM59" s="94">
        <f ca="1">TblProd[[#This Row],[Ore]]</f>
        <v>0</v>
      </c>
    </row>
    <row r="60" spans="1:65" x14ac:dyDescent="0.2">
      <c r="A60" s="137">
        <f t="shared" si="0"/>
        <v>21</v>
      </c>
      <c r="B60" s="152">
        <f ca="1">TblImps[[#This Row],[Time]]</f>
        <v>45817.333333333198</v>
      </c>
      <c r="C60" s="153"/>
      <c r="D60" s="154"/>
      <c r="E60" s="94">
        <f ca="1">TblConstr[[#This Row],[Land]]</f>
        <v>50</v>
      </c>
      <c r="F60" s="94">
        <f ca="1">TblPop[[#This Row],[Peasants]]</f>
        <v>357</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120588</v>
      </c>
      <c r="I60" s="94">
        <f ca="1">OFFSET(TblProd[[#This Row],[Food]],-1,0)+OFFSET(TblProd[[#This Row],[Food/hr]],-1,0)+ROUNDUP((TblConstr[[#This Row],[Farms]]*80+TblConstr[[#This Row],[Docks]]*35)*(1+OFFSET(TblProd[[#This Row],[Bonus Food/hr]],-1,0)),0)</f>
        <v>111439</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963</v>
      </c>
      <c r="T60" s="94">
        <f ca="1">ROUND(TblProd[[#This Row],[Raw Food/hr]]*(1+TblProd[[#This Row],[Bonus Food/hr]])-TblProd[[#This Row],[Food decay]]-TblProd[[#This Row],[Food eaten]],0)</f>
        <v>1273</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963.90000000000009</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1114.3900000000001</v>
      </c>
      <c r="AP60" s="94">
        <f ca="1">(1+race_food_consumption)*TblPop[[#This Row],[Total]]*food_per_person*(1+tech_1_10*TblTech[[#This Row],[1-10]]+tech_7_5*TblTech[[#This Row],[7-5]] + IF(TblMagic[[#This Row],[Active Demonic Pact]]&gt;0,demonic_pact_food_cons,0))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120588</v>
      </c>
      <c r="BJ60" s="94">
        <f ca="1">TblProd[[#This Row],[Food]]</f>
        <v>111439</v>
      </c>
      <c r="BK60" s="94">
        <f ca="1">TblProd[[#This Row],[Lumber]]</f>
        <v>51582</v>
      </c>
      <c r="BL60" s="94">
        <f ca="1">TblProd[[#This Row],[Mana]]</f>
        <v>0</v>
      </c>
      <c r="BM60" s="94">
        <f ca="1">TblProd[[#This Row],[Ore]]</f>
        <v>0</v>
      </c>
    </row>
    <row r="61" spans="1:65" x14ac:dyDescent="0.2">
      <c r="A61" s="137">
        <f t="shared" si="0"/>
        <v>22</v>
      </c>
      <c r="B61" s="152">
        <f ca="1">TblImps[[#This Row],[Time]]</f>
        <v>45817.374999999862</v>
      </c>
      <c r="C61" s="153"/>
      <c r="D61" s="154"/>
      <c r="E61" s="94">
        <f ca="1">TblConstr[[#This Row],[Land]]</f>
        <v>50</v>
      </c>
      <c r="F61" s="94">
        <f ca="1">TblPop[[#This Row],[Peasants]]</f>
        <v>353</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121551</v>
      </c>
      <c r="I61" s="94">
        <f ca="1">OFFSET(TblProd[[#This Row],[Food]],-1,0)+OFFSET(TblProd[[#This Row],[Food/hr]],-1,0)+ROUNDUP((TblConstr[[#This Row],[Farms]]*80+TblConstr[[#This Row],[Docks]]*35)*(1+OFFSET(TblProd[[#This Row],[Bonus Food/hr]],-1,0)),0)</f>
        <v>112712</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953</v>
      </c>
      <c r="T61" s="94">
        <f ca="1">ROUND(TblProd[[#This Row],[Raw Food/hr]]*(1+TblProd[[#This Row],[Bonus Food/hr]])-TblProd[[#This Row],[Food decay]]-TblProd[[#This Row],[Food eaten]],0)</f>
        <v>1261</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953.1</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1127.1200000000001</v>
      </c>
      <c r="AP61" s="94">
        <f ca="1">(1+race_food_consumption)*TblPop[[#This Row],[Total]]*food_per_person*(1+tech_1_10*TblTech[[#This Row],[1-10]]+tech_7_5*TblTech[[#This Row],[7-5]] + IF(TblMagic[[#This Row],[Active Demonic Pact]]&gt;0,demonic_pact_food_cons,0))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121551</v>
      </c>
      <c r="BJ61" s="94">
        <f ca="1">TblProd[[#This Row],[Food]]</f>
        <v>112712</v>
      </c>
      <c r="BK61" s="94">
        <f ca="1">TblProd[[#This Row],[Lumber]]</f>
        <v>52066</v>
      </c>
      <c r="BL61" s="94">
        <f ca="1">TblProd[[#This Row],[Mana]]</f>
        <v>0</v>
      </c>
      <c r="BM61" s="94">
        <f ca="1">TblProd[[#This Row],[Ore]]</f>
        <v>0</v>
      </c>
    </row>
    <row r="62" spans="1:65" x14ac:dyDescent="0.2">
      <c r="A62" s="137">
        <f t="shared" si="0"/>
        <v>23</v>
      </c>
      <c r="B62" s="152">
        <f ca="1">TblImps[[#This Row],[Time]]</f>
        <v>45817.416666666526</v>
      </c>
      <c r="C62" s="153"/>
      <c r="D62" s="154"/>
      <c r="E62" s="94">
        <f ca="1">TblConstr[[#This Row],[Land]]</f>
        <v>50</v>
      </c>
      <c r="F62" s="94">
        <f ca="1">TblPop[[#This Row],[Peasants]]</f>
        <v>349</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122504</v>
      </c>
      <c r="I62" s="94">
        <f ca="1">OFFSET(TblProd[[#This Row],[Food]],-1,0)+OFFSET(TblProd[[#This Row],[Food/hr]],-1,0)+ROUNDUP((TblConstr[[#This Row],[Farms]]*80+TblConstr[[#This Row],[Docks]]*35)*(1+OFFSET(TblProd[[#This Row],[Bonus Food/hr]],-1,0)),0)</f>
        <v>113973</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942</v>
      </c>
      <c r="T62" s="94">
        <f ca="1">ROUND(TblProd[[#This Row],[Raw Food/hr]]*(1+TblProd[[#This Row],[Bonus Food/hr]])-TblProd[[#This Row],[Food decay]]-TblProd[[#This Row],[Food eaten]],0)</f>
        <v>1248</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942.30000000000007</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1139.73</v>
      </c>
      <c r="AP62" s="94">
        <f ca="1">(1+race_food_consumption)*TblPop[[#This Row],[Total]]*food_per_person*(1+tech_1_10*TblTech[[#This Row],[1-10]]+tech_7_5*TblTech[[#This Row],[7-5]] + IF(TblMagic[[#This Row],[Active Demonic Pact]]&gt;0,demonic_pact_food_cons,0))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122504</v>
      </c>
      <c r="BJ62" s="94">
        <f ca="1">TblProd[[#This Row],[Food]]</f>
        <v>113973</v>
      </c>
      <c r="BK62" s="94">
        <f ca="1">TblProd[[#This Row],[Lumber]]</f>
        <v>52545</v>
      </c>
      <c r="BL62" s="94">
        <f ca="1">TblProd[[#This Row],[Mana]]</f>
        <v>0</v>
      </c>
      <c r="BM62" s="94">
        <f ca="1">TblProd[[#This Row],[Ore]]</f>
        <v>0</v>
      </c>
    </row>
    <row r="63" spans="1:65" x14ac:dyDescent="0.2">
      <c r="A63" s="137">
        <f t="shared" si="0"/>
        <v>24</v>
      </c>
      <c r="B63" s="152">
        <f ca="1">TblImps[[#This Row],[Time]]</f>
        <v>45817.45833333319</v>
      </c>
      <c r="C63" s="153"/>
      <c r="D63" s="154"/>
      <c r="E63" s="94">
        <f ca="1">TblConstr[[#This Row],[Land]]</f>
        <v>50</v>
      </c>
      <c r="F63" s="94">
        <f ca="1">TblPop[[#This Row],[Peasants]]</f>
        <v>346</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123446</v>
      </c>
      <c r="I63" s="94">
        <f ca="1">OFFSET(TblProd[[#This Row],[Food]],-1,0)+OFFSET(TblProd[[#This Row],[Food/hr]],-1,0)+ROUNDUP((TblConstr[[#This Row],[Farms]]*80+TblConstr[[#This Row],[Docks]]*35)*(1+OFFSET(TblProd[[#This Row],[Bonus Food/hr]],-1,0)),0)</f>
        <v>115221</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934</v>
      </c>
      <c r="T63" s="94">
        <f ca="1">ROUND(TblProd[[#This Row],[Raw Food/hr]]*(1+TblProd[[#This Row],[Bonus Food/hr]])-TblProd[[#This Row],[Food decay]]-TblProd[[#This Row],[Food eaten]],0)</f>
        <v>1236</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934.2</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1152.21</v>
      </c>
      <c r="AP63" s="94">
        <f ca="1">(1+race_food_consumption)*TblPop[[#This Row],[Total]]*food_per_person*(1+tech_1_10*TblTech[[#This Row],[1-10]]+tech_7_5*TblTech[[#This Row],[7-5]] + IF(TblMagic[[#This Row],[Active Demonic Pact]]&gt;0,demonic_pact_food_cons,0))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123446</v>
      </c>
      <c r="BJ63" s="94">
        <f ca="1">TblProd[[#This Row],[Food]]</f>
        <v>115221</v>
      </c>
      <c r="BK63" s="94">
        <f ca="1">TblProd[[#This Row],[Lumber]]</f>
        <v>53020</v>
      </c>
      <c r="BL63" s="94">
        <f ca="1">TblProd[[#This Row],[Mana]]</f>
        <v>0</v>
      </c>
      <c r="BM63" s="94">
        <f ca="1">TblProd[[#This Row],[Ore]]</f>
        <v>0</v>
      </c>
    </row>
    <row r="64" spans="1:65" x14ac:dyDescent="0.2">
      <c r="A64" s="137">
        <f t="shared" si="0"/>
        <v>25</v>
      </c>
      <c r="B64" s="152">
        <f ca="1">TblImps[[#This Row],[Time]]</f>
        <v>45817.499999999854</v>
      </c>
      <c r="C64" s="153"/>
      <c r="D64" s="154"/>
      <c r="E64" s="94">
        <f ca="1">TblConstr[[#This Row],[Land]]</f>
        <v>50</v>
      </c>
      <c r="F64" s="94">
        <f ca="1">TblPop[[#This Row],[Peasants]]</f>
        <v>343</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124380</v>
      </c>
      <c r="I64" s="94">
        <f ca="1">OFFSET(TblProd[[#This Row],[Food]],-1,0)+OFFSET(TblProd[[#This Row],[Food/hr]],-1,0)+ROUNDUP((TblConstr[[#This Row],[Farms]]*80+TblConstr[[#This Row],[Docks]]*35)*(1+OFFSET(TblProd[[#This Row],[Bonus Food/hr]],-1,0)),0)</f>
        <v>116457</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926</v>
      </c>
      <c r="T64" s="94">
        <f ca="1">ROUND(TblProd[[#This Row],[Raw Food/hr]]*(1+TblProd[[#This Row],[Bonus Food/hr]])-TblProd[[#This Row],[Food decay]]-TblProd[[#This Row],[Food eaten]],0)</f>
        <v>1223</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926.1</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1164.57</v>
      </c>
      <c r="AP64" s="94">
        <f ca="1">(1+race_food_consumption)*TblPop[[#This Row],[Total]]*food_per_person*(1+tech_1_10*TblTech[[#This Row],[1-10]]+tech_7_5*TblTech[[#This Row],[7-5]] + IF(TblMagic[[#This Row],[Active Demonic Pact]]&gt;0,demonic_pact_food_cons,0))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124380</v>
      </c>
      <c r="BJ64" s="94">
        <f ca="1">TblProd[[#This Row],[Food]]</f>
        <v>116457</v>
      </c>
      <c r="BK64" s="94">
        <f ca="1">TblProd[[#This Row],[Lumber]]</f>
        <v>53490</v>
      </c>
      <c r="BL64" s="94">
        <f ca="1">TblProd[[#This Row],[Mana]]</f>
        <v>0</v>
      </c>
      <c r="BM64" s="94">
        <f ca="1">TblProd[[#This Row],[Ore]]</f>
        <v>0</v>
      </c>
    </row>
    <row r="65" spans="1:65" x14ac:dyDescent="0.2">
      <c r="A65" s="137">
        <f t="shared" si="0"/>
        <v>26</v>
      </c>
      <c r="B65" s="152">
        <f ca="1">TblImps[[#This Row],[Time]]</f>
        <v>45817.541666666519</v>
      </c>
      <c r="C65" s="153"/>
      <c r="D65" s="154"/>
      <c r="E65" s="94">
        <f ca="1">TblConstr[[#This Row],[Land]]</f>
        <v>50</v>
      </c>
      <c r="F65" s="94">
        <f ca="1">TblPop[[#This Row],[Peasants]]</f>
        <v>340</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125306</v>
      </c>
      <c r="I65" s="94">
        <f ca="1">OFFSET(TblProd[[#This Row],[Food]],-1,0)+OFFSET(TblProd[[#This Row],[Food/hr]],-1,0)+ROUNDUP((TblConstr[[#This Row],[Farms]]*80+TblConstr[[#This Row],[Docks]]*35)*(1+OFFSET(TblProd[[#This Row],[Bonus Food/hr]],-1,0)),0)</f>
        <v>117680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918</v>
      </c>
      <c r="T65" s="94">
        <f ca="1">ROUND(TblProd[[#This Row],[Raw Food/hr]]*(1+TblProd[[#This Row],[Bonus Food/hr]])-TblProd[[#This Row],[Food decay]]-TblProd[[#This Row],[Food eaten]],0)</f>
        <v>1211</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918.00000000000011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1176.8</v>
      </c>
      <c r="AP65" s="94">
        <f ca="1">(1+race_food_consumption)*TblPop[[#This Row],[Total]]*food_per_person*(1+tech_1_10*TblTech[[#This Row],[1-10]]+tech_7_5*TblTech[[#This Row],[7-5]] + IF(TblMagic[[#This Row],[Active Demonic Pact]]&gt;0,demonic_pact_food_cons,0))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125306</v>
      </c>
      <c r="BJ65" s="94">
        <f ca="1">TblProd[[#This Row],[Food]]</f>
        <v>117680</v>
      </c>
      <c r="BK65" s="94">
        <f ca="1">TblProd[[#This Row],[Lumber]]</f>
        <v>53955</v>
      </c>
      <c r="BL65" s="94">
        <f ca="1">TblProd[[#This Row],[Mana]]</f>
        <v>0</v>
      </c>
      <c r="BM65" s="94">
        <f ca="1">TblProd[[#This Row],[Ore]]</f>
        <v>0</v>
      </c>
    </row>
    <row r="66" spans="1:65" x14ac:dyDescent="0.2">
      <c r="A66" s="137">
        <f t="shared" si="0"/>
        <v>27</v>
      </c>
      <c r="B66" s="152">
        <f ca="1">TblImps[[#This Row],[Time]]</f>
        <v>45817.583333333183</v>
      </c>
      <c r="C66" s="153"/>
      <c r="D66" s="154"/>
      <c r="E66" s="94">
        <f ca="1">TblConstr[[#This Row],[Land]]</f>
        <v>50</v>
      </c>
      <c r="F66" s="94">
        <f ca="1">TblPop[[#This Row],[Peasants]]</f>
        <v>337</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126224</v>
      </c>
      <c r="I66" s="94">
        <f ca="1">OFFSET(TblProd[[#This Row],[Food]],-1,0)+OFFSET(TblProd[[#This Row],[Food/hr]],-1,0)+ROUNDUP((TblConstr[[#This Row],[Farms]]*80+TblConstr[[#This Row],[Docks]]*35)*(1+OFFSET(TblProd[[#This Row],[Bonus Food/hr]],-1,0)),0)</f>
        <v>118891</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909</v>
      </c>
      <c r="T66" s="94">
        <f ca="1">ROUND(TblProd[[#This Row],[Raw Food/hr]]*(1+TblProd[[#This Row],[Bonus Food/hr]])-TblProd[[#This Row],[Food decay]]-TblProd[[#This Row],[Food eaten]],0)</f>
        <v>1199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909.90000000000009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1188.9100000000001</v>
      </c>
      <c r="AP66" s="94">
        <f ca="1">(1+race_food_consumption)*TblPop[[#This Row],[Total]]*food_per_person*(1+tech_1_10*TblTech[[#This Row],[1-10]]+tech_7_5*TblTech[[#This Row],[7-5]] + IF(TblMagic[[#This Row],[Active Demonic Pact]]&gt;0,demonic_pact_food_cons,0))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126224</v>
      </c>
      <c r="BJ66" s="94">
        <f ca="1">TblProd[[#This Row],[Food]]</f>
        <v>118891</v>
      </c>
      <c r="BK66" s="94">
        <f ca="1">TblProd[[#This Row],[Lumber]]</f>
        <v>54415</v>
      </c>
      <c r="BL66" s="94">
        <f ca="1">TblProd[[#This Row],[Mana]]</f>
        <v>0</v>
      </c>
      <c r="BM66" s="94">
        <f ca="1">TblProd[[#This Row],[Ore]]</f>
        <v>0</v>
      </c>
    </row>
    <row r="67" spans="1:65" x14ac:dyDescent="0.2">
      <c r="A67" s="137">
        <f t="shared" si="0"/>
        <v>28</v>
      </c>
      <c r="B67" s="152">
        <f ca="1">TblImps[[#This Row],[Time]]</f>
        <v>45817.624999999847</v>
      </c>
      <c r="C67" s="153"/>
      <c r="D67" s="154"/>
      <c r="E67" s="94">
        <f ca="1">TblConstr[[#This Row],[Land]]</f>
        <v>50</v>
      </c>
      <c r="F67" s="94">
        <f ca="1">TblPop[[#This Row],[Peasants]]</f>
        <v>334</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127133</v>
      </c>
      <c r="I67" s="94">
        <f ca="1">OFFSET(TblProd[[#This Row],[Food]],-1,0)+OFFSET(TblProd[[#This Row],[Food/hr]],-1,0)+ROUNDUP((TblConstr[[#This Row],[Farms]]*80+TblConstr[[#This Row],[Docks]]*35)*(1+OFFSET(TblProd[[#This Row],[Bonus Food/hr]],-1,0)),0)</f>
        <v>120090</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901</v>
      </c>
      <c r="T67" s="94">
        <f ca="1">ROUND(TblProd[[#This Row],[Raw Food/hr]]*(1+TblProd[[#This Row],[Bonus Food/hr]])-TblProd[[#This Row],[Food decay]]-TblProd[[#This Row],[Food eaten]],0)</f>
        <v>1187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901.80000000000007</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1200.9000000000001</v>
      </c>
      <c r="AP67" s="94">
        <f ca="1">(1+race_food_consumption)*TblPop[[#This Row],[Total]]*food_per_person*(1+tech_1_10*TblTech[[#This Row],[1-10]]+tech_7_5*TblTech[[#This Row],[7-5]] + IF(TblMagic[[#This Row],[Active Demonic Pact]]&gt;0,demonic_pact_food_cons,0))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127133</v>
      </c>
      <c r="BJ67" s="94">
        <f ca="1">TblProd[[#This Row],[Food]]</f>
        <v>120090</v>
      </c>
      <c r="BK67" s="94">
        <f ca="1">TblProd[[#This Row],[Lumber]]</f>
        <v>54871</v>
      </c>
      <c r="BL67" s="94">
        <f ca="1">TblProd[[#This Row],[Mana]]</f>
        <v>0</v>
      </c>
      <c r="BM67" s="94">
        <f ca="1">TblProd[[#This Row],[Ore]]</f>
        <v>0</v>
      </c>
    </row>
    <row r="68" spans="1:65" x14ac:dyDescent="0.2">
      <c r="A68" s="137">
        <f t="shared" si="0"/>
        <v>29</v>
      </c>
      <c r="B68" s="152">
        <f ca="1">TblImps[[#This Row],[Time]]</f>
        <v>45817.666666666511</v>
      </c>
      <c r="C68" s="153"/>
      <c r="D68" s="154"/>
      <c r="E68" s="94">
        <f ca="1">TblConstr[[#This Row],[Land]]</f>
        <v>50</v>
      </c>
      <c r="F68" s="94">
        <f ca="1">TblPop[[#This Row],[Peasants]]</f>
        <v>331</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128034</v>
      </c>
      <c r="I68" s="94">
        <f ca="1">OFFSET(TblProd[[#This Row],[Food]],-1,0)+OFFSET(TblProd[[#This Row],[Food/hr]],-1,0)+ROUNDUP((TblConstr[[#This Row],[Farms]]*80+TblConstr[[#This Row],[Docks]]*35)*(1+OFFSET(TblProd[[#This Row],[Bonus Food/hr]],-1,0)),0)</f>
        <v>121277</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893</v>
      </c>
      <c r="T68" s="94">
        <f ca="1">ROUND(TblProd[[#This Row],[Raw Food/hr]]*(1+TblProd[[#This Row],[Bonus Food/hr]])-TblProd[[#This Row],[Food decay]]-TblProd[[#This Row],[Food eaten]],0)</f>
        <v>1175</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893.7</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1212.77</v>
      </c>
      <c r="AP68" s="94">
        <f ca="1">(1+race_food_consumption)*TblPop[[#This Row],[Total]]*food_per_person*(1+tech_1_10*TblTech[[#This Row],[1-10]]+tech_7_5*TblTech[[#This Row],[7-5]] + IF(TblMagic[[#This Row],[Active Demonic Pact]]&gt;0,demonic_pact_food_cons,0))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128034</v>
      </c>
      <c r="BJ68" s="94">
        <f ca="1">TblProd[[#This Row],[Food]]</f>
        <v>121277</v>
      </c>
      <c r="BK68" s="94">
        <f ca="1">TblProd[[#This Row],[Lumber]]</f>
        <v>55322</v>
      </c>
      <c r="BL68" s="94">
        <f ca="1">TblProd[[#This Row],[Mana]]</f>
        <v>0</v>
      </c>
      <c r="BM68" s="94">
        <f ca="1">TblProd[[#This Row],[Ore]]</f>
        <v>0</v>
      </c>
    </row>
    <row r="69" spans="1:65" x14ac:dyDescent="0.2">
      <c r="A69" s="137">
        <f t="shared" si="0"/>
        <v>30</v>
      </c>
      <c r="B69" s="152">
        <f ca="1">TblImps[[#This Row],[Time]]</f>
        <v>45817.708333333176</v>
      </c>
      <c r="C69" s="153"/>
      <c r="D69" s="154"/>
      <c r="E69" s="94">
        <f ca="1">TblConstr[[#This Row],[Land]]</f>
        <v>50</v>
      </c>
      <c r="F69" s="94">
        <f ca="1">TblPop[[#This Row],[Peasants]]</f>
        <v>328</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128927</v>
      </c>
      <c r="I69" s="94">
        <f ca="1">OFFSET(TblProd[[#This Row],[Food]],-1,0)+OFFSET(TblProd[[#This Row],[Food/hr]],-1,0)+ROUNDUP((TblConstr[[#This Row],[Farms]]*80+TblConstr[[#This Row],[Docks]]*35)*(1+OFFSET(TblProd[[#This Row],[Bonus Food/hr]],-1,0)),0)</f>
        <v>122452</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885</v>
      </c>
      <c r="T69" s="94">
        <f ca="1">ROUND(TblProd[[#This Row],[Raw Food/hr]]*(1+TblProd[[#This Row],[Bonus Food/hr]])-TblProd[[#This Row],[Food decay]]-TblProd[[#This Row],[Food eaten]],0)</f>
        <v>1163</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885.6</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1224.52</v>
      </c>
      <c r="AP69" s="94">
        <f ca="1">(1+race_food_consumption)*TblPop[[#This Row],[Total]]*food_per_person*(1+tech_1_10*TblTech[[#This Row],[1-10]]+tech_7_5*TblTech[[#This Row],[7-5]] + IF(TblMagic[[#This Row],[Active Demonic Pact]]&gt;0,demonic_pact_food_cons,0))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128927</v>
      </c>
      <c r="BJ69" s="94">
        <f ca="1">TblProd[[#This Row],[Food]]</f>
        <v>122452</v>
      </c>
      <c r="BK69" s="94">
        <f ca="1">TblProd[[#This Row],[Lumber]]</f>
        <v>55769</v>
      </c>
      <c r="BL69" s="94">
        <f ca="1">TblProd[[#This Row],[Mana]]</f>
        <v>0</v>
      </c>
      <c r="BM69" s="94">
        <f ca="1">TblProd[[#This Row],[Ore]]</f>
        <v>0</v>
      </c>
    </row>
    <row r="70" spans="1:65" x14ac:dyDescent="0.2">
      <c r="A70" s="137">
        <f t="shared" si="0"/>
        <v>31</v>
      </c>
      <c r="B70" s="152">
        <f ca="1">TblImps[[#This Row],[Time]]</f>
        <v>45817.74999999984</v>
      </c>
      <c r="C70" s="153"/>
      <c r="D70" s="154"/>
      <c r="E70" s="94">
        <f ca="1">TblConstr[[#This Row],[Land]]</f>
        <v>50</v>
      </c>
      <c r="F70" s="94">
        <f ca="1">TblPop[[#This Row],[Peasants]]</f>
        <v>325</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129812</v>
      </c>
      <c r="I70" s="94">
        <f ca="1">OFFSET(TblProd[[#This Row],[Food]],-1,0)+OFFSET(TblProd[[#This Row],[Food/hr]],-1,0)+ROUNDUP((TblConstr[[#This Row],[Farms]]*80+TblConstr[[#This Row],[Docks]]*35)*(1+OFFSET(TblProd[[#This Row],[Bonus Food/hr]],-1,0)),0)</f>
        <v>123615</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877</v>
      </c>
      <c r="T70" s="94">
        <f ca="1">ROUND(TblProd[[#This Row],[Raw Food/hr]]*(1+TblProd[[#This Row],[Bonus Food/hr]])-TblProd[[#This Row],[Food decay]]-TblProd[[#This Row],[Food eaten]],0)</f>
        <v>1152</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877.50000000000011</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1236.1500000000001</v>
      </c>
      <c r="AP70" s="94">
        <f ca="1">(1+race_food_consumption)*TblPop[[#This Row],[Total]]*food_per_person*(1+tech_1_10*TblTech[[#This Row],[1-10]]+tech_7_5*TblTech[[#This Row],[7-5]] + IF(TblMagic[[#This Row],[Active Demonic Pact]]&gt;0,demonic_pact_food_cons,0))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129812</v>
      </c>
      <c r="BJ70" s="94">
        <f ca="1">TblProd[[#This Row],[Food]]</f>
        <v>123615</v>
      </c>
      <c r="BK70" s="94">
        <f ca="1">TblProd[[#This Row],[Lumber]]</f>
        <v>56211</v>
      </c>
      <c r="BL70" s="94">
        <f ca="1">TblProd[[#This Row],[Mana]]</f>
        <v>0</v>
      </c>
      <c r="BM70" s="94">
        <f ca="1">TblProd[[#This Row],[Ore]]</f>
        <v>0</v>
      </c>
    </row>
    <row r="71" spans="1:65" x14ac:dyDescent="0.2">
      <c r="A71" s="137">
        <f t="shared" si="0"/>
        <v>32</v>
      </c>
      <c r="B71" s="152">
        <f ca="1">TblImps[[#This Row],[Time]]</f>
        <v>45817.791666666504</v>
      </c>
      <c r="C71" s="153"/>
      <c r="D71" s="154"/>
      <c r="E71" s="94">
        <f ca="1">TblConstr[[#This Row],[Land]]</f>
        <v>50</v>
      </c>
      <c r="F71" s="94">
        <f ca="1">TblPop[[#This Row],[Peasants]]</f>
        <v>322</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130689</v>
      </c>
      <c r="I71" s="94">
        <f ca="1">OFFSET(TblProd[[#This Row],[Food]],-1,0)+OFFSET(TblProd[[#This Row],[Food/hr]],-1,0)+ROUNDUP((TblConstr[[#This Row],[Farms]]*80+TblConstr[[#This Row],[Docks]]*35)*(1+OFFSET(TblProd[[#This Row],[Bonus Food/hr]],-1,0)),0)</f>
        <v>124767</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869</v>
      </c>
      <c r="T71" s="94">
        <f ca="1">ROUND(TblProd[[#This Row],[Raw Food/hr]]*(1+TblProd[[#This Row],[Bonus Food/hr]])-TblProd[[#This Row],[Food decay]]-TblProd[[#This Row],[Food eaten]],0)</f>
        <v>1140</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869.40000000000009</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1247.67</v>
      </c>
      <c r="AP71" s="94">
        <f ca="1">(1+race_food_consumption)*TblPop[[#This Row],[Total]]*food_per_person*(1+tech_1_10*TblTech[[#This Row],[1-10]]+tech_7_5*TblTech[[#This Row],[7-5]] + IF(TblMagic[[#This Row],[Active Demonic Pact]]&gt;0,demonic_pact_food_cons,0))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130689</v>
      </c>
      <c r="BJ71" s="94">
        <f ca="1">TblProd[[#This Row],[Food]]</f>
        <v>124767</v>
      </c>
      <c r="BK71" s="94">
        <f ca="1">TblProd[[#This Row],[Lumber]]</f>
        <v>56649</v>
      </c>
      <c r="BL71" s="94">
        <f ca="1">TblProd[[#This Row],[Mana]]</f>
        <v>0</v>
      </c>
      <c r="BM71" s="94">
        <f ca="1">TblProd[[#This Row],[Ore]]</f>
        <v>0</v>
      </c>
    </row>
    <row r="72" spans="1:65" x14ac:dyDescent="0.2">
      <c r="A72" s="137">
        <f t="shared" si="0"/>
        <v>33</v>
      </c>
      <c r="B72" s="152">
        <f ca="1">TblImps[[#This Row],[Time]]</f>
        <v>45817.833333333168</v>
      </c>
      <c r="C72" s="153"/>
      <c r="D72" s="154"/>
      <c r="E72" s="94">
        <f ca="1">TblConstr[[#This Row],[Land]]</f>
        <v>50</v>
      </c>
      <c r="F72" s="94">
        <f ca="1">TblPop[[#This Row],[Peasants]]</f>
        <v>319</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131558</v>
      </c>
      <c r="I72" s="94">
        <f ca="1">OFFSET(TblProd[[#This Row],[Food]],-1,0)+OFFSET(TblProd[[#This Row],[Food/hr]],-1,0)+ROUNDUP((TblConstr[[#This Row],[Farms]]*80+TblConstr[[#This Row],[Docks]]*35)*(1+OFFSET(TblProd[[#This Row],[Bonus Food/hr]],-1,0)),0)</f>
        <v>125907</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861</v>
      </c>
      <c r="T72" s="94">
        <f ca="1">ROUND(TblProd[[#This Row],[Raw Food/hr]]*(1+TblProd[[#This Row],[Bonus Food/hr]])-TblProd[[#This Row],[Food decay]]-TblProd[[#This Row],[Food eaten]],0)</f>
        <v>1129</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861.30000000000007</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1259.07</v>
      </c>
      <c r="AP72" s="94">
        <f ca="1">(1+race_food_consumption)*TblPop[[#This Row],[Total]]*food_per_person*(1+tech_1_10*TblTech[[#This Row],[1-10]]+tech_7_5*TblTech[[#This Row],[7-5]] + IF(TblMagic[[#This Row],[Active Demonic Pact]]&gt;0,demonic_pact_food_cons,0))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131558</v>
      </c>
      <c r="BJ72" s="94">
        <f ca="1">TblProd[[#This Row],[Food]]</f>
        <v>125907</v>
      </c>
      <c r="BK72" s="94">
        <f ca="1">TblProd[[#This Row],[Lumber]]</f>
        <v>57083</v>
      </c>
      <c r="BL72" s="94">
        <f ca="1">TblProd[[#This Row],[Mana]]</f>
        <v>0</v>
      </c>
      <c r="BM72" s="94">
        <f ca="1">TblProd[[#This Row],[Ore]]</f>
        <v>0</v>
      </c>
    </row>
    <row r="73" spans="1:65" x14ac:dyDescent="0.2">
      <c r="A73" s="137">
        <f t="shared" si="0"/>
        <v>34</v>
      </c>
      <c r="B73" s="152">
        <f ca="1">TblImps[[#This Row],[Time]]</f>
        <v>45817.874999999833</v>
      </c>
      <c r="C73" s="153"/>
      <c r="D73" s="154"/>
      <c r="E73" s="94">
        <f ca="1">TblConstr[[#This Row],[Land]]</f>
        <v>50</v>
      </c>
      <c r="F73" s="94">
        <f ca="1">TblPop[[#This Row],[Peasants]]</f>
        <v>316</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132419</v>
      </c>
      <c r="I73" s="94">
        <f ca="1">OFFSET(TblProd[[#This Row],[Food]],-1,0)+OFFSET(TblProd[[#This Row],[Food/hr]],-1,0)+ROUNDUP((TblConstr[[#This Row],[Farms]]*80+TblConstr[[#This Row],[Docks]]*35)*(1+OFFSET(TblProd[[#This Row],[Bonus Food/hr]],-1,0)),0)</f>
        <v>127036</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853</v>
      </c>
      <c r="T73" s="94">
        <f ca="1">ROUND(TblProd[[#This Row],[Raw Food/hr]]*(1+TblProd[[#This Row],[Bonus Food/hr]])-TblProd[[#This Row],[Food decay]]-TblProd[[#This Row],[Food eaten]],0)</f>
        <v>1117</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853.2</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1270.3600000000001</v>
      </c>
      <c r="AP73" s="94">
        <f ca="1">(1+race_food_consumption)*TblPop[[#This Row],[Total]]*food_per_person*(1+tech_1_10*TblTech[[#This Row],[1-10]]+tech_7_5*TblTech[[#This Row],[7-5]] + IF(TblMagic[[#This Row],[Active Demonic Pact]]&gt;0,demonic_pact_food_cons,0))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132419</v>
      </c>
      <c r="BJ73" s="94">
        <f ca="1">TblProd[[#This Row],[Food]]</f>
        <v>127036</v>
      </c>
      <c r="BK73" s="94">
        <f ca="1">TblProd[[#This Row],[Lumber]]</f>
        <v>57512</v>
      </c>
      <c r="BL73" s="94">
        <f ca="1">TblProd[[#This Row],[Mana]]</f>
        <v>0</v>
      </c>
      <c r="BM73" s="94">
        <f ca="1">TblProd[[#This Row],[Ore]]</f>
        <v>0</v>
      </c>
    </row>
    <row r="74" spans="1:65" x14ac:dyDescent="0.2">
      <c r="A74" s="137">
        <f t="shared" si="0"/>
        <v>35</v>
      </c>
      <c r="B74" s="152">
        <f ca="1">TblImps[[#This Row],[Time]]</f>
        <v>45817.916666666497</v>
      </c>
      <c r="C74" s="153"/>
      <c r="D74" s="154"/>
      <c r="E74" s="94">
        <f ca="1">TblConstr[[#This Row],[Land]]</f>
        <v>50</v>
      </c>
      <c r="F74" s="94">
        <f ca="1">TblPop[[#This Row],[Peasants]]</f>
        <v>313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133272</v>
      </c>
      <c r="I74" s="94">
        <f ca="1">OFFSET(TblProd[[#This Row],[Food]],-1,0)+OFFSET(TblProd[[#This Row],[Food/hr]],-1,0)+ROUNDUP((TblConstr[[#This Row],[Farms]]*80+TblConstr[[#This Row],[Docks]]*35)*(1+OFFSET(TblProd[[#This Row],[Bonus Food/hr]],-1,0)),0)</f>
        <v>128153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845</v>
      </c>
      <c r="T74" s="94">
        <f ca="1">ROUND(TblProd[[#This Row],[Raw Food/hr]]*(1+TblProd[[#This Row],[Bonus Food/hr]])-TblProd[[#This Row],[Food decay]]-TblProd[[#This Row],[Food eaten]],0)</f>
        <v>1106</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845.1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1281.53</v>
      </c>
      <c r="AP74" s="94">
        <f ca="1">(1+race_food_consumption)*TblPop[[#This Row],[Total]]*food_per_person*(1+tech_1_10*TblTech[[#This Row],[1-10]]+tech_7_5*TblTech[[#This Row],[7-5]] + IF(TblMagic[[#This Row],[Active Demonic Pact]]&gt;0,demonic_pact_food_cons,0))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133272</v>
      </c>
      <c r="BJ74" s="94">
        <f ca="1">TblProd[[#This Row],[Food]]</f>
        <v>128153</v>
      </c>
      <c r="BK74" s="94">
        <f ca="1">TblProd[[#This Row],[Lumber]]</f>
        <v>57937</v>
      </c>
      <c r="BL74" s="94">
        <f ca="1">TblProd[[#This Row],[Mana]]</f>
        <v>0</v>
      </c>
      <c r="BM74" s="94">
        <f ca="1">TblProd[[#This Row],[Ore]]</f>
        <v>0</v>
      </c>
    </row>
    <row r="75" spans="1:65" x14ac:dyDescent="0.2">
      <c r="A75" s="137">
        <f t="shared" si="0"/>
        <v>36</v>
      </c>
      <c r="B75" s="152">
        <f ca="1">TblImps[[#This Row],[Time]]</f>
        <v>45817.958333333161</v>
      </c>
      <c r="C75" s="153"/>
      <c r="D75" s="154"/>
      <c r="E75" s="94">
        <f ca="1">TblConstr[[#This Row],[Land]]</f>
        <v>50</v>
      </c>
      <c r="F75" s="94">
        <f ca="1">TblPop[[#This Row],[Peasants]]</f>
        <v>310</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134117</v>
      </c>
      <c r="I75" s="94">
        <f ca="1">OFFSET(TblProd[[#This Row],[Food]],-1,0)+OFFSET(TblProd[[#This Row],[Food/hr]],-1,0)+ROUNDUP((TblConstr[[#This Row],[Farms]]*80+TblConstr[[#This Row],[Docks]]*35)*(1+OFFSET(TblProd[[#This Row],[Bonus Food/hr]],-1,0)),0)</f>
        <v>129259</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837</v>
      </c>
      <c r="T75" s="94">
        <f ca="1">ROUND(TblProd[[#This Row],[Raw Food/hr]]*(1+TblProd[[#This Row],[Bonus Food/hr]])-TblProd[[#This Row],[Food decay]]-TblProd[[#This Row],[Food eaten]],0)</f>
        <v>1095</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837</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1292.5899999999999</v>
      </c>
      <c r="AP75" s="94">
        <f ca="1">(1+race_food_consumption)*TblPop[[#This Row],[Total]]*food_per_person*(1+tech_1_10*TblTech[[#This Row],[1-10]]+tech_7_5*TblTech[[#This Row],[7-5]] + IF(TblMagic[[#This Row],[Active Demonic Pact]]&gt;0,demonic_pact_food_cons,0))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134117</v>
      </c>
      <c r="BJ75" s="94">
        <f ca="1">TblProd[[#This Row],[Food]]</f>
        <v>129259</v>
      </c>
      <c r="BK75" s="94">
        <f ca="1">TblProd[[#This Row],[Lumber]]</f>
        <v>58358</v>
      </c>
      <c r="BL75" s="94">
        <f ca="1">TblProd[[#This Row],[Mana]]</f>
        <v>0</v>
      </c>
      <c r="BM75" s="94">
        <f ca="1">TblProd[[#This Row],[Ore]]</f>
        <v>0</v>
      </c>
    </row>
    <row r="76" spans="1:65" x14ac:dyDescent="0.2">
      <c r="A76" s="137">
        <f t="shared" si="0"/>
        <v>37</v>
      </c>
      <c r="B76" s="152">
        <f ca="1">TblImps[[#This Row],[Time]]</f>
        <v>45817.999999999825</v>
      </c>
      <c r="C76" s="153"/>
      <c r="D76" s="154"/>
      <c r="E76" s="94">
        <f ca="1">TblConstr[[#This Row],[Land]]</f>
        <v>50</v>
      </c>
      <c r="F76" s="94">
        <f ca="1">TblPop[[#This Row],[Peasants]]</f>
        <v>307</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134954</v>
      </c>
      <c r="I76" s="94">
        <f ca="1">OFFSET(TblProd[[#This Row],[Food]],-1,0)+OFFSET(TblProd[[#This Row],[Food/hr]],-1,0)+ROUNDUP((TblConstr[[#This Row],[Farms]]*80+TblConstr[[#This Row],[Docks]]*35)*(1+OFFSET(TblProd[[#This Row],[Bonus Food/hr]],-1,0)),0)</f>
        <v>130354</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828</v>
      </c>
      <c r="T76" s="94">
        <f ca="1">ROUND(TblProd[[#This Row],[Raw Food/hr]]*(1+TblProd[[#This Row],[Bonus Food/hr]])-TblProd[[#This Row],[Food decay]]-TblProd[[#This Row],[Food eaten]],0)</f>
        <v>1084</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828.90000000000009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1303.54</v>
      </c>
      <c r="AP76" s="94">
        <f ca="1">(1+race_food_consumption)*TblPop[[#This Row],[Total]]*food_per_person*(1+tech_1_10*TblTech[[#This Row],[1-10]]+tech_7_5*TblTech[[#This Row],[7-5]] + IF(TblMagic[[#This Row],[Active Demonic Pact]]&gt;0,demonic_pact_food_cons,0))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134954</v>
      </c>
      <c r="BJ76" s="94">
        <f ca="1">TblProd[[#This Row],[Food]]</f>
        <v>130354</v>
      </c>
      <c r="BK76" s="94">
        <f ca="1">TblProd[[#This Row],[Lumber]]</f>
        <v>58774</v>
      </c>
      <c r="BL76" s="94">
        <f ca="1">TblProd[[#This Row],[Mana]]</f>
        <v>0</v>
      </c>
      <c r="BM76" s="94">
        <f ca="1">TblProd[[#This Row],[Ore]]</f>
        <v>0</v>
      </c>
    </row>
    <row r="77" spans="1:65" x14ac:dyDescent="0.2">
      <c r="A77" s="137">
        <f t="shared" si="0"/>
        <v>38</v>
      </c>
      <c r="B77" s="152">
        <f ca="1">TblImps[[#This Row],[Time]]</f>
        <v>45818.04166666649</v>
      </c>
      <c r="C77" s="153"/>
      <c r="D77" s="154"/>
      <c r="E77" s="94">
        <f ca="1">TblConstr[[#This Row],[Land]]</f>
        <v>50</v>
      </c>
      <c r="F77" s="94">
        <f ca="1">TblPop[[#This Row],[Peasants]]</f>
        <v>304</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135782</v>
      </c>
      <c r="I77" s="94">
        <f ca="1">OFFSET(TblProd[[#This Row],[Food]],-1,0)+OFFSET(TblProd[[#This Row],[Food/hr]],-1,0)+ROUNDUP((TblConstr[[#This Row],[Farms]]*80+TblConstr[[#This Row],[Docks]]*35)*(1+OFFSET(TblProd[[#This Row],[Bonus Food/hr]],-1,0)),0)</f>
        <v>131438</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820</v>
      </c>
      <c r="T77" s="94">
        <f ca="1">ROUND(TblProd[[#This Row],[Raw Food/hr]]*(1+TblProd[[#This Row],[Bonus Food/hr]])-TblProd[[#This Row],[Food decay]]-TblProd[[#This Row],[Food eaten]],0)</f>
        <v>1073</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820.80000000000007</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1314.38</v>
      </c>
      <c r="AP77" s="94">
        <f ca="1">(1+race_food_consumption)*TblPop[[#This Row],[Total]]*food_per_person*(1+tech_1_10*TblTech[[#This Row],[1-10]]+tech_7_5*TblTech[[#This Row],[7-5]] + IF(TblMagic[[#This Row],[Active Demonic Pact]]&gt;0,demonic_pact_food_cons,0))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135782</v>
      </c>
      <c r="BJ77" s="94">
        <f ca="1">TblProd[[#This Row],[Food]]</f>
        <v>131438</v>
      </c>
      <c r="BK77" s="94">
        <f ca="1">TblProd[[#This Row],[Lumber]]</f>
        <v>59186</v>
      </c>
      <c r="BL77" s="94">
        <f ca="1">TblProd[[#This Row],[Mana]]</f>
        <v>0</v>
      </c>
      <c r="BM77" s="94">
        <f ca="1">TblProd[[#This Row],[Ore]]</f>
        <v>0</v>
      </c>
    </row>
    <row r="78" spans="1:65" x14ac:dyDescent="0.2">
      <c r="A78" s="137">
        <f t="shared" si="0"/>
        <v>39</v>
      </c>
      <c r="B78" s="152">
        <f ca="1">TblImps[[#This Row],[Time]]</f>
        <v>45818.083333333154</v>
      </c>
      <c r="C78" s="153"/>
      <c r="D78" s="154"/>
      <c r="E78" s="94">
        <f ca="1">TblConstr[[#This Row],[Land]]</f>
        <v>50</v>
      </c>
      <c r="F78" s="94">
        <f ca="1">TblPop[[#This Row],[Peasants]]</f>
        <v>301</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136602</v>
      </c>
      <c r="I78" s="94">
        <f ca="1">OFFSET(TblProd[[#This Row],[Food]],-1,0)+OFFSET(TblProd[[#This Row],[Food/hr]],-1,0)+ROUNDUP((TblConstr[[#This Row],[Farms]]*80+TblConstr[[#This Row],[Docks]]*35)*(1+OFFSET(TblProd[[#This Row],[Bonus Food/hr]],-1,0)),0)</f>
        <v>132511</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812</v>
      </c>
      <c r="T78" s="94">
        <f ca="1">ROUND(TblProd[[#This Row],[Raw Food/hr]]*(1+TblProd[[#This Row],[Bonus Food/hr]])-TblProd[[#This Row],[Food decay]]-TblProd[[#This Row],[Food eaten]],0)</f>
        <v>1063</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812.7</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1325.1100000000001</v>
      </c>
      <c r="AP78" s="94">
        <f ca="1">(1+race_food_consumption)*TblPop[[#This Row],[Total]]*food_per_person*(1+tech_1_10*TblTech[[#This Row],[1-10]]+tech_7_5*TblTech[[#This Row],[7-5]] + IF(TblMagic[[#This Row],[Active Demonic Pact]]&gt;0,demonic_pact_food_cons,0))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136602</v>
      </c>
      <c r="BJ78" s="94">
        <f ca="1">TblProd[[#This Row],[Food]]</f>
        <v>132511</v>
      </c>
      <c r="BK78" s="94">
        <f ca="1">TblProd[[#This Row],[Lumber]]</f>
        <v>59594</v>
      </c>
      <c r="BL78" s="94">
        <f ca="1">TblProd[[#This Row],[Mana]]</f>
        <v>0</v>
      </c>
      <c r="BM78" s="94">
        <f ca="1">TblProd[[#This Row],[Ore]]</f>
        <v>0</v>
      </c>
    </row>
    <row r="79" spans="1:65" x14ac:dyDescent="0.2">
      <c r="A79" s="137">
        <f t="shared" si="0"/>
        <v>40</v>
      </c>
      <c r="B79" s="152">
        <f ca="1">TblImps[[#This Row],[Time]]</f>
        <v>45818.124999999818</v>
      </c>
      <c r="C79" s="153"/>
      <c r="D79" s="154"/>
      <c r="E79" s="94">
        <f ca="1">TblConstr[[#This Row],[Land]]</f>
        <v>50</v>
      </c>
      <c r="F79" s="94">
        <f ca="1">TblPop[[#This Row],[Peasants]]</f>
        <v>298</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137414</v>
      </c>
      <c r="I79" s="94">
        <f ca="1">OFFSET(TblProd[[#This Row],[Food]],-1,0)+OFFSET(TblProd[[#This Row],[Food/hr]],-1,0)+ROUNDUP((TblConstr[[#This Row],[Farms]]*80+TblConstr[[#This Row],[Docks]]*35)*(1+OFFSET(TblProd[[#This Row],[Bonus Food/hr]],-1,0)),0)</f>
        <v>133574</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804</v>
      </c>
      <c r="T79" s="94">
        <f ca="1">ROUND(TblProd[[#This Row],[Raw Food/hr]]*(1+TblProd[[#This Row],[Bonus Food/hr]])-TblProd[[#This Row],[Food decay]]-TblProd[[#This Row],[Food eaten]],0)</f>
        <v>1052</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804.6</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1335.74</v>
      </c>
      <c r="AP79" s="94">
        <f ca="1">(1+race_food_consumption)*TblPop[[#This Row],[Total]]*food_per_person*(1+tech_1_10*TblTech[[#This Row],[1-10]]+tech_7_5*TblTech[[#This Row],[7-5]] + IF(TblMagic[[#This Row],[Active Demonic Pact]]&gt;0,demonic_pact_food_cons,0))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137414</v>
      </c>
      <c r="BJ79" s="94">
        <f ca="1">TblProd[[#This Row],[Food]]</f>
        <v>133574</v>
      </c>
      <c r="BK79" s="94">
        <f ca="1">TblProd[[#This Row],[Lumber]]</f>
        <v>59998</v>
      </c>
      <c r="BL79" s="94">
        <f ca="1">TblProd[[#This Row],[Mana]]</f>
        <v>0</v>
      </c>
      <c r="BM79" s="94">
        <f ca="1">TblProd[[#This Row],[Ore]]</f>
        <v>0</v>
      </c>
    </row>
    <row r="80" spans="1:65" x14ac:dyDescent="0.2">
      <c r="A80" s="137">
        <f t="shared" si="0"/>
        <v>41</v>
      </c>
      <c r="B80" s="152">
        <f ca="1">TblImps[[#This Row],[Time]]</f>
        <v>45818.166666666482</v>
      </c>
      <c r="C80" s="153"/>
      <c r="D80" s="154"/>
      <c r="E80" s="94">
        <f ca="1">TblConstr[[#This Row],[Land]]</f>
        <v>50</v>
      </c>
      <c r="F80" s="94">
        <f ca="1">TblPop[[#This Row],[Peasants]]</f>
        <v>295</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138218</v>
      </c>
      <c r="I80" s="94">
        <f ca="1">OFFSET(TblProd[[#This Row],[Food]],-1,0)+OFFSET(TblProd[[#This Row],[Food/hr]],-1,0)+ROUNDUP((TblConstr[[#This Row],[Farms]]*80+TblConstr[[#This Row],[Docks]]*35)*(1+OFFSET(TblProd[[#This Row],[Bonus Food/hr]],-1,0)),0)</f>
        <v>134626</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796</v>
      </c>
      <c r="T80" s="94">
        <f ca="1">ROUND(TblProd[[#This Row],[Raw Food/hr]]*(1+TblProd[[#This Row],[Bonus Food/hr]])-TblProd[[#This Row],[Food decay]]-TblProd[[#This Row],[Food eaten]],0)</f>
        <v>1041</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796.5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1346.26</v>
      </c>
      <c r="AP80" s="94">
        <f ca="1">(1+race_food_consumption)*TblPop[[#This Row],[Total]]*food_per_person*(1+tech_1_10*TblTech[[#This Row],[1-10]]+tech_7_5*TblTech[[#This Row],[7-5]] + IF(TblMagic[[#This Row],[Active Demonic Pact]]&gt;0,demonic_pact_food_cons,0))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138218</v>
      </c>
      <c r="BJ80" s="94">
        <f ca="1">TblProd[[#This Row],[Food]]</f>
        <v>134626</v>
      </c>
      <c r="BK80" s="94">
        <f ca="1">TblProd[[#This Row],[Lumber]]</f>
        <v>60398</v>
      </c>
      <c r="BL80" s="94">
        <f ca="1">TblProd[[#This Row],[Mana]]</f>
        <v>0</v>
      </c>
      <c r="BM80" s="94">
        <f ca="1">TblProd[[#This Row],[Ore]]</f>
        <v>0</v>
      </c>
    </row>
    <row r="81" spans="1:65" x14ac:dyDescent="0.2">
      <c r="A81" s="137">
        <f t="shared" si="0"/>
        <v>42</v>
      </c>
      <c r="B81" s="152">
        <f ca="1">TblImps[[#This Row],[Time]]</f>
        <v>45818.208333333147</v>
      </c>
      <c r="C81" s="153"/>
      <c r="D81" s="154"/>
      <c r="E81" s="94">
        <f ca="1">TblConstr[[#This Row],[Land]]</f>
        <v>50</v>
      </c>
      <c r="F81" s="94">
        <f ca="1">TblPop[[#This Row],[Peasants]]</f>
        <v>292</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139014</v>
      </c>
      <c r="I81" s="94">
        <f ca="1">OFFSET(TblProd[[#This Row],[Food]],-1,0)+OFFSET(TblProd[[#This Row],[Food/hr]],-1,0)+ROUNDUP((TblConstr[[#This Row],[Farms]]*80+TblConstr[[#This Row],[Docks]]*35)*(1+OFFSET(TblProd[[#This Row],[Bonus Food/hr]],-1,0)),0)</f>
        <v>135667</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788</v>
      </c>
      <c r="T81" s="94">
        <f ca="1">ROUND(TblProd[[#This Row],[Raw Food/hr]]*(1+TblProd[[#This Row],[Bonus Food/hr]])-TblProd[[#This Row],[Food decay]]-TblProd[[#This Row],[Food eaten]],0)</f>
        <v>1031</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788.40000000000009</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1356.67</v>
      </c>
      <c r="AP81" s="94">
        <f ca="1">(1+race_food_consumption)*TblPop[[#This Row],[Total]]*food_per_person*(1+tech_1_10*TblTech[[#This Row],[1-10]]+tech_7_5*TblTech[[#This Row],[7-5]] + IF(TblMagic[[#This Row],[Active Demonic Pact]]&gt;0,demonic_pact_food_cons,0))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139014</v>
      </c>
      <c r="BJ81" s="94">
        <f ca="1">TblProd[[#This Row],[Food]]</f>
        <v>135667</v>
      </c>
      <c r="BK81" s="94">
        <f ca="1">TblProd[[#This Row],[Lumber]]</f>
        <v>60794</v>
      </c>
      <c r="BL81" s="94">
        <f ca="1">TblProd[[#This Row],[Mana]]</f>
        <v>0</v>
      </c>
      <c r="BM81" s="94">
        <f ca="1">TblProd[[#This Row],[Ore]]</f>
        <v>0</v>
      </c>
    </row>
    <row r="82" spans="1:65" x14ac:dyDescent="0.2">
      <c r="A82" s="137">
        <f t="shared" si="0"/>
        <v>43</v>
      </c>
      <c r="B82" s="152">
        <f ca="1">TblImps[[#This Row],[Time]]</f>
        <v>45818.249999999811</v>
      </c>
      <c r="C82" s="153"/>
      <c r="D82" s="154"/>
      <c r="E82" s="94">
        <f ca="1">TblConstr[[#This Row],[Land]]</f>
        <v>50</v>
      </c>
      <c r="F82" s="94">
        <f ca="1">TblPop[[#This Row],[Peasants]]</f>
        <v>289</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139802</v>
      </c>
      <c r="I82" s="94">
        <f ca="1">OFFSET(TblProd[[#This Row],[Food]],-1,0)+OFFSET(TblProd[[#This Row],[Food/hr]],-1,0)+ROUNDUP((TblConstr[[#This Row],[Farms]]*80+TblConstr[[#This Row],[Docks]]*35)*(1+OFFSET(TblProd[[#This Row],[Bonus Food/hr]],-1,0)),0)</f>
        <v>136698</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780</v>
      </c>
      <c r="T82" s="94">
        <f ca="1">ROUND(TblProd[[#This Row],[Raw Food/hr]]*(1+TblProd[[#This Row],[Bonus Food/hr]])-TblProd[[#This Row],[Food decay]]-TblProd[[#This Row],[Food eaten]],0)</f>
        <v>1021</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780.30000000000007</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1366.98</v>
      </c>
      <c r="AP82" s="94">
        <f ca="1">(1+race_food_consumption)*TblPop[[#This Row],[Total]]*food_per_person*(1+tech_1_10*TblTech[[#This Row],[1-10]]+tech_7_5*TblTech[[#This Row],[7-5]] + IF(TblMagic[[#This Row],[Active Demonic Pact]]&gt;0,demonic_pact_food_cons,0))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139802</v>
      </c>
      <c r="BJ82" s="94">
        <f ca="1">TblProd[[#This Row],[Food]]</f>
        <v>136698</v>
      </c>
      <c r="BK82" s="94">
        <f ca="1">TblProd[[#This Row],[Lumber]]</f>
        <v>61186</v>
      </c>
      <c r="BL82" s="94">
        <f ca="1">TblProd[[#This Row],[Mana]]</f>
        <v>0</v>
      </c>
      <c r="BM82" s="94">
        <f ca="1">TblProd[[#This Row],[Ore]]</f>
        <v>0</v>
      </c>
    </row>
    <row r="83" spans="1:65" x14ac:dyDescent="0.2">
      <c r="A83" s="137">
        <f t="shared" si="0"/>
        <v>44</v>
      </c>
      <c r="B83" s="152">
        <f ca="1">TblImps[[#This Row],[Time]]</f>
        <v>45818.291666666475</v>
      </c>
      <c r="C83" s="153"/>
      <c r="D83" s="154"/>
      <c r="E83" s="94">
        <f ca="1">TblConstr[[#This Row],[Land]]</f>
        <v>50</v>
      </c>
      <c r="F83" s="94">
        <f ca="1">TblPop[[#This Row],[Peasants]]</f>
        <v>286</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140582</v>
      </c>
      <c r="I83" s="94">
        <f ca="1">OFFSET(TblProd[[#This Row],[Food]],-1,0)+OFFSET(TblProd[[#This Row],[Food/hr]],-1,0)+ROUNDUP((TblConstr[[#This Row],[Farms]]*80+TblConstr[[#This Row],[Docks]]*35)*(1+OFFSET(TblProd[[#This Row],[Bonus Food/hr]],-1,0)),0)</f>
        <v>137719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772</v>
      </c>
      <c r="T83" s="94">
        <f ca="1">ROUND(TblProd[[#This Row],[Raw Food/hr]]*(1+TblProd[[#This Row],[Bonus Food/hr]])-TblProd[[#This Row],[Food decay]]-TblProd[[#This Row],[Food eaten]],0)</f>
        <v>1011</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772.2</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1377.19</v>
      </c>
      <c r="AP83" s="94">
        <f ca="1">(1+race_food_consumption)*TblPop[[#This Row],[Total]]*food_per_person*(1+tech_1_10*TblTech[[#This Row],[1-10]]+tech_7_5*TblTech[[#This Row],[7-5]] + IF(TblMagic[[#This Row],[Active Demonic Pact]]&gt;0,demonic_pact_food_cons,0))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140582</v>
      </c>
      <c r="BJ83" s="94">
        <f ca="1">TblProd[[#This Row],[Food]]</f>
        <v>137719</v>
      </c>
      <c r="BK83" s="94">
        <f ca="1">TblProd[[#This Row],[Lumber]]</f>
        <v>61574</v>
      </c>
      <c r="BL83" s="94">
        <f ca="1">TblProd[[#This Row],[Mana]]</f>
        <v>0</v>
      </c>
      <c r="BM83" s="94">
        <f ca="1">TblProd[[#This Row],[Ore]]</f>
        <v>0</v>
      </c>
    </row>
    <row r="84" spans="1:65" x14ac:dyDescent="0.2">
      <c r="A84" s="137">
        <f t="shared" si="0"/>
        <v>45</v>
      </c>
      <c r="B84" s="152">
        <f ca="1">TblImps[[#This Row],[Time]]</f>
        <v>45818.333333333139</v>
      </c>
      <c r="C84" s="153"/>
      <c r="D84" s="154"/>
      <c r="E84" s="94">
        <f ca="1">TblConstr[[#This Row],[Land]]</f>
        <v>50</v>
      </c>
      <c r="F84" s="94">
        <f ca="1">TblPop[[#This Row],[Peasants]]</f>
        <v>283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141354</v>
      </c>
      <c r="I84" s="94">
        <f ca="1">OFFSET(TblProd[[#This Row],[Food]],-1,0)+OFFSET(TblProd[[#This Row],[Food/hr]],-1,0)+ROUNDUP((TblConstr[[#This Row],[Farms]]*80+TblConstr[[#This Row],[Docks]]*35)*(1+OFFSET(TblProd[[#This Row],[Bonus Food/hr]],-1,0)),0)</f>
        <v>138730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764</v>
      </c>
      <c r="T84" s="94">
        <f ca="1">ROUND(TblProd[[#This Row],[Raw Food/hr]]*(1+TblProd[[#This Row],[Bonus Food/hr]])-TblProd[[#This Row],[Food decay]]-TblProd[[#This Row],[Food eaten]],0)</f>
        <v>1000</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764.1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1387.3</v>
      </c>
      <c r="AP84" s="94">
        <f ca="1">(1+race_food_consumption)*TblPop[[#This Row],[Total]]*food_per_person*(1+tech_1_10*TblTech[[#This Row],[1-10]]+tech_7_5*TblTech[[#This Row],[7-5]] + IF(TblMagic[[#This Row],[Active Demonic Pact]]&gt;0,demonic_pact_food_cons,0))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141354</v>
      </c>
      <c r="BJ84" s="94">
        <f ca="1">TblProd[[#This Row],[Food]]</f>
        <v>138730</v>
      </c>
      <c r="BK84" s="94">
        <f ca="1">TblProd[[#This Row],[Lumber]]</f>
        <v>61958</v>
      </c>
      <c r="BL84" s="94">
        <f ca="1">TblProd[[#This Row],[Mana]]</f>
        <v>0</v>
      </c>
      <c r="BM84" s="94">
        <f ca="1">TblProd[[#This Row],[Ore]]</f>
        <v>0</v>
      </c>
    </row>
    <row r="85" spans="1:65" x14ac:dyDescent="0.2">
      <c r="A85" s="137">
        <f t="shared" si="0"/>
        <v>46</v>
      </c>
      <c r="B85" s="152">
        <f ca="1">TblImps[[#This Row],[Time]]</f>
        <v>45818.374999999804</v>
      </c>
      <c r="C85" s="153"/>
      <c r="D85" s="154"/>
      <c r="E85" s="94">
        <f ca="1">TblConstr[[#This Row],[Land]]</f>
        <v>50</v>
      </c>
      <c r="F85" s="94">
        <f ca="1">TblPop[[#This Row],[Peasants]]</f>
        <v>280</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142118</v>
      </c>
      <c r="I85" s="94">
        <f ca="1">OFFSET(TblProd[[#This Row],[Food]],-1,0)+OFFSET(TblProd[[#This Row],[Food/hr]],-1,0)+ROUNDUP((TblConstr[[#This Row],[Farms]]*80+TblConstr[[#This Row],[Docks]]*35)*(1+OFFSET(TblProd[[#This Row],[Bonus Food/hr]],-1,0)),0)</f>
        <v>139730</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756</v>
      </c>
      <c r="T85" s="94">
        <f ca="1">ROUND(TblProd[[#This Row],[Raw Food/hr]]*(1+TblProd[[#This Row],[Bonus Food/hr]])-TblProd[[#This Row],[Food decay]]-TblProd[[#This Row],[Food eaten]],0)</f>
        <v>990</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756</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1397.3</v>
      </c>
      <c r="AP85" s="94">
        <f ca="1">(1+race_food_consumption)*TblPop[[#This Row],[Total]]*food_per_person*(1+tech_1_10*TblTech[[#This Row],[1-10]]+tech_7_5*TblTech[[#This Row],[7-5]] + IF(TblMagic[[#This Row],[Active Demonic Pact]]&gt;0,demonic_pact_food_cons,0))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142118</v>
      </c>
      <c r="BJ85" s="94">
        <f ca="1">TblProd[[#This Row],[Food]]</f>
        <v>139730</v>
      </c>
      <c r="BK85" s="94">
        <f ca="1">TblProd[[#This Row],[Lumber]]</f>
        <v>62338</v>
      </c>
      <c r="BL85" s="94">
        <f ca="1">TblProd[[#This Row],[Mana]]</f>
        <v>0</v>
      </c>
      <c r="BM85" s="94">
        <f ca="1">TblProd[[#This Row],[Ore]]</f>
        <v>0</v>
      </c>
    </row>
    <row r="86" spans="1:65" x14ac:dyDescent="0.2">
      <c r="A86" s="137">
        <f t="shared" si="0"/>
        <v>47</v>
      </c>
      <c r="B86" s="152">
        <f ca="1">TblImps[[#This Row],[Time]]</f>
        <v>45818.416666666468</v>
      </c>
      <c r="C86" s="153"/>
      <c r="D86" s="154"/>
      <c r="E86" s="94">
        <f ca="1">TblConstr[[#This Row],[Land]]</f>
        <v>50</v>
      </c>
      <c r="F86" s="94">
        <f ca="1">TblPop[[#This Row],[Peasants]]</f>
        <v>277</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142874</v>
      </c>
      <c r="I86" s="94">
        <f ca="1">OFFSET(TblProd[[#This Row],[Food]],-1,0)+OFFSET(TblProd[[#This Row],[Food/hr]],-1,0)+ROUNDUP((TblConstr[[#This Row],[Farms]]*80+TblConstr[[#This Row],[Docks]]*35)*(1+OFFSET(TblProd[[#This Row],[Bonus Food/hr]],-1,0)),0)</f>
        <v>140720</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747</v>
      </c>
      <c r="T86" s="94">
        <f ca="1">ROUND(TblProd[[#This Row],[Raw Food/hr]]*(1+TblProd[[#This Row],[Bonus Food/hr]])-TblProd[[#This Row],[Food decay]]-TblProd[[#This Row],[Food eaten]],0)</f>
        <v>981</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747.90000000000009</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1407.2</v>
      </c>
      <c r="AP86" s="94">
        <f ca="1">(1+race_food_consumption)*TblPop[[#This Row],[Total]]*food_per_person*(1+tech_1_10*TblTech[[#This Row],[1-10]]+tech_7_5*TblTech[[#This Row],[7-5]] + IF(TblMagic[[#This Row],[Active Demonic Pact]]&gt;0,demonic_pact_food_cons,0))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142874</v>
      </c>
      <c r="BJ86" s="94">
        <f ca="1">TblProd[[#This Row],[Food]]</f>
        <v>140720</v>
      </c>
      <c r="BK86" s="94">
        <f ca="1">TblProd[[#This Row],[Lumber]]</f>
        <v>62715</v>
      </c>
      <c r="BL86" s="94">
        <f ca="1">TblProd[[#This Row],[Mana]]</f>
        <v>0</v>
      </c>
      <c r="BM86" s="94">
        <f ca="1">TblProd[[#This Row],[Ore]]</f>
        <v>0</v>
      </c>
    </row>
    <row r="87" spans="1:65" x14ac:dyDescent="0.2">
      <c r="A87" s="137">
        <f t="shared" si="0"/>
        <v>48</v>
      </c>
      <c r="B87" s="152">
        <f ca="1">TblImps[[#This Row],[Time]]</f>
        <v>45818.458333333132</v>
      </c>
      <c r="C87" s="153"/>
      <c r="D87" s="154"/>
      <c r="E87" s="94">
        <f ca="1">TblConstr[[#This Row],[Land]]</f>
        <v>50</v>
      </c>
      <c r="F87" s="94">
        <f ca="1">TblPop[[#This Row],[Peasants]]</f>
        <v>274</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143621</v>
      </c>
      <c r="I87" s="94">
        <f ca="1">OFFSET(TblProd[[#This Row],[Food]],-1,0)+OFFSET(TblProd[[#This Row],[Food/hr]],-1,0)+ROUNDUP((TblConstr[[#This Row],[Farms]]*80+TblConstr[[#This Row],[Docks]]*35)*(1+OFFSET(TblProd[[#This Row],[Bonus Food/hr]],-1,0)),0)</f>
        <v>141701</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739</v>
      </c>
      <c r="T87" s="94">
        <f ca="1">ROUND(TblProd[[#This Row],[Raw Food/hr]]*(1+TblProd[[#This Row],[Bonus Food/hr]])-TblProd[[#This Row],[Food decay]]-TblProd[[#This Row],[Food eaten]],0)</f>
        <v>971</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739.80000000000007</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1417.01</v>
      </c>
      <c r="AP87" s="94">
        <f ca="1">(1+race_food_consumption)*TblPop[[#This Row],[Total]]*food_per_person*(1+tech_1_10*TblTech[[#This Row],[1-10]]+tech_7_5*TblTech[[#This Row],[7-5]] + IF(TblMagic[[#This Row],[Active Demonic Pact]]&gt;0,demonic_pact_food_cons,0))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143621</v>
      </c>
      <c r="BJ87" s="94">
        <f ca="1">TblProd[[#This Row],[Food]]</f>
        <v>141701</v>
      </c>
      <c r="BK87" s="94">
        <f ca="1">TblProd[[#This Row],[Lumber]]</f>
        <v>63088</v>
      </c>
      <c r="BL87" s="94">
        <f ca="1">TblProd[[#This Row],[Mana]]</f>
        <v>0</v>
      </c>
      <c r="BM87" s="94">
        <f ca="1">TblProd[[#This Row],[Ore]]</f>
        <v>0</v>
      </c>
    </row>
    <row r="88" spans="1:65" x14ac:dyDescent="0.2">
      <c r="A88" s="137">
        <f t="shared" si="0"/>
        <v>49</v>
      </c>
      <c r="B88" s="152">
        <f ca="1">TblImps[[#This Row],[Time]]</f>
        <v>45818.499999999796</v>
      </c>
      <c r="C88" s="153"/>
      <c r="D88" s="154"/>
      <c r="E88" s="94">
        <f ca="1">TblConstr[[#This Row],[Land]]</f>
        <v>50</v>
      </c>
      <c r="F88" s="94">
        <f ca="1">TblPop[[#This Row],[Peasants]]</f>
        <v>271</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144360</v>
      </c>
      <c r="I88" s="94">
        <f ca="1">OFFSET(TblProd[[#This Row],[Food]],-1,0)+OFFSET(TblProd[[#This Row],[Food/hr]],-1,0)+ROUNDUP((TblConstr[[#This Row],[Farms]]*80+TblConstr[[#This Row],[Docks]]*35)*(1+OFFSET(TblProd[[#This Row],[Bonus Food/hr]],-1,0)),0)</f>
        <v>142672</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731</v>
      </c>
      <c r="T88" s="94">
        <f ca="1">ROUND(TblProd[[#This Row],[Raw Food/hr]]*(1+TblProd[[#This Row],[Bonus Food/hr]])-TblProd[[#This Row],[Food decay]]-TblProd[[#This Row],[Food eaten]],0)</f>
        <v>961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731.7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1426.72</v>
      </c>
      <c r="AP88" s="94">
        <f ca="1">(1+race_food_consumption)*TblPop[[#This Row],[Total]]*food_per_person*(1+tech_1_10*TblTech[[#This Row],[1-10]]+tech_7_5*TblTech[[#This Row],[7-5]] + IF(TblMagic[[#This Row],[Active Demonic Pact]]&gt;0,demonic_pact_food_cons,0))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144360</v>
      </c>
      <c r="BJ88" s="94">
        <f ca="1">TblProd[[#This Row],[Food]]</f>
        <v>142672</v>
      </c>
      <c r="BK88" s="94">
        <f ca="1">TblProd[[#This Row],[Lumber]]</f>
        <v>63457</v>
      </c>
      <c r="BL88" s="94">
        <f ca="1">TblProd[[#This Row],[Mana]]</f>
        <v>0</v>
      </c>
      <c r="BM88" s="94">
        <f ca="1">TblProd[[#This Row],[Ore]]</f>
        <v>0</v>
      </c>
    </row>
    <row r="89" spans="1:65" x14ac:dyDescent="0.2">
      <c r="A89" s="137">
        <f t="shared" si="0"/>
        <v>50</v>
      </c>
      <c r="B89" s="152">
        <f ca="1">TblImps[[#This Row],[Time]]</f>
        <v>45818.541666666461</v>
      </c>
      <c r="C89" s="153"/>
      <c r="D89" s="154"/>
      <c r="E89" s="94">
        <f ca="1">TblConstr[[#This Row],[Land]]</f>
        <v>50</v>
      </c>
      <c r="F89" s="94">
        <f ca="1">TblPop[[#This Row],[Peasants]]</f>
        <v>268</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145091</v>
      </c>
      <c r="I89" s="94">
        <f ca="1">OFFSET(TblProd[[#This Row],[Food]],-1,0)+OFFSET(TblProd[[#This Row],[Food/hr]],-1,0)+ROUNDUP((TblConstr[[#This Row],[Farms]]*80+TblConstr[[#This Row],[Docks]]*35)*(1+OFFSET(TblProd[[#This Row],[Bonus Food/hr]],-1,0)),0)</f>
        <v>143633</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723</v>
      </c>
      <c r="T89" s="94">
        <f ca="1">ROUND(TblProd[[#This Row],[Raw Food/hr]]*(1+TblProd[[#This Row],[Bonus Food/hr]])-TblProd[[#This Row],[Food decay]]-TblProd[[#This Row],[Food eaten]],0)</f>
        <v>951</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723.6</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1436.33</v>
      </c>
      <c r="AP89" s="94">
        <f ca="1">(1+race_food_consumption)*TblPop[[#This Row],[Total]]*food_per_person*(1+tech_1_10*TblTech[[#This Row],[1-10]]+tech_7_5*TblTech[[#This Row],[7-5]] + IF(TblMagic[[#This Row],[Active Demonic Pact]]&gt;0,demonic_pact_food_cons,0))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145091</v>
      </c>
      <c r="BJ89" s="94">
        <f ca="1">TblProd[[#This Row],[Food]]</f>
        <v>143633</v>
      </c>
      <c r="BK89" s="94">
        <f ca="1">TblProd[[#This Row],[Lumber]]</f>
        <v>63822</v>
      </c>
      <c r="BL89" s="94">
        <f ca="1">TblProd[[#This Row],[Mana]]</f>
        <v>0</v>
      </c>
      <c r="BM89" s="94">
        <f ca="1">TblProd[[#This Row],[Ore]]</f>
        <v>0</v>
      </c>
    </row>
    <row r="90" spans="1:65" x14ac:dyDescent="0.2">
      <c r="A90" s="137">
        <f t="shared" si="0"/>
        <v>51</v>
      </c>
      <c r="B90" s="152">
        <f ca="1">TblImps[[#This Row],[Time]]</f>
        <v>45818.583333333125</v>
      </c>
      <c r="C90" s="153"/>
      <c r="D90" s="154"/>
      <c r="E90" s="94">
        <f ca="1">TblConstr[[#This Row],[Land]]</f>
        <v>50</v>
      </c>
      <c r="F90" s="94">
        <f ca="1">TblPop[[#This Row],[Peasants]]</f>
        <v>265</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145814</v>
      </c>
      <c r="I90" s="94">
        <f ca="1">OFFSET(TblProd[[#This Row],[Food]],-1,0)+OFFSET(TblProd[[#This Row],[Food/hr]],-1,0)+ROUNDUP((TblConstr[[#This Row],[Farms]]*80+TblConstr[[#This Row],[Docks]]*35)*(1+OFFSET(TblProd[[#This Row],[Bonus Food/hr]],-1,0)),0)</f>
        <v>144584</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715</v>
      </c>
      <c r="T90" s="94">
        <f ca="1">ROUND(TblProd[[#This Row],[Raw Food/hr]]*(1+TblProd[[#This Row],[Bonus Food/hr]])-TblProd[[#This Row],[Food decay]]-TblProd[[#This Row],[Food eaten]],0)</f>
        <v>942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715.5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1445.84</v>
      </c>
      <c r="AP90" s="94">
        <f ca="1">(1+race_food_consumption)*TblPop[[#This Row],[Total]]*food_per_person*(1+tech_1_10*TblTech[[#This Row],[1-10]]+tech_7_5*TblTech[[#This Row],[7-5]] + IF(TblMagic[[#This Row],[Active Demonic Pact]]&gt;0,demonic_pact_food_cons,0))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145814</v>
      </c>
      <c r="BJ90" s="94">
        <f ca="1">TblProd[[#This Row],[Food]]</f>
        <v>144584</v>
      </c>
      <c r="BK90" s="94">
        <f ca="1">TblProd[[#This Row],[Lumber]]</f>
        <v>64184</v>
      </c>
      <c r="BL90" s="94">
        <f ca="1">TblProd[[#This Row],[Mana]]</f>
        <v>0</v>
      </c>
      <c r="BM90" s="94">
        <f ca="1">TblProd[[#This Row],[Ore]]</f>
        <v>0</v>
      </c>
    </row>
    <row r="91" spans="1:65" x14ac:dyDescent="0.2">
      <c r="A91" s="137">
        <f t="shared" si="0"/>
        <v>52</v>
      </c>
      <c r="B91" s="152">
        <f ca="1">TblImps[[#This Row],[Time]]</f>
        <v>45818.624999999789</v>
      </c>
      <c r="C91" s="153"/>
      <c r="D91" s="154"/>
      <c r="E91" s="94">
        <f ca="1">TblConstr[[#This Row],[Land]]</f>
        <v>50</v>
      </c>
      <c r="F91" s="94">
        <f ca="1">TblPop[[#This Row],[Peasants]]</f>
        <v>262</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146529</v>
      </c>
      <c r="I91" s="94">
        <f ca="1">OFFSET(TblProd[[#This Row],[Food]],-1,0)+OFFSET(TblProd[[#This Row],[Food/hr]],-1,0)+ROUNDUP((TblConstr[[#This Row],[Farms]]*80+TblConstr[[#This Row],[Docks]]*35)*(1+OFFSET(TblProd[[#This Row],[Bonus Food/hr]],-1,0)),0)</f>
        <v>145526</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707</v>
      </c>
      <c r="T91" s="94">
        <f ca="1">ROUND(TblProd[[#This Row],[Raw Food/hr]]*(1+TblProd[[#This Row],[Bonus Food/hr]])-TblProd[[#This Row],[Food decay]]-TblProd[[#This Row],[Food eaten]],0)</f>
        <v>932</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707.40000000000009</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1455.26</v>
      </c>
      <c r="AP91" s="94">
        <f ca="1">(1+race_food_consumption)*TblPop[[#This Row],[Total]]*food_per_person*(1+tech_1_10*TblTech[[#This Row],[1-10]]+tech_7_5*TblTech[[#This Row],[7-5]] + IF(TblMagic[[#This Row],[Active Demonic Pact]]&gt;0,demonic_pact_food_cons,0))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146529</v>
      </c>
      <c r="BJ91" s="94">
        <f ca="1">TblProd[[#This Row],[Food]]</f>
        <v>145526</v>
      </c>
      <c r="BK91" s="94">
        <f ca="1">TblProd[[#This Row],[Lumber]]</f>
        <v>64542</v>
      </c>
      <c r="BL91" s="94">
        <f ca="1">TblProd[[#This Row],[Mana]]</f>
        <v>0</v>
      </c>
      <c r="BM91" s="94">
        <f ca="1">TblProd[[#This Row],[Ore]]</f>
        <v>0</v>
      </c>
    </row>
    <row r="92" spans="1:65" x14ac:dyDescent="0.2">
      <c r="A92" s="137">
        <f t="shared" si="0"/>
        <v>53</v>
      </c>
      <c r="B92" s="152">
        <f ca="1">TblImps[[#This Row],[Time]]</f>
        <v>45818.666666666453</v>
      </c>
      <c r="C92" s="153"/>
      <c r="D92" s="154"/>
      <c r="E92" s="94">
        <f ca="1">TblConstr[[#This Row],[Land]]</f>
        <v>50</v>
      </c>
      <c r="F92" s="94">
        <f ca="1">TblPop[[#This Row],[Peasants]]</f>
        <v>259</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147236</v>
      </c>
      <c r="I92" s="94">
        <f ca="1">OFFSET(TblProd[[#This Row],[Food]],-1,0)+OFFSET(TblProd[[#This Row],[Food/hr]],-1,0)+ROUNDUP((TblConstr[[#This Row],[Farms]]*80+TblConstr[[#This Row],[Docks]]*35)*(1+OFFSET(TblProd[[#This Row],[Bonus Food/hr]],-1,0)),0)</f>
        <v>146458</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699</v>
      </c>
      <c r="T92" s="94">
        <f ca="1">ROUND(TblProd[[#This Row],[Raw Food/hr]]*(1+TblProd[[#This Row],[Bonus Food/hr]])-TblProd[[#This Row],[Food decay]]-TblProd[[#This Row],[Food eaten]],0)</f>
        <v>923</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699.30000000000007</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1464.58</v>
      </c>
      <c r="AP92" s="94">
        <f ca="1">(1+race_food_consumption)*TblPop[[#This Row],[Total]]*food_per_person*(1+tech_1_10*TblTech[[#This Row],[1-10]]+tech_7_5*TblTech[[#This Row],[7-5]] + IF(TblMagic[[#This Row],[Active Demonic Pact]]&gt;0,demonic_pact_food_cons,0))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147236</v>
      </c>
      <c r="BJ92" s="94">
        <f ca="1">TblProd[[#This Row],[Food]]</f>
        <v>146458</v>
      </c>
      <c r="BK92" s="94">
        <f ca="1">TblProd[[#This Row],[Lumber]]</f>
        <v>64897</v>
      </c>
      <c r="BL92" s="94">
        <f ca="1">TblProd[[#This Row],[Mana]]</f>
        <v>0</v>
      </c>
      <c r="BM92" s="94">
        <f ca="1">TblProd[[#This Row],[Ore]]</f>
        <v>0</v>
      </c>
    </row>
    <row r="93" spans="1:65" x14ac:dyDescent="0.2">
      <c r="A93" s="137">
        <f t="shared" si="0"/>
        <v>54</v>
      </c>
      <c r="B93" s="152">
        <f ca="1">TblImps[[#This Row],[Time]]</f>
        <v>45818.708333333117</v>
      </c>
      <c r="C93" s="153"/>
      <c r="D93" s="154"/>
      <c r="E93" s="94">
        <f ca="1">TblConstr[[#This Row],[Land]]</f>
        <v>50</v>
      </c>
      <c r="F93" s="94">
        <f ca="1">TblPop[[#This Row],[Peasants]]</f>
        <v>256</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147935</v>
      </c>
      <c r="I93" s="94">
        <f ca="1">OFFSET(TblProd[[#This Row],[Food]],-1,0)+OFFSET(TblProd[[#This Row],[Food/hr]],-1,0)+ROUNDUP((TblConstr[[#This Row],[Farms]]*80+TblConstr[[#This Row],[Docks]]*35)*(1+OFFSET(TblProd[[#This Row],[Bonus Food/hr]],-1,0)),0)</f>
        <v>147381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691</v>
      </c>
      <c r="T93" s="94">
        <f ca="1">ROUND(TblProd[[#This Row],[Raw Food/hr]]*(1+TblProd[[#This Row],[Bonus Food/hr]])-TblProd[[#This Row],[Food decay]]-TblProd[[#This Row],[Food eaten]],0)</f>
        <v>914</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691.2</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1473.81</v>
      </c>
      <c r="AP93" s="94">
        <f ca="1">(1+race_food_consumption)*TblPop[[#This Row],[Total]]*food_per_person*(1+tech_1_10*TblTech[[#This Row],[1-10]]+tech_7_5*TblTech[[#This Row],[7-5]] + IF(TblMagic[[#This Row],[Active Demonic Pact]]&gt;0,demonic_pact_food_cons,0))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147935</v>
      </c>
      <c r="BJ93" s="94">
        <f ca="1">TblProd[[#This Row],[Food]]</f>
        <v>147381</v>
      </c>
      <c r="BK93" s="94">
        <f ca="1">TblProd[[#This Row],[Lumber]]</f>
        <v>65248</v>
      </c>
      <c r="BL93" s="94">
        <f ca="1">TblProd[[#This Row],[Mana]]</f>
        <v>0</v>
      </c>
      <c r="BM93" s="94">
        <f ca="1">TblProd[[#This Row],[Ore]]</f>
        <v>0</v>
      </c>
    </row>
    <row r="94" spans="1:65" x14ac:dyDescent="0.2">
      <c r="A94" s="137">
        <f t="shared" si="0"/>
        <v>55</v>
      </c>
      <c r="B94" s="152">
        <f ca="1">TblImps[[#This Row],[Time]]</f>
        <v>45818.749999999782</v>
      </c>
      <c r="C94" s="153"/>
      <c r="D94" s="154"/>
      <c r="E94" s="94">
        <f ca="1">TblConstr[[#This Row],[Land]]</f>
        <v>50</v>
      </c>
      <c r="F94" s="94">
        <f ca="1">TblPop[[#This Row],[Peasants]]</f>
        <v>253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148626</v>
      </c>
      <c r="I94" s="94">
        <f ca="1">OFFSET(TblProd[[#This Row],[Food]],-1,0)+OFFSET(TblProd[[#This Row],[Food/hr]],-1,0)+ROUNDUP((TblConstr[[#This Row],[Farms]]*80+TblConstr[[#This Row],[Docks]]*35)*(1+OFFSET(TblProd[[#This Row],[Bonus Food/hr]],-1,0)),0)</f>
        <v>148295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683</v>
      </c>
      <c r="T94" s="94">
        <f ca="1">ROUND(TblProd[[#This Row],[Raw Food/hr]]*(1+TblProd[[#This Row],[Bonus Food/hr]])-TblProd[[#This Row],[Food decay]]-TblProd[[#This Row],[Food eaten]],0)</f>
        <v>905</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683.1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1482.95</v>
      </c>
      <c r="AP94" s="94">
        <f ca="1">(1+race_food_consumption)*TblPop[[#This Row],[Total]]*food_per_person*(1+tech_1_10*TblTech[[#This Row],[1-10]]+tech_7_5*TblTech[[#This Row],[7-5]] + IF(TblMagic[[#This Row],[Active Demonic Pact]]&gt;0,demonic_pact_food_cons,0))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148626</v>
      </c>
      <c r="BJ94" s="94">
        <f ca="1">TblProd[[#This Row],[Food]]</f>
        <v>148295</v>
      </c>
      <c r="BK94" s="94">
        <f ca="1">TblProd[[#This Row],[Lumber]]</f>
        <v>65596</v>
      </c>
      <c r="BL94" s="94">
        <f ca="1">TblProd[[#This Row],[Mana]]</f>
        <v>0</v>
      </c>
      <c r="BM94" s="94">
        <f ca="1">TblProd[[#This Row],[Ore]]</f>
        <v>0</v>
      </c>
    </row>
    <row r="95" spans="1:65" x14ac:dyDescent="0.2">
      <c r="A95" s="137">
        <f t="shared" si="0"/>
        <v>56</v>
      </c>
      <c r="B95" s="152">
        <f ca="1">TblImps[[#This Row],[Time]]</f>
        <v>45818.791666666446</v>
      </c>
      <c r="C95" s="153"/>
      <c r="D95" s="154"/>
      <c r="E95" s="94">
        <f ca="1">TblConstr[[#This Row],[Land]]</f>
        <v>50</v>
      </c>
      <c r="F95" s="94">
        <f ca="1">TblPop[[#This Row],[Peasants]]</f>
        <v>250</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149309</v>
      </c>
      <c r="I95" s="94">
        <f ca="1">OFFSET(TblProd[[#This Row],[Food]],-1,0)+OFFSET(TblProd[[#This Row],[Food/hr]],-1,0)+ROUNDUP((TblConstr[[#This Row],[Farms]]*80+TblConstr[[#This Row],[Docks]]*35)*(1+OFFSET(TblProd[[#This Row],[Bonus Food/hr]],-1,0)),0)</f>
        <v>149200</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675</v>
      </c>
      <c r="T95" s="94">
        <f ca="1">ROUND(TblProd[[#This Row],[Raw Food/hr]]*(1+TblProd[[#This Row],[Bonus Food/hr]])-TblProd[[#This Row],[Food decay]]-TblProd[[#This Row],[Food eaten]],0)</f>
        <v>896</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675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1492</v>
      </c>
      <c r="AP95" s="94">
        <f ca="1">(1+race_food_consumption)*TblPop[[#This Row],[Total]]*food_per_person*(1+tech_1_10*TblTech[[#This Row],[1-10]]+tech_7_5*TblTech[[#This Row],[7-5]] + IF(TblMagic[[#This Row],[Active Demonic Pact]]&gt;0,demonic_pact_food_cons,0))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149309</v>
      </c>
      <c r="BJ95" s="94">
        <f ca="1">TblProd[[#This Row],[Food]]</f>
        <v>149200</v>
      </c>
      <c r="BK95" s="94">
        <f ca="1">TblProd[[#This Row],[Lumber]]</f>
        <v>65940</v>
      </c>
      <c r="BL95" s="94">
        <f ca="1">TblProd[[#This Row],[Mana]]</f>
        <v>0</v>
      </c>
      <c r="BM95" s="94">
        <f ca="1">TblProd[[#This Row],[Ore]]</f>
        <v>0</v>
      </c>
    </row>
    <row r="96" spans="1:65" x14ac:dyDescent="0.2">
      <c r="A96" s="137">
        <f t="shared" si="0"/>
        <v>57</v>
      </c>
      <c r="B96" s="152">
        <f ca="1">TblImps[[#This Row],[Time]]</f>
        <v>45818.83333333311</v>
      </c>
      <c r="C96" s="153"/>
      <c r="D96" s="154"/>
      <c r="E96" s="94">
        <f ca="1">TblConstr[[#This Row],[Land]]</f>
        <v>50</v>
      </c>
      <c r="F96" s="94">
        <f ca="1">TblPop[[#This Row],[Peasants]]</f>
        <v>247</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149984</v>
      </c>
      <c r="I96" s="94">
        <f ca="1">OFFSET(TblProd[[#This Row],[Food]],-1,0)+OFFSET(TblProd[[#This Row],[Food/hr]],-1,0)+ROUNDUP((TblConstr[[#This Row],[Farms]]*80+TblConstr[[#This Row],[Docks]]*35)*(1+OFFSET(TblProd[[#This Row],[Bonus Food/hr]],-1,0)),0)</f>
        <v>150096</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666</v>
      </c>
      <c r="T96" s="94">
        <f ca="1">ROUND(TblProd[[#This Row],[Raw Food/hr]]*(1+TblProd[[#This Row],[Bonus Food/hr]])-TblProd[[#This Row],[Food decay]]-TblProd[[#This Row],[Food eaten]],0)</f>
        <v>887</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666.90000000000009</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1500.96</v>
      </c>
      <c r="AP96" s="94">
        <f ca="1">(1+race_food_consumption)*TblPop[[#This Row],[Total]]*food_per_person*(1+tech_1_10*TblTech[[#This Row],[1-10]]+tech_7_5*TblTech[[#This Row],[7-5]] + IF(TblMagic[[#This Row],[Active Demonic Pact]]&gt;0,demonic_pact_food_cons,0))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149984</v>
      </c>
      <c r="BJ96" s="94">
        <f ca="1">TblProd[[#This Row],[Food]]</f>
        <v>150096</v>
      </c>
      <c r="BK96" s="94">
        <f ca="1">TblProd[[#This Row],[Lumber]]</f>
        <v>66281</v>
      </c>
      <c r="BL96" s="94">
        <f ca="1">TblProd[[#This Row],[Mana]]</f>
        <v>0</v>
      </c>
      <c r="BM96" s="94">
        <f ca="1">TblProd[[#This Row],[Ore]]</f>
        <v>0</v>
      </c>
    </row>
    <row r="97" spans="1:65" x14ac:dyDescent="0.2">
      <c r="A97" s="137">
        <f t="shared" si="0"/>
        <v>58</v>
      </c>
      <c r="B97" s="152">
        <f ca="1">TblImps[[#This Row],[Time]]</f>
        <v>45818.874999999774</v>
      </c>
      <c r="C97" s="153"/>
      <c r="D97" s="154"/>
      <c r="E97" s="94">
        <f ca="1">TblConstr[[#This Row],[Land]]</f>
        <v>50</v>
      </c>
      <c r="F97" s="94">
        <f ca="1">TblPop[[#This Row],[Peasants]]</f>
        <v>245</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150650</v>
      </c>
      <c r="I97" s="94">
        <f ca="1">OFFSET(TblProd[[#This Row],[Food]],-1,0)+OFFSET(TblProd[[#This Row],[Food/hr]],-1,0)+ROUNDUP((TblConstr[[#This Row],[Farms]]*80+TblConstr[[#This Row],[Docks]]*35)*(1+OFFSET(TblProd[[#This Row],[Bonus Food/hr]],-1,0)),0)</f>
        <v>150983</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661</v>
      </c>
      <c r="T97" s="94">
        <f ca="1">ROUND(TblProd[[#This Row],[Raw Food/hr]]*(1+TblProd[[#This Row],[Bonus Food/hr]])-TblProd[[#This Row],[Food decay]]-TblProd[[#This Row],[Food eaten]],0)</f>
        <v>878</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661.5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1509.83</v>
      </c>
      <c r="AP97" s="94">
        <f ca="1">(1+race_food_consumption)*TblPop[[#This Row],[Total]]*food_per_person*(1+tech_1_10*TblTech[[#This Row],[1-10]]+tech_7_5*TblTech[[#This Row],[7-5]] + IF(TblMagic[[#This Row],[Active Demonic Pact]]&gt;0,demonic_pact_food_cons,0))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150650</v>
      </c>
      <c r="BJ97" s="94">
        <f ca="1">TblProd[[#This Row],[Food]]</f>
        <v>150983</v>
      </c>
      <c r="BK97" s="94">
        <f ca="1">TblProd[[#This Row],[Lumber]]</f>
        <v>66618</v>
      </c>
      <c r="BL97" s="94">
        <f ca="1">TblProd[[#This Row],[Mana]]</f>
        <v>0</v>
      </c>
      <c r="BM97" s="94">
        <f ca="1">TblProd[[#This Row],[Ore]]</f>
        <v>0</v>
      </c>
    </row>
    <row r="98" spans="1:65" x14ac:dyDescent="0.2">
      <c r="A98" s="137">
        <f t="shared" si="0"/>
        <v>59</v>
      </c>
      <c r="B98" s="152">
        <f ca="1">TblImps[[#This Row],[Time]]</f>
        <v>45818.916666666439</v>
      </c>
      <c r="C98" s="153"/>
      <c r="D98" s="154"/>
      <c r="E98" s="94">
        <f ca="1">TblConstr[[#This Row],[Land]]</f>
        <v>50</v>
      </c>
      <c r="F98" s="94">
        <f ca="1">TblPop[[#This Row],[Peasants]]</f>
        <v>243</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151311</v>
      </c>
      <c r="I98" s="94">
        <f ca="1">OFFSET(TblProd[[#This Row],[Food]],-1,0)+OFFSET(TblProd[[#This Row],[Food/hr]],-1,0)+ROUNDUP((TblConstr[[#This Row],[Farms]]*80+TblConstr[[#This Row],[Docks]]*35)*(1+OFFSET(TblProd[[#This Row],[Bonus Food/hr]],-1,0)),0)</f>
        <v>151861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656</v>
      </c>
      <c r="T98" s="94">
        <f ca="1">ROUND(TblProd[[#This Row],[Raw Food/hr]]*(1+TblProd[[#This Row],[Bonus Food/hr]])-TblProd[[#This Row],[Food decay]]-TblProd[[#This Row],[Food eaten]],0)</f>
        <v>869</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656.1</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1518.6100000000001</v>
      </c>
      <c r="AP98" s="94">
        <f ca="1">(1+race_food_consumption)*TblPop[[#This Row],[Total]]*food_per_person*(1+tech_1_10*TblTech[[#This Row],[1-10]]+tech_7_5*TblTech[[#This Row],[7-5]] + IF(TblMagic[[#This Row],[Active Demonic Pact]]&gt;0,demonic_pact_food_cons,0))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151311</v>
      </c>
      <c r="BJ98" s="94">
        <f ca="1">TblProd[[#This Row],[Food]]</f>
        <v>151861</v>
      </c>
      <c r="BK98" s="94">
        <f ca="1">TblProd[[#This Row],[Lumber]]</f>
        <v>66952</v>
      </c>
      <c r="BL98" s="94">
        <f ca="1">TblProd[[#This Row],[Mana]]</f>
        <v>0</v>
      </c>
      <c r="BM98" s="94">
        <f ca="1">TblProd[[#This Row],[Ore]]</f>
        <v>0</v>
      </c>
    </row>
    <row r="99" spans="1:65" x14ac:dyDescent="0.2">
      <c r="A99" s="137">
        <f t="shared" si="0"/>
        <v>60</v>
      </c>
      <c r="B99" s="152">
        <f ca="1">TblImps[[#This Row],[Time]]</f>
        <v>45818.958333333103</v>
      </c>
      <c r="C99" s="153"/>
      <c r="D99" s="154"/>
      <c r="E99" s="94">
        <f ca="1">TblConstr[[#This Row],[Land]]</f>
        <v>50</v>
      </c>
      <c r="F99" s="94">
        <f ca="1">TblPop[[#This Row],[Peasants]]</f>
        <v>241</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151967</v>
      </c>
      <c r="I99" s="94">
        <f ca="1">OFFSET(TblProd[[#This Row],[Food]],-1,0)+OFFSET(TblProd[[#This Row],[Food/hr]],-1,0)+ROUNDUP((TblConstr[[#This Row],[Farms]]*80+TblConstr[[#This Row],[Docks]]*35)*(1+OFFSET(TblProd[[#This Row],[Bonus Food/hr]],-1,0)),0)</f>
        <v>152730</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650</v>
      </c>
      <c r="T99" s="94">
        <f ca="1">ROUND(TblProd[[#This Row],[Raw Food/hr]]*(1+TblProd[[#This Row],[Bonus Food/hr]])-TblProd[[#This Row],[Food decay]]-TblProd[[#This Row],[Food eaten]],0)</f>
        <v>860</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650.70000000000005</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1527.3</v>
      </c>
      <c r="AP99" s="94">
        <f ca="1">(1+race_food_consumption)*TblPop[[#This Row],[Total]]*food_per_person*(1+tech_1_10*TblTech[[#This Row],[1-10]]+tech_7_5*TblTech[[#This Row],[7-5]] + IF(TblMagic[[#This Row],[Active Demonic Pact]]&gt;0,demonic_pact_food_cons,0))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151967</v>
      </c>
      <c r="BJ99" s="94">
        <f ca="1">TblProd[[#This Row],[Food]]</f>
        <v>152730</v>
      </c>
      <c r="BK99" s="94">
        <f ca="1">TblProd[[#This Row],[Lumber]]</f>
        <v>67282</v>
      </c>
      <c r="BL99" s="94">
        <f ca="1">TblProd[[#This Row],[Mana]]</f>
        <v>0</v>
      </c>
      <c r="BM99" s="94">
        <f ca="1">TblProd[[#This Row],[Ore]]</f>
        <v>0</v>
      </c>
    </row>
    <row r="100" spans="1:65" x14ac:dyDescent="0.2">
      <c r="A100" s="137">
        <f t="shared" si="0"/>
        <v>61</v>
      </c>
      <c r="B100" s="152">
        <f ca="1">TblImps[[#This Row],[Time]]</f>
        <v>45818.999999999767</v>
      </c>
      <c r="C100" s="153"/>
      <c r="D100" s="154"/>
      <c r="E100" s="94">
        <f ca="1">TblConstr[[#This Row],[Land]]</f>
        <v>50</v>
      </c>
      <c r="F100" s="94">
        <f ca="1">TblPop[[#This Row],[Peasants]]</f>
        <v>239</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152617</v>
      </c>
      <c r="I100" s="94">
        <f ca="1">OFFSET(TblProd[[#This Row],[Food]],-1,0)+OFFSET(TblProd[[#This Row],[Food/hr]],-1,0)+ROUNDUP((TblConstr[[#This Row],[Farms]]*80+TblConstr[[#This Row],[Docks]]*35)*(1+OFFSET(TblProd[[#This Row],[Bonus Food/hr]],-1,0)),0)</f>
        <v>153590</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645</v>
      </c>
      <c r="T100" s="94">
        <f ca="1">ROUND(TblProd[[#This Row],[Raw Food/hr]]*(1+TblProd[[#This Row],[Bonus Food/hr]])-TblProd[[#This Row],[Food decay]]-TblProd[[#This Row],[Food eaten]],0)</f>
        <v>852</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645.30000000000007</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1535.9</v>
      </c>
      <c r="AP100" s="94">
        <f ca="1">(1+race_food_consumption)*TblPop[[#This Row],[Total]]*food_per_person*(1+tech_1_10*TblTech[[#This Row],[1-10]]+tech_7_5*TblTech[[#This Row],[7-5]] + IF(TblMagic[[#This Row],[Active Demonic Pact]]&gt;0,demonic_pact_food_cons,0))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152617</v>
      </c>
      <c r="BJ100" s="94">
        <f ca="1">TblProd[[#This Row],[Food]]</f>
        <v>153590</v>
      </c>
      <c r="BK100" s="94">
        <f ca="1">TblProd[[#This Row],[Lumber]]</f>
        <v>67609</v>
      </c>
      <c r="BL100" s="94">
        <f ca="1">TblProd[[#This Row],[Mana]]</f>
        <v>0</v>
      </c>
      <c r="BM100" s="94">
        <f ca="1">TblProd[[#This Row],[Ore]]</f>
        <v>0</v>
      </c>
    </row>
    <row r="101" spans="1:65" x14ac:dyDescent="0.2">
      <c r="A101" s="137">
        <f t="shared" si="0"/>
        <v>62</v>
      </c>
      <c r="B101" s="152">
        <f ca="1">TblImps[[#This Row],[Time]]</f>
        <v>45819.041666666431</v>
      </c>
      <c r="C101" s="153"/>
      <c r="D101" s="154"/>
      <c r="E101" s="94">
        <f ca="1">TblConstr[[#This Row],[Land]]</f>
        <v>50</v>
      </c>
      <c r="F101" s="94">
        <f ca="1">TblPop[[#This Row],[Peasants]]</f>
        <v>237</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153262</v>
      </c>
      <c r="I101" s="94">
        <f ca="1">OFFSET(TblProd[[#This Row],[Food]],-1,0)+OFFSET(TblProd[[#This Row],[Food/hr]],-1,0)+ROUNDUP((TblConstr[[#This Row],[Farms]]*80+TblConstr[[#This Row],[Docks]]*35)*(1+OFFSET(TblProd[[#This Row],[Bonus Food/hr]],-1,0)),0)</f>
        <v>154442</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639</v>
      </c>
      <c r="T101" s="94">
        <f ca="1">ROUND(TblProd[[#This Row],[Raw Food/hr]]*(1+TblProd[[#This Row],[Bonus Food/hr]])-TblProd[[#This Row],[Food decay]]-TblProd[[#This Row],[Food eaten]],0)</f>
        <v>843</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639.90000000000009</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1544.42</v>
      </c>
      <c r="AP101" s="94">
        <f ca="1">(1+race_food_consumption)*TblPop[[#This Row],[Total]]*food_per_person*(1+tech_1_10*TblTech[[#This Row],[1-10]]+tech_7_5*TblTech[[#This Row],[7-5]] + IF(TblMagic[[#This Row],[Active Demonic Pact]]&gt;0,demonic_pact_food_cons,0))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153262</v>
      </c>
      <c r="BJ101" s="94">
        <f ca="1">TblProd[[#This Row],[Food]]</f>
        <v>154442</v>
      </c>
      <c r="BK101" s="94">
        <f ca="1">TblProd[[#This Row],[Lumber]]</f>
        <v>67933</v>
      </c>
      <c r="BL101" s="94">
        <f ca="1">TblProd[[#This Row],[Mana]]</f>
        <v>0</v>
      </c>
      <c r="BM101" s="94">
        <f ca="1">TblProd[[#This Row],[Ore]]</f>
        <v>0</v>
      </c>
    </row>
    <row r="102" spans="1:65" x14ac:dyDescent="0.2">
      <c r="A102" s="137">
        <f t="shared" si="0"/>
        <v>63</v>
      </c>
      <c r="B102" s="152">
        <f ca="1">TblImps[[#This Row],[Time]]</f>
        <v>45819.083333333096</v>
      </c>
      <c r="C102" s="153"/>
      <c r="D102" s="154"/>
      <c r="E102" s="94">
        <f ca="1">TblConstr[[#This Row],[Land]]</f>
        <v>50</v>
      </c>
      <c r="F102" s="94">
        <f ca="1">TblPop[[#This Row],[Peasants]]</f>
        <v>235</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153901</v>
      </c>
      <c r="I102" s="94">
        <f ca="1">OFFSET(TblProd[[#This Row],[Food]],-1,0)+OFFSET(TblProd[[#This Row],[Food/hr]],-1,0)+ROUNDUP((TblConstr[[#This Row],[Farms]]*80+TblConstr[[#This Row],[Docks]]*35)*(1+OFFSET(TblProd[[#This Row],[Bonus Food/hr]],-1,0)),0)</f>
        <v>155285</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634</v>
      </c>
      <c r="T102" s="94">
        <f ca="1">ROUND(TblProd[[#This Row],[Raw Food/hr]]*(1+TblProd[[#This Row],[Bonus Food/hr]])-TblProd[[#This Row],[Food decay]]-TblProd[[#This Row],[Food eaten]],0)</f>
        <v>835</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634.5</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1552.8500000000001</v>
      </c>
      <c r="AP102" s="94">
        <f ca="1">(1+race_food_consumption)*TblPop[[#This Row],[Total]]*food_per_person*(1+tech_1_10*TblTech[[#This Row],[1-10]]+tech_7_5*TblTech[[#This Row],[7-5]] + IF(TblMagic[[#This Row],[Active Demonic Pact]]&gt;0,demonic_pact_food_cons,0))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153901</v>
      </c>
      <c r="BJ102" s="94">
        <f ca="1">TblProd[[#This Row],[Food]]</f>
        <v>155285</v>
      </c>
      <c r="BK102" s="94">
        <f ca="1">TblProd[[#This Row],[Lumber]]</f>
        <v>68254</v>
      </c>
      <c r="BL102" s="94">
        <f ca="1">TblProd[[#This Row],[Mana]]</f>
        <v>0</v>
      </c>
      <c r="BM102" s="94">
        <f ca="1">TblProd[[#This Row],[Ore]]</f>
        <v>0</v>
      </c>
    </row>
    <row r="103" spans="1:65" x14ac:dyDescent="0.2">
      <c r="A103" s="137">
        <f t="shared" si="0"/>
        <v>64</v>
      </c>
      <c r="B103" s="152">
        <f ca="1">TblImps[[#This Row],[Time]]</f>
        <v>45819.12499999976</v>
      </c>
      <c r="C103" s="153"/>
      <c r="D103" s="154"/>
      <c r="E103" s="94">
        <f ca="1">TblConstr[[#This Row],[Land]]</f>
        <v>50</v>
      </c>
      <c r="F103" s="94">
        <f ca="1">TblPop[[#This Row],[Peasants]]</f>
        <v>233</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154535</v>
      </c>
      <c r="I103" s="94">
        <f ca="1">OFFSET(TblProd[[#This Row],[Food]],-1,0)+OFFSET(TblProd[[#This Row],[Food/hr]],-1,0)+ROUNDUP((TblConstr[[#This Row],[Farms]]*80+TblConstr[[#This Row],[Docks]]*35)*(1+OFFSET(TblProd[[#This Row],[Bonus Food/hr]],-1,0)),0)</f>
        <v>156120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629</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629.1</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1561.2</v>
      </c>
      <c r="AP103" s="94">
        <f ca="1">(1+race_food_consumption)*TblPop[[#This Row],[Total]]*food_per_person*(1+tech_1_10*TblTech[[#This Row],[1-10]]+tech_7_5*TblTech[[#This Row],[7-5]] + IF(TblMagic[[#This Row],[Active Demonic Pact]]&gt;0,demonic_pact_food_cons,0))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154535</v>
      </c>
      <c r="BJ103" s="94">
        <f ca="1">TblProd[[#This Row],[Food]]</f>
        <v>156120</v>
      </c>
      <c r="BK103" s="94">
        <f ca="1">TblProd[[#This Row],[Lumber]]</f>
        <v>68571</v>
      </c>
      <c r="BL103" s="94">
        <f ca="1">TblProd[[#This Row],[Mana]]</f>
        <v>0</v>
      </c>
      <c r="BM103" s="94">
        <f ca="1">TblProd[[#This Row],[Ore]]</f>
        <v>0</v>
      </c>
    </row>
    <row r="104" spans="1:65" x14ac:dyDescent="0.2">
      <c r="A104" s="137">
        <f t="shared" si="0"/>
        <v>65</v>
      </c>
      <c r="B104" s="152">
        <f ca="1">TblImps[[#This Row],[Time]]</f>
        <v>45819.166666666424</v>
      </c>
      <c r="C104" s="153"/>
      <c r="D104" s="154"/>
      <c r="E104" s="94">
        <f ca="1">TblConstr[[#This Row],[Land]]</f>
        <v>50</v>
      </c>
      <c r="F104" s="94">
        <f ca="1">TblPop[[#This Row],[Peasants]]</f>
        <v>231</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155164</v>
      </c>
      <c r="I104" s="94">
        <f ca="1">OFFSET(TblProd[[#This Row],[Food]],-1,0)+OFFSET(TblProd[[#This Row],[Food/hr]],-1,0)+ROUNDUP((TblConstr[[#This Row],[Farms]]*80+TblConstr[[#This Row],[Docks]]*35)*(1+OFFSET(TblProd[[#This Row],[Bonus Food/hr]],-1,0)),0)</f>
        <v>156947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623</v>
      </c>
      <c r="T104" s="94">
        <f ca="1">ROUND(TblProd[[#This Row],[Raw Food/hr]]*(1+TblProd[[#This Row],[Bonus Food/hr]])-TblProd[[#This Row],[Food decay]]-TblProd[[#This Row],[Food eaten]],0)</f>
        <v>818</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623.70000000000005</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1569.47</v>
      </c>
      <c r="AP104" s="94">
        <f ca="1">(1+race_food_consumption)*TblPop[[#This Row],[Total]]*food_per_person*(1+tech_1_10*TblTech[[#This Row],[1-10]]+tech_7_5*TblTech[[#This Row],[7-5]] + IF(TblMagic[[#This Row],[Active Demonic Pact]]&gt;0,demonic_pact_food_cons,0))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155164</v>
      </c>
      <c r="BJ104" s="94">
        <f ca="1">TblProd[[#This Row],[Food]]</f>
        <v>156947</v>
      </c>
      <c r="BK104" s="94">
        <f ca="1">TblProd[[#This Row],[Lumber]]</f>
        <v>68885</v>
      </c>
      <c r="BL104" s="94">
        <f ca="1">TblProd[[#This Row],[Mana]]</f>
        <v>0</v>
      </c>
      <c r="BM104" s="94">
        <f ca="1">TblProd[[#This Row],[Ore]]</f>
        <v>0</v>
      </c>
    </row>
    <row r="105" spans="1:65" x14ac:dyDescent="0.2">
      <c r="A105" s="137">
        <f t="shared" si="0"/>
        <v>66</v>
      </c>
      <c r="B105" s="152">
        <f ca="1">TblImps[[#This Row],[Time]]</f>
        <v>45819.208333333088</v>
      </c>
      <c r="C105" s="153"/>
      <c r="D105" s="154"/>
      <c r="E105" s="94">
        <f ca="1">TblConstr[[#This Row],[Land]]</f>
        <v>50</v>
      </c>
      <c r="F105" s="94">
        <f ca="1">TblPop[[#This Row],[Peasants]]</f>
        <v>229</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155787</v>
      </c>
      <c r="I105" s="94">
        <f ca="1">OFFSET(TblProd[[#This Row],[Food]],-1,0)+OFFSET(TblProd[[#This Row],[Food/hr]],-1,0)+ROUNDUP((TblConstr[[#This Row],[Farms]]*80+TblConstr[[#This Row],[Docks]]*35)*(1+OFFSET(TblProd[[#This Row],[Bonus Food/hr]],-1,0)),0)</f>
        <v>157765</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618</v>
      </c>
      <c r="T105" s="94">
        <f ca="1">ROUND(TblProd[[#This Row],[Raw Food/hr]]*(1+TblProd[[#This Row],[Bonus Food/hr]])-TblProd[[#This Row],[Food decay]]-TblProd[[#This Row],[Food eaten]],0)</f>
        <v>810</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618.30000000000007</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1577.65</v>
      </c>
      <c r="AP105" s="94">
        <f ca="1">(1+race_food_consumption)*TblPop[[#This Row],[Total]]*food_per_person*(1+tech_1_10*TblTech[[#This Row],[1-10]]+tech_7_5*TblTech[[#This Row],[7-5]] + IF(TblMagic[[#This Row],[Active Demonic Pact]]&gt;0,demonic_pact_food_cons,0))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155787</v>
      </c>
      <c r="BJ105" s="94">
        <f ca="1">TblProd[[#This Row],[Food]]</f>
        <v>157765</v>
      </c>
      <c r="BK105" s="94">
        <f ca="1">TblProd[[#This Row],[Lumber]]</f>
        <v>69196</v>
      </c>
      <c r="BL105" s="94">
        <f ca="1">TblProd[[#This Row],[Mana]]</f>
        <v>0</v>
      </c>
      <c r="BM105" s="94">
        <f ca="1">TblProd[[#This Row],[Ore]]</f>
        <v>0</v>
      </c>
    </row>
    <row r="106" spans="1:65" x14ac:dyDescent="0.2">
      <c r="A106" s="137">
        <f t="shared" si="0"/>
        <v>67</v>
      </c>
      <c r="B106" s="152">
        <f ca="1">TblImps[[#This Row],[Time]]</f>
        <v>45819.249999999753</v>
      </c>
      <c r="C106" s="153"/>
      <c r="D106" s="154"/>
      <c r="E106" s="94">
        <f ca="1">TblConstr[[#This Row],[Land]]</f>
        <v>50</v>
      </c>
      <c r="F106" s="94">
        <f ca="1">TblPop[[#This Row],[Peasants]]</f>
        <v>227</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156405</v>
      </c>
      <c r="I106" s="94">
        <f ca="1">OFFSET(TblProd[[#This Row],[Food]],-1,0)+OFFSET(TblProd[[#This Row],[Food/hr]],-1,0)+ROUNDUP((TblConstr[[#This Row],[Farms]]*80+TblConstr[[#This Row],[Docks]]*35)*(1+OFFSET(TblProd[[#This Row],[Bonus Food/hr]],-1,0)),0)</f>
        <v>158575</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612</v>
      </c>
      <c r="T106" s="94">
        <f ca="1">ROUND(TblProd[[#This Row],[Raw Food/hr]]*(1+TblProd[[#This Row],[Bonus Food/hr]])-TblProd[[#This Row],[Food decay]]-TblProd[[#This Row],[Food eaten]],0)</f>
        <v>802</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612.90000000000009</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1585.75</v>
      </c>
      <c r="AP106" s="94">
        <f ca="1">(1+race_food_consumption)*TblPop[[#This Row],[Total]]*food_per_person*(1+tech_1_10*TblTech[[#This Row],[1-10]]+tech_7_5*TblTech[[#This Row],[7-5]] + IF(TblMagic[[#This Row],[Active Demonic Pact]]&gt;0,demonic_pact_food_cons,0))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156405</v>
      </c>
      <c r="BJ106" s="94">
        <f ca="1">TblProd[[#This Row],[Food]]</f>
        <v>158575</v>
      </c>
      <c r="BK106" s="94">
        <f ca="1">TblProd[[#This Row],[Lumber]]</f>
        <v>69504</v>
      </c>
      <c r="BL106" s="94">
        <f ca="1">TblProd[[#This Row],[Mana]]</f>
        <v>0</v>
      </c>
      <c r="BM106" s="94">
        <f ca="1">TblProd[[#This Row],[Ore]]</f>
        <v>0</v>
      </c>
    </row>
    <row r="107" spans="1:65" x14ac:dyDescent="0.2">
      <c r="A107" s="137">
        <f t="shared" ref="A107:A136" si="1">A106+1</f>
        <v>68</v>
      </c>
      <c r="B107" s="152">
        <f ca="1">TblImps[[#This Row],[Time]]</f>
        <v>45819.291666666417</v>
      </c>
      <c r="C107" s="153"/>
      <c r="D107" s="154"/>
      <c r="E107" s="94">
        <f ca="1">TblConstr[[#This Row],[Land]]</f>
        <v>50</v>
      </c>
      <c r="F107" s="94">
        <f ca="1">TblPop[[#This Row],[Peasants]]</f>
        <v>225</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157017</v>
      </c>
      <c r="I107" s="94">
        <f ca="1">OFFSET(TblProd[[#This Row],[Food]],-1,0)+OFFSET(TblProd[[#This Row],[Food/hr]],-1,0)+ROUNDUP((TblConstr[[#This Row],[Farms]]*80+TblConstr[[#This Row],[Docks]]*35)*(1+OFFSET(TblProd[[#This Row],[Bonus Food/hr]],-1,0)),0)</f>
        <v>159377</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607</v>
      </c>
      <c r="T107" s="94">
        <f ca="1">ROUND(TblProd[[#This Row],[Raw Food/hr]]*(1+TblProd[[#This Row],[Bonus Food/hr]])-TblProd[[#This Row],[Food decay]]-TblProd[[#This Row],[Food eaten]],0)</f>
        <v>794</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607.5</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1593.77</v>
      </c>
      <c r="AP107" s="94">
        <f ca="1">(1+race_food_consumption)*TblPop[[#This Row],[Total]]*food_per_person*(1+tech_1_10*TblTech[[#This Row],[1-10]]+tech_7_5*TblTech[[#This Row],[7-5]] + IF(TblMagic[[#This Row],[Active Demonic Pact]]&gt;0,demonic_pact_food_cons,0))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157017</v>
      </c>
      <c r="BJ107" s="94">
        <f ca="1">TblProd[[#This Row],[Food]]</f>
        <v>159377</v>
      </c>
      <c r="BK107" s="94">
        <f ca="1">TblProd[[#This Row],[Lumber]]</f>
        <v>69809</v>
      </c>
      <c r="BL107" s="94">
        <f ca="1">TblProd[[#This Row],[Mana]]</f>
        <v>0</v>
      </c>
      <c r="BM107" s="94">
        <f ca="1">TblProd[[#This Row],[Ore]]</f>
        <v>0</v>
      </c>
    </row>
    <row r="108" spans="1:65" x14ac:dyDescent="0.2">
      <c r="A108" s="137">
        <f t="shared" si="1"/>
        <v>69</v>
      </c>
      <c r="B108" s="152">
        <f ca="1">TblImps[[#This Row],[Time]]</f>
        <v>45819.333333333081</v>
      </c>
      <c r="C108" s="153"/>
      <c r="D108" s="154"/>
      <c r="E108" s="94">
        <f ca="1">TblConstr[[#This Row],[Land]]</f>
        <v>50</v>
      </c>
      <c r="F108" s="94">
        <f ca="1">TblPop[[#This Row],[Peasants]]</f>
        <v>223</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157624</v>
      </c>
      <c r="I108" s="94">
        <f ca="1">OFFSET(TblProd[[#This Row],[Food]],-1,0)+OFFSET(TblProd[[#This Row],[Food/hr]],-1,0)+ROUNDUP((TblConstr[[#This Row],[Farms]]*80+TblConstr[[#This Row],[Docks]]*35)*(1+OFFSET(TblProd[[#This Row],[Bonus Food/hr]],-1,0)),0)</f>
        <v>160171</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602</v>
      </c>
      <c r="T108" s="94">
        <f ca="1">ROUND(TblProd[[#This Row],[Raw Food/hr]]*(1+TblProd[[#This Row],[Bonus Food/hr]])-TblProd[[#This Row],[Food decay]]-TblProd[[#This Row],[Food eaten]],0)</f>
        <v>786</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602.1</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1601.71</v>
      </c>
      <c r="AP108" s="94">
        <f ca="1">(1+race_food_consumption)*TblPop[[#This Row],[Total]]*food_per_person*(1+tech_1_10*TblTech[[#This Row],[1-10]]+tech_7_5*TblTech[[#This Row],[7-5]] + IF(TblMagic[[#This Row],[Active Demonic Pact]]&gt;0,demonic_pact_food_cons,0))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157624</v>
      </c>
      <c r="BJ108" s="94">
        <f ca="1">TblProd[[#This Row],[Food]]</f>
        <v>160171</v>
      </c>
      <c r="BK108" s="94">
        <f ca="1">TblProd[[#This Row],[Lumber]]</f>
        <v>70111</v>
      </c>
      <c r="BL108" s="94">
        <f ca="1">TblProd[[#This Row],[Mana]]</f>
        <v>0</v>
      </c>
      <c r="BM108" s="94">
        <f ca="1">TblProd[[#This Row],[Ore]]</f>
        <v>0</v>
      </c>
    </row>
    <row r="109" spans="1:65" x14ac:dyDescent="0.2">
      <c r="A109" s="137">
        <f t="shared" si="1"/>
        <v>70</v>
      </c>
      <c r="B109" s="152">
        <f ca="1">TblImps[[#This Row],[Time]]</f>
        <v>45819.374999999745</v>
      </c>
      <c r="C109" s="153"/>
      <c r="D109" s="154"/>
      <c r="E109" s="94">
        <f ca="1">TblConstr[[#This Row],[Land]]</f>
        <v>50</v>
      </c>
      <c r="F109" s="94">
        <f ca="1">TblPop[[#This Row],[Peasants]]</f>
        <v>221</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158226</v>
      </c>
      <c r="I109" s="94">
        <f ca="1">OFFSET(TblProd[[#This Row],[Food]],-1,0)+OFFSET(TblProd[[#This Row],[Food/hr]],-1,0)+ROUNDUP((TblConstr[[#This Row],[Farms]]*80+TblConstr[[#This Row],[Docks]]*35)*(1+OFFSET(TblProd[[#This Row],[Bonus Food/hr]],-1,0)),0)</f>
        <v>160957</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596</v>
      </c>
      <c r="T109" s="94">
        <f ca="1">ROUND(TblProd[[#This Row],[Raw Food/hr]]*(1+TblProd[[#This Row],[Bonus Food/hr]])-TblProd[[#This Row],[Food decay]]-TblProd[[#This Row],[Food eaten]],0)</f>
        <v>778</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596.70000000000005</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1609.57</v>
      </c>
      <c r="AP109" s="94">
        <f ca="1">(1+race_food_consumption)*TblPop[[#This Row],[Total]]*food_per_person*(1+tech_1_10*TblTech[[#This Row],[1-10]]+tech_7_5*TblTech[[#This Row],[7-5]] + IF(TblMagic[[#This Row],[Active Demonic Pact]]&gt;0,demonic_pact_food_cons,0))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158226</v>
      </c>
      <c r="BJ109" s="94">
        <f ca="1">TblProd[[#This Row],[Food]]</f>
        <v>160957</v>
      </c>
      <c r="BK109" s="94">
        <f ca="1">TblProd[[#This Row],[Lumber]]</f>
        <v>70410</v>
      </c>
      <c r="BL109" s="94">
        <f ca="1">TblProd[[#This Row],[Mana]]</f>
        <v>0</v>
      </c>
      <c r="BM109" s="94">
        <f ca="1">TblProd[[#This Row],[Ore]]</f>
        <v>0</v>
      </c>
    </row>
    <row r="110" spans="1:65" x14ac:dyDescent="0.2">
      <c r="A110" s="137">
        <f t="shared" si="1"/>
        <v>71</v>
      </c>
      <c r="B110" s="152">
        <f ca="1">TblImps[[#This Row],[Time]]</f>
        <v>45819.41666666641</v>
      </c>
      <c r="C110" s="153"/>
      <c r="D110" s="154"/>
      <c r="E110" s="94">
        <f ca="1">TblConstr[[#This Row],[Land]]</f>
        <v>50</v>
      </c>
      <c r="F110" s="94">
        <f ca="1">TblPop[[#This Row],[Peasants]]</f>
        <v>219</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158822</v>
      </c>
      <c r="I110" s="94">
        <f ca="1">OFFSET(TblProd[[#This Row],[Food]],-1,0)+OFFSET(TblProd[[#This Row],[Food/hr]],-1,0)+ROUNDUP((TblConstr[[#This Row],[Farms]]*80+TblConstr[[#This Row],[Docks]]*35)*(1+OFFSET(TblProd[[#This Row],[Bonus Food/hr]],-1,0)),0)</f>
        <v>161735</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591</v>
      </c>
      <c r="T110" s="94">
        <f ca="1">ROUND(TblProd[[#This Row],[Raw Food/hr]]*(1+TblProd[[#This Row],[Bonus Food/hr]])-TblProd[[#This Row],[Food decay]]-TblProd[[#This Row],[Food eaten]],0)</f>
        <v>770</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591.30000000000007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1617.3500000000001</v>
      </c>
      <c r="AP110" s="94">
        <f ca="1">(1+race_food_consumption)*TblPop[[#This Row],[Total]]*food_per_person*(1+tech_1_10*TblTech[[#This Row],[1-10]]+tech_7_5*TblTech[[#This Row],[7-5]] + IF(TblMagic[[#This Row],[Active Demonic Pact]]&gt;0,demonic_pact_food_cons,0))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158822</v>
      </c>
      <c r="BJ110" s="94">
        <f ca="1">TblProd[[#This Row],[Food]]</f>
        <v>161735</v>
      </c>
      <c r="BK110" s="94">
        <f ca="1">TblProd[[#This Row],[Lumber]]</f>
        <v>70706</v>
      </c>
      <c r="BL110" s="94">
        <f ca="1">TblProd[[#This Row],[Mana]]</f>
        <v>0</v>
      </c>
      <c r="BM110" s="94">
        <f ca="1">TblProd[[#This Row],[Ore]]</f>
        <v>0</v>
      </c>
    </row>
    <row r="111" spans="1:65" x14ac:dyDescent="0.2">
      <c r="A111" s="137">
        <f t="shared" si="1"/>
        <v>72</v>
      </c>
      <c r="B111" s="152">
        <f ca="1">TblImps[[#This Row],[Time]]</f>
        <v>45819.458333333074</v>
      </c>
      <c r="C111" s="153"/>
      <c r="D111" s="154"/>
      <c r="E111" s="94">
        <f ca="1">TblConstr[[#This Row],[Land]]</f>
        <v>50</v>
      </c>
      <c r="F111" s="94">
        <f ca="1">TblPop[[#This Row],[Peasants]]</f>
        <v>217</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159413</v>
      </c>
      <c r="I111" s="94">
        <f ca="1">OFFSET(TblProd[[#This Row],[Food]],-1,0)+OFFSET(TblProd[[#This Row],[Food/hr]],-1,0)+ROUNDUP((TblConstr[[#This Row],[Farms]]*80+TblConstr[[#This Row],[Docks]]*35)*(1+OFFSET(TblProd[[#This Row],[Bonus Food/hr]],-1,0)),0)</f>
        <v>162505</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585</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585.90000000000009</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1625.05</v>
      </c>
      <c r="AP111" s="94">
        <f ca="1">(1+race_food_consumption)*TblPop[[#This Row],[Total]]*food_per_person*(1+tech_1_10*TblTech[[#This Row],[1-10]]+tech_7_5*TblTech[[#This Row],[7-5]] + IF(TblMagic[[#This Row],[Active Demonic Pact]]&gt;0,demonic_pact_food_cons,0))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159413</v>
      </c>
      <c r="BJ111" s="94">
        <f ca="1">TblProd[[#This Row],[Food]]</f>
        <v>162505</v>
      </c>
      <c r="BK111" s="94">
        <f ca="1">TblProd[[#This Row],[Lumber]]</f>
        <v>70999</v>
      </c>
      <c r="BL111" s="94">
        <f ca="1">TblProd[[#This Row],[Mana]]</f>
        <v>0</v>
      </c>
      <c r="BM111" s="94">
        <f ca="1">TblProd[[#This Row],[Ore]]</f>
        <v>0</v>
      </c>
    </row>
    <row r="112" spans="1:65" x14ac:dyDescent="0.2">
      <c r="A112" s="137">
        <f t="shared" si="1"/>
        <v>73</v>
      </c>
      <c r="B112" s="152">
        <f ca="1">TblImps[[#This Row],[Time]]</f>
        <v>45819.499999999738</v>
      </c>
      <c r="C112" s="153"/>
      <c r="D112" s="154"/>
      <c r="E112" s="94">
        <f ca="1">TblConstr[[#This Row],[Land]]</f>
        <v>50</v>
      </c>
      <c r="F112" s="94">
        <f ca="1">TblPop[[#This Row],[Peasants]]</f>
        <v>215</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159998</v>
      </c>
      <c r="I112" s="94">
        <f ca="1">OFFSET(TblProd[[#This Row],[Food]],-1,0)+OFFSET(TblProd[[#This Row],[Food/hr]],-1,0)+ROUNDUP((TblConstr[[#This Row],[Farms]]*80+TblConstr[[#This Row],[Docks]]*35)*(1+OFFSET(TblProd[[#This Row],[Bonus Food/hr]],-1,0)),0)</f>
        <v>163268</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580</v>
      </c>
      <c r="T112" s="94">
        <f ca="1">ROUND(TblProd[[#This Row],[Raw Food/hr]]*(1+TblProd[[#This Row],[Bonus Food/hr]])-TblProd[[#This Row],[Food decay]]-TblProd[[#This Row],[Food eaten]],0)</f>
        <v>755</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580.5</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1632.68</v>
      </c>
      <c r="AP112" s="94">
        <f ca="1">(1+race_food_consumption)*TblPop[[#This Row],[Total]]*food_per_person*(1+tech_1_10*TblTech[[#This Row],[1-10]]+tech_7_5*TblTech[[#This Row],[7-5]] + IF(TblMagic[[#This Row],[Active Demonic Pact]]&gt;0,demonic_pact_food_cons,0))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159998</v>
      </c>
      <c r="BJ112" s="94">
        <f ca="1">TblProd[[#This Row],[Food]]</f>
        <v>163268</v>
      </c>
      <c r="BK112" s="94">
        <f ca="1">TblProd[[#This Row],[Lumber]]</f>
        <v>71289</v>
      </c>
      <c r="BL112" s="94">
        <f ca="1">TblProd[[#This Row],[Mana]]</f>
        <v>0</v>
      </c>
      <c r="BM112" s="94">
        <f ca="1">TblProd[[#This Row],[Ore]]</f>
        <v>0</v>
      </c>
    </row>
    <row r="113" spans="1:65" x14ac:dyDescent="0.2">
      <c r="A113" s="137">
        <f t="shared" si="1"/>
        <v>74</v>
      </c>
      <c r="B113" s="152">
        <f ca="1">TblImps[[#This Row],[Time]]</f>
        <v>45819.541666666402</v>
      </c>
      <c r="C113" s="153"/>
      <c r="D113" s="154"/>
      <c r="E113" s="94">
        <f ca="1">TblConstr[[#This Row],[Land]]</f>
        <v>50</v>
      </c>
      <c r="F113" s="94">
        <f ca="1">TblPop[[#This Row],[Peasants]]</f>
        <v>213</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160578</v>
      </c>
      <c r="I113" s="94">
        <f ca="1">OFFSET(TblProd[[#This Row],[Food]],-1,0)+OFFSET(TblProd[[#This Row],[Food/hr]],-1,0)+ROUNDUP((TblConstr[[#This Row],[Farms]]*80+TblConstr[[#This Row],[Docks]]*35)*(1+OFFSET(TblProd[[#This Row],[Bonus Food/hr]],-1,0)),0)</f>
        <v>164023</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575</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575.1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1640.23</v>
      </c>
      <c r="AP113" s="94">
        <f ca="1">(1+race_food_consumption)*TblPop[[#This Row],[Total]]*food_per_person*(1+tech_1_10*TblTech[[#This Row],[1-10]]+tech_7_5*TblTech[[#This Row],[7-5]] + IF(TblMagic[[#This Row],[Active Demonic Pact]]&gt;0,demonic_pact_food_cons,0))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160578</v>
      </c>
      <c r="BJ113" s="94">
        <f ca="1">TblProd[[#This Row],[Food]]</f>
        <v>164023</v>
      </c>
      <c r="BK113" s="94">
        <f ca="1">TblProd[[#This Row],[Lumber]]</f>
        <v>71576</v>
      </c>
      <c r="BL113" s="94">
        <f ca="1">TblProd[[#This Row],[Mana]]</f>
        <v>0</v>
      </c>
      <c r="BM113" s="94">
        <f ca="1">TblProd[[#This Row],[Ore]]</f>
        <v>0</v>
      </c>
    </row>
    <row r="114" spans="1:65" x14ac:dyDescent="0.2">
      <c r="A114" s="137">
        <f t="shared" si="1"/>
        <v>75</v>
      </c>
      <c r="B114" s="152">
        <f ca="1">TblImps[[#This Row],[Time]]</f>
        <v>45819.583333333067</v>
      </c>
      <c r="C114" s="153"/>
      <c r="D114" s="154"/>
      <c r="E114" s="94">
        <f ca="1">TblConstr[[#This Row],[Land]]</f>
        <v>50</v>
      </c>
      <c r="F114" s="94">
        <f ca="1">TblPop[[#This Row],[Peasants]]</f>
        <v>211</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161153</v>
      </c>
      <c r="I114" s="94">
        <f ca="1">OFFSET(TblProd[[#This Row],[Food]],-1,0)+OFFSET(TblProd[[#This Row],[Food/hr]],-1,0)+ROUNDUP((TblConstr[[#This Row],[Farms]]*80+TblConstr[[#This Row],[Docks]]*35)*(1+OFFSET(TblProd[[#This Row],[Bonus Food/hr]],-1,0)),0)</f>
        <v>164771</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569</v>
      </c>
      <c r="T114" s="94">
        <f ca="1">ROUND(TblProd[[#This Row],[Raw Food/hr]]*(1+TblProd[[#This Row],[Bonus Food/hr]])-TblProd[[#This Row],[Food decay]]-TblProd[[#This Row],[Food eaten]],0)</f>
        <v>740</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569.70000000000005</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1647.71</v>
      </c>
      <c r="AP114" s="94">
        <f ca="1">(1+race_food_consumption)*TblPop[[#This Row],[Total]]*food_per_person*(1+tech_1_10*TblTech[[#This Row],[1-10]]+tech_7_5*TblTech[[#This Row],[7-5]] + IF(TblMagic[[#This Row],[Active Demonic Pact]]&gt;0,demonic_pact_food_cons,0))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161153</v>
      </c>
      <c r="BJ114" s="94">
        <f ca="1">TblProd[[#This Row],[Food]]</f>
        <v>164771</v>
      </c>
      <c r="BK114" s="94">
        <f ca="1">TblProd[[#This Row],[Lumber]]</f>
        <v>71860</v>
      </c>
      <c r="BL114" s="94">
        <f ca="1">TblProd[[#This Row],[Mana]]</f>
        <v>0</v>
      </c>
      <c r="BM114" s="94">
        <f ca="1">TblProd[[#This Row],[Ore]]</f>
        <v>0</v>
      </c>
    </row>
    <row r="115" spans="1:65" x14ac:dyDescent="0.2">
      <c r="A115" s="137">
        <f t="shared" si="1"/>
        <v>76</v>
      </c>
      <c r="B115" s="152">
        <f ca="1">TblImps[[#This Row],[Time]]</f>
        <v>45819.624999999731</v>
      </c>
      <c r="C115" s="153"/>
      <c r="D115" s="154"/>
      <c r="E115" s="94">
        <f ca="1">TblConstr[[#This Row],[Land]]</f>
        <v>50</v>
      </c>
      <c r="F115" s="94">
        <f ca="1">TblPop[[#This Row],[Peasants]]</f>
        <v>209</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161722</v>
      </c>
      <c r="I115" s="94">
        <f ca="1">OFFSET(TblProd[[#This Row],[Food]],-1,0)+OFFSET(TblProd[[#This Row],[Food/hr]],-1,0)+ROUNDUP((TblConstr[[#This Row],[Farms]]*80+TblConstr[[#This Row],[Docks]]*35)*(1+OFFSET(TblProd[[#This Row],[Bonus Food/hr]],-1,0)),0)</f>
        <v>165511</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564</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564.30000000000007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1655.1100000000001</v>
      </c>
      <c r="AP115" s="94">
        <f ca="1">(1+race_food_consumption)*TblPop[[#This Row],[Total]]*food_per_person*(1+tech_1_10*TblTech[[#This Row],[1-10]]+tech_7_5*TblTech[[#This Row],[7-5]] + IF(TblMagic[[#This Row],[Active Demonic Pact]]&gt;0,demonic_pact_food_cons,0))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161722</v>
      </c>
      <c r="BJ115" s="94">
        <f ca="1">TblProd[[#This Row],[Food]]</f>
        <v>165511</v>
      </c>
      <c r="BK115" s="94">
        <f ca="1">TblProd[[#This Row],[Lumber]]</f>
        <v>72141</v>
      </c>
      <c r="BL115" s="94">
        <f ca="1">TblProd[[#This Row],[Mana]]</f>
        <v>0</v>
      </c>
      <c r="BM115" s="94">
        <f ca="1">TblProd[[#This Row],[Ore]]</f>
        <v>0</v>
      </c>
    </row>
    <row r="116" spans="1:65" x14ac:dyDescent="0.2">
      <c r="A116" s="137">
        <f t="shared" si="1"/>
        <v>77</v>
      </c>
      <c r="B116" s="152">
        <f ca="1">TblImps[[#This Row],[Time]]</f>
        <v>45819.666666666395</v>
      </c>
      <c r="C116" s="153"/>
      <c r="D116" s="154"/>
      <c r="E116" s="94">
        <f ca="1">TblConstr[[#This Row],[Land]]</f>
        <v>50</v>
      </c>
      <c r="F116" s="94">
        <f ca="1">TblPop[[#This Row],[Peasants]]</f>
        <v>207</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162286</v>
      </c>
      <c r="I116" s="94">
        <f ca="1">OFFSET(TblProd[[#This Row],[Food]],-1,0)+OFFSET(TblProd[[#This Row],[Food/hr]],-1,0)+ROUNDUP((TblConstr[[#This Row],[Farms]]*80+TblConstr[[#This Row],[Docks]]*35)*(1+OFFSET(TblProd[[#This Row],[Bonus Food/hr]],-1,0)),0)</f>
        <v>166244</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558</v>
      </c>
      <c r="T116" s="94">
        <f ca="1">ROUND(TblProd[[#This Row],[Raw Food/hr]]*(1+TblProd[[#This Row],[Bonus Food/hr]])-TblProd[[#This Row],[Food decay]]-TblProd[[#This Row],[Food eaten]],0)</f>
        <v>725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558.90000000000009</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1662.44</v>
      </c>
      <c r="AP116" s="94">
        <f ca="1">(1+race_food_consumption)*TblPop[[#This Row],[Total]]*food_per_person*(1+tech_1_10*TblTech[[#This Row],[1-10]]+tech_7_5*TblTech[[#This Row],[7-5]] + IF(TblMagic[[#This Row],[Active Demonic Pact]]&gt;0,demonic_pact_food_cons,0))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162286</v>
      </c>
      <c r="BJ116" s="94">
        <f ca="1">TblProd[[#This Row],[Food]]</f>
        <v>166244</v>
      </c>
      <c r="BK116" s="94">
        <f ca="1">TblProd[[#This Row],[Lumber]]</f>
        <v>72420</v>
      </c>
      <c r="BL116" s="94">
        <f ca="1">TblProd[[#This Row],[Mana]]</f>
        <v>0</v>
      </c>
      <c r="BM116" s="94">
        <f ca="1">TblProd[[#This Row],[Ore]]</f>
        <v>0</v>
      </c>
    </row>
    <row r="117" spans="1:65" x14ac:dyDescent="0.2">
      <c r="A117" s="137">
        <f t="shared" si="1"/>
        <v>78</v>
      </c>
      <c r="B117" s="152">
        <f ca="1">TblImps[[#This Row],[Time]]</f>
        <v>45819.708333333059</v>
      </c>
      <c r="C117" s="153"/>
      <c r="D117" s="154"/>
      <c r="E117" s="94">
        <f ca="1">TblConstr[[#This Row],[Land]]</f>
        <v>50</v>
      </c>
      <c r="F117" s="94">
        <f ca="1">TblPop[[#This Row],[Peasants]]</f>
        <v>205</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162844</v>
      </c>
      <c r="I117" s="94">
        <f ca="1">OFFSET(TblProd[[#This Row],[Food]],-1,0)+OFFSET(TblProd[[#This Row],[Food/hr]],-1,0)+ROUNDUP((TblConstr[[#This Row],[Farms]]*80+TblConstr[[#This Row],[Docks]]*35)*(1+OFFSET(TblProd[[#This Row],[Bonus Food/hr]],-1,0)),0)</f>
        <v>166969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553</v>
      </c>
      <c r="T117" s="94">
        <f ca="1">ROUND(TblProd[[#This Row],[Raw Food/hr]]*(1+TblProd[[#This Row],[Bonus Food/hr]])-TblProd[[#This Row],[Food decay]]-TblProd[[#This Row],[Food eaten]],0)</f>
        <v>718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553.5</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1669.69</v>
      </c>
      <c r="AP117" s="94">
        <f ca="1">(1+race_food_consumption)*TblPop[[#This Row],[Total]]*food_per_person*(1+tech_1_10*TblTech[[#This Row],[1-10]]+tech_7_5*TblTech[[#This Row],[7-5]] + IF(TblMagic[[#This Row],[Active Demonic Pact]]&gt;0,demonic_pact_food_cons,0))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162844</v>
      </c>
      <c r="BJ117" s="94">
        <f ca="1">TblProd[[#This Row],[Food]]</f>
        <v>166969</v>
      </c>
      <c r="BK117" s="94">
        <f ca="1">TblProd[[#This Row],[Lumber]]</f>
        <v>72696</v>
      </c>
      <c r="BL117" s="94">
        <f ca="1">TblProd[[#This Row],[Mana]]</f>
        <v>0</v>
      </c>
      <c r="BM117" s="94">
        <f ca="1">TblProd[[#This Row],[Ore]]</f>
        <v>0</v>
      </c>
    </row>
    <row r="118" spans="1:65" x14ac:dyDescent="0.2">
      <c r="A118" s="137">
        <f t="shared" si="1"/>
        <v>79</v>
      </c>
      <c r="B118" s="152">
        <f ca="1">TblImps[[#This Row],[Time]]</f>
        <v>45819.749999999724</v>
      </c>
      <c r="C118" s="153"/>
      <c r="D118" s="154"/>
      <c r="E118" s="94">
        <f ca="1">TblConstr[[#This Row],[Land]]</f>
        <v>50</v>
      </c>
      <c r="F118" s="94">
        <f ca="1">TblPop[[#This Row],[Peasants]]</f>
        <v>203</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163397</v>
      </c>
      <c r="I118" s="94">
        <f ca="1">OFFSET(TblProd[[#This Row],[Food]],-1,0)+OFFSET(TblProd[[#This Row],[Food/hr]],-1,0)+ROUNDUP((TblConstr[[#This Row],[Farms]]*80+TblConstr[[#This Row],[Docks]]*35)*(1+OFFSET(TblProd[[#This Row],[Bonus Food/hr]],-1,0)),0)</f>
        <v>167687</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548</v>
      </c>
      <c r="T118" s="94">
        <f ca="1">ROUND(TblProd[[#This Row],[Raw Food/hr]]*(1+TblProd[[#This Row],[Bonus Food/hr]])-TblProd[[#This Row],[Food decay]]-TblProd[[#This Row],[Food eaten]],0)</f>
        <v>711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548.1</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1676.8700000000001</v>
      </c>
      <c r="AP118" s="94">
        <f ca="1">(1+race_food_consumption)*TblPop[[#This Row],[Total]]*food_per_person*(1+tech_1_10*TblTech[[#This Row],[1-10]]+tech_7_5*TblTech[[#This Row],[7-5]] + IF(TblMagic[[#This Row],[Active Demonic Pact]]&gt;0,demonic_pact_food_cons,0))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163397</v>
      </c>
      <c r="BJ118" s="94">
        <f ca="1">TblProd[[#This Row],[Food]]</f>
        <v>167687</v>
      </c>
      <c r="BK118" s="94">
        <f ca="1">TblProd[[#This Row],[Lumber]]</f>
        <v>72969</v>
      </c>
      <c r="BL118" s="94">
        <f ca="1">TblProd[[#This Row],[Mana]]</f>
        <v>0</v>
      </c>
      <c r="BM118" s="94">
        <f ca="1">TblProd[[#This Row],[Ore]]</f>
        <v>0</v>
      </c>
    </row>
    <row r="119" spans="1:65" x14ac:dyDescent="0.2">
      <c r="A119" s="137">
        <f t="shared" si="1"/>
        <v>80</v>
      </c>
      <c r="B119" s="152">
        <f ca="1">TblImps[[#This Row],[Time]]</f>
        <v>45819.791666666388</v>
      </c>
      <c r="C119" s="153"/>
      <c r="D119" s="154"/>
      <c r="E119" s="94">
        <f ca="1">TblConstr[[#This Row],[Land]]</f>
        <v>50</v>
      </c>
      <c r="F119" s="94">
        <f ca="1">TblPop[[#This Row],[Peasants]]</f>
        <v>201</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163945</v>
      </c>
      <c r="I119" s="94">
        <f ca="1">OFFSET(TblProd[[#This Row],[Food]],-1,0)+OFFSET(TblProd[[#This Row],[Food/hr]],-1,0)+ROUNDUP((TblConstr[[#This Row],[Farms]]*80+TblConstr[[#This Row],[Docks]]*35)*(1+OFFSET(TblProd[[#This Row],[Bonus Food/hr]],-1,0)),0)</f>
        <v>168398</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542</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542.70000000000005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1683.98</v>
      </c>
      <c r="AP119" s="94">
        <f ca="1">(1+race_food_consumption)*TblPop[[#This Row],[Total]]*food_per_person*(1+tech_1_10*TblTech[[#This Row],[1-10]]+tech_7_5*TblTech[[#This Row],[7-5]] + IF(TblMagic[[#This Row],[Active Demonic Pact]]&gt;0,demonic_pact_food_cons,0))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163945</v>
      </c>
      <c r="BJ119" s="94">
        <f ca="1">TblProd[[#This Row],[Food]]</f>
        <v>168398</v>
      </c>
      <c r="BK119" s="94">
        <f ca="1">TblProd[[#This Row],[Lumber]]</f>
        <v>73239</v>
      </c>
      <c r="BL119" s="94">
        <f ca="1">TblProd[[#This Row],[Mana]]</f>
        <v>0</v>
      </c>
      <c r="BM119" s="94">
        <f ca="1">TblProd[[#This Row],[Ore]]</f>
        <v>0</v>
      </c>
    </row>
    <row r="120" spans="1:65" x14ac:dyDescent="0.2">
      <c r="A120" s="137">
        <f t="shared" si="1"/>
        <v>81</v>
      </c>
      <c r="B120" s="152">
        <f ca="1">TblImps[[#This Row],[Time]]</f>
        <v>45819.833333333052</v>
      </c>
      <c r="C120" s="153"/>
      <c r="D120" s="154"/>
      <c r="E120" s="94">
        <f ca="1">TblConstr[[#This Row],[Land]]</f>
        <v>50</v>
      </c>
      <c r="F120" s="94">
        <f ca="1">TblPop[[#This Row],[Peasants]]</f>
        <v>199</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164487</v>
      </c>
      <c r="I120" s="94">
        <f ca="1">OFFSET(TblProd[[#This Row],[Food]],-1,0)+OFFSET(TblProd[[#This Row],[Food/hr]],-1,0)+ROUNDUP((TblConstr[[#This Row],[Farms]]*80+TblConstr[[#This Row],[Docks]]*35)*(1+OFFSET(TblProd[[#This Row],[Bonus Food/hr]],-1,0)),0)</f>
        <v>169102</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537</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537.30000000000007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1691.02</v>
      </c>
      <c r="AP120" s="94">
        <f ca="1">(1+race_food_consumption)*TblPop[[#This Row],[Total]]*food_per_person*(1+tech_1_10*TblTech[[#This Row],[1-10]]+tech_7_5*TblTech[[#This Row],[7-5]] + IF(TblMagic[[#This Row],[Active Demonic Pact]]&gt;0,demonic_pact_food_cons,0))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164487</v>
      </c>
      <c r="BJ120" s="94">
        <f ca="1">TblProd[[#This Row],[Food]]</f>
        <v>169102</v>
      </c>
      <c r="BK120" s="94">
        <f ca="1">TblProd[[#This Row],[Lumber]]</f>
        <v>73507</v>
      </c>
      <c r="BL120" s="94">
        <f ca="1">TblProd[[#This Row],[Mana]]</f>
        <v>0</v>
      </c>
      <c r="BM120" s="94">
        <f ca="1">TblProd[[#This Row],[Ore]]</f>
        <v>0</v>
      </c>
    </row>
    <row r="121" spans="1:65" x14ac:dyDescent="0.2">
      <c r="A121" s="137">
        <f t="shared" si="1"/>
        <v>82</v>
      </c>
      <c r="B121" s="152">
        <f ca="1">TblImps[[#This Row],[Time]]</f>
        <v>45819.874999999716</v>
      </c>
      <c r="C121" s="153"/>
      <c r="D121" s="154"/>
      <c r="E121" s="94">
        <f ca="1">TblConstr[[#This Row],[Land]]</f>
        <v>50</v>
      </c>
      <c r="F121" s="94">
        <f ca="1">TblPop[[#This Row],[Peasants]]</f>
        <v>197</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165024</v>
      </c>
      <c r="I121" s="94">
        <f ca="1">OFFSET(TblProd[[#This Row],[Food]],-1,0)+OFFSET(TblProd[[#This Row],[Food/hr]],-1,0)+ROUNDUP((TblConstr[[#This Row],[Farms]]*80+TblConstr[[#This Row],[Docks]]*35)*(1+OFFSET(TblProd[[#This Row],[Bonus Food/hr]],-1,0)),0)</f>
        <v>169799</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531</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531.90000000000009</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1697.99</v>
      </c>
      <c r="AP121" s="94">
        <f ca="1">(1+race_food_consumption)*TblPop[[#This Row],[Total]]*food_per_person*(1+tech_1_10*TblTech[[#This Row],[1-10]]+tech_7_5*TblTech[[#This Row],[7-5]] + IF(TblMagic[[#This Row],[Active Demonic Pact]]&gt;0,demonic_pact_food_cons,0))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165024</v>
      </c>
      <c r="BJ121" s="94">
        <f ca="1">TblProd[[#This Row],[Food]]</f>
        <v>169799</v>
      </c>
      <c r="BK121" s="94">
        <f ca="1">TblProd[[#This Row],[Lumber]]</f>
        <v>73772</v>
      </c>
      <c r="BL121" s="94">
        <f ca="1">TblProd[[#This Row],[Mana]]</f>
        <v>0</v>
      </c>
      <c r="BM121" s="94">
        <f ca="1">TblProd[[#This Row],[Ore]]</f>
        <v>0</v>
      </c>
    </row>
    <row r="122" spans="1:65" x14ac:dyDescent="0.2">
      <c r="A122" s="137">
        <f t="shared" si="1"/>
        <v>83</v>
      </c>
      <c r="B122" s="152">
        <f ca="1">TblImps[[#This Row],[Time]]</f>
        <v>45819.91666666638</v>
      </c>
      <c r="C122" s="153"/>
      <c r="D122" s="154"/>
      <c r="E122" s="94">
        <f ca="1">TblConstr[[#This Row],[Land]]</f>
        <v>50</v>
      </c>
      <c r="F122" s="94">
        <f ca="1">TblPop[[#This Row],[Peasants]]</f>
        <v>195</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165555</v>
      </c>
      <c r="I122" s="94">
        <f ca="1">OFFSET(TblProd[[#This Row],[Food]],-1,0)+OFFSET(TblProd[[#This Row],[Food/hr]],-1,0)+ROUNDUP((TblConstr[[#This Row],[Farms]]*80+TblConstr[[#This Row],[Docks]]*35)*(1+OFFSET(TblProd[[#This Row],[Bonus Food/hr]],-1,0)),0)</f>
        <v>170489</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526</v>
      </c>
      <c r="T122" s="94">
        <f ca="1">ROUND(TblProd[[#This Row],[Raw Food/hr]]*(1+TblProd[[#This Row],[Bonus Food/hr]])-TblProd[[#This Row],[Food decay]]-TblProd[[#This Row],[Food eaten]],0)</f>
        <v>683</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526.5</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1704.89</v>
      </c>
      <c r="AP122" s="94">
        <f ca="1">(1+race_food_consumption)*TblPop[[#This Row],[Total]]*food_per_person*(1+tech_1_10*TblTech[[#This Row],[1-10]]+tech_7_5*TblTech[[#This Row],[7-5]] + IF(TblMagic[[#This Row],[Active Demonic Pact]]&gt;0,demonic_pact_food_cons,0))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165555</v>
      </c>
      <c r="BJ122" s="94">
        <f ca="1">TblProd[[#This Row],[Food]]</f>
        <v>170489</v>
      </c>
      <c r="BK122" s="94">
        <f ca="1">TblProd[[#This Row],[Lumber]]</f>
        <v>74034</v>
      </c>
      <c r="BL122" s="94">
        <f ca="1">TblProd[[#This Row],[Mana]]</f>
        <v>0</v>
      </c>
      <c r="BM122" s="94">
        <f ca="1">TblProd[[#This Row],[Ore]]</f>
        <v>0</v>
      </c>
    </row>
    <row r="123" spans="1:65" x14ac:dyDescent="0.2">
      <c r="A123" s="137">
        <f t="shared" si="1"/>
        <v>84</v>
      </c>
      <c r="B123" s="152">
        <f ca="1">TblImps[[#This Row],[Time]]</f>
        <v>45819.958333333045</v>
      </c>
      <c r="C123" s="153"/>
      <c r="D123" s="154"/>
      <c r="E123" s="94">
        <f ca="1">TblConstr[[#This Row],[Land]]</f>
        <v>50</v>
      </c>
      <c r="F123" s="94">
        <f ca="1">TblPop[[#This Row],[Peasants]]</f>
        <v>193</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166081</v>
      </c>
      <c r="I123" s="94">
        <f ca="1">OFFSET(TblProd[[#This Row],[Food]],-1,0)+OFFSET(TblProd[[#This Row],[Food/hr]],-1,0)+ROUNDUP((TblConstr[[#This Row],[Farms]]*80+TblConstr[[#This Row],[Docks]]*35)*(1+OFFSET(TblProd[[#This Row],[Bonus Food/hr]],-1,0)),0)</f>
        <v>171172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521</v>
      </c>
      <c r="T123" s="94">
        <f ca="1">ROUND(TblProd[[#This Row],[Raw Food/hr]]*(1+TblProd[[#This Row],[Bonus Food/hr]])-TblProd[[#This Row],[Food decay]]-TblProd[[#This Row],[Food eaten]],0)</f>
        <v>676</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521.1</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1711.72</v>
      </c>
      <c r="AP123" s="94">
        <f ca="1">(1+race_food_consumption)*TblPop[[#This Row],[Total]]*food_per_person*(1+tech_1_10*TblTech[[#This Row],[1-10]]+tech_7_5*TblTech[[#This Row],[7-5]] + IF(TblMagic[[#This Row],[Active Demonic Pact]]&gt;0,demonic_pact_food_cons,0))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166081</v>
      </c>
      <c r="BJ123" s="94">
        <f ca="1">TblProd[[#This Row],[Food]]</f>
        <v>171172</v>
      </c>
      <c r="BK123" s="94">
        <f ca="1">TblProd[[#This Row],[Lumber]]</f>
        <v>74294</v>
      </c>
      <c r="BL123" s="94">
        <f ca="1">TblProd[[#This Row],[Mana]]</f>
        <v>0</v>
      </c>
      <c r="BM123" s="94">
        <f ca="1">TblProd[[#This Row],[Ore]]</f>
        <v>0</v>
      </c>
    </row>
    <row r="124" spans="1:65" x14ac:dyDescent="0.2">
      <c r="A124" s="137">
        <f t="shared" si="1"/>
        <v>85</v>
      </c>
      <c r="B124" s="152">
        <f ca="1">TblImps[[#This Row],[Time]]</f>
        <v>45819.999999999709</v>
      </c>
      <c r="C124" s="153"/>
      <c r="D124" s="154"/>
      <c r="E124" s="94">
        <f ca="1">TblConstr[[#This Row],[Land]]</f>
        <v>50</v>
      </c>
      <c r="F124" s="94">
        <f ca="1">TblPop[[#This Row],[Peasants]]</f>
        <v>191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166602</v>
      </c>
      <c r="I124" s="94">
        <f ca="1">OFFSET(TblProd[[#This Row],[Food]],-1,0)+OFFSET(TblProd[[#This Row],[Food/hr]],-1,0)+ROUNDUP((TblConstr[[#This Row],[Farms]]*80+TblConstr[[#This Row],[Docks]]*35)*(1+OFFSET(TblProd[[#This Row],[Bonus Food/hr]],-1,0)),0)</f>
        <v>171848</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515</v>
      </c>
      <c r="T124" s="94">
        <f ca="1">ROUND(TblProd[[#This Row],[Raw Food/hr]]*(1+TblProd[[#This Row],[Bonus Food/hr]])-TblProd[[#This Row],[Food decay]]-TblProd[[#This Row],[Food eaten]],0)</f>
        <v>669</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515.70000000000005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1718.48</v>
      </c>
      <c r="AP124" s="94">
        <f ca="1">(1+race_food_consumption)*TblPop[[#This Row],[Total]]*food_per_person*(1+tech_1_10*TblTech[[#This Row],[1-10]]+tech_7_5*TblTech[[#This Row],[7-5]] + IF(TblMagic[[#This Row],[Active Demonic Pact]]&gt;0,demonic_pact_food_cons,0))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166602</v>
      </c>
      <c r="BJ124" s="94">
        <f ca="1">TblProd[[#This Row],[Food]]</f>
        <v>171848</v>
      </c>
      <c r="BK124" s="94">
        <f ca="1">TblProd[[#This Row],[Lumber]]</f>
        <v>74551</v>
      </c>
      <c r="BL124" s="94">
        <f ca="1">TblProd[[#This Row],[Mana]]</f>
        <v>0</v>
      </c>
      <c r="BM124" s="94">
        <f ca="1">TblProd[[#This Row],[Ore]]</f>
        <v>0</v>
      </c>
    </row>
    <row r="125" spans="1:65" x14ac:dyDescent="0.2">
      <c r="A125" s="137">
        <f t="shared" si="1"/>
        <v>86</v>
      </c>
      <c r="B125" s="152">
        <f ca="1">TblImps[[#This Row],[Time]]</f>
        <v>45820.041666666373</v>
      </c>
      <c r="C125" s="153"/>
      <c r="D125" s="154"/>
      <c r="E125" s="94">
        <f ca="1">TblConstr[[#This Row],[Land]]</f>
        <v>50</v>
      </c>
      <c r="F125" s="94">
        <f ca="1">TblPop[[#This Row],[Peasants]]</f>
        <v>189</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167117</v>
      </c>
      <c r="I125" s="94">
        <f ca="1">OFFSET(TblProd[[#This Row],[Food]],-1,0)+OFFSET(TblProd[[#This Row],[Food/hr]],-1,0)+ROUNDUP((TblConstr[[#This Row],[Farms]]*80+TblConstr[[#This Row],[Docks]]*35)*(1+OFFSET(TblProd[[#This Row],[Bonus Food/hr]],-1,0)),0)</f>
        <v>172517</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510</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510.3</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1725.17</v>
      </c>
      <c r="AP125" s="94">
        <f ca="1">(1+race_food_consumption)*TblPop[[#This Row],[Total]]*food_per_person*(1+tech_1_10*TblTech[[#This Row],[1-10]]+tech_7_5*TblTech[[#This Row],[7-5]] + IF(TblMagic[[#This Row],[Active Demonic Pact]]&gt;0,demonic_pact_food_cons,0))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167117</v>
      </c>
      <c r="BJ125" s="94">
        <f ca="1">TblProd[[#This Row],[Food]]</f>
        <v>172517</v>
      </c>
      <c r="BK125" s="94">
        <f ca="1">TblProd[[#This Row],[Lumber]]</f>
        <v>74805</v>
      </c>
      <c r="BL125" s="94">
        <f ca="1">TblProd[[#This Row],[Mana]]</f>
        <v>0</v>
      </c>
      <c r="BM125" s="94">
        <f ca="1">TblProd[[#This Row],[Ore]]</f>
        <v>0</v>
      </c>
    </row>
    <row r="126" spans="1:65" x14ac:dyDescent="0.2">
      <c r="A126" s="137">
        <f t="shared" si="1"/>
        <v>87</v>
      </c>
      <c r="B126" s="152">
        <f ca="1">TblImps[[#This Row],[Time]]</f>
        <v>45820.083333333037</v>
      </c>
      <c r="C126" s="153"/>
      <c r="D126" s="154"/>
      <c r="E126" s="94">
        <f ca="1">TblConstr[[#This Row],[Land]]</f>
        <v>50</v>
      </c>
      <c r="F126" s="94">
        <f ca="1">TblPop[[#This Row],[Peasants]]</f>
        <v>187</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167627</v>
      </c>
      <c r="I126" s="94">
        <f ca="1">OFFSET(TblProd[[#This Row],[Food]],-1,0)+OFFSET(TblProd[[#This Row],[Food/hr]],-1,0)+ROUNDUP((TblConstr[[#This Row],[Farms]]*80+TblConstr[[#This Row],[Docks]]*35)*(1+OFFSET(TblProd[[#This Row],[Bonus Food/hr]],-1,0)),0)</f>
        <v>173180</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504</v>
      </c>
      <c r="T126" s="94">
        <f ca="1">ROUND(TblProd[[#This Row],[Raw Food/hr]]*(1+TblProd[[#This Row],[Bonus Food/hr]])-TblProd[[#This Row],[Food decay]]-TblProd[[#This Row],[Food eaten]],0)</f>
        <v>656</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504.90000000000003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1731.8</v>
      </c>
      <c r="AP126" s="94">
        <f ca="1">(1+race_food_consumption)*TblPop[[#This Row],[Total]]*food_per_person*(1+tech_1_10*TblTech[[#This Row],[1-10]]+tech_7_5*TblTech[[#This Row],[7-5]] + IF(TblMagic[[#This Row],[Active Demonic Pact]]&gt;0,demonic_pact_food_cons,0))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167627</v>
      </c>
      <c r="BJ126" s="94">
        <f ca="1">TblProd[[#This Row],[Food]]</f>
        <v>173180</v>
      </c>
      <c r="BK126" s="94">
        <f ca="1">TblProd[[#This Row],[Lumber]]</f>
        <v>75057</v>
      </c>
      <c r="BL126" s="94">
        <f ca="1">TblProd[[#This Row],[Mana]]</f>
        <v>0</v>
      </c>
      <c r="BM126" s="94">
        <f ca="1">TblProd[[#This Row],[Ore]]</f>
        <v>0</v>
      </c>
    </row>
    <row r="127" spans="1:65" x14ac:dyDescent="0.2">
      <c r="A127" s="137">
        <f t="shared" si="1"/>
        <v>88</v>
      </c>
      <c r="B127" s="152">
        <f ca="1">TblImps[[#This Row],[Time]]</f>
        <v>45820.124999999702</v>
      </c>
      <c r="C127" s="153"/>
      <c r="D127" s="154"/>
      <c r="E127" s="94">
        <f ca="1">TblConstr[[#This Row],[Land]]</f>
        <v>50</v>
      </c>
      <c r="F127" s="94">
        <f ca="1">TblPop[[#This Row],[Peasants]]</f>
        <v>185</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168131</v>
      </c>
      <c r="I127" s="94">
        <f ca="1">OFFSET(TblProd[[#This Row],[Food]],-1,0)+OFFSET(TblProd[[#This Row],[Food/hr]],-1,0)+ROUNDUP((TblConstr[[#This Row],[Farms]]*80+TblConstr[[#This Row],[Docks]]*35)*(1+OFFSET(TblProd[[#This Row],[Bonus Food/hr]],-1,0)),0)</f>
        <v>173836</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499</v>
      </c>
      <c r="T127" s="94">
        <f ca="1">ROUND(TblProd[[#This Row],[Raw Food/hr]]*(1+TblProd[[#This Row],[Bonus Food/hr]])-TblProd[[#This Row],[Food decay]]-TblProd[[#This Row],[Food eaten]],0)</f>
        <v>649</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499.50000000000006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1738.3600000000001</v>
      </c>
      <c r="AP127" s="94">
        <f ca="1">(1+race_food_consumption)*TblPop[[#This Row],[Total]]*food_per_person*(1+tech_1_10*TblTech[[#This Row],[1-10]]+tech_7_5*TblTech[[#This Row],[7-5]] + IF(TblMagic[[#This Row],[Active Demonic Pact]]&gt;0,demonic_pact_food_cons,0))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168131</v>
      </c>
      <c r="BJ127" s="94">
        <f ca="1">TblProd[[#This Row],[Food]]</f>
        <v>173836</v>
      </c>
      <c r="BK127" s="94">
        <f ca="1">TblProd[[#This Row],[Lumber]]</f>
        <v>75306</v>
      </c>
      <c r="BL127" s="94">
        <f ca="1">TblProd[[#This Row],[Mana]]</f>
        <v>0</v>
      </c>
      <c r="BM127" s="94">
        <f ca="1">TblProd[[#This Row],[Ore]]</f>
        <v>0</v>
      </c>
    </row>
    <row r="128" spans="1:65" x14ac:dyDescent="0.2">
      <c r="A128" s="137">
        <f t="shared" si="1"/>
        <v>89</v>
      </c>
      <c r="B128" s="152">
        <f ca="1">TblImps[[#This Row],[Time]]</f>
        <v>45820.166666666366</v>
      </c>
      <c r="C128" s="153"/>
      <c r="D128" s="154"/>
      <c r="E128" s="94">
        <f ca="1">TblConstr[[#This Row],[Land]]</f>
        <v>50</v>
      </c>
      <c r="F128" s="94">
        <f ca="1">TblPop[[#This Row],[Peasants]]</f>
        <v>183</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168630</v>
      </c>
      <c r="I128" s="94">
        <f ca="1">OFFSET(TblProd[[#This Row],[Food]],-1,0)+OFFSET(TblProd[[#This Row],[Food/hr]],-1,0)+ROUNDUP((TblConstr[[#This Row],[Farms]]*80+TblConstr[[#This Row],[Docks]]*35)*(1+OFFSET(TblProd[[#This Row],[Bonus Food/hr]],-1,0)),0)</f>
        <v>174485</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494</v>
      </c>
      <c r="T128" s="94">
        <f ca="1">ROUND(TblProd[[#This Row],[Raw Food/hr]]*(1+TblProd[[#This Row],[Bonus Food/hr]])-TblProd[[#This Row],[Food decay]]-TblProd[[#This Row],[Food eaten]],0)</f>
        <v>643</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494.1</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1744.8500000000001</v>
      </c>
      <c r="AP128" s="94">
        <f ca="1">(1+race_food_consumption)*TblPop[[#This Row],[Total]]*food_per_person*(1+tech_1_10*TblTech[[#This Row],[1-10]]+tech_7_5*TblTech[[#This Row],[7-5]] + IF(TblMagic[[#This Row],[Active Demonic Pact]]&gt;0,demonic_pact_food_cons,0))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168630</v>
      </c>
      <c r="BJ128" s="94">
        <f ca="1">TblProd[[#This Row],[Food]]</f>
        <v>174485</v>
      </c>
      <c r="BK128" s="94">
        <f ca="1">TblProd[[#This Row],[Lumber]]</f>
        <v>75553</v>
      </c>
      <c r="BL128" s="94">
        <f ca="1">TblProd[[#This Row],[Mana]]</f>
        <v>0</v>
      </c>
      <c r="BM128" s="94">
        <f ca="1">TblProd[[#This Row],[Ore]]</f>
        <v>0</v>
      </c>
    </row>
    <row r="129" spans="1:65" x14ac:dyDescent="0.2">
      <c r="A129" s="137">
        <f t="shared" si="1"/>
        <v>90</v>
      </c>
      <c r="B129" s="152">
        <f ca="1">TblImps[[#This Row],[Time]]</f>
        <v>45820.20833333303</v>
      </c>
      <c r="C129" s="153"/>
      <c r="D129" s="154"/>
      <c r="E129" s="94">
        <f ca="1">TblConstr[[#This Row],[Land]]</f>
        <v>50</v>
      </c>
      <c r="F129" s="94">
        <f ca="1">TblPop[[#This Row],[Peasants]]</f>
        <v>181</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169124</v>
      </c>
      <c r="I129" s="94">
        <f ca="1">OFFSET(TblProd[[#This Row],[Food]],-1,0)+OFFSET(TblProd[[#This Row],[Food/hr]],-1,0)+ROUNDUP((TblConstr[[#This Row],[Farms]]*80+TblConstr[[#This Row],[Docks]]*35)*(1+OFFSET(TblProd[[#This Row],[Bonus Food/hr]],-1,0)),0)</f>
        <v>175128</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488</v>
      </c>
      <c r="T129" s="94">
        <f ca="1">ROUND(TblProd[[#This Row],[Raw Food/hr]]*(1+TblProd[[#This Row],[Bonus Food/hr]])-TblProd[[#This Row],[Food decay]]-TblProd[[#This Row],[Food eaten]],0)</f>
        <v>636</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488.70000000000005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1751.28</v>
      </c>
      <c r="AP129" s="94">
        <f ca="1">(1+race_food_consumption)*TblPop[[#This Row],[Total]]*food_per_person*(1+tech_1_10*TblTech[[#This Row],[1-10]]+tech_7_5*TblTech[[#This Row],[7-5]] + IF(TblMagic[[#This Row],[Active Demonic Pact]]&gt;0,demonic_pact_food_cons,0))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169124</v>
      </c>
      <c r="BJ129" s="94">
        <f ca="1">TblProd[[#This Row],[Food]]</f>
        <v>175128</v>
      </c>
      <c r="BK129" s="94">
        <f ca="1">TblProd[[#This Row],[Lumber]]</f>
        <v>75797</v>
      </c>
      <c r="BL129" s="94">
        <f ca="1">TblProd[[#This Row],[Mana]]</f>
        <v>0</v>
      </c>
      <c r="BM129" s="94">
        <f ca="1">TblProd[[#This Row],[Ore]]</f>
        <v>0</v>
      </c>
    </row>
    <row r="130" spans="1:65" x14ac:dyDescent="0.2">
      <c r="A130" s="137">
        <f t="shared" si="1"/>
        <v>91</v>
      </c>
      <c r="B130" s="152">
        <f ca="1">TblImps[[#This Row],[Time]]</f>
        <v>45820.249999999694</v>
      </c>
      <c r="C130" s="153"/>
      <c r="D130" s="154"/>
      <c r="E130" s="94">
        <f ca="1">TblConstr[[#This Row],[Land]]</f>
        <v>50</v>
      </c>
      <c r="F130" s="94">
        <f ca="1">TblPop[[#This Row],[Peasants]]</f>
        <v>179</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169612</v>
      </c>
      <c r="I130" s="94">
        <f ca="1">OFFSET(TblProd[[#This Row],[Food]],-1,0)+OFFSET(TblProd[[#This Row],[Food/hr]],-1,0)+ROUNDUP((TblConstr[[#This Row],[Farms]]*80+TblConstr[[#This Row],[Docks]]*35)*(1+OFFSET(TblProd[[#This Row],[Bonus Food/hr]],-1,0)),0)</f>
        <v>175764</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483</v>
      </c>
      <c r="T130" s="94">
        <f ca="1">ROUND(TblProd[[#This Row],[Raw Food/hr]]*(1+TblProd[[#This Row],[Bonus Food/hr]])-TblProd[[#This Row],[Food decay]]-TblProd[[#This Row],[Food eaten]],0)</f>
        <v>630</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483.3</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1757.64</v>
      </c>
      <c r="AP130" s="94">
        <f ca="1">(1+race_food_consumption)*TblPop[[#This Row],[Total]]*food_per_person*(1+tech_1_10*TblTech[[#This Row],[1-10]]+tech_7_5*TblTech[[#This Row],[7-5]] + IF(TblMagic[[#This Row],[Active Demonic Pact]]&gt;0,demonic_pact_food_cons,0))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169612</v>
      </c>
      <c r="BJ130" s="94">
        <f ca="1">TblProd[[#This Row],[Food]]</f>
        <v>175764</v>
      </c>
      <c r="BK130" s="94">
        <f ca="1">TblProd[[#This Row],[Lumber]]</f>
        <v>76039</v>
      </c>
      <c r="BL130" s="94">
        <f ca="1">TblProd[[#This Row],[Mana]]</f>
        <v>0</v>
      </c>
      <c r="BM130" s="94">
        <f ca="1">TblProd[[#This Row],[Ore]]</f>
        <v>0</v>
      </c>
    </row>
    <row r="131" spans="1:65" x14ac:dyDescent="0.2">
      <c r="A131" s="137">
        <f t="shared" si="1"/>
        <v>92</v>
      </c>
      <c r="B131" s="152">
        <f ca="1">TblImps[[#This Row],[Time]]</f>
        <v>45820.291666666359</v>
      </c>
      <c r="C131" s="153"/>
      <c r="D131" s="154"/>
      <c r="E131" s="94">
        <f ca="1">TblConstr[[#This Row],[Land]]</f>
        <v>50</v>
      </c>
      <c r="F131" s="94">
        <f ca="1">TblPop[[#This Row],[Peasants]]</f>
        <v>177</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170095</v>
      </c>
      <c r="I131" s="94">
        <f ca="1">OFFSET(TblProd[[#This Row],[Food]],-1,0)+OFFSET(TblProd[[#This Row],[Food/hr]],-1,0)+ROUNDUP((TblConstr[[#This Row],[Farms]]*80+TblConstr[[#This Row],[Docks]]*35)*(1+OFFSET(TblProd[[#This Row],[Bonus Food/hr]],-1,0)),0)</f>
        <v>176394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477</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477.90000000000003</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1763.94</v>
      </c>
      <c r="AP131" s="94">
        <f ca="1">(1+race_food_consumption)*TblPop[[#This Row],[Total]]*food_per_person*(1+tech_1_10*TblTech[[#This Row],[1-10]]+tech_7_5*TblTech[[#This Row],[7-5]] + IF(TblMagic[[#This Row],[Active Demonic Pact]]&gt;0,demonic_pact_food_cons,0))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170095</v>
      </c>
      <c r="BJ131" s="94">
        <f ca="1">TblProd[[#This Row],[Food]]</f>
        <v>176394</v>
      </c>
      <c r="BK131" s="94">
        <f ca="1">TblProd[[#This Row],[Lumber]]</f>
        <v>76279</v>
      </c>
      <c r="BL131" s="94">
        <f ca="1">TblProd[[#This Row],[Mana]]</f>
        <v>0</v>
      </c>
      <c r="BM131" s="94">
        <f ca="1">TblProd[[#This Row],[Ore]]</f>
        <v>0</v>
      </c>
    </row>
    <row r="132" spans="1:65" x14ac:dyDescent="0.2">
      <c r="A132" s="137">
        <f t="shared" si="1"/>
        <v>93</v>
      </c>
      <c r="B132" s="152">
        <f ca="1">TblImps[[#This Row],[Time]]</f>
        <v>45820.333333333023</v>
      </c>
      <c r="C132" s="153"/>
      <c r="D132" s="154"/>
      <c r="E132" s="94">
        <f ca="1">TblConstr[[#This Row],[Land]]</f>
        <v>50</v>
      </c>
      <c r="F132" s="94">
        <f ca="1">TblPop[[#This Row],[Peasants]]</f>
        <v>175</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170572</v>
      </c>
      <c r="I132" s="94">
        <f ca="1">OFFSET(TblProd[[#This Row],[Food]],-1,0)+OFFSET(TblProd[[#This Row],[Food/hr]],-1,0)+ROUNDUP((TblConstr[[#This Row],[Farms]]*80+TblConstr[[#This Row],[Docks]]*35)*(1+OFFSET(TblProd[[#This Row],[Bonus Food/hr]],-1,0)),0)</f>
        <v>177018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472</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472.50000000000006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1770.18</v>
      </c>
      <c r="AP132" s="94">
        <f ca="1">(1+race_food_consumption)*TblPop[[#This Row],[Total]]*food_per_person*(1+tech_1_10*TblTech[[#This Row],[1-10]]+tech_7_5*TblTech[[#This Row],[7-5]] + IF(TblMagic[[#This Row],[Active Demonic Pact]]&gt;0,demonic_pact_food_cons,0))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170572</v>
      </c>
      <c r="BJ132" s="94">
        <f ca="1">TblProd[[#This Row],[Food]]</f>
        <v>177018</v>
      </c>
      <c r="BK132" s="94">
        <f ca="1">TblProd[[#This Row],[Lumber]]</f>
        <v>76516</v>
      </c>
      <c r="BL132" s="94">
        <f ca="1">TblProd[[#This Row],[Mana]]</f>
        <v>0</v>
      </c>
      <c r="BM132" s="94">
        <f ca="1">TblProd[[#This Row],[Ore]]</f>
        <v>0</v>
      </c>
    </row>
    <row r="133" spans="1:65" x14ac:dyDescent="0.2">
      <c r="A133" s="137">
        <f t="shared" si="1"/>
        <v>94</v>
      </c>
      <c r="B133" s="152">
        <f ca="1">TblImps[[#This Row],[Time]]</f>
        <v>45820.374999999687</v>
      </c>
      <c r="C133" s="153"/>
      <c r="D133" s="154"/>
      <c r="E133" s="94">
        <f ca="1">TblConstr[[#This Row],[Land]]</f>
        <v>50</v>
      </c>
      <c r="F133" s="94">
        <f ca="1">TblPop[[#This Row],[Peasants]]</f>
        <v>173</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171044</v>
      </c>
      <c r="I133" s="94">
        <f ca="1">OFFSET(TblProd[[#This Row],[Food]],-1,0)+OFFSET(TblProd[[#This Row],[Food/hr]],-1,0)+ROUNDUP((TblConstr[[#This Row],[Farms]]*80+TblConstr[[#This Row],[Docks]]*35)*(1+OFFSET(TblProd[[#This Row],[Bonus Food/hr]],-1,0)),0)</f>
        <v>177636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467</v>
      </c>
      <c r="T133" s="94">
        <f ca="1">ROUND(TblProd[[#This Row],[Raw Food/hr]]*(1+TblProd[[#This Row],[Bonus Food/hr]])-TblProd[[#This Row],[Food decay]]-TblProd[[#This Row],[Food eaten]],0)</f>
        <v>611</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467.1</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1776.3600000000001</v>
      </c>
      <c r="AP133" s="94">
        <f ca="1">(1+race_food_consumption)*TblPop[[#This Row],[Total]]*food_per_person*(1+tech_1_10*TblTech[[#This Row],[1-10]]+tech_7_5*TblTech[[#This Row],[7-5]] + IF(TblMagic[[#This Row],[Active Demonic Pact]]&gt;0,demonic_pact_food_cons,0))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171044</v>
      </c>
      <c r="BJ133" s="94">
        <f ca="1">TblProd[[#This Row],[Food]]</f>
        <v>177636</v>
      </c>
      <c r="BK133" s="94">
        <f ca="1">TblProd[[#This Row],[Lumber]]</f>
        <v>76751</v>
      </c>
      <c r="BL133" s="94">
        <f ca="1">TblProd[[#This Row],[Mana]]</f>
        <v>0</v>
      </c>
      <c r="BM133" s="94">
        <f ca="1">TblProd[[#This Row],[Ore]]</f>
        <v>0</v>
      </c>
    </row>
    <row r="134" spans="1:65" x14ac:dyDescent="0.2">
      <c r="A134" s="137">
        <f t="shared" si="1"/>
        <v>95</v>
      </c>
      <c r="B134" s="152">
        <f ca="1">TblImps[[#This Row],[Time]]</f>
        <v>45820.416666666351</v>
      </c>
      <c r="C134" s="153"/>
      <c r="D134" s="154"/>
      <c r="E134" s="94">
        <f ca="1">TblConstr[[#This Row],[Land]]</f>
        <v>50</v>
      </c>
      <c r="F134" s="94">
        <f ca="1">TblPop[[#This Row],[Peasants]]</f>
        <v>171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171511</v>
      </c>
      <c r="I134" s="94">
        <f ca="1">OFFSET(TblProd[[#This Row],[Food]],-1,0)+OFFSET(TblProd[[#This Row],[Food/hr]],-1,0)+ROUNDUP((TblConstr[[#This Row],[Farms]]*80+TblConstr[[#This Row],[Docks]]*35)*(1+OFFSET(TblProd[[#This Row],[Bonus Food/hr]],-1,0)),0)</f>
        <v>178247</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461</v>
      </c>
      <c r="T134" s="94">
        <f ca="1">ROUND(TblProd[[#This Row],[Raw Food/hr]]*(1+TblProd[[#This Row],[Bonus Food/hr]])-TblProd[[#This Row],[Food decay]]-TblProd[[#This Row],[Food eaten]],0)</f>
        <v>605</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461.70000000000005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1782.47</v>
      </c>
      <c r="AP134" s="94">
        <f ca="1">(1+race_food_consumption)*TblPop[[#This Row],[Total]]*food_per_person*(1+tech_1_10*TblTech[[#This Row],[1-10]]+tech_7_5*TblTech[[#This Row],[7-5]] + IF(TblMagic[[#This Row],[Active Demonic Pact]]&gt;0,demonic_pact_food_cons,0))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171511</v>
      </c>
      <c r="BJ134" s="94">
        <f ca="1">TblProd[[#This Row],[Food]]</f>
        <v>178247</v>
      </c>
      <c r="BK134" s="94">
        <f ca="1">TblProd[[#This Row],[Lumber]]</f>
        <v>76983</v>
      </c>
      <c r="BL134" s="94">
        <f ca="1">TblProd[[#This Row],[Mana]]</f>
        <v>0</v>
      </c>
      <c r="BM134" s="94">
        <f ca="1">TblProd[[#This Row],[Ore]]</f>
        <v>0</v>
      </c>
    </row>
    <row r="135" spans="1:65" x14ac:dyDescent="0.2">
      <c r="A135" s="137">
        <f t="shared" si="1"/>
        <v>96</v>
      </c>
      <c r="B135" s="152">
        <f ca="1">TblImps[[#This Row],[Time]]</f>
        <v>45820.458333333016</v>
      </c>
      <c r="C135" s="153"/>
      <c r="D135" s="154"/>
      <c r="E135" s="94">
        <f ca="1">TblConstr[[#This Row],[Land]]</f>
        <v>50</v>
      </c>
      <c r="F135" s="94">
        <f ca="1">TblPop[[#This Row],[Peasants]]</f>
        <v>169</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171972</v>
      </c>
      <c r="I135" s="94">
        <f ca="1">OFFSET(TblProd[[#This Row],[Food]],-1,0)+OFFSET(TblProd[[#This Row],[Food/hr]],-1,0)+ROUNDUP((TblConstr[[#This Row],[Farms]]*80+TblConstr[[#This Row],[Docks]]*35)*(1+OFFSET(TblProd[[#This Row],[Bonus Food/hr]],-1,0)),0)</f>
        <v>178852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456</v>
      </c>
      <c r="T135" s="94">
        <f ca="1">ROUND(TblProd[[#This Row],[Raw Food/hr]]*(1+TblProd[[#This Row],[Bonus Food/hr]])-TblProd[[#This Row],[Food decay]]-TblProd[[#This Row],[Food eaten]],0)</f>
        <v>599</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456.3</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1788.52</v>
      </c>
      <c r="AP135" s="94">
        <f ca="1">(1+race_food_consumption)*TblPop[[#This Row],[Total]]*food_per_person*(1+tech_1_10*TblTech[[#This Row],[1-10]]+tech_7_5*TblTech[[#This Row],[7-5]] + IF(TblMagic[[#This Row],[Active Demonic Pact]]&gt;0,demonic_pact_food_cons,0))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171972</v>
      </c>
      <c r="BJ135" s="94">
        <f ca="1">TblProd[[#This Row],[Food]]</f>
        <v>178852</v>
      </c>
      <c r="BK135" s="94">
        <f ca="1">TblProd[[#This Row],[Lumber]]</f>
        <v>77213</v>
      </c>
      <c r="BL135" s="94">
        <f ca="1">TblProd[[#This Row],[Mana]]</f>
        <v>0</v>
      </c>
      <c r="BM135" s="94">
        <f ca="1">TblProd[[#This Row],[Ore]]</f>
        <v>0</v>
      </c>
    </row>
    <row r="136" spans="1:65" x14ac:dyDescent="0.2">
      <c r="A136" s="137">
        <f t="shared" si="1"/>
        <v>97</v>
      </c>
      <c r="B136" s="152">
        <f ca="1">TblImps[[#This Row],[Time]]</f>
        <v>45820.49999999968</v>
      </c>
      <c r="C136" s="153"/>
      <c r="D136" s="154"/>
      <c r="E136" s="94">
        <f ca="1">TblConstr[[#This Row],[Land]]</f>
        <v>50</v>
      </c>
      <c r="F136" s="94">
        <f ca="1">TblPop[[#This Row],[Peasants]]</f>
        <v>167</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172428</v>
      </c>
      <c r="I136" s="94">
        <f ca="1">OFFSET(TblProd[[#This Row],[Food]],-1,0)+OFFSET(TblProd[[#This Row],[Food/hr]],-1,0)+ROUNDUP((TblConstr[[#This Row],[Farms]]*80+TblConstr[[#This Row],[Docks]]*35)*(1+OFFSET(TblProd[[#This Row],[Bonus Food/hr]],-1,0)),0)</f>
        <v>179451</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593</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1794.51</v>
      </c>
      <c r="AP136" s="94">
        <f ca="1">(1+race_food_consumption)*TblPop[[#This Row],[Total]]*food_per_person*(1+tech_1_10*TblTech[[#This Row],[1-10]]+tech_7_5*TblTech[[#This Row],[7-5]] + IF(TblMagic[[#This Row],[Active Demonic Pact]]&gt;0,demonic_pact_food_cons,0))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172428</v>
      </c>
      <c r="BJ136" s="94">
        <f ca="1">TblProd[[#This Row],[Food]]</f>
        <v>179451</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45815.041666666664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45815.083333333328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45815.124999999993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45815.166666666657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45815.208333333321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45815.249999999985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45815.29166666665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45815.333333333314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45815.374999999978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45815.416666666642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45815.458333333307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hidden="1"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68376</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45815.541666666635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hidden="1"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69861</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45815.583333333299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hidden="1"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71329</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45815.624999999964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hidden="1"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72784</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45815.666666666628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hidden="1"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74225</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45815.708333333292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hidden="1"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75653</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45815.749999999956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hidden="1"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77067</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45815.791666666621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hidden="1"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78468</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45815.833333333285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hidden="1"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79855</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45815.874999999949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hidden="1"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81229</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45815.916666666613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hidden="1"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82589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45815.958333333278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83936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85269</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86589</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87895</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89188</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90467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91733</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92985</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94224</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95449</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96661</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97862</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s="5" customFormat="1" x14ac:dyDescent="0.2">
      <c r="A40" s="193">
        <f>TblRezone[[#This Row],[Hour]]</f>
        <v>37</v>
      </c>
      <c r="B40" s="434">
        <f ca="1">SUM(TblConstr[[#This Row],[Plain]:[Water]])</f>
        <v>0</v>
      </c>
      <c r="C40" s="173">
        <f ca="1">SUM(TblConstr[[#This Row],[Tot Hom]:[Tot Doc]])</f>
        <v>50</v>
      </c>
      <c r="D40" s="173">
        <f t="shared" si="2"/>
        <v>0</v>
      </c>
      <c r="E40" s="194"/>
      <c r="F40" s="148">
        <f ca="1">TblConstr[[#This Row],[Barren]]+TblConstr[[#This Row],[Buildings]]+TblConstr[[#This Row],[Incoming]]</f>
        <v>50</v>
      </c>
      <c r="G40" s="195">
        <f ca="1">OFFSET(TblConstr[[#This Row],[Plain]],-1,0)+TblConstr[[#This Row],[Ch_Plain]]</f>
        <v>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45816.499999999913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99052</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35">
        <f ca="1">ROUNDDOWN( MAX(1 - MIN(facs_constr_factor*TblConstr[[#This Row],[Facs -DB]],facs_constr_max) + tech_1_11*TblTech[[#This Row],[11-1]] + tech_6_3_2*TblTech[[#This Row],[6-3]] + tech_5_2_3*TblTech[[#This Row],[5-2]], 1-global_constr_cap) * TblConstr[[#This Row],[RCPA Lumber]],0)</f>
        <v>31</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35">
        <f ca="1">ROUNDDOWN( MAX(1 - MIN(facs_constr_factor*TblConstr[[#This Row],[Facs DB]],facs_constr_max) + tech_1_11*TblTech[[#This Row],[1-11]] + tech_6_3_2*TblTech[[#This Row],[6-3]] + tech_5_2_3*TblTech[[#This Row],[5-2]], 1-global_constr_cap) * ROUND((TblConstr[[#This Row],[Land]]-250)*0.285 + 87.5 + 0/4.25,0),0)</f>
        <v>31</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600</v>
      </c>
      <c r="AW40" s="35">
        <f ca="1">ROUND((TblConstr[[#This Row],[Land]]-250 - IF(TblExplore[[#This Row],[Land Bonus]]&lt;&gt;0,20,0))*0.285 + 87.5 + 0/4.25,0)</f>
        <v>31</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50</v>
      </c>
      <c r="BU40" s="167">
        <f ca="1">TblImps[[#This Row],[Time]]</f>
        <v>45816.499999999913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30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30</v>
      </c>
      <c r="DH40" s="5">
        <f t="shared" ca="1" si="10"/>
        <v>0</v>
      </c>
      <c r="DI40" s="5">
        <f t="shared" ca="1" si="0"/>
        <v>0</v>
      </c>
      <c r="DJ40" s="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100231</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101400</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102558</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103705</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104841</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105966</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107081</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108185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109278</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110360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111431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x14ac:dyDescent="0.2">
      <c r="A52" s="175">
        <f>TblRezone[[#This Row],[Hour]]</f>
        <v>49</v>
      </c>
      <c r="B52" s="176">
        <f ca="1">SUM(TblConstr[[#This Row],[Plain]:[Water]])</f>
        <v>0</v>
      </c>
      <c r="C52" s="177">
        <f ca="1">SUM(TblConstr[[#This Row],[Tot Hom]:[Tot Doc]])</f>
        <v>50</v>
      </c>
      <c r="D52" s="177">
        <f t="shared" si="11"/>
        <v>0</v>
      </c>
      <c r="E52" s="178"/>
      <c r="F52" s="61">
        <f ca="1">TblConstr[[#This Row],[Barren]]+TblConstr[[#This Row],[Buildings]]+TblConstr[[#This Row],[Incoming]]</f>
        <v>50</v>
      </c>
      <c r="G52" s="187">
        <f ca="1">OFFSET(TblConstr[[#This Row],[Plain]],-1,0)+TblConstr[[#This Row],[Ch_Plain]]</f>
        <v>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45816.999999999884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112492</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94">
        <f ca="1">ROUNDDOWN( MAX(1 - MIN(facs_constr_factor*TblConstr[[#This Row],[Facs -DB]],facs_constr_max) + tech_1_11*TblTech[[#This Row],[11-1]] + tech_6_3_2*TblTech[[#This Row],[6-3]] + tech_5_2_3*TblTech[[#This Row],[5-2]], 1-global_constr_cap) * TblConstr[[#This Row],[RCPA Lumber]],0)</f>
        <v>31</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94">
        <f ca="1">ROUNDDOWN( MAX(1 - MIN(facs_constr_factor*TblConstr[[#This Row],[Facs DB]],facs_constr_max) + tech_1_11*TblTech[[#This Row],[1-11]] + tech_6_3_2*TblTech[[#This Row],[6-3]] + tech_5_2_3*TblTech[[#This Row],[5-2]], 1-global_constr_cap) * ROUND((TblConstr[[#This Row],[Land]]-250)*0.285 + 87.5 + 0/4.25,0),0)</f>
        <v>31</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600</v>
      </c>
      <c r="AW52" s="94">
        <f ca="1">ROUND((TblConstr[[#This Row],[Land]]-250 - IF(TblExplore[[#This Row],[Land Bonus]]&lt;&gt;0,20,0))*0.285 + 87.5 + 0/4.25,0)</f>
        <v>31</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50</v>
      </c>
      <c r="BU52" s="159">
        <f ca="1">TblImps[[#This Row],[Time]]</f>
        <v>45816.999999999884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30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30</v>
      </c>
      <c r="DH52" s="45">
        <f t="shared" ca="1" si="10"/>
        <v>0</v>
      </c>
      <c r="DI52" s="45">
        <f t="shared" ca="1" si="0"/>
        <v>0</v>
      </c>
      <c r="DJ52" s="4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113542</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114581</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115609</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116626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117633</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118629</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119614</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120588</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121551</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122504</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123446</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124380</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125306</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126224</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127133</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128034</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128927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129812</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130689</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131558</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132419</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133272</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134117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134954</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135782</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136602</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137414</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138218</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139014</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139802</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140582</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141354</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142118</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142874</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143621</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144360</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145091</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145814</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146529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147236</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147935</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148626</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149309</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149984</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150650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151311</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151967</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152617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153262</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153901</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154535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155164</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155787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156405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157017</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157624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158226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158822</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159413</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159998</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160578</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161153</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161722</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162286</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162844</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163397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163945</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164487</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165024</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165555</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166081</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166602</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167117</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167627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168131</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168630</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169124</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169612</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170095</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170572</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171044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171511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171972</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172428</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45815</v>
      </c>
      <c r="AB4" s="94">
        <f ca="1">TblMili[[#This Row],[Draftees]]</f>
        <v>150</v>
      </c>
      <c r="AC4" s="94">
        <f ca="1">TblProd[[#This Row],[Platinum]]</f>
        <v>50000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45815.041666666664</v>
      </c>
      <c r="AB5" s="94">
        <f ca="1">TblMili[[#This Row],[Draftees]]</f>
        <v>155</v>
      </c>
      <c r="AC5" s="94">
        <f ca="1">TblProd[[#This Row],[Platinum]]</f>
        <v>51266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45815.083333333328</v>
      </c>
      <c r="AB6" s="94">
        <f ca="1">TblMili[[#This Row],[Draftees]]</f>
        <v>160</v>
      </c>
      <c r="AC6" s="94">
        <f ca="1">TblProd[[#This Row],[Platinum]]</f>
        <v>52556</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45815.124999999993</v>
      </c>
      <c r="AB7" s="94">
        <f ca="1">TblMili[[#This Row],[Draftees]]</f>
        <v>165</v>
      </c>
      <c r="AC7" s="94">
        <f ca="1">TblProd[[#This Row],[Platinum]]</f>
        <v>53870</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45815.166666666657</v>
      </c>
      <c r="AB8" s="94">
        <f ca="1">TblMili[[#This Row],[Draftees]]</f>
        <v>170</v>
      </c>
      <c r="AC8" s="94">
        <f ca="1">TblProd[[#This Row],[Platinum]]</f>
        <v>55209</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45815.208333333321</v>
      </c>
      <c r="AB9" s="94">
        <f ca="1">TblMili[[#This Row],[Draftees]]</f>
        <v>175</v>
      </c>
      <c r="AC9" s="94">
        <f ca="1">TblProd[[#This Row],[Platinum]]</f>
        <v>56575</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45815.249999999985</v>
      </c>
      <c r="AB10" s="94">
        <f ca="1">TblMili[[#This Row],[Draftees]]</f>
        <v>180</v>
      </c>
      <c r="AC10" s="94">
        <f ca="1">TblProd[[#This Row],[Platinum]]</f>
        <v>57968</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45815.29166666665</v>
      </c>
      <c r="AB11" s="94">
        <f ca="1">TblMili[[#This Row],[Draftees]]</f>
        <v>185</v>
      </c>
      <c r="AC11" s="94">
        <f ca="1">TblProd[[#This Row],[Platinum]]</f>
        <v>59388</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45815.333333333314</v>
      </c>
      <c r="AB12" s="94">
        <f ca="1">TblMili[[#This Row],[Draftees]]</f>
        <v>190</v>
      </c>
      <c r="AC12" s="94">
        <f ca="1">TblProd[[#This Row],[Platinum]]</f>
        <v>60837</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45815.374999999978</v>
      </c>
      <c r="AB13" s="94">
        <f ca="1">TblMili[[#This Row],[Draftees]]</f>
        <v>195</v>
      </c>
      <c r="AC13" s="94">
        <f ca="1">TblProd[[#This Row],[Platinum]]</f>
        <v>62316</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45815.416666666642</v>
      </c>
      <c r="AB14" s="94">
        <f ca="1">TblMili[[#This Row],[Draftees]]</f>
        <v>201</v>
      </c>
      <c r="AC14" s="94">
        <f ca="1">TblProd[[#This Row],[Platinum]]</f>
        <v>63825</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45815.458333333307</v>
      </c>
      <c r="AB15" s="94">
        <f ca="1">TblMili[[#This Row],[Draftees]]</f>
        <v>207</v>
      </c>
      <c r="AC15" s="94">
        <f ca="1">TblProd[[#This Row],[Platinum]]</f>
        <v>65358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45815.499999999971</v>
      </c>
      <c r="AB16" s="94">
        <f ca="1">TblMili[[#This Row],[Draftees]]</f>
        <v>213</v>
      </c>
      <c r="AC16" s="94">
        <f ca="1">TblProd[[#This Row],[Platinum]]</f>
        <v>66875</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hidden="1"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57"/>
      <c r="AA17" s="159">
        <f ca="1">TblImps[[#This Row],[Real time]]</f>
        <v>45815.541666666635</v>
      </c>
      <c r="AB17" s="94">
        <f ca="1">TblMili[[#This Row],[Draftees]]</f>
        <v>219</v>
      </c>
      <c r="AC17" s="94">
        <f ca="1">TblProd[[#This Row],[Platinum]]</f>
        <v>68376</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hidden="1"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57"/>
      <c r="AA18" s="159">
        <f ca="1">TblImps[[#This Row],[Real time]]</f>
        <v>45815.583333333299</v>
      </c>
      <c r="AB18" s="94">
        <f ca="1">TblMili[[#This Row],[Draftees]]</f>
        <v>225</v>
      </c>
      <c r="AC18" s="94">
        <f ca="1">TblProd[[#This Row],[Platinum]]</f>
        <v>69861</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hidden="1"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57"/>
      <c r="T19" s="94"/>
      <c r="AA19" s="159">
        <f ca="1">TblImps[[#This Row],[Real time]]</f>
        <v>45815.624999999964</v>
      </c>
      <c r="AB19" s="94">
        <f ca="1">TblMili[[#This Row],[Draftees]]</f>
        <v>230</v>
      </c>
      <c r="AC19" s="94">
        <f ca="1">TblProd[[#This Row],[Platinum]]</f>
        <v>71329</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76</v>
      </c>
    </row>
    <row r="20" spans="1:36" hidden="1"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57"/>
      <c r="T20" s="94"/>
      <c r="AA20" s="159">
        <f ca="1">TblImps[[#This Row],[Real time]]</f>
        <v>45815.666666666628</v>
      </c>
      <c r="AB20" s="94">
        <f ca="1">TblMili[[#This Row],[Draftees]]</f>
        <v>235</v>
      </c>
      <c r="AC20" s="94">
        <f ca="1">TblProd[[#This Row],[Platinum]]</f>
        <v>72784</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78</v>
      </c>
    </row>
    <row r="21" spans="1:36" hidden="1"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57"/>
      <c r="AA21" s="159">
        <f ca="1">TblImps[[#This Row],[Real time]]</f>
        <v>45815.708333333292</v>
      </c>
      <c r="AB21" s="94">
        <f ca="1">TblMili[[#This Row],[Draftees]]</f>
        <v>240</v>
      </c>
      <c r="AC21" s="94">
        <f ca="1">TblProd[[#This Row],[Platinum]]</f>
        <v>74225</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80</v>
      </c>
    </row>
    <row r="22" spans="1:36" hidden="1"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57"/>
      <c r="AA22" s="159">
        <f ca="1">TblImps[[#This Row],[Real time]]</f>
        <v>45815.749999999956</v>
      </c>
      <c r="AB22" s="94">
        <f ca="1">TblMili[[#This Row],[Draftees]]</f>
        <v>245</v>
      </c>
      <c r="AC22" s="94">
        <f ca="1">TblProd[[#This Row],[Platinum]]</f>
        <v>75653</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81</v>
      </c>
    </row>
    <row r="23" spans="1:36" hidden="1"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57"/>
      <c r="AA23" s="159">
        <f ca="1">TblImps[[#This Row],[Real time]]</f>
        <v>45815.791666666621</v>
      </c>
      <c r="AB23" s="94">
        <f ca="1">TblMili[[#This Row],[Draftees]]</f>
        <v>250</v>
      </c>
      <c r="AC23" s="94">
        <f ca="1">TblProd[[#This Row],[Platinum]]</f>
        <v>77067</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83</v>
      </c>
    </row>
    <row r="24" spans="1:36" hidden="1"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57"/>
      <c r="AA24" s="159">
        <f ca="1">TblImps[[#This Row],[Real time]]</f>
        <v>45815.833333333285</v>
      </c>
      <c r="AB24" s="94">
        <f ca="1">TblMili[[#This Row],[Draftees]]</f>
        <v>255</v>
      </c>
      <c r="AC24" s="94">
        <f ca="1">TblProd[[#This Row],[Platinum]]</f>
        <v>78468</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85</v>
      </c>
    </row>
    <row r="25" spans="1:36" hidden="1"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57"/>
      <c r="AA25" s="159">
        <f ca="1">TblImps[[#This Row],[Real time]]</f>
        <v>45815.874999999949</v>
      </c>
      <c r="AB25" s="94">
        <f ca="1">TblMili[[#This Row],[Draftees]]</f>
        <v>260</v>
      </c>
      <c r="AC25" s="94">
        <f ca="1">TblProd[[#This Row],[Platinum]]</f>
        <v>79855</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86</v>
      </c>
    </row>
    <row r="26" spans="1:36" hidden="1"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127133</v>
      </c>
      <c r="N26" s="217">
        <f ca="1">TblMili[[#This Row],[Smithies]]</f>
        <v>0</v>
      </c>
      <c r="O26" s="217">
        <f ca="1">TblPop[[#This Row],[Employment]]</f>
        <v>1</v>
      </c>
      <c r="P26" s="217">
        <f ca="1">TblImps[[#This Row],[Population]]</f>
        <v>1</v>
      </c>
      <c r="Q26" s="175">
        <f ca="1">TblExplore[[#This Row],[Land]]</f>
        <v>50</v>
      </c>
      <c r="R26" s="175">
        <f>TblExplore[[#This Row],[Hour]]</f>
        <v>23</v>
      </c>
      <c r="S26" s="57"/>
      <c r="AA26" s="159">
        <f ca="1">TblImps[[#This Row],[Real time]]</f>
        <v>45815.916666666613</v>
      </c>
      <c r="AB26" s="94">
        <f ca="1">TblMili[[#This Row],[Draftees]]</f>
        <v>265</v>
      </c>
      <c r="AC26" s="94">
        <f ca="1">TblProd[[#This Row],[Platinum]]</f>
        <v>81229</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88</v>
      </c>
    </row>
    <row r="27" spans="1:36" hidden="1"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828</v>
      </c>
      <c r="N27" s="217">
        <f ca="1">TblMili[[#This Row],[Smithies]]</f>
        <v>0</v>
      </c>
      <c r="O27" s="217">
        <f ca="1">TblPop[[#This Row],[Employment]]</f>
        <v>1</v>
      </c>
      <c r="P27" s="217">
        <f ca="1">TblImps[[#This Row],[Population]]</f>
        <v>1</v>
      </c>
      <c r="Q27" s="175">
        <f ca="1">TblExplore[[#This Row],[Land]]</f>
        <v>50</v>
      </c>
      <c r="R27" s="175">
        <f>TblExplore[[#This Row],[Hour]]</f>
        <v>24</v>
      </c>
      <c r="S27" s="57"/>
      <c r="T27" s="94"/>
      <c r="AA27" s="159">
        <f ca="1">TblImps[[#This Row],[Real time]]</f>
        <v>45815.958333333278</v>
      </c>
      <c r="AB27" s="94">
        <f ca="1">TblMili[[#This Row],[Draftees]]</f>
        <v>270</v>
      </c>
      <c r="AC27" s="94">
        <f ca="1">TblProd[[#This Row],[Platinum]]</f>
        <v>82589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90</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426</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45815.999999999942</v>
      </c>
      <c r="AB28" s="94">
        <f ca="1">TblMili[[#This Row],[Draftees]]</f>
        <v>275</v>
      </c>
      <c r="AC28" s="94">
        <f ca="1">TblProd[[#This Row],[Platinum]]</f>
        <v>83936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91</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45816.041666666606</v>
      </c>
      <c r="AB29" s="94">
        <f ca="1">TblMili[[#This Row],[Draftees]]</f>
        <v>280</v>
      </c>
      <c r="AC29" s="94">
        <f ca="1">TblProd[[#This Row],[Platinum]]</f>
        <v>85269</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93</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45816.08333333327</v>
      </c>
      <c r="AB30" s="94">
        <f ca="1">TblMili[[#This Row],[Draftees]]</f>
        <v>285</v>
      </c>
      <c r="AC30" s="94">
        <f ca="1">TblProd[[#This Row],[Platinum]]</f>
        <v>86589</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95</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45816.124999999935</v>
      </c>
      <c r="AB31" s="94">
        <f ca="1">TblMili[[#This Row],[Draftees]]</f>
        <v>290</v>
      </c>
      <c r="AC31" s="94">
        <f ca="1">TblProd[[#This Row],[Platinum]]</f>
        <v>87895</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96</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45816.166666666599</v>
      </c>
      <c r="AB32" s="94">
        <f ca="1">TblMili[[#This Row],[Draftees]]</f>
        <v>295</v>
      </c>
      <c r="AC32" s="94">
        <f ca="1">TblProd[[#This Row],[Platinum]]</f>
        <v>89188</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98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45816.208333333263</v>
      </c>
      <c r="AB33" s="94">
        <f ca="1">TblMili[[#This Row],[Draftees]]</f>
        <v>300</v>
      </c>
      <c r="AC33" s="94">
        <f ca="1">TblProd[[#This Row],[Platinum]]</f>
        <v>90467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45816.249999999927</v>
      </c>
      <c r="AB34" s="94">
        <f ca="1">TblMili[[#This Row],[Draftees]]</f>
        <v>305</v>
      </c>
      <c r="AC34" s="94">
        <f ca="1">TblProd[[#This Row],[Platinum]]</f>
        <v>91733</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101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45816.291666666591</v>
      </c>
      <c r="AB35" s="94">
        <f ca="1">TblMili[[#This Row],[Draftees]]</f>
        <v>310</v>
      </c>
      <c r="AC35" s="94">
        <f ca="1">TblProd[[#This Row],[Platinum]]</f>
        <v>92985</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103</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45816.333333333256</v>
      </c>
      <c r="AB36" s="94">
        <f ca="1">TblMili[[#This Row],[Draftees]]</f>
        <v>315</v>
      </c>
      <c r="AC36" s="94">
        <f ca="1">TblProd[[#This Row],[Platinum]]</f>
        <v>94224</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105</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45816.37499999992</v>
      </c>
      <c r="AB37" s="94">
        <f ca="1">TblMili[[#This Row],[Draftees]]</f>
        <v>320</v>
      </c>
      <c r="AC37" s="94">
        <f ca="1">TblProd[[#This Row],[Platinum]]</f>
        <v>95449</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106</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45816.416666666584</v>
      </c>
      <c r="AB38" s="94">
        <f ca="1">TblMili[[#This Row],[Draftees]]</f>
        <v>324</v>
      </c>
      <c r="AC38" s="94">
        <f ca="1">TblProd[[#This Row],[Platinum]]</f>
        <v>96661</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108</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45816.458333333248</v>
      </c>
      <c r="AB39" s="94">
        <f ca="1">TblMili[[#This Row],[Draftees]]</f>
        <v>328</v>
      </c>
      <c r="AC39" s="94">
        <f ca="1">TblProd[[#This Row],[Platinum]]</f>
        <v>97862</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109</v>
      </c>
    </row>
    <row r="40" spans="1:36" s="5" customFormat="1" ht="12.75" customHeight="1" x14ac:dyDescent="0.2">
      <c r="A40" s="193">
        <f>TblRezone[[#This Row],[Hour]]</f>
        <v>37</v>
      </c>
      <c r="B40" s="230">
        <f ca="1">TblConstr[[#This Row],[Land]]</f>
        <v>50</v>
      </c>
      <c r="C40" s="231"/>
      <c r="D40" s="232">
        <f ca="1">TblConstr[[#This Row],[Plain]]</f>
        <v>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50</v>
      </c>
      <c r="R40" s="193">
        <f>TblExplore[[#This Row],[Hour]]</f>
        <v>37</v>
      </c>
      <c r="S40" s="233"/>
      <c r="T40" s="201"/>
      <c r="U40" s="201"/>
      <c r="V40" s="201"/>
      <c r="W40" s="201"/>
      <c r="X40" s="201"/>
      <c r="Y40" s="201"/>
      <c r="Z40" s="201"/>
      <c r="AA40" s="167">
        <f ca="1">TblImps[[#This Row],[Real time]]</f>
        <v>45816.499999999913</v>
      </c>
      <c r="AB40" s="35">
        <f ca="1">TblMili[[#This Row],[Draftees]]</f>
        <v>332</v>
      </c>
      <c r="AC40" s="35">
        <f ca="1">TblProd[[#This Row],[Platinum]]</f>
        <v>99052</v>
      </c>
      <c r="AD40" s="231"/>
      <c r="AE40" s="5">
        <f ca="1">TblExplore[[#This Row],[Land]]-TblExplore[[#This Row],[Land Bonus]]*20</f>
        <v>50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110</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45816.541666666577</v>
      </c>
      <c r="AB41" s="94">
        <f ca="1">TblMili[[#This Row],[Draftees]]</f>
        <v>336</v>
      </c>
      <c r="AC41" s="94">
        <f ca="1">TblProd[[#This Row],[Platinum]]</f>
        <v>100231</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112</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45816.583333333241</v>
      </c>
      <c r="AB42" s="94">
        <f ca="1">TblMili[[#This Row],[Draftees]]</f>
        <v>340</v>
      </c>
      <c r="AC42" s="94">
        <f ca="1">TblProd[[#This Row],[Platinum]]</f>
        <v>101400</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113</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45816.624999999905</v>
      </c>
      <c r="AB43" s="94">
        <f ca="1">TblMili[[#This Row],[Draftees]]</f>
        <v>344</v>
      </c>
      <c r="AC43" s="94">
        <f ca="1">TblProd[[#This Row],[Platinum]]</f>
        <v>102558</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114</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45816.66666666657</v>
      </c>
      <c r="AB44" s="94">
        <f ca="1">TblMili[[#This Row],[Draftees]]</f>
        <v>348</v>
      </c>
      <c r="AC44" s="94">
        <f ca="1">TblProd[[#This Row],[Platinum]]</f>
        <v>103705</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116</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45816.708333333234</v>
      </c>
      <c r="AB45" s="94">
        <f ca="1">TblMili[[#This Row],[Draftees]]</f>
        <v>352</v>
      </c>
      <c r="AC45" s="94">
        <f ca="1">TblProd[[#This Row],[Platinum]]</f>
        <v>104841</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117</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45816.749999999898</v>
      </c>
      <c r="AB46" s="94">
        <f ca="1">TblMili[[#This Row],[Draftees]]</f>
        <v>356</v>
      </c>
      <c r="AC46" s="94">
        <f ca="1">TblProd[[#This Row],[Platinum]]</f>
        <v>105966</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118</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45816.791666666562</v>
      </c>
      <c r="AB47" s="94">
        <f ca="1">TblMili[[#This Row],[Draftees]]</f>
        <v>360</v>
      </c>
      <c r="AC47" s="94">
        <f ca="1">TblProd[[#This Row],[Platinum]]</f>
        <v>107081</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120</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45816.833333333227</v>
      </c>
      <c r="AB48" s="94">
        <f ca="1">TblMili[[#This Row],[Draftees]]</f>
        <v>364</v>
      </c>
      <c r="AC48" s="94">
        <f ca="1">TblProd[[#This Row],[Platinum]]</f>
        <v>108185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121</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45816.874999999891</v>
      </c>
      <c r="AB49" s="94">
        <f ca="1">TblMili[[#This Row],[Draftees]]</f>
        <v>368</v>
      </c>
      <c r="AC49" s="94">
        <f ca="1">TblProd[[#This Row],[Platinum]]</f>
        <v>109278</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122</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45816.916666666555</v>
      </c>
      <c r="AB50" s="94">
        <f ca="1">TblMili[[#This Row],[Draftees]]</f>
        <v>372</v>
      </c>
      <c r="AC50" s="94">
        <f ca="1">TblProd[[#This Row],[Platinum]]</f>
        <v>110360</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124</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45816.958333333219</v>
      </c>
      <c r="AB51" s="94">
        <f ca="1">TblMili[[#This Row],[Draftees]]</f>
        <v>376</v>
      </c>
      <c r="AC51" s="94">
        <f ca="1">TblProd[[#This Row],[Platinum]]</f>
        <v>111431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125</v>
      </c>
    </row>
    <row r="52" spans="1:36" x14ac:dyDescent="0.2">
      <c r="A52" s="175">
        <f>TblRezone[[#This Row],[Hour]]</f>
        <v>49</v>
      </c>
      <c r="B52" s="214">
        <f ca="1">TblConstr[[#This Row],[Land]]</f>
        <v>50</v>
      </c>
      <c r="C52" s="215"/>
      <c r="D52" s="216">
        <f ca="1">TblConstr[[#This Row],[Plain]]</f>
        <v>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50</v>
      </c>
      <c r="R52" s="175">
        <f>TblExplore[[#This Row],[Hour]]</f>
        <v>49</v>
      </c>
      <c r="S52" s="218"/>
      <c r="T52" s="179"/>
      <c r="U52" s="179"/>
      <c r="V52" s="179"/>
      <c r="W52" s="179"/>
      <c r="X52" s="179"/>
      <c r="Y52" s="179"/>
      <c r="Z52" s="179"/>
      <c r="AA52" s="159">
        <f ca="1">TblImps[[#This Row],[Real time]]</f>
        <v>45816.999999999884</v>
      </c>
      <c r="AB52" s="94">
        <f ca="1">TblMili[[#This Row],[Draftees]]</f>
        <v>380</v>
      </c>
      <c r="AC52" s="94">
        <f ca="1">TblProd[[#This Row],[Platinum]]</f>
        <v>112492</v>
      </c>
      <c r="AD52" s="215"/>
      <c r="AE52" s="45">
        <f ca="1">TblExplore[[#This Row],[Land]]-TblExplore[[#This Row],[Land Bonus]]*20</f>
        <v>50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126</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45817.041666666548</v>
      </c>
      <c r="AB53" s="94">
        <f ca="1">TblMili[[#This Row],[Draftees]]</f>
        <v>384</v>
      </c>
      <c r="AC53" s="94">
        <f ca="1">TblProd[[#This Row],[Platinum]]</f>
        <v>113542</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128</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45817.083333333212</v>
      </c>
      <c r="AB54" s="94">
        <f ca="1">TblMili[[#This Row],[Draftees]]</f>
        <v>388</v>
      </c>
      <c r="AC54" s="94">
        <f ca="1">TblProd[[#This Row],[Platinum]]</f>
        <v>114581</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129</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45817.124999999876</v>
      </c>
      <c r="AB55" s="94">
        <f ca="1">TblMili[[#This Row],[Draftees]]</f>
        <v>392</v>
      </c>
      <c r="AC55" s="94">
        <f ca="1">TblProd[[#This Row],[Platinum]]</f>
        <v>115609</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130</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45817.166666666541</v>
      </c>
      <c r="AB56" s="94">
        <f ca="1">TblMili[[#This Row],[Draftees]]</f>
        <v>396</v>
      </c>
      <c r="AC56" s="94">
        <f ca="1">TblProd[[#This Row],[Platinum]]</f>
        <v>116626</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132</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45817.208333333205</v>
      </c>
      <c r="AB57" s="94">
        <f ca="1">TblMili[[#This Row],[Draftees]]</f>
        <v>400</v>
      </c>
      <c r="AC57" s="94">
        <f ca="1">TblProd[[#This Row],[Platinum]]</f>
        <v>117633</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133</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45817.249999999869</v>
      </c>
      <c r="AB58" s="94">
        <f ca="1">TblMili[[#This Row],[Draftees]]</f>
        <v>404</v>
      </c>
      <c r="AC58" s="94">
        <f ca="1">TblProd[[#This Row],[Platinum]]</f>
        <v>118629</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134</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45817.291666666533</v>
      </c>
      <c r="AB59" s="94">
        <f ca="1">TblMili[[#This Row],[Draftees]]</f>
        <v>408</v>
      </c>
      <c r="AC59" s="94">
        <f ca="1">TblProd[[#This Row],[Platinum]]</f>
        <v>119614</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136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45817.333333333198</v>
      </c>
      <c r="AB60" s="94">
        <f ca="1">TblMili[[#This Row],[Draftees]]</f>
        <v>412</v>
      </c>
      <c r="AC60" s="94">
        <f ca="1">TblProd[[#This Row],[Platinum]]</f>
        <v>120588</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137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45817.374999999862</v>
      </c>
      <c r="AB61" s="94">
        <f ca="1">TblMili[[#This Row],[Draftees]]</f>
        <v>416</v>
      </c>
      <c r="AC61" s="94">
        <f ca="1">TblProd[[#This Row],[Platinum]]</f>
        <v>121551</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138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45817.416666666526</v>
      </c>
      <c r="AB62" s="94">
        <f ca="1">TblMili[[#This Row],[Draftees]]</f>
        <v>420</v>
      </c>
      <c r="AC62" s="94">
        <f ca="1">TblProd[[#This Row],[Platinum]]</f>
        <v>122504</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140</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45817.45833333319</v>
      </c>
      <c r="AB63" s="94">
        <f ca="1">TblMili[[#This Row],[Draftees]]</f>
        <v>423</v>
      </c>
      <c r="AC63" s="94">
        <f ca="1">TblProd[[#This Row],[Platinum]]</f>
        <v>123446</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141</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45817.499999999854</v>
      </c>
      <c r="AB64" s="94">
        <f ca="1">TblMili[[#This Row],[Draftees]]</f>
        <v>426</v>
      </c>
      <c r="AC64" s="94">
        <f ca="1">TblProd[[#This Row],[Platinum]]</f>
        <v>124380</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142</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45817.541666666519</v>
      </c>
      <c r="AB65" s="94">
        <f ca="1">TblMili[[#This Row],[Draftees]]</f>
        <v>429</v>
      </c>
      <c r="AC65" s="94">
        <f ca="1">TblProd[[#This Row],[Platinum]]</f>
        <v>125306</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143</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45817.583333333183</v>
      </c>
      <c r="AB66" s="94">
        <f ca="1">TblMili[[#This Row],[Draftees]]</f>
        <v>432</v>
      </c>
      <c r="AC66" s="94">
        <f ca="1">TblProd[[#This Row],[Platinum]]</f>
        <v>126224</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144</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45817.624999999847</v>
      </c>
      <c r="AB67" s="94">
        <f ca="1">TblMili[[#This Row],[Draftees]]</f>
        <v>435</v>
      </c>
      <c r="AC67" s="94">
        <f ca="1">TblProd[[#This Row],[Platinum]]</f>
        <v>127133</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145</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45817.666666666511</v>
      </c>
      <c r="AB68" s="94">
        <f ca="1">TblMili[[#This Row],[Draftees]]</f>
        <v>438</v>
      </c>
      <c r="AC68" s="94">
        <f ca="1">TblProd[[#This Row],[Platinum]]</f>
        <v>128034</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146</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45817.708333333176</v>
      </c>
      <c r="AB69" s="94">
        <f ca="1">TblMili[[#This Row],[Draftees]]</f>
        <v>441</v>
      </c>
      <c r="AC69" s="94">
        <f ca="1">TblProd[[#This Row],[Platinum]]</f>
        <v>128927</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147</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45817.74999999984</v>
      </c>
      <c r="AB70" s="94">
        <f ca="1">TblMili[[#This Row],[Draftees]]</f>
        <v>444</v>
      </c>
      <c r="AC70" s="94">
        <f ca="1">TblProd[[#This Row],[Platinum]]</f>
        <v>129812</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148</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45817.791666666504</v>
      </c>
      <c r="AB71" s="94">
        <f ca="1">TblMili[[#This Row],[Draftees]]</f>
        <v>447</v>
      </c>
      <c r="AC71" s="94">
        <f ca="1">TblProd[[#This Row],[Platinum]]</f>
        <v>130689</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149</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45817.833333333168</v>
      </c>
      <c r="AB72" s="94">
        <f ca="1">TblMili[[#This Row],[Draftees]]</f>
        <v>450</v>
      </c>
      <c r="AC72" s="94">
        <f ca="1">TblProd[[#This Row],[Platinum]]</f>
        <v>131558</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150</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45817.874999999833</v>
      </c>
      <c r="AB73" s="94">
        <f ca="1">TblMili[[#This Row],[Draftees]]</f>
        <v>453</v>
      </c>
      <c r="AC73" s="94">
        <f ca="1">TblProd[[#This Row],[Platinum]]</f>
        <v>132419</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151</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45817.916666666497</v>
      </c>
      <c r="AB74" s="94">
        <f ca="1">TblMili[[#This Row],[Draftees]]</f>
        <v>456</v>
      </c>
      <c r="AC74" s="94">
        <f ca="1">TblProd[[#This Row],[Platinum]]</f>
        <v>133272</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152</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45817.958333333161</v>
      </c>
      <c r="AB75" s="94">
        <f ca="1">TblMili[[#This Row],[Draftees]]</f>
        <v>459</v>
      </c>
      <c r="AC75" s="94">
        <f ca="1">TblProd[[#This Row],[Platinum]]</f>
        <v>134117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153</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45817.999999999825</v>
      </c>
      <c r="AB76" s="430">
        <f ca="1">TblMili[[#This Row],[Draftees]]</f>
        <v>462</v>
      </c>
      <c r="AC76" s="430">
        <f ca="1">TblProd[[#This Row],[Platinum]]</f>
        <v>134954</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154</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45818.04166666649</v>
      </c>
      <c r="AB77" s="94">
        <f ca="1">TblMili[[#This Row],[Draftees]]</f>
        <v>465</v>
      </c>
      <c r="AC77" s="94">
        <f ca="1">TblProd[[#This Row],[Platinum]]</f>
        <v>135782</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155</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45818.083333333154</v>
      </c>
      <c r="AB78" s="94">
        <f ca="1">TblMili[[#This Row],[Draftees]]</f>
        <v>468</v>
      </c>
      <c r="AC78" s="94">
        <f ca="1">TblProd[[#This Row],[Platinum]]</f>
        <v>136602</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156</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45818.124999999818</v>
      </c>
      <c r="AB79" s="94">
        <f ca="1">TblMili[[#This Row],[Draftees]]</f>
        <v>471</v>
      </c>
      <c r="AC79" s="94">
        <f ca="1">TblProd[[#This Row],[Platinum]]</f>
        <v>137414</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157</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45818.166666666482</v>
      </c>
      <c r="AB80" s="94">
        <f ca="1">TblMili[[#This Row],[Draftees]]</f>
        <v>474</v>
      </c>
      <c r="AC80" s="94">
        <f ca="1">TblProd[[#This Row],[Platinum]]</f>
        <v>138218</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158</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45818.208333333147</v>
      </c>
      <c r="AB81" s="94">
        <f ca="1">TblMili[[#This Row],[Draftees]]</f>
        <v>477</v>
      </c>
      <c r="AC81" s="94">
        <f ca="1">TblProd[[#This Row],[Platinum]]</f>
        <v>139014</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159</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45818.249999999811</v>
      </c>
      <c r="AB82" s="94">
        <f ca="1">TblMili[[#This Row],[Draftees]]</f>
        <v>480</v>
      </c>
      <c r="AC82" s="94">
        <f ca="1">TblProd[[#This Row],[Platinum]]</f>
        <v>139802</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160</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45818.291666666475</v>
      </c>
      <c r="AB83" s="94">
        <f ca="1">TblMili[[#This Row],[Draftees]]</f>
        <v>483</v>
      </c>
      <c r="AC83" s="94">
        <f ca="1">TblProd[[#This Row],[Platinum]]</f>
        <v>140582</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161</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45818.333333333139</v>
      </c>
      <c r="AB84" s="94">
        <f ca="1">TblMili[[#This Row],[Draftees]]</f>
        <v>486</v>
      </c>
      <c r="AC84" s="94">
        <f ca="1">TblProd[[#This Row],[Platinum]]</f>
        <v>141354</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162</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45818.374999999804</v>
      </c>
      <c r="AB85" s="94">
        <f ca="1">TblMili[[#This Row],[Draftees]]</f>
        <v>489</v>
      </c>
      <c r="AC85" s="94">
        <f ca="1">TblProd[[#This Row],[Platinum]]</f>
        <v>142118</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163</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45818.416666666468</v>
      </c>
      <c r="AB86" s="94">
        <f ca="1">TblMili[[#This Row],[Draftees]]</f>
        <v>492</v>
      </c>
      <c r="AC86" s="94">
        <f ca="1">TblProd[[#This Row],[Platinum]]</f>
        <v>142874</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164</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45818.458333333132</v>
      </c>
      <c r="AB87" s="94">
        <f ca="1">TblMili[[#This Row],[Draftees]]</f>
        <v>495</v>
      </c>
      <c r="AC87" s="94">
        <f ca="1">TblProd[[#This Row],[Platinum]]</f>
        <v>143621</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165</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45818.499999999796</v>
      </c>
      <c r="AB88" s="94">
        <f ca="1">TblMili[[#This Row],[Draftees]]</f>
        <v>498</v>
      </c>
      <c r="AC88" s="94">
        <f ca="1">TblProd[[#This Row],[Platinum]]</f>
        <v>144360</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166</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45818.541666666461</v>
      </c>
      <c r="AB89" s="94">
        <f ca="1">TblMili[[#This Row],[Draftees]]</f>
        <v>501</v>
      </c>
      <c r="AC89" s="94">
        <f ca="1">TblProd[[#This Row],[Platinum]]</f>
        <v>145091</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167</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45818.583333333125</v>
      </c>
      <c r="AB90" s="94">
        <f ca="1">TblMili[[#This Row],[Draftees]]</f>
        <v>504</v>
      </c>
      <c r="AC90" s="94">
        <f ca="1">TblProd[[#This Row],[Platinum]]</f>
        <v>145814</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168</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45818.624999999789</v>
      </c>
      <c r="AB91" s="94">
        <f ca="1">TblMili[[#This Row],[Draftees]]</f>
        <v>507</v>
      </c>
      <c r="AC91" s="94">
        <f ca="1">TblProd[[#This Row],[Platinum]]</f>
        <v>146529</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169</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45818.666666666453</v>
      </c>
      <c r="AB92" s="94">
        <f ca="1">TblMili[[#This Row],[Draftees]]</f>
        <v>510</v>
      </c>
      <c r="AC92" s="94">
        <f ca="1">TblProd[[#This Row],[Platinum]]</f>
        <v>147236</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170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45818.708333333117</v>
      </c>
      <c r="AB93" s="94">
        <f ca="1">TblMili[[#This Row],[Draftees]]</f>
        <v>513</v>
      </c>
      <c r="AC93" s="94">
        <f ca="1">TblProd[[#This Row],[Platinum]]</f>
        <v>147935</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171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45818.749999999782</v>
      </c>
      <c r="AB94" s="94">
        <f ca="1">TblMili[[#This Row],[Draftees]]</f>
        <v>516</v>
      </c>
      <c r="AC94" s="94">
        <f ca="1">TblProd[[#This Row],[Platinum]]</f>
        <v>148626</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172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45818.791666666446</v>
      </c>
      <c r="AB95" s="94">
        <f ca="1">TblMili[[#This Row],[Draftees]]</f>
        <v>519</v>
      </c>
      <c r="AC95" s="94">
        <f ca="1">TblProd[[#This Row],[Platinum]]</f>
        <v>149309</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173</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45818.83333333311</v>
      </c>
      <c r="AB96" s="94">
        <f ca="1">TblMili[[#This Row],[Draftees]]</f>
        <v>522</v>
      </c>
      <c r="AC96" s="94">
        <f ca="1">TblProd[[#This Row],[Platinum]]</f>
        <v>149984</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174</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45818.874999999774</v>
      </c>
      <c r="AB97" s="94">
        <f ca="1">TblMili[[#This Row],[Draftees]]</f>
        <v>524</v>
      </c>
      <c r="AC97" s="94">
        <f ca="1">TblProd[[#This Row],[Platinum]]</f>
        <v>150650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174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45818.916666666439</v>
      </c>
      <c r="AB98" s="94">
        <f ca="1">TblMili[[#This Row],[Draftees]]</f>
        <v>526</v>
      </c>
      <c r="AC98" s="94">
        <f ca="1">TblProd[[#This Row],[Platinum]]</f>
        <v>151311</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175</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45818.958333333103</v>
      </c>
      <c r="AB99" s="94">
        <f ca="1">TblMili[[#This Row],[Draftees]]</f>
        <v>528</v>
      </c>
      <c r="AC99" s="94">
        <f ca="1">TblProd[[#This Row],[Platinum]]</f>
        <v>151967</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176</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45818.999999999767</v>
      </c>
      <c r="AB100" s="94">
        <f ca="1">TblMili[[#This Row],[Draftees]]</f>
        <v>530</v>
      </c>
      <c r="AC100" s="94">
        <f ca="1">TblProd[[#This Row],[Platinum]]</f>
        <v>152617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176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45819.041666666431</v>
      </c>
      <c r="AB101" s="94">
        <f ca="1">TblMili[[#This Row],[Draftees]]</f>
        <v>532</v>
      </c>
      <c r="AC101" s="94">
        <f ca="1">TblProd[[#This Row],[Platinum]]</f>
        <v>153262</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177</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45819.083333333096</v>
      </c>
      <c r="AB102" s="94">
        <f ca="1">TblMili[[#This Row],[Draftees]]</f>
        <v>534</v>
      </c>
      <c r="AC102" s="94">
        <f ca="1">TblProd[[#This Row],[Platinum]]</f>
        <v>153901</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178</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45819.12499999976</v>
      </c>
      <c r="AB103" s="94">
        <f ca="1">TblMili[[#This Row],[Draftees]]</f>
        <v>536</v>
      </c>
      <c r="AC103" s="94">
        <f ca="1">TblProd[[#This Row],[Platinum]]</f>
        <v>154535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178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45819.166666666424</v>
      </c>
      <c r="AB104" s="94">
        <f ca="1">TblMili[[#This Row],[Draftees]]</f>
        <v>538</v>
      </c>
      <c r="AC104" s="94">
        <f ca="1">TblProd[[#This Row],[Platinum]]</f>
        <v>155164</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179</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45819.208333333088</v>
      </c>
      <c r="AB105" s="94">
        <f ca="1">TblMili[[#This Row],[Draftees]]</f>
        <v>540</v>
      </c>
      <c r="AC105" s="94">
        <f ca="1">TblProd[[#This Row],[Platinum]]</f>
        <v>155787</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180</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45819.249999999753</v>
      </c>
      <c r="AB106" s="94">
        <f ca="1">TblMili[[#This Row],[Draftees]]</f>
        <v>542</v>
      </c>
      <c r="AC106" s="94">
        <f ca="1">TblProd[[#This Row],[Platinum]]</f>
        <v>156405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180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45819.291666666417</v>
      </c>
      <c r="AB107" s="94">
        <f ca="1">TblMili[[#This Row],[Draftees]]</f>
        <v>544</v>
      </c>
      <c r="AC107" s="94">
        <f ca="1">TblProd[[#This Row],[Platinum]]</f>
        <v>157017</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181</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45819.333333333081</v>
      </c>
      <c r="AB108" s="94">
        <f ca="1">TblMili[[#This Row],[Draftees]]</f>
        <v>546</v>
      </c>
      <c r="AC108" s="94">
        <f ca="1">TblProd[[#This Row],[Platinum]]</f>
        <v>157624</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182</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45819.374999999745</v>
      </c>
      <c r="AB109" s="94">
        <f ca="1">TblMili[[#This Row],[Draftees]]</f>
        <v>548</v>
      </c>
      <c r="AC109" s="94">
        <f ca="1">TblProd[[#This Row],[Platinum]]</f>
        <v>158226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182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45819.41666666641</v>
      </c>
      <c r="AB110" s="94">
        <f ca="1">TblMili[[#This Row],[Draftees]]</f>
        <v>550</v>
      </c>
      <c r="AC110" s="94">
        <f ca="1">TblProd[[#This Row],[Platinum]]</f>
        <v>158822</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183</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45819.458333333074</v>
      </c>
      <c r="AB111" s="94">
        <f ca="1">TblMili[[#This Row],[Draftees]]</f>
        <v>552</v>
      </c>
      <c r="AC111" s="94">
        <f ca="1">TblProd[[#This Row],[Platinum]]</f>
        <v>159413</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184</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45819.499999999738</v>
      </c>
      <c r="AB112" s="94">
        <f ca="1">TblMili[[#This Row],[Draftees]]</f>
        <v>554</v>
      </c>
      <c r="AC112" s="94">
        <f ca="1">TblProd[[#This Row],[Platinum]]</f>
        <v>159998</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184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45819.541666666402</v>
      </c>
      <c r="AB113" s="94">
        <f ca="1">TblMili[[#This Row],[Draftees]]</f>
        <v>556</v>
      </c>
      <c r="AC113" s="94">
        <f ca="1">TblProd[[#This Row],[Platinum]]</f>
        <v>160578</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185</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45819.583333333067</v>
      </c>
      <c r="AB114" s="94">
        <f ca="1">TblMili[[#This Row],[Draftees]]</f>
        <v>558</v>
      </c>
      <c r="AC114" s="94">
        <f ca="1">TblProd[[#This Row],[Platinum]]</f>
        <v>161153</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186</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45819.624999999731</v>
      </c>
      <c r="AB115" s="94">
        <f ca="1">TblMili[[#This Row],[Draftees]]</f>
        <v>560</v>
      </c>
      <c r="AC115" s="94">
        <f ca="1">TblProd[[#This Row],[Platinum]]</f>
        <v>161722</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186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45819.666666666395</v>
      </c>
      <c r="AB116" s="94">
        <f ca="1">TblMili[[#This Row],[Draftees]]</f>
        <v>562</v>
      </c>
      <c r="AC116" s="94">
        <f ca="1">TblProd[[#This Row],[Platinum]]</f>
        <v>162286</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187</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45819.708333333059</v>
      </c>
      <c r="AB117" s="94">
        <f ca="1">TblMili[[#This Row],[Draftees]]</f>
        <v>564</v>
      </c>
      <c r="AC117" s="94">
        <f ca="1">TblProd[[#This Row],[Platinum]]</f>
        <v>162844</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188</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45819.749999999724</v>
      </c>
      <c r="AB118" s="94">
        <f ca="1">TblMili[[#This Row],[Draftees]]</f>
        <v>566</v>
      </c>
      <c r="AC118" s="94">
        <f ca="1">TblProd[[#This Row],[Platinum]]</f>
        <v>163397</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188</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45819.791666666388</v>
      </c>
      <c r="AB119" s="94">
        <f ca="1">TblMili[[#This Row],[Draftees]]</f>
        <v>568</v>
      </c>
      <c r="AC119" s="94">
        <f ca="1">TblProd[[#This Row],[Platinum]]</f>
        <v>163945</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189</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45819.833333333052</v>
      </c>
      <c r="AB120" s="94">
        <f ca="1">TblMili[[#This Row],[Draftees]]</f>
        <v>570</v>
      </c>
      <c r="AC120" s="94">
        <f ca="1">TblProd[[#This Row],[Platinum]]</f>
        <v>164487</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190</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45819.874999999716</v>
      </c>
      <c r="AB121" s="94">
        <f ca="1">TblMili[[#This Row],[Draftees]]</f>
        <v>572</v>
      </c>
      <c r="AC121" s="94">
        <f ca="1">TblProd[[#This Row],[Platinum]]</f>
        <v>165024</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190</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45819.91666666638</v>
      </c>
      <c r="AB122" s="94">
        <f ca="1">TblMili[[#This Row],[Draftees]]</f>
        <v>574</v>
      </c>
      <c r="AC122" s="94">
        <f ca="1">TblProd[[#This Row],[Platinum]]</f>
        <v>165555</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191</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45819.958333333045</v>
      </c>
      <c r="AB123" s="94">
        <f ca="1">TblMili[[#This Row],[Draftees]]</f>
        <v>576</v>
      </c>
      <c r="AC123" s="94">
        <f ca="1">TblProd[[#This Row],[Platinum]]</f>
        <v>166081</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192</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45819.999999999709</v>
      </c>
      <c r="AB124" s="94">
        <f ca="1">TblMili[[#This Row],[Draftees]]</f>
        <v>578</v>
      </c>
      <c r="AC124" s="94">
        <f ca="1">TblProd[[#This Row],[Platinum]]</f>
        <v>166602</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192</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45820.041666666373</v>
      </c>
      <c r="AB125" s="94">
        <f ca="1">TblMili[[#This Row],[Draftees]]</f>
        <v>580</v>
      </c>
      <c r="AC125" s="94">
        <f ca="1">TblProd[[#This Row],[Platinum]]</f>
        <v>167117</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193</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45820.083333333037</v>
      </c>
      <c r="AB126" s="94">
        <f ca="1">TblMili[[#This Row],[Draftees]]</f>
        <v>582</v>
      </c>
      <c r="AC126" s="94">
        <f ca="1">TblProd[[#This Row],[Platinum]]</f>
        <v>167627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194</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45820.124999999702</v>
      </c>
      <c r="AB127" s="94">
        <f ca="1">TblMili[[#This Row],[Draftees]]</f>
        <v>584</v>
      </c>
      <c r="AC127" s="94">
        <f ca="1">TblProd[[#This Row],[Platinum]]</f>
        <v>168131</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194</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45820.166666666366</v>
      </c>
      <c r="AB128" s="94">
        <f ca="1">TblMili[[#This Row],[Draftees]]</f>
        <v>586</v>
      </c>
      <c r="AC128" s="94">
        <f ca="1">TblProd[[#This Row],[Platinum]]</f>
        <v>168630</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195</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45820.20833333303</v>
      </c>
      <c r="AB129" s="94">
        <f ca="1">TblMili[[#This Row],[Draftees]]</f>
        <v>588</v>
      </c>
      <c r="AC129" s="94">
        <f ca="1">TblProd[[#This Row],[Platinum]]</f>
        <v>169124</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196</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45820.249999999694</v>
      </c>
      <c r="AB130" s="94">
        <f ca="1">TblMili[[#This Row],[Draftees]]</f>
        <v>590</v>
      </c>
      <c r="AC130" s="94">
        <f ca="1">TblProd[[#This Row],[Platinum]]</f>
        <v>169612</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196</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45820.291666666359</v>
      </c>
      <c r="AB131" s="94">
        <f ca="1">TblMili[[#This Row],[Draftees]]</f>
        <v>592</v>
      </c>
      <c r="AC131" s="94">
        <f ca="1">TblProd[[#This Row],[Platinum]]</f>
        <v>170095</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197</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45820.333333333023</v>
      </c>
      <c r="AB132" s="94">
        <f ca="1">TblMili[[#This Row],[Draftees]]</f>
        <v>594</v>
      </c>
      <c r="AC132" s="94">
        <f ca="1">TblProd[[#This Row],[Platinum]]</f>
        <v>170572</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198</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45820.374999999687</v>
      </c>
      <c r="AB133" s="94">
        <f ca="1">TblMili[[#This Row],[Draftees]]</f>
        <v>596</v>
      </c>
      <c r="AC133" s="94">
        <f ca="1">TblProd[[#This Row],[Platinum]]</f>
        <v>171044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198</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45820.416666666351</v>
      </c>
      <c r="AB134" s="94">
        <f ca="1">TblMili[[#This Row],[Draftees]]</f>
        <v>598</v>
      </c>
      <c r="AC134" s="94">
        <f ca="1">TblProd[[#This Row],[Platinum]]</f>
        <v>171511</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199</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45820.458333333016</v>
      </c>
      <c r="AB135" s="94">
        <f ca="1">TblMili[[#This Row],[Draftees]]</f>
        <v>600</v>
      </c>
      <c r="AC135" s="94">
        <f ca="1">TblProd[[#This Row],[Platinum]]</f>
        <v>171972</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200</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45820.49999999968</v>
      </c>
      <c r="AB136" s="94">
        <f ca="1">TblMili[[#This Row],[Draftees]]</f>
        <v>602</v>
      </c>
      <c r="AC136" s="94">
        <f ca="1">TblProd[[#This Row],[Platinum]]</f>
        <v>172428</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200</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hidden="1"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S17" s="94">
        <f>SUMIF(TblRezone[[#This Row],[Plains Rezone]:[Water Rezone]],"&gt;0")</f>
        <v>0</v>
      </c>
      <c r="T17" s="61" t="str">
        <f>IF(SUM(TblRezone[[#This Row],[Plains Rezone]:[Water Rezone]])=0,"Ok","Nope")</f>
        <v>Ok</v>
      </c>
      <c r="U17" s="215"/>
      <c r="V17" s="94">
        <f ca="1">TblProd[[#This Row],[Platinum]]</f>
        <v>68376</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hidden="1"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S18" s="94">
        <f>SUMIF(TblRezone[[#This Row],[Plains Rezone]:[Water Rezone]],"&gt;0")</f>
        <v>0</v>
      </c>
      <c r="T18" s="61" t="str">
        <f>IF(SUM(TblRezone[[#This Row],[Plains Rezone]:[Water Rezone]])=0,"Ok","Nope")</f>
        <v>Ok</v>
      </c>
      <c r="U18" s="215"/>
      <c r="V18" s="94">
        <f ca="1">TblProd[[#This Row],[Platinum]]</f>
        <v>69861</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hidden="1"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S19" s="94">
        <f>SUMIF(TblRezone[[#This Row],[Plains Rezone]:[Water Rezone]],"&gt;0")</f>
        <v>0</v>
      </c>
      <c r="T19" s="61" t="str">
        <f>IF(SUM(TblRezone[[#This Row],[Plains Rezone]:[Water Rezone]])=0,"Ok","Nope")</f>
        <v>Ok</v>
      </c>
      <c r="U19" s="215"/>
      <c r="V19" s="94">
        <f ca="1">TblProd[[#This Row],[Platinum]]</f>
        <v>71329</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hidden="1"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S20" s="94">
        <f>SUMIF(TblRezone[[#This Row],[Plains Rezone]:[Water Rezone]],"&gt;0")</f>
        <v>0</v>
      </c>
      <c r="T20" s="61" t="str">
        <f>IF(SUM(TblRezone[[#This Row],[Plains Rezone]:[Water Rezone]])=0,"Ok","Nope")</f>
        <v>Ok</v>
      </c>
      <c r="U20" s="215"/>
      <c r="V20" s="94">
        <f ca="1">TblProd[[#This Row],[Platinum]]</f>
        <v>72784</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hidden="1"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S21" s="94">
        <f>SUMIF(TblRezone[[#This Row],[Plains Rezone]:[Water Rezone]],"&gt;0")</f>
        <v>0</v>
      </c>
      <c r="T21" s="61" t="str">
        <f>IF(SUM(TblRezone[[#This Row],[Plains Rezone]:[Water Rezone]])=0,"Ok","Nope")</f>
        <v>Ok</v>
      </c>
      <c r="U21" s="215"/>
      <c r="V21" s="94">
        <f ca="1">TblProd[[#This Row],[Platinum]]</f>
        <v>74225</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hidden="1"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S22" s="94">
        <f>SUMIF(TblRezone[[#This Row],[Plains Rezone]:[Water Rezone]],"&gt;0")</f>
        <v>0</v>
      </c>
      <c r="T22" s="61" t="str">
        <f>IF(SUM(TblRezone[[#This Row],[Plains Rezone]:[Water Rezone]])=0,"Ok","Nope")</f>
        <v>Ok</v>
      </c>
      <c r="U22" s="215"/>
      <c r="V22" s="94">
        <f ca="1">TblProd[[#This Row],[Platinum]]</f>
        <v>75653</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hidden="1"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S23" s="94">
        <f>SUMIF(TblRezone[[#This Row],[Plains Rezone]:[Water Rezone]],"&gt;0")</f>
        <v>0</v>
      </c>
      <c r="T23" s="61" t="str">
        <f>IF(SUM(TblRezone[[#This Row],[Plains Rezone]:[Water Rezone]])=0,"Ok","Nope")</f>
        <v>Ok</v>
      </c>
      <c r="U23" s="215"/>
      <c r="V23" s="94">
        <f ca="1">TblProd[[#This Row],[Platinum]]</f>
        <v>77067</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hidden="1"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S24" s="94">
        <f>SUMIF(TblRezone[[#This Row],[Plains Rezone]:[Water Rezone]],"&gt;0")</f>
        <v>0</v>
      </c>
      <c r="T24" s="61" t="str">
        <f>IF(SUM(TblRezone[[#This Row],[Plains Rezone]:[Water Rezone]])=0,"Ok","Nope")</f>
        <v>Ok</v>
      </c>
      <c r="U24" s="215"/>
      <c r="V24" s="94">
        <f ca="1">TblProd[[#This Row],[Platinum]]</f>
        <v>78468</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hidden="1"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S25" s="94">
        <f>SUMIF(TblRezone[[#This Row],[Plains Rezone]:[Water Rezone]],"&gt;0")</f>
        <v>0</v>
      </c>
      <c r="T25" s="61" t="str">
        <f>IF(SUM(TblRezone[[#This Row],[Plains Rezone]:[Water Rezone]])=0,"Ok","Nope")</f>
        <v>Ok</v>
      </c>
      <c r="U25" s="215"/>
      <c r="V25" s="94">
        <f ca="1">TblProd[[#This Row],[Platinum]]</f>
        <v>79855</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hidden="1"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S26" s="94">
        <f>SUMIF(TblRezone[[#This Row],[Plains Rezone]:[Water Rezone]],"&gt;0")</f>
        <v>0</v>
      </c>
      <c r="T26" s="61" t="str">
        <f>IF(SUM(TblRezone[[#This Row],[Plains Rezone]:[Water Rezone]])=0,"Ok","Nope")</f>
        <v>Ok</v>
      </c>
      <c r="U26" s="215"/>
      <c r="V26" s="94">
        <f ca="1">TblProd[[#This Row],[Platinum]]</f>
        <v>81229</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hidden="1"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S27" s="94">
        <f>SUMIF(TblRezone[[#This Row],[Plains Rezone]:[Water Rezone]],"&gt;0")</f>
        <v>0</v>
      </c>
      <c r="T27" s="61" t="str">
        <f>IF(SUM(TblRezone[[#This Row],[Plains Rezone]:[Water Rezone]])=0,"Ok","Nope")</f>
        <v>Ok</v>
      </c>
      <c r="U27" s="215"/>
      <c r="V27" s="94">
        <f ca="1">TblProd[[#This Row],[Platinum]]</f>
        <v>82589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83936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85269</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86589</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87895</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89188</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90467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91733</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92985</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94224</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95449</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96661</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97862</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s="5" customFormat="1" x14ac:dyDescent="0.2">
      <c r="A40" s="230">
        <f ca="1">TblConstr[[#This Row],[Land]]</f>
        <v>50</v>
      </c>
      <c r="B40" s="232">
        <f ca="1">TblConstr[[#This Row],[Plain]]</f>
        <v>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45816.499999999913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99052</v>
      </c>
      <c r="W40" s="231"/>
      <c r="X40" s="35">
        <f ca="1">ROUND( (1-MIN(ROUND(facs_rezone_factor*TblRezone[[#This Row],[Facs]],4),facs_rezone_max) + tech_6_4*TblTech[[#This Row],[6-4]] + tech_10_2*TblTech[[#This Row],[10-2]] - IF(TblMagic[[#This Row],[Active Mechanical Genius]]&gt;0,mech_genius_bonus,0) + race_rezone_cost) * TblRezone[[#This Row],[Plat/acre*]],0)</f>
        <v>130</v>
      </c>
      <c r="Y40" s="35">
        <f ca="1">TblRezone[[#This Row],[Total acres]]*TblRezone[[#This Row],[Plat/acre]]</f>
        <v>0</v>
      </c>
      <c r="Z40" s="231"/>
      <c r="AA40" s="35">
        <f ca="1">(250+0.6*(TblRezone[[#This Row],[Land]]-250))</f>
        <v>130</v>
      </c>
      <c r="AB40" s="231"/>
      <c r="AC40" s="165">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100231</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101400</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102558</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103705</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104841</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105966</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107081</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108185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109278</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110360</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111431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x14ac:dyDescent="0.2">
      <c r="A52" s="214">
        <f ca="1">TblConstr[[#This Row],[Land]]</f>
        <v>50</v>
      </c>
      <c r="B52" s="216">
        <f ca="1">TblConstr[[#This Row],[Plain]]</f>
        <v>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45816.999999999884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112492</v>
      </c>
      <c r="W52" s="215"/>
      <c r="X52" s="94">
        <f ca="1">ROUND( (1-MIN(ROUND(facs_rezone_factor*TblRezone[[#This Row],[Facs]],4),facs_rezone_max) + tech_6_4*TblTech[[#This Row],[6-4]] + tech_10_2*TblTech[[#This Row],[10-2]] - IF(TblMagic[[#This Row],[Active Mechanical Genius]]&gt;0,mech_genius_bonus,0) + race_rezone_cost) * TblRezone[[#This Row],[Plat/acre*]],0)</f>
        <v>130</v>
      </c>
      <c r="Y52" s="94">
        <f ca="1">TblRezone[[#This Row],[Total acres]]*TblRezone[[#This Row],[Plat/acre]]</f>
        <v>0</v>
      </c>
      <c r="Z52" s="215"/>
      <c r="AA52" s="94">
        <f ca="1">(250+0.6*(TblRezone[[#This Row],[Land]]-250))</f>
        <v>130</v>
      </c>
      <c r="AB52" s="215"/>
      <c r="AC52" s="157">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113542</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114581</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115609</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116626</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117633</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118629</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119614</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120588</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121551</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122504</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123446</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124380</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125306</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126224</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127133</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128034</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128927</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129812</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130689</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131558</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132419</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133272</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134117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134954</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0">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135782</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136602</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137414</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138218</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139014</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139802</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140582</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141354</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142118</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142874</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143621</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144360</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145091</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145814</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146529</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147236</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147935</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148626</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149309</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149984</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150650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151311</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151967</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152617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153262</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153901</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154535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155164</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155787</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156405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157017</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157624</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158226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158822</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159413</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159998</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160578</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161153</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161722</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162286</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162844</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163397</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163945</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164487</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165024</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165555</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166081</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166602</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167117</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167627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168131</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168630</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169124</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169612</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170095</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170572</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171044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171511</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171972</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172428</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$J4=37</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AG4" sqref="AG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1143</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45815.041666666664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45815.083333333328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45815.124999999993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45815.166666666657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45815.208333333321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45815.249999999985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45815.29166666665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45815.333333333314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45815.374999999978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45815.416666666642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45815.458333333307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0.27698309492847856</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0.2847854356306892</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50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45815.541666666635</v>
      </c>
      <c r="AO17" s="420">
        <f ca="1">ROUND(IF(AND(TblMagic[[#This Row],[Active DnD]]&lt;12,TblMagic[[#This Row],[Active DnD]]&gt;5),OFFSET(TblPop[[#This Row],[Draft Growth]],-1,0)*0.375,0),0)</f>
        <v>0</v>
      </c>
      <c r="AP17" s="142"/>
      <c r="AQ17" s="94">
        <f ca="1">TblProd[[#This Row],[Platinum]]</f>
        <v>68376</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0.2925877763328999</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50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45815.583333333299</v>
      </c>
      <c r="AO18" s="420">
        <f ca="1">ROUND(IF(AND(TblMagic[[#This Row],[Active DnD]]&lt;12,TblMagic[[#This Row],[Active DnD]]&gt;5),OFFSET(TblPop[[#This Row],[Draft Growth]],-1,0)*0.375,0),0)</f>
        <v>0</v>
      </c>
      <c r="AP18" s="142"/>
      <c r="AQ18" s="94">
        <f ca="1">TblProd[[#This Row],[Platinum]]</f>
        <v>69861</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230</v>
      </c>
      <c r="C19" s="157">
        <f ca="1">TblPop[[#This Row],[Military%]]</f>
        <v>0.29908972691807545</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230</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230</v>
      </c>
      <c r="X19" s="247">
        <f ca="1">TblConstr[[#This Row],[Land]]</f>
        <v>50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230</v>
      </c>
      <c r="AB19" s="154"/>
      <c r="AC19" s="180">
        <f ca="1">(TblConstr[[#This Row],[Tot Smi]]+TblConstr[[#This Row],[Dest Smi]])/(TblConstr[[#This Row],[Land]]-TblExplore[[#This Row],[Land Bonus]]*20)</f>
        <v>0</v>
      </c>
      <c r="AD19" s="137"/>
      <c r="AE19" s="246">
        <f>TblMili[[#This Row],[Hour]]</f>
        <v>16</v>
      </c>
      <c r="AF19" s="138">
        <f ca="1">TblExplore[[#This Row],[Time]]</f>
        <v>45815.624999999964</v>
      </c>
      <c r="AO19" s="420">
        <f ca="1">ROUND(IF(AND(TblMagic[[#This Row],[Active DnD]]&lt;12,TblMagic[[#This Row],[Active DnD]]&gt;5),OFFSET(TblPop[[#This Row],[Draft Growth]],-1,0)*0.375,0),0)</f>
        <v>0</v>
      </c>
      <c r="AP19" s="142"/>
      <c r="AQ19" s="94">
        <f ca="1">TblProd[[#This Row],[Platinum]]</f>
        <v>71329</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230</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235</v>
      </c>
      <c r="C20" s="157">
        <f ca="1">TblPop[[#This Row],[Military%]]</f>
        <v>0.305591677503251</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235</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235</v>
      </c>
      <c r="X20" s="247">
        <f ca="1">TblConstr[[#This Row],[Land]]</f>
        <v>50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235</v>
      </c>
      <c r="AB20" s="154"/>
      <c r="AC20" s="180">
        <f ca="1">(TblConstr[[#This Row],[Tot Smi]]+TblConstr[[#This Row],[Dest Smi]])/(TblConstr[[#This Row],[Land]]-TblExplore[[#This Row],[Land Bonus]]*20)</f>
        <v>0</v>
      </c>
      <c r="AD20" s="137"/>
      <c r="AE20" s="246">
        <f>TblMili[[#This Row],[Hour]]</f>
        <v>17</v>
      </c>
      <c r="AF20" s="138">
        <f ca="1">TblExplore[[#This Row],[Time]]</f>
        <v>45815.666666666628</v>
      </c>
      <c r="AO20" s="420">
        <f ca="1">ROUND(IF(AND(TblMagic[[#This Row],[Active DnD]]&lt;12,TblMagic[[#This Row],[Active DnD]]&gt;5),OFFSET(TblPop[[#This Row],[Draft Growth]],-1,0)*0.375,0),0)</f>
        <v>0</v>
      </c>
      <c r="AP20" s="142"/>
      <c r="AQ20" s="94">
        <f ca="1">TblProd[[#This Row],[Platinum]]</f>
        <v>72784</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235</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240</v>
      </c>
      <c r="C21" s="157">
        <f ca="1">TblPop[[#This Row],[Military%]]</f>
        <v>0.31209362808842656</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240</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240</v>
      </c>
      <c r="X21" s="247">
        <f ca="1">TblConstr[[#This Row],[Land]]</f>
        <v>50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240</v>
      </c>
      <c r="AB21" s="154"/>
      <c r="AC21" s="180">
        <f ca="1">(TblConstr[[#This Row],[Tot Smi]]+TblConstr[[#This Row],[Dest Smi]])/(TblConstr[[#This Row],[Land]]-TblExplore[[#This Row],[Land Bonus]]*20)</f>
        <v>0</v>
      </c>
      <c r="AD21" s="137"/>
      <c r="AE21" s="246">
        <f>TblMili[[#This Row],[Hour]]</f>
        <v>18</v>
      </c>
      <c r="AF21" s="138">
        <f ca="1">TblExplore[[#This Row],[Time]]</f>
        <v>45815.708333333292</v>
      </c>
      <c r="AO21" s="420">
        <f ca="1">ROUND(IF(AND(TblMagic[[#This Row],[Active DnD]]&lt;12,TblMagic[[#This Row],[Active DnD]]&gt;5),OFFSET(TblPop[[#This Row],[Draft Growth]],-1,0)*0.375,0),0)</f>
        <v>0</v>
      </c>
      <c r="AP21" s="142"/>
      <c r="AQ21" s="94">
        <f ca="1">TblProd[[#This Row],[Platinum]]</f>
        <v>74225</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240</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245</v>
      </c>
      <c r="C22" s="157">
        <f ca="1">TblPop[[#This Row],[Military%]]</f>
        <v>0.31859557867360205</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245</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245</v>
      </c>
      <c r="X22" s="247">
        <f ca="1">TblConstr[[#This Row],[Land]]</f>
        <v>50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245</v>
      </c>
      <c r="AB22" s="154"/>
      <c r="AC22" s="180">
        <f ca="1">(TblConstr[[#This Row],[Tot Smi]]+TblConstr[[#This Row],[Dest Smi]])/(TblConstr[[#This Row],[Land]]-TblExplore[[#This Row],[Land Bonus]]*20)</f>
        <v>0</v>
      </c>
      <c r="AD22" s="137"/>
      <c r="AE22" s="246">
        <f>TblMili[[#This Row],[Hour]]</f>
        <v>19</v>
      </c>
      <c r="AF22" s="138">
        <f ca="1">TblExplore[[#This Row],[Time]]</f>
        <v>45815.749999999956</v>
      </c>
      <c r="AO22" s="420">
        <f ca="1">ROUND(IF(AND(TblMagic[[#This Row],[Active DnD]]&lt;12,TblMagic[[#This Row],[Active DnD]]&gt;5),OFFSET(TblPop[[#This Row],[Draft Growth]],-1,0)*0.375,0),0)</f>
        <v>0</v>
      </c>
      <c r="AP22" s="142"/>
      <c r="AQ22" s="94">
        <f ca="1">TblProd[[#This Row],[Platinum]]</f>
        <v>75653</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245</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250</v>
      </c>
      <c r="C23" s="157">
        <f ca="1">TblPop[[#This Row],[Military%]]</f>
        <v>0.32509752925877761</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250</v>
      </c>
      <c r="X23" s="247">
        <f ca="1">TblConstr[[#This Row],[Land]]</f>
        <v>50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250</v>
      </c>
      <c r="AB23" s="154"/>
      <c r="AC23" s="180">
        <f ca="1">(TblConstr[[#This Row],[Tot Smi]]+TblConstr[[#This Row],[Dest Smi]])/(TblConstr[[#This Row],[Land]]-TblExplore[[#This Row],[Land Bonus]]*20)</f>
        <v>0</v>
      </c>
      <c r="AD23" s="137"/>
      <c r="AE23" s="246">
        <f>TblMili[[#This Row],[Hour]]</f>
        <v>20</v>
      </c>
      <c r="AF23" s="138">
        <f ca="1">TblExplore[[#This Row],[Time]]</f>
        <v>45815.791666666621</v>
      </c>
      <c r="AO23" s="420">
        <f ca="1">ROUND(IF(AND(TblMagic[[#This Row],[Active DnD]]&lt;12,TblMagic[[#This Row],[Active DnD]]&gt;5),OFFSET(TblPop[[#This Row],[Draft Growth]],-1,0)*0.375,0),0)</f>
        <v>0</v>
      </c>
      <c r="AP23" s="142"/>
      <c r="AQ23" s="94">
        <f ca="1">TblProd[[#This Row],[Platinum]]</f>
        <v>77067</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250</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255</v>
      </c>
      <c r="C24" s="157">
        <f ca="1">TblPop[[#This Row],[Military%]]</f>
        <v>0.33159947984395316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255</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255</v>
      </c>
      <c r="X24" s="247">
        <f ca="1">TblConstr[[#This Row],[Land]]</f>
        <v>50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4" s="154"/>
      <c r="AC24" s="180">
        <f ca="1">(TblConstr[[#This Row],[Tot Smi]]+TblConstr[[#This Row],[Dest Smi]])/(TblConstr[[#This Row],[Land]]-TblExplore[[#This Row],[Land Bonus]]*20)</f>
        <v>0</v>
      </c>
      <c r="AD24" s="137"/>
      <c r="AE24" s="246">
        <f>TblMili[[#This Row],[Hour]]</f>
        <v>21</v>
      </c>
      <c r="AF24" s="138">
        <f ca="1">TblExplore[[#This Row],[Time]]</f>
        <v>45815.833333333285</v>
      </c>
      <c r="AO24" s="420">
        <f ca="1">ROUND(IF(AND(TblMagic[[#This Row],[Active DnD]]&lt;12,TblMagic[[#This Row],[Active DnD]]&gt;5),OFFSET(TblPop[[#This Row],[Draft Growth]],-1,0)*0.375,0),0)</f>
        <v>0</v>
      </c>
      <c r="AP24" s="142"/>
      <c r="AQ24" s="94">
        <f ca="1">TblProd[[#This Row],[Platinum]]</f>
        <v>78468</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255</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260</v>
      </c>
      <c r="C25" s="157">
        <f ca="1">TblPop[[#This Row],[Military%]]</f>
        <v>0.33810143042912871</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260</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260</v>
      </c>
      <c r="X25" s="247">
        <f ca="1">TblConstr[[#This Row],[Land]]</f>
        <v>50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260</v>
      </c>
      <c r="AB25" s="154"/>
      <c r="AC25" s="180">
        <f ca="1">(TblConstr[[#This Row],[Tot Smi]]+TblConstr[[#This Row],[Dest Smi]])/(TblConstr[[#This Row],[Land]]-TblExplore[[#This Row],[Land Bonus]]*20)</f>
        <v>0</v>
      </c>
      <c r="AD25" s="137"/>
      <c r="AE25" s="246">
        <f>TblMili[[#This Row],[Hour]]</f>
        <v>22</v>
      </c>
      <c r="AF25" s="138">
        <f ca="1">TblExplore[[#This Row],[Time]]</f>
        <v>45815.874999999949</v>
      </c>
      <c r="AO25" s="420">
        <f ca="1">ROUND(IF(AND(TblMagic[[#This Row],[Active DnD]]&lt;12,TblMagic[[#This Row],[Active DnD]]&gt;5),OFFSET(TblPop[[#This Row],[Draft Growth]],-1,0)*0.375,0),0)</f>
        <v>0</v>
      </c>
      <c r="AP25" s="142"/>
      <c r="AQ25" s="94">
        <f ca="1">TblProd[[#This Row],[Platinum]]</f>
        <v>79855</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260</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265</v>
      </c>
      <c r="C26" s="157">
        <f ca="1">TblPop[[#This Row],[Military%]]</f>
        <v>0.34460338101430427</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265</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265</v>
      </c>
      <c r="X26" s="247">
        <f ca="1">TblConstr[[#This Row],[Land]]</f>
        <v>50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265</v>
      </c>
      <c r="AB26" s="154"/>
      <c r="AC26" s="180">
        <f ca="1">(TblConstr[[#This Row],[Tot Smi]]+TblConstr[[#This Row],[Dest Smi]])/(TblConstr[[#This Row],[Land]]-TblExplore[[#This Row],[Land Bonus]]*20)</f>
        <v>0</v>
      </c>
      <c r="AD26" s="137"/>
      <c r="AE26" s="246">
        <f>TblMili[[#This Row],[Hour]]</f>
        <v>23</v>
      </c>
      <c r="AF26" s="138">
        <f ca="1">TblExplore[[#This Row],[Time]]</f>
        <v>45815.916666666613</v>
      </c>
      <c r="AO26" s="420">
        <f ca="1">ROUND(IF(AND(TblMagic[[#This Row],[Active DnD]]&lt;12,TblMagic[[#This Row],[Active DnD]]&gt;5),OFFSET(TblPop[[#This Row],[Draft Growth]],-1,0)*0.375,0),0)</f>
        <v>0</v>
      </c>
      <c r="AP26" s="142"/>
      <c r="AQ26" s="94">
        <f ca="1">TblProd[[#This Row],[Platinum]]</f>
        <v>81229</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265</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270</v>
      </c>
      <c r="C27" s="157">
        <f ca="1">TblPop[[#This Row],[Military%]]</f>
        <v>0.35110533159947982</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270</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270</v>
      </c>
      <c r="X27" s="247">
        <f ca="1">TblConstr[[#This Row],[Land]]</f>
        <v>50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270</v>
      </c>
      <c r="AB27" s="154"/>
      <c r="AC27" s="180">
        <f ca="1">(TblConstr[[#This Row],[Tot Smi]]+TblConstr[[#This Row],[Dest Smi]])/(TblConstr[[#This Row],[Land]]-TblExplore[[#This Row],[Land Bonus]]*20)</f>
        <v>0</v>
      </c>
      <c r="AD27" s="137"/>
      <c r="AE27" s="246">
        <f>TblMili[[#This Row],[Hour]]</f>
        <v>24</v>
      </c>
      <c r="AF27" s="138">
        <f ca="1">TblExplore[[#This Row],[Time]]</f>
        <v>45815.958333333278</v>
      </c>
      <c r="AO27" s="420">
        <f ca="1">ROUND(IF(AND(TblMagic[[#This Row],[Active DnD]]&lt;12,TblMagic[[#This Row],[Active DnD]]&gt;5),OFFSET(TblPop[[#This Row],[Draft Growth]],-1,0)*0.375,0),0)</f>
        <v>0</v>
      </c>
      <c r="AP27" s="142"/>
      <c r="AQ27" s="94">
        <f ca="1">TblProd[[#This Row],[Platinum]]</f>
        <v>82589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270</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275</v>
      </c>
      <c r="C28" s="157">
        <f ca="1">TblPop[[#This Row],[Military%]]</f>
        <v>0.35760728218465537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275</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275</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275</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83936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275</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280</v>
      </c>
      <c r="C29" s="157">
        <f ca="1">TblPop[[#This Row],[Military%]]</f>
        <v>0.36410923276983093</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280</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280</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280</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85269</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280</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285</v>
      </c>
      <c r="C30" s="157">
        <f ca="1">TblPop[[#This Row],[Military%]]</f>
        <v>0.37061118335500648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285</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285</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285</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86589</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285</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290</v>
      </c>
      <c r="C31" s="157">
        <f ca="1">TblPop[[#This Row],[Military%]]</f>
        <v>0.37711313394018203</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290</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290</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87895</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290</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295</v>
      </c>
      <c r="C32" s="157">
        <f ca="1">TblPop[[#This Row],[Military%]]</f>
        <v>0.38361508452535759</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295</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295</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295</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89188</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295</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300</v>
      </c>
      <c r="C33" s="157">
        <f ca="1">TblPop[[#This Row],[Military%]]</f>
        <v>0.39011703511053314</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300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300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300</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90467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300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305</v>
      </c>
      <c r="C34" s="157">
        <f ca="1">TblPop[[#This Row],[Military%]]</f>
        <v>0.39661898569570869</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305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305</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91733</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305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310</v>
      </c>
      <c r="C35" s="157">
        <f ca="1">TblPop[[#This Row],[Military%]]</f>
        <v>0.40312093628088425</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310</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310</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92985</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310</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315</v>
      </c>
      <c r="C36" s="157">
        <f ca="1">TblPop[[#This Row],[Military%]]</f>
        <v>0.4096228868660598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315</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315</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94224</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315</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320</v>
      </c>
      <c r="C37" s="157">
        <f ca="1">TblPop[[#This Row],[Military%]]</f>
        <v>0.41612483745123535</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320</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320</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95449</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320</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324</v>
      </c>
      <c r="C38" s="157">
        <f ca="1">TblPop[[#This Row],[Military%]]</f>
        <v>0.42132639791937582</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324</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324</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96661</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324</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328</v>
      </c>
      <c r="C39" s="157">
        <f ca="1">TblPop[[#This Row],[Military%]]</f>
        <v>0.42652795838751628</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328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328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97862</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328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332</v>
      </c>
      <c r="C40" s="165">
        <f ca="1">TblPop[[#This Row],[Military%]]</f>
        <v>0.43172951885565669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1250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332</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332</v>
      </c>
      <c r="X40" s="448">
        <f ca="1">TblConstr[[#This Row],[Land]]</f>
        <v>50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40" s="162"/>
      <c r="AC40" s="436">
        <f ca="1">(TblConstr[[#This Row],[Tot Smi]]+TblConstr[[#This Row],[Dest Smi]])/(TblConstr[[#This Row],[Land]]-TblExplore[[#This Row],[Land Bonus]]*20)</f>
        <v>0</v>
      </c>
      <c r="AD40" s="144"/>
      <c r="AE40" s="258">
        <f>TblMili[[#This Row],[Hour]]</f>
        <v>37</v>
      </c>
      <c r="AF40" s="145">
        <f ca="1">TblExplore[[#This Row],[Time]]</f>
        <v>45816.499999999913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99052</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45816.499999999913</v>
      </c>
      <c r="AW40" s="35">
        <f ca="1">TblMili[[#This Row],[Draftees]]</f>
        <v>332</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0.6</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2.9999999999999996</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2.9999999999999996</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Demonic Pact]]&gt;0,MIN(TblMili[[#This Row],[Unit 1]],TblMili[[#This Row],[Unit 4]])*demonic_pact_oppair,0)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0.80000000000000071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336</v>
      </c>
      <c r="C41" s="157">
        <f ca="1">TblPop[[#This Row],[Military%]]</f>
        <v>0.43693107932379716</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336</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336</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100231</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336</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340</v>
      </c>
      <c r="C42" s="157">
        <f ca="1">TblPop[[#This Row],[Military%]]</f>
        <v>0.44213263979193757</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340</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340</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101400</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340</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344</v>
      </c>
      <c r="C43" s="157">
        <f ca="1">TblPop[[#This Row],[Military%]]</f>
        <v>0.44733420026007803</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344</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344</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102558</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344</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348</v>
      </c>
      <c r="C44" s="157">
        <f ca="1">TblPop[[#This Row],[Military%]]</f>
        <v>0.45253576072821844</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348</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348</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103705</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348</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352</v>
      </c>
      <c r="C45" s="157">
        <f ca="1">TblPop[[#This Row],[Military%]]</f>
        <v>0.4577373211963589</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352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352</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104841</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352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356</v>
      </c>
      <c r="C46" s="157">
        <f ca="1">TblPop[[#This Row],[Military%]]</f>
        <v>0.46293888166449937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356</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356</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105966</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356</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360</v>
      </c>
      <c r="C47" s="157">
        <f ca="1">TblPop[[#This Row],[Military%]]</f>
        <v>0.46814044213263978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360</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360</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107081</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360</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364</v>
      </c>
      <c r="C48" s="157">
        <f ca="1">TblPop[[#This Row],[Military%]]</f>
        <v>0.47334200260078024</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364</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364</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108185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364</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368</v>
      </c>
      <c r="C49" s="157">
        <f ca="1">TblPop[[#This Row],[Military%]]</f>
        <v>0.47854356306892065</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368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368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109278</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368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372</v>
      </c>
      <c r="C50" s="157">
        <f ca="1">TblPop[[#This Row],[Military%]]</f>
        <v>0.48374512353706112</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372</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372</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110360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372</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376</v>
      </c>
      <c r="C51" s="157">
        <f ca="1">TblPop[[#This Row],[Military%]]</f>
        <v>0.48894668400520158</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376</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376</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111431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376</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380</v>
      </c>
      <c r="C52" s="157">
        <f ca="1">TblPop[[#This Row],[Military%]]</f>
        <v>0.49414824447334199</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1250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380</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380</v>
      </c>
      <c r="X52" s="247">
        <f ca="1">TblConstr[[#This Row],[Land]]</f>
        <v>50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52" s="154"/>
      <c r="AC52" s="180">
        <f ca="1">(TblConstr[[#This Row],[Tot Smi]]+TblConstr[[#This Row],[Dest Smi]])/(TblConstr[[#This Row],[Land]]-TblExplore[[#This Row],[Land Bonus]]*20)</f>
        <v>0</v>
      </c>
      <c r="AD52" s="256"/>
      <c r="AE52" s="257">
        <f>TblMili[[#This Row],[Hour]]</f>
        <v>49</v>
      </c>
      <c r="AF52" s="138">
        <f ca="1">TblExplore[[#This Row],[Time]]</f>
        <v>45816.999999999884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112492</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45816.999999999884</v>
      </c>
      <c r="AW52" s="94">
        <f ca="1">TblMili[[#This Row],[Draftees]]</f>
        <v>380</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0.6</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2.9999999999999996</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2.9999999999999996</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Demonic Pact]]&gt;0,MIN(TblMili[[#This Row],[Unit 1]],TblMili[[#This Row],[Unit 4]])*demonic_pact_oppair,0)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0.80000000000000071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384</v>
      </c>
      <c r="C53" s="157">
        <f ca="1">TblPop[[#This Row],[Military%]]</f>
        <v>0.49934980494148246</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384</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384</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113542</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384</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388</v>
      </c>
      <c r="C54" s="157">
        <f ca="1">TblPop[[#This Row],[Military%]]</f>
        <v>0.50455136540962287</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388</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388</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114581</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388</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392</v>
      </c>
      <c r="C55" s="157">
        <f ca="1">TblPop[[#This Row],[Military%]]</f>
        <v>0.50975292587776333</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392</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392</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115609</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392</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396</v>
      </c>
      <c r="C56" s="157">
        <f ca="1">TblPop[[#This Row],[Military%]]</f>
        <v>0.51495448634590379</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396</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396</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116626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396</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400</v>
      </c>
      <c r="C57" s="157">
        <f ca="1">TblPop[[#This Row],[Military%]]</f>
        <v>0.52015604681404426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400</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400</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117633</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400</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404</v>
      </c>
      <c r="C58" s="157">
        <f ca="1">TblPop[[#This Row],[Military%]]</f>
        <v>0.52535760728218461</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404</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404</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118629</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404</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408</v>
      </c>
      <c r="C59" s="157">
        <f ca="1">TblPop[[#This Row],[Military%]]</f>
        <v>0.53055916775032508</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408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408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119614</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408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412</v>
      </c>
      <c r="C60" s="157">
        <f ca="1">TblPop[[#This Row],[Military%]]</f>
        <v>0.53576072821846554</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412</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412</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120588</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412</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416</v>
      </c>
      <c r="C61" s="157">
        <f ca="1">TblPop[[#This Row],[Military%]]</f>
        <v>0.54096228868660601</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416</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416</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121551</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416</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420</v>
      </c>
      <c r="C62" s="157">
        <f ca="1">TblPop[[#This Row],[Military%]]</f>
        <v>0.54616384915474647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420</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420</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122504</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420</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423</v>
      </c>
      <c r="C63" s="157">
        <f ca="1">TblPop[[#This Row],[Military%]]</f>
        <v>0.55006501950585174</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423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423</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123446</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423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426</v>
      </c>
      <c r="C64" s="157">
        <f ca="1">TblPop[[#This Row],[Military%]]</f>
        <v>0.55396618985695711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426</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426</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124380</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426</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429</v>
      </c>
      <c r="C65" s="157">
        <f ca="1">TblPop[[#This Row],[Military%]]</f>
        <v>0.55786736020806238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429</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429</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125306</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429</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432</v>
      </c>
      <c r="C66" s="157">
        <f ca="1">TblPop[[#This Row],[Military%]]</f>
        <v>0.56176853055916776</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432</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432</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126224</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432</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435</v>
      </c>
      <c r="C67" s="157">
        <f ca="1">TblPop[[#This Row],[Military%]]</f>
        <v>0.56566970091027313</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435</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435</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127133</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435</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438</v>
      </c>
      <c r="C68" s="157">
        <f ca="1">TblPop[[#This Row],[Military%]]</f>
        <v>0.5695708712613784</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438</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438</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128034</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438</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441</v>
      </c>
      <c r="C69" s="157">
        <f ca="1">TblPop[[#This Row],[Military%]]</f>
        <v>0.57347204161248377</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441</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441</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128927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441</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444</v>
      </c>
      <c r="C70" s="157">
        <f ca="1">TblPop[[#This Row],[Military%]]</f>
        <v>0.57737321196358904</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444</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444</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129812</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444</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447</v>
      </c>
      <c r="C71" s="157">
        <f ca="1">TblPop[[#This Row],[Military%]]</f>
        <v>0.58127438231469442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447</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447</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130689</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447</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450</v>
      </c>
      <c r="C72" s="157">
        <f ca="1">TblPop[[#This Row],[Military%]]</f>
        <v>0.58517555266579979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450</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450</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131558</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450</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453</v>
      </c>
      <c r="C73" s="157">
        <f ca="1">TblPop[[#This Row],[Military%]]</f>
        <v>0.58907672301690506</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453</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453</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132419</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453</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456</v>
      </c>
      <c r="C74" s="157">
        <f ca="1">TblPop[[#This Row],[Military%]]</f>
        <v>0.59297789336801043</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456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456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133272</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456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459</v>
      </c>
      <c r="C75" s="157">
        <f ca="1">TblPop[[#This Row],[Military%]]</f>
        <v>0.5968790637191157</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459</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459</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134117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459</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462</v>
      </c>
      <c r="C76" s="440">
        <f ca="1">TblPop[[#This Row],[Military%]]</f>
        <v>0.60078023407022108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462</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462</v>
      </c>
      <c r="X76" s="441">
        <f ca="1">TblConstr[[#This Row],[Land]]</f>
        <v>50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134954</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462</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0.6</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2.9999999999999996</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2.9999999999999996</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Demonic Pact]]&gt;0,MIN(TblMili[[#This Row],[Unit 1]],TblMili[[#This Row],[Unit 4]])*demonic_pact_oppair,0)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0.80000000000000071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465</v>
      </c>
      <c r="C77" s="157">
        <f ca="1">TblPop[[#This Row],[Military%]]</f>
        <v>0.60468140442132645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465</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465</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135782</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465</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468</v>
      </c>
      <c r="C78" s="157">
        <f ca="1">TblPop[[#This Row],[Military%]]</f>
        <v>0.60858257477243172</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468</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468</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136602</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468</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471</v>
      </c>
      <c r="C79" s="157">
        <f ca="1">TblPop[[#This Row],[Military%]]</f>
        <v>0.61248374512353709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471</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471</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137414</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471</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474</v>
      </c>
      <c r="C80" s="157">
        <f ca="1">TblPop[[#This Row],[Military%]]</f>
        <v>0.61638491547464236</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474</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474</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138218</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474</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477</v>
      </c>
      <c r="C81" s="157">
        <f ca="1">TblPop[[#This Row],[Military%]]</f>
        <v>0.62028608582574774</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477</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477</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139014</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477</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480</v>
      </c>
      <c r="C82" s="157">
        <f ca="1">TblPop[[#This Row],[Military%]]</f>
        <v>0.62418725617685311</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480</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480</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139802</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480</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483</v>
      </c>
      <c r="C83" s="157">
        <f ca="1">TblPop[[#This Row],[Military%]]</f>
        <v>0.62808842652795838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483</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483</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140582</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483</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486</v>
      </c>
      <c r="C84" s="157">
        <f ca="1">TblPop[[#This Row],[Military%]]</f>
        <v>0.63198959687906375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486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486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141354</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486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489</v>
      </c>
      <c r="C85" s="157">
        <f ca="1">TblPop[[#This Row],[Military%]]</f>
        <v>0.63589076723016902</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489</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489</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142118</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489</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492</v>
      </c>
      <c r="C86" s="157">
        <f ca="1">TblPop[[#This Row],[Military%]]</f>
        <v>0.63979193758127439</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492</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492</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142874</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492</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495</v>
      </c>
      <c r="C87" s="157">
        <f ca="1">TblPop[[#This Row],[Military%]]</f>
        <v>0.64369310793237966</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495</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495</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143621</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495</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498</v>
      </c>
      <c r="C88" s="157">
        <f ca="1">TblPop[[#This Row],[Military%]]</f>
        <v>0.64759427828348504</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498</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498</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144360</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498</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501</v>
      </c>
      <c r="C89" s="157">
        <f ca="1">TblPop[[#This Row],[Military%]]</f>
        <v>0.65149544863459041</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501</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501</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145091</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501</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504</v>
      </c>
      <c r="C90" s="157">
        <f ca="1">TblPop[[#This Row],[Military%]]</f>
        <v>0.65539661898569568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504</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504</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145814</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504</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507</v>
      </c>
      <c r="C91" s="157">
        <f ca="1">TblPop[[#This Row],[Military%]]</f>
        <v>0.65929778933680105</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507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507</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146529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507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510</v>
      </c>
      <c r="C92" s="157">
        <f ca="1">TblPop[[#This Row],[Military%]]</f>
        <v>0.66319895968790632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510</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510</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147236</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510</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513</v>
      </c>
      <c r="C93" s="157">
        <f ca="1">TblPop[[#This Row],[Military%]]</f>
        <v>0.6671001300390117</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513</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513</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147935</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513</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516</v>
      </c>
      <c r="C94" s="157">
        <f ca="1">TblPop[[#This Row],[Military%]]</f>
        <v>0.67100130039011707</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516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516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148626</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516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519</v>
      </c>
      <c r="C95" s="157">
        <f ca="1">TblPop[[#This Row],[Military%]]</f>
        <v>0.67490247074122234</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519</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519</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149309</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519</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522</v>
      </c>
      <c r="C96" s="157">
        <f ca="1">TblPop[[#This Row],[Military%]]</f>
        <v>0.67880364109232771</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522</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522</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149984</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522</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524</v>
      </c>
      <c r="C97" s="157">
        <f ca="1">TblPop[[#This Row],[Military%]]</f>
        <v>0.68140442132639789</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524</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524</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150650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524</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526</v>
      </c>
      <c r="C98" s="157">
        <f ca="1">TblPop[[#This Row],[Military%]]</f>
        <v>0.68400520156046818</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526</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526</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151311</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526</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528</v>
      </c>
      <c r="C99" s="157">
        <f ca="1">TblPop[[#This Row],[Military%]]</f>
        <v>0.68660598179453836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528</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528</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151967</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528</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530</v>
      </c>
      <c r="C100" s="157">
        <f ca="1">TblPop[[#This Row],[Military%]]</f>
        <v>0.68920676202860853</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530</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530</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152617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530</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532</v>
      </c>
      <c r="C101" s="157">
        <f ca="1">TblPop[[#This Row],[Military%]]</f>
        <v>0.69180754226267882</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532</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532</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153262</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532</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534</v>
      </c>
      <c r="C102" s="157">
        <f ca="1">TblPop[[#This Row],[Military%]]</f>
        <v>0.694408322496749</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534</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534</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153901</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534</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536</v>
      </c>
      <c r="C103" s="157">
        <f ca="1">TblPop[[#This Row],[Military%]]</f>
        <v>0.69700910273081929</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536</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536</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154535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536</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538</v>
      </c>
      <c r="C104" s="157">
        <f ca="1">TblPop[[#This Row],[Military%]]</f>
        <v>0.69960988296488946</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538</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538</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155164</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538</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540</v>
      </c>
      <c r="C105" s="157">
        <f ca="1">TblPop[[#This Row],[Military%]]</f>
        <v>0.70221066319895964</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540</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540</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155787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540</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542</v>
      </c>
      <c r="C106" s="157">
        <f ca="1">TblPop[[#This Row],[Military%]]</f>
        <v>0.70481144343302993</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542</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542</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156405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542</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544</v>
      </c>
      <c r="C107" s="157">
        <f ca="1">TblPop[[#This Row],[Military%]]</f>
        <v>0.7074122236671001</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544</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544</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157017</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544</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546</v>
      </c>
      <c r="C108" s="157">
        <f ca="1">TblPop[[#This Row],[Military%]]</f>
        <v>0.71001300390117039</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546</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546</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157624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546</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548</v>
      </c>
      <c r="C109" s="157">
        <f ca="1">TblPop[[#This Row],[Military%]]</f>
        <v>0.71261378413524057</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548</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548</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158226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548</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550</v>
      </c>
      <c r="C110" s="157">
        <f ca="1">TblPop[[#This Row],[Military%]]</f>
        <v>0.71521456436931075</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550</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550</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158822</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550</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552</v>
      </c>
      <c r="C111" s="157">
        <f ca="1">TblPop[[#This Row],[Military%]]</f>
        <v>0.71781534460338103</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552</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552</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159413</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552</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554</v>
      </c>
      <c r="C112" s="157">
        <f ca="1">TblPop[[#This Row],[Military%]]</f>
        <v>0.72041612483745121</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554</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554</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159998</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554</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556</v>
      </c>
      <c r="C113" s="157">
        <f ca="1">TblPop[[#This Row],[Military%]]</f>
        <v>0.7230169050715215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556</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556</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160578</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556</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558</v>
      </c>
      <c r="C114" s="157">
        <f ca="1">TblPop[[#This Row],[Military%]]</f>
        <v>0.72561768530559168</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558</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558</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161153</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558</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560</v>
      </c>
      <c r="C115" s="157">
        <f ca="1">TblPop[[#This Row],[Military%]]</f>
        <v>0.72821846553966185</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560</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560</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161722</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560</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562</v>
      </c>
      <c r="C116" s="157">
        <f ca="1">TblPop[[#This Row],[Military%]]</f>
        <v>0.73081924577373214</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562</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562</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162286</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562</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564</v>
      </c>
      <c r="C117" s="157">
        <f ca="1">TblPop[[#This Row],[Military%]]</f>
        <v>0.73342002600780232</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564</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564</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162844</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564</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566</v>
      </c>
      <c r="C118" s="157">
        <f ca="1">TblPop[[#This Row],[Military%]]</f>
        <v>0.7360208062418726</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566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566</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163397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566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568</v>
      </c>
      <c r="C119" s="157">
        <f ca="1">TblPop[[#This Row],[Military%]]</f>
        <v>0.73862158647594278</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568</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568</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163945</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568</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570</v>
      </c>
      <c r="C120" s="157">
        <f ca="1">TblPop[[#This Row],[Military%]]</f>
        <v>0.74122236671001296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570</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570</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164487</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570</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572</v>
      </c>
      <c r="C121" s="157">
        <f ca="1">TblPop[[#This Row],[Military%]]</f>
        <v>0.74382314694408325</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572</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572</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165024</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572</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574</v>
      </c>
      <c r="C122" s="157">
        <f ca="1">TblPop[[#This Row],[Military%]]</f>
        <v>0.74642392717815342</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574</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574</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165555</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574</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576</v>
      </c>
      <c r="C123" s="157">
        <f ca="1">TblPop[[#This Row],[Military%]]</f>
        <v>0.74902470741222371</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576</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576</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166081</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576</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578</v>
      </c>
      <c r="C124" s="157">
        <f ca="1">TblPop[[#This Row],[Military%]]</f>
        <v>0.75162548764629389</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578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578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166602</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578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580</v>
      </c>
      <c r="C125" s="157">
        <f ca="1">TblPop[[#This Row],[Military%]]</f>
        <v>0.75422626788036407</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580</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580</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167117</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580</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582</v>
      </c>
      <c r="C126" s="157">
        <f ca="1">TblPop[[#This Row],[Military%]]</f>
        <v>0.75682704811443435</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582</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582</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167627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582</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584</v>
      </c>
      <c r="C127" s="157">
        <f ca="1">TblPop[[#This Row],[Military%]]</f>
        <v>0.75942782834850453</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584</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584</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168131</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584</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586</v>
      </c>
      <c r="C128" s="157">
        <f ca="1">TblPop[[#This Row],[Military%]]</f>
        <v>0.76202860858257482</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586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586</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168630</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586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588</v>
      </c>
      <c r="C129" s="157">
        <f ca="1">TblPop[[#This Row],[Military%]]</f>
        <v>0.76462938881664499</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588</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588</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169124</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588</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590</v>
      </c>
      <c r="C130" s="157">
        <f ca="1">TblPop[[#This Row],[Military%]]</f>
        <v>0.76723016905071517</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590</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590</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169612</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590</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592</v>
      </c>
      <c r="C131" s="157">
        <f ca="1">TblPop[[#This Row],[Military%]]</f>
        <v>0.76983094928478546</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592</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592</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170095</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592</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594</v>
      </c>
      <c r="C132" s="157">
        <f ca="1">TblPop[[#This Row],[Military%]]</f>
        <v>0.77243172951885564</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594</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594</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170572</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594</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596</v>
      </c>
      <c r="C133" s="157">
        <f ca="1">TblPop[[#This Row],[Military%]]</f>
        <v>0.77503250975292592</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596</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596</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171044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596</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598</v>
      </c>
      <c r="C134" s="157">
        <f ca="1">TblPop[[#This Row],[Military%]]</f>
        <v>0.7776332899869961</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598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598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171511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598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600</v>
      </c>
      <c r="C135" s="157">
        <f ca="1">TblPop[[#This Row],[Military%]]</f>
        <v>0.78023407022106628</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600</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600</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171972</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600</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602</v>
      </c>
      <c r="C136" s="157">
        <f ca="1">TblPop[[#This Row],[Military%]]</f>
        <v>0.78283485045513657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602</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602</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172428</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602</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$A4=37</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50</v>
      </c>
      <c r="C4" s="94">
        <f ca="1">TblProd[[#This Row],[Mana]]</f>
        <v>0</v>
      </c>
      <c r="D4" s="397">
        <f>1-TblMagic[[#This Row],[Wiz str cost]]</f>
        <v>1</v>
      </c>
      <c r="E4" s="159">
        <f>Imps!L4</f>
        <v>45815</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hidden="1"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hidden="1"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hidden="1"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hidden="1"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hidden="1"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hidden="1"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hidden="1"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hidden="1"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hidden="1"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hidden="1"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hidden="1"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s="5" customFormat="1" x14ac:dyDescent="0.2">
      <c r="A40" s="144">
        <f>TblRezone[[#This Row],[Hour]]</f>
        <v>37</v>
      </c>
      <c r="B40" s="162">
        <f ca="1">TblConstr[[#This Row],[Land]]</f>
        <v>50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45816.499999999913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Row],[Demonic Pact]],12,IF(OFFSET(TblMagic[[#This Row],[Active Demonic Pact]],-1,0)&gt;0,OFFSET(TblMagic[[#This Row],[Active Demonic Pact]],-1,0)-1,0))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7">
        <f>TblRezone[[#This Row],[Hour]]</f>
        <v>49</v>
      </c>
      <c r="B52" s="154">
        <f ca="1">TblConstr[[#This Row],[Land]]</f>
        <v>50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45816.999999999884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50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45817.999999999825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$A4=37</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45815</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45815</v>
      </c>
      <c r="BZ4" s="290">
        <f>Overview!B15</f>
        <v>45815</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45815.041666666664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45815.083333333328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45815.124999999993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45815.166666666657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45815.208333333321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45815.249999999985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45815.29166666665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45815.333333333314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45815.374999999978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x14ac:dyDescent="0.2">
      <c r="A16" s="214">
        <f ca="1">TblConstr[[#This Row],[Land]]</f>
        <v>50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hidden="1" x14ac:dyDescent="0.2">
      <c r="A17" s="214">
        <f ca="1">TblConstr[[#This Row],[Land]]</f>
        <v>50</v>
      </c>
      <c r="B17" s="142"/>
      <c r="C17" s="94">
        <f ca="1">TblProd[[#This Row],[Platinum]]</f>
        <v>68376</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50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hidden="1" x14ac:dyDescent="0.2">
      <c r="A18" s="214">
        <f ca="1">TblConstr[[#This Row],[Land]]</f>
        <v>50</v>
      </c>
      <c r="B18" s="142"/>
      <c r="C18" s="94">
        <f ca="1">TblProd[[#This Row],[Platinum]]</f>
        <v>69861</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50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hidden="1" x14ac:dyDescent="0.2">
      <c r="A19" s="214">
        <f ca="1">TblConstr[[#This Row],[Land]]</f>
        <v>50</v>
      </c>
      <c r="B19" s="142"/>
      <c r="C19" s="94">
        <f ca="1">TblProd[[#This Row],[Platinum]]</f>
        <v>71329</v>
      </c>
      <c r="D19" s="94">
        <f ca="1">TblProd[[#This Row],[Lumber]]</f>
        <v>26894</v>
      </c>
      <c r="E19" s="94">
        <f ca="1">TblProd[[#This Row],[Ore]]</f>
        <v>0</v>
      </c>
      <c r="F19" s="94">
        <f ca="1">TblProd[[#This Row],[Gems]]</f>
        <v>0</v>
      </c>
      <c r="G19" s="154"/>
      <c r="H19" s="94">
        <f ca="1">TblMili[[#This Row],[Draftees]]</f>
        <v>230</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50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hidden="1" x14ac:dyDescent="0.2">
      <c r="A20" s="214">
        <f ca="1">TblConstr[[#This Row],[Land]]</f>
        <v>50</v>
      </c>
      <c r="B20" s="142"/>
      <c r="C20" s="94">
        <f ca="1">TblProd[[#This Row],[Platinum]]</f>
        <v>72784</v>
      </c>
      <c r="D20" s="94">
        <f ca="1">TblProd[[#This Row],[Lumber]]</f>
        <v>27625</v>
      </c>
      <c r="E20" s="94">
        <f ca="1">TblProd[[#This Row],[Ore]]</f>
        <v>0</v>
      </c>
      <c r="F20" s="94">
        <f ca="1">TblProd[[#This Row],[Gems]]</f>
        <v>0</v>
      </c>
      <c r="G20" s="154"/>
      <c r="H20" s="94">
        <f ca="1">TblMili[[#This Row],[Draftees]]</f>
        <v>235</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50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hidden="1" x14ac:dyDescent="0.2">
      <c r="A21" s="214">
        <f ca="1">TblConstr[[#This Row],[Land]]</f>
        <v>50</v>
      </c>
      <c r="B21" s="142"/>
      <c r="C21" s="94">
        <f ca="1">TblProd[[#This Row],[Platinum]]</f>
        <v>74225</v>
      </c>
      <c r="D21" s="94">
        <f ca="1">TblProd[[#This Row],[Lumber]]</f>
        <v>28349</v>
      </c>
      <c r="E21" s="94">
        <f ca="1">TblProd[[#This Row],[Ore]]</f>
        <v>0</v>
      </c>
      <c r="F21" s="94">
        <f ca="1">TblProd[[#This Row],[Gems]]</f>
        <v>0</v>
      </c>
      <c r="G21" s="154"/>
      <c r="H21" s="94">
        <f ca="1">TblMili[[#This Row],[Draftees]]</f>
        <v>240</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50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hidden="1" x14ac:dyDescent="0.2">
      <c r="A22" s="214">
        <f ca="1">TblConstr[[#This Row],[Land]]</f>
        <v>50</v>
      </c>
      <c r="B22" s="142"/>
      <c r="C22" s="94">
        <f ca="1">TblProd[[#This Row],[Platinum]]</f>
        <v>75653</v>
      </c>
      <c r="D22" s="94">
        <f ca="1">TblProd[[#This Row],[Lumber]]</f>
        <v>29066</v>
      </c>
      <c r="E22" s="94">
        <f ca="1">TblProd[[#This Row],[Ore]]</f>
        <v>0</v>
      </c>
      <c r="F22" s="94">
        <f ca="1">TblProd[[#This Row],[Gems]]</f>
        <v>0</v>
      </c>
      <c r="G22" s="154"/>
      <c r="H22" s="94">
        <f ca="1">TblMili[[#This Row],[Draftees]]</f>
        <v>245</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50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hidden="1" x14ac:dyDescent="0.2">
      <c r="A23" s="214">
        <f ca="1">TblConstr[[#This Row],[Land]]</f>
        <v>50</v>
      </c>
      <c r="B23" s="142"/>
      <c r="C23" s="94">
        <f ca="1">TblProd[[#This Row],[Platinum]]</f>
        <v>77067</v>
      </c>
      <c r="D23" s="94">
        <f ca="1">TblProd[[#This Row],[Lumber]]</f>
        <v>29775</v>
      </c>
      <c r="E23" s="94">
        <f ca="1">TblProd[[#This Row],[Ore]]</f>
        <v>0</v>
      </c>
      <c r="F23" s="94">
        <f ca="1">TblProd[[#This Row],[Gems]]</f>
        <v>0</v>
      </c>
      <c r="G23" s="154"/>
      <c r="H23" s="94">
        <f ca="1">TblMili[[#This Row],[Draftees]]</f>
        <v>250</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50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hidden="1" x14ac:dyDescent="0.2">
      <c r="A24" s="214">
        <f ca="1">TblConstr[[#This Row],[Land]]</f>
        <v>50</v>
      </c>
      <c r="B24" s="142"/>
      <c r="C24" s="94">
        <f ca="1">TblProd[[#This Row],[Platinum]]</f>
        <v>78468</v>
      </c>
      <c r="D24" s="94">
        <f ca="1">TblProd[[#This Row],[Lumber]]</f>
        <v>30477</v>
      </c>
      <c r="E24" s="94">
        <f ca="1">TblProd[[#This Row],[Ore]]</f>
        <v>0</v>
      </c>
      <c r="F24" s="94">
        <f ca="1">TblProd[[#This Row],[Gems]]</f>
        <v>0</v>
      </c>
      <c r="G24" s="154"/>
      <c r="H24" s="94">
        <f ca="1">TblMili[[#This Row],[Draftees]]</f>
        <v>255</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50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hidden="1" x14ac:dyDescent="0.2">
      <c r="A25" s="214">
        <f ca="1">TblConstr[[#This Row],[Land]]</f>
        <v>50</v>
      </c>
      <c r="B25" s="142"/>
      <c r="C25" s="94">
        <f ca="1">TblProd[[#This Row],[Platinum]]</f>
        <v>79855</v>
      </c>
      <c r="D25" s="94">
        <f ca="1">TblProd[[#This Row],[Lumber]]</f>
        <v>31172</v>
      </c>
      <c r="E25" s="94">
        <f ca="1">TblProd[[#This Row],[Ore]]</f>
        <v>0</v>
      </c>
      <c r="F25" s="94">
        <f ca="1">TblProd[[#This Row],[Gems]]</f>
        <v>0</v>
      </c>
      <c r="G25" s="154"/>
      <c r="H25" s="94">
        <f ca="1">TblMili[[#This Row],[Draftees]]</f>
        <v>260</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50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hidden="1" x14ac:dyDescent="0.2">
      <c r="A26" s="214">
        <f ca="1">TblConstr[[#This Row],[Land]]</f>
        <v>50</v>
      </c>
      <c r="B26" s="142"/>
      <c r="C26" s="94">
        <f ca="1">TblProd[[#This Row],[Platinum]]</f>
        <v>81229</v>
      </c>
      <c r="D26" s="94">
        <f ca="1">TblProd[[#This Row],[Lumber]]</f>
        <v>31860</v>
      </c>
      <c r="E26" s="94">
        <f ca="1">TblProd[[#This Row],[Ore]]</f>
        <v>0</v>
      </c>
      <c r="F26" s="94">
        <f ca="1">TblProd[[#This Row],[Gems]]</f>
        <v>0</v>
      </c>
      <c r="G26" s="154"/>
      <c r="H26" s="94">
        <f ca="1">TblMili[[#This Row],[Draftees]]</f>
        <v>265</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50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hidden="1" x14ac:dyDescent="0.2">
      <c r="A27" s="214">
        <f ca="1">TblConstr[[#This Row],[Land]]</f>
        <v>50</v>
      </c>
      <c r="B27" s="142"/>
      <c r="C27" s="94">
        <f ca="1">TblProd[[#This Row],[Platinum]]</f>
        <v>82589</v>
      </c>
      <c r="D27" s="94">
        <f ca="1">TblProd[[#This Row],[Lumber]]</f>
        <v>32541</v>
      </c>
      <c r="E27" s="94">
        <f ca="1">TblProd[[#This Row],[Ore]]</f>
        <v>0</v>
      </c>
      <c r="F27" s="94">
        <f ca="1">TblProd[[#This Row],[Gems]]</f>
        <v>0</v>
      </c>
      <c r="G27" s="154"/>
      <c r="H27" s="94">
        <f ca="1">TblMili[[#This Row],[Draftees]]</f>
        <v>270</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50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x14ac:dyDescent="0.2">
      <c r="A28" s="214">
        <f ca="1">TblConstr[[#This Row],[Land]]</f>
        <v>50</v>
      </c>
      <c r="B28" s="142"/>
      <c r="C28" s="94">
        <f ca="1">TblProd[[#This Row],[Platinum]]</f>
        <v>83936</v>
      </c>
      <c r="D28" s="94">
        <f ca="1">TblProd[[#This Row],[Lumber]]</f>
        <v>33216</v>
      </c>
      <c r="E28" s="94">
        <f ca="1">TblProd[[#This Row],[Ore]]</f>
        <v>0</v>
      </c>
      <c r="F28" s="94">
        <f ca="1">TblProd[[#This Row],[Gems]]</f>
        <v>0</v>
      </c>
      <c r="G28" s="154"/>
      <c r="H28" s="94">
        <f ca="1">TblMili[[#This Row],[Draftees]]</f>
        <v>275</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50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x14ac:dyDescent="0.2">
      <c r="A29" s="214">
        <f ca="1">TblConstr[[#This Row],[Land]]</f>
        <v>50</v>
      </c>
      <c r="B29" s="142"/>
      <c r="C29" s="94">
        <f ca="1">TblProd[[#This Row],[Platinum]]</f>
        <v>85269</v>
      </c>
      <c r="D29" s="94">
        <f ca="1">TblProd[[#This Row],[Lumber]]</f>
        <v>33884</v>
      </c>
      <c r="E29" s="94">
        <f ca="1">TblProd[[#This Row],[Ore]]</f>
        <v>0</v>
      </c>
      <c r="F29" s="94">
        <f ca="1">TblProd[[#This Row],[Gems]]</f>
        <v>0</v>
      </c>
      <c r="G29" s="154"/>
      <c r="H29" s="94">
        <f ca="1">TblMili[[#This Row],[Draftees]]</f>
        <v>280</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x14ac:dyDescent="0.2">
      <c r="A30" s="214">
        <f ca="1">TblConstr[[#This Row],[Land]]</f>
        <v>50</v>
      </c>
      <c r="B30" s="142"/>
      <c r="C30" s="94">
        <f ca="1">TblProd[[#This Row],[Platinum]]</f>
        <v>86589</v>
      </c>
      <c r="D30" s="94">
        <f ca="1">TblProd[[#This Row],[Lumber]]</f>
        <v>34545</v>
      </c>
      <c r="E30" s="94">
        <f ca="1">TblProd[[#This Row],[Ore]]</f>
        <v>0</v>
      </c>
      <c r="F30" s="94">
        <f ca="1">TblProd[[#This Row],[Gems]]</f>
        <v>0</v>
      </c>
      <c r="G30" s="154"/>
      <c r="H30" s="94">
        <f ca="1">TblMili[[#This Row],[Draftees]]</f>
        <v>285</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x14ac:dyDescent="0.2">
      <c r="A31" s="214">
        <f ca="1">TblConstr[[#This Row],[Land]]</f>
        <v>50</v>
      </c>
      <c r="B31" s="142"/>
      <c r="C31" s="94">
        <f ca="1">TblProd[[#This Row],[Platinum]]</f>
        <v>87895</v>
      </c>
      <c r="D31" s="94">
        <f ca="1">TblProd[[#This Row],[Lumber]]</f>
        <v>35200</v>
      </c>
      <c r="E31" s="94">
        <f ca="1">TblProd[[#This Row],[Ore]]</f>
        <v>0</v>
      </c>
      <c r="F31" s="94">
        <f ca="1">TblProd[[#This Row],[Gems]]</f>
        <v>0</v>
      </c>
      <c r="G31" s="154"/>
      <c r="H31" s="94">
        <f ca="1">TblMili[[#This Row],[Draftees]]</f>
        <v>290</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x14ac:dyDescent="0.2">
      <c r="A32" s="214">
        <f ca="1">TblConstr[[#This Row],[Land]]</f>
        <v>50</v>
      </c>
      <c r="B32" s="142"/>
      <c r="C32" s="94">
        <f ca="1">TblProd[[#This Row],[Platinum]]</f>
        <v>89188</v>
      </c>
      <c r="D32" s="94">
        <f ca="1">TblProd[[#This Row],[Lumber]]</f>
        <v>35848</v>
      </c>
      <c r="E32" s="94">
        <f ca="1">TblProd[[#This Row],[Ore]]</f>
        <v>0</v>
      </c>
      <c r="F32" s="94">
        <f ca="1">TblProd[[#This Row],[Gems]]</f>
        <v>0</v>
      </c>
      <c r="G32" s="154"/>
      <c r="H32" s="94">
        <f ca="1">TblMili[[#This Row],[Draftees]]</f>
        <v>295</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x14ac:dyDescent="0.2">
      <c r="A33" s="214">
        <f ca="1">TblConstr[[#This Row],[Land]]</f>
        <v>50</v>
      </c>
      <c r="B33" s="142"/>
      <c r="C33" s="94">
        <f ca="1">TblProd[[#This Row],[Platinum]]</f>
        <v>90467</v>
      </c>
      <c r="D33" s="94">
        <f ca="1">TblProd[[#This Row],[Lumber]]</f>
        <v>36490</v>
      </c>
      <c r="E33" s="94">
        <f ca="1">TblProd[[#This Row],[Ore]]</f>
        <v>0</v>
      </c>
      <c r="F33" s="94">
        <f ca="1">TblProd[[#This Row],[Gems]]</f>
        <v>0</v>
      </c>
      <c r="G33" s="154"/>
      <c r="H33" s="94">
        <f ca="1">TblMili[[#This Row],[Draftees]]</f>
        <v>300</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x14ac:dyDescent="0.2">
      <c r="A34" s="214">
        <f ca="1">TblConstr[[#This Row],[Land]]</f>
        <v>50</v>
      </c>
      <c r="B34" s="142"/>
      <c r="C34" s="94">
        <f ca="1">TblProd[[#This Row],[Platinum]]</f>
        <v>91733</v>
      </c>
      <c r="D34" s="94">
        <f ca="1">TblProd[[#This Row],[Lumber]]</f>
        <v>37125</v>
      </c>
      <c r="E34" s="94">
        <f ca="1">TblProd[[#This Row],[Ore]]</f>
        <v>0</v>
      </c>
      <c r="F34" s="94">
        <f ca="1">TblProd[[#This Row],[Gems]]</f>
        <v>0</v>
      </c>
      <c r="G34" s="154"/>
      <c r="H34" s="94">
        <f ca="1">TblMili[[#This Row],[Draftees]]</f>
        <v>305</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x14ac:dyDescent="0.2">
      <c r="A35" s="214">
        <f ca="1">TblConstr[[#This Row],[Land]]</f>
        <v>50</v>
      </c>
      <c r="B35" s="142"/>
      <c r="C35" s="94">
        <f ca="1">TblProd[[#This Row],[Platinum]]</f>
        <v>92985</v>
      </c>
      <c r="D35" s="94">
        <f ca="1">TblProd[[#This Row],[Lumber]]</f>
        <v>37754</v>
      </c>
      <c r="E35" s="94">
        <f ca="1">TblProd[[#This Row],[Ore]]</f>
        <v>0</v>
      </c>
      <c r="F35" s="94">
        <f ca="1">TblProd[[#This Row],[Gems]]</f>
        <v>0</v>
      </c>
      <c r="G35" s="154"/>
      <c r="H35" s="94">
        <f ca="1">TblMili[[#This Row],[Draftees]]</f>
        <v>310</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x14ac:dyDescent="0.2">
      <c r="A36" s="214">
        <f ca="1">TblConstr[[#This Row],[Land]]</f>
        <v>50</v>
      </c>
      <c r="B36" s="142"/>
      <c r="C36" s="94">
        <f ca="1">TblProd[[#This Row],[Platinum]]</f>
        <v>94224</v>
      </c>
      <c r="D36" s="94">
        <f ca="1">TblProd[[#This Row],[Lumber]]</f>
        <v>38376</v>
      </c>
      <c r="E36" s="94">
        <f ca="1">TblProd[[#This Row],[Ore]]</f>
        <v>0</v>
      </c>
      <c r="F36" s="94">
        <f ca="1">TblProd[[#This Row],[Gems]]</f>
        <v>0</v>
      </c>
      <c r="G36" s="154"/>
      <c r="H36" s="94">
        <f ca="1">TblMili[[#This Row],[Draftees]]</f>
        <v>315</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x14ac:dyDescent="0.2">
      <c r="A37" s="214">
        <f ca="1">TblConstr[[#This Row],[Land]]</f>
        <v>50</v>
      </c>
      <c r="B37" s="142"/>
      <c r="C37" s="94">
        <f ca="1">TblProd[[#This Row],[Platinum]]</f>
        <v>95449</v>
      </c>
      <c r="D37" s="94">
        <f ca="1">TblProd[[#This Row],[Lumber]]</f>
        <v>38992</v>
      </c>
      <c r="E37" s="94">
        <f ca="1">TblProd[[#This Row],[Ore]]</f>
        <v>0</v>
      </c>
      <c r="F37" s="94">
        <f ca="1">TblProd[[#This Row],[Gems]]</f>
        <v>0</v>
      </c>
      <c r="G37" s="154"/>
      <c r="H37" s="94">
        <f ca="1">TblMili[[#This Row],[Draftees]]</f>
        <v>320</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x14ac:dyDescent="0.2">
      <c r="A38" s="214">
        <f ca="1">TblConstr[[#This Row],[Land]]</f>
        <v>50</v>
      </c>
      <c r="B38" s="142"/>
      <c r="C38" s="94">
        <f ca="1">TblProd[[#This Row],[Platinum]]</f>
        <v>96661</v>
      </c>
      <c r="D38" s="94">
        <f ca="1">TblProd[[#This Row],[Lumber]]</f>
        <v>39602</v>
      </c>
      <c r="E38" s="94">
        <f ca="1">TblProd[[#This Row],[Ore]]</f>
        <v>0</v>
      </c>
      <c r="F38" s="94">
        <f ca="1">TblProd[[#This Row],[Gems]]</f>
        <v>0</v>
      </c>
      <c r="G38" s="154"/>
      <c r="H38" s="94">
        <f ca="1">TblMili[[#This Row],[Draftees]]</f>
        <v>324</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x14ac:dyDescent="0.2">
      <c r="A39" s="214">
        <f ca="1">TblConstr[[#This Row],[Land]]</f>
        <v>50</v>
      </c>
      <c r="B39" s="142"/>
      <c r="C39" s="94">
        <f ca="1">TblProd[[#This Row],[Platinum]]</f>
        <v>97862</v>
      </c>
      <c r="D39" s="94">
        <f ca="1">TblProd[[#This Row],[Lumber]]</f>
        <v>40206</v>
      </c>
      <c r="E39" s="94">
        <f ca="1">TblProd[[#This Row],[Ore]]</f>
        <v>0</v>
      </c>
      <c r="F39" s="94">
        <f ca="1">TblProd[[#This Row],[Gems]]</f>
        <v>0</v>
      </c>
      <c r="G39" s="154"/>
      <c r="H39" s="94">
        <f ca="1">TblMili[[#This Row],[Draftees]]</f>
        <v>328</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s="5" customFormat="1" x14ac:dyDescent="0.2">
      <c r="A40" s="230">
        <f ca="1">TblConstr[[#This Row],[Land]]</f>
        <v>50</v>
      </c>
      <c r="B40" s="149"/>
      <c r="C40" s="35">
        <f ca="1">TblProd[[#This Row],[Platinum]]</f>
        <v>99052</v>
      </c>
      <c r="D40" s="35">
        <f ca="1">TblProd[[#This Row],[Lumber]]</f>
        <v>40804</v>
      </c>
      <c r="E40" s="35">
        <f ca="1">TblProd[[#This Row],[Ore]]</f>
        <v>0</v>
      </c>
      <c r="F40" s="35">
        <f ca="1">TblProd[[#This Row],[Gems]]</f>
        <v>0</v>
      </c>
      <c r="G40" s="162"/>
      <c r="H40" s="35">
        <f ca="1">TblMili[[#This Row],[Draftees]]</f>
        <v>332</v>
      </c>
      <c r="I40" s="436">
        <f ca="1">TblPop[[#This Row],[Employment]]</f>
        <v>1</v>
      </c>
      <c r="J40" s="436">
        <f ca="1">TblPop[[#This Row],[Total]]/TblPop[[#This Row],[Net max]]</f>
        <v>1</v>
      </c>
      <c r="K40" s="298">
        <f>TblRezone[[#This Row],[Hour]]</f>
        <v>37</v>
      </c>
      <c r="L40" s="299">
        <f ca="1">TblImps[[#This Row],[Real time]]</f>
        <v>45816.499999999913</v>
      </c>
      <c r="M40" s="148">
        <f>IF(ISERROR(TblImps[[#This Row],[algorithm]]),0,TblImps[[#This Row],[algorithm]]*1)</f>
        <v>0</v>
      </c>
      <c r="N40" s="35">
        <f ca="1">TblImps[[#This Row],[Land]]</f>
        <v>50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45816.499999999913</v>
      </c>
      <c r="BZ40" s="460">
        <f ca="1">OFFSET(TblImps[[#This Row],[Servertime]],-1,0)+1/24</f>
        <v>45816.499999999913</v>
      </c>
      <c r="CA40" s="28"/>
      <c r="CB40" s="461"/>
      <c r="CC40" s="461"/>
      <c r="CD40" s="5" t="s">
        <v>526</v>
      </c>
    </row>
    <row r="41" spans="1:82" x14ac:dyDescent="0.2">
      <c r="A41" s="214">
        <f ca="1">TblConstr[[#This Row],[Land]]</f>
        <v>50</v>
      </c>
      <c r="B41" s="142"/>
      <c r="C41" s="94">
        <f ca="1">TblProd[[#This Row],[Platinum]]</f>
        <v>100231</v>
      </c>
      <c r="D41" s="94">
        <f ca="1">TblProd[[#This Row],[Lumber]]</f>
        <v>41396</v>
      </c>
      <c r="E41" s="94">
        <f ca="1">TblProd[[#This Row],[Ore]]</f>
        <v>0</v>
      </c>
      <c r="F41" s="94">
        <f ca="1">TblProd[[#This Row],[Gems]]</f>
        <v>0</v>
      </c>
      <c r="G41" s="154"/>
      <c r="H41" s="94">
        <f ca="1">TblMili[[#This Row],[Draftees]]</f>
        <v>336</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x14ac:dyDescent="0.2">
      <c r="A42" s="214">
        <f ca="1">TblConstr[[#This Row],[Land]]</f>
        <v>50</v>
      </c>
      <c r="B42" s="142"/>
      <c r="C42" s="94">
        <f ca="1">TblProd[[#This Row],[Platinum]]</f>
        <v>101400</v>
      </c>
      <c r="D42" s="94">
        <f ca="1">TblProd[[#This Row],[Lumber]]</f>
        <v>41982</v>
      </c>
      <c r="E42" s="94">
        <f ca="1">TblProd[[#This Row],[Ore]]</f>
        <v>0</v>
      </c>
      <c r="F42" s="94">
        <f ca="1">TblProd[[#This Row],[Gems]]</f>
        <v>0</v>
      </c>
      <c r="G42" s="154"/>
      <c r="H42" s="94">
        <f ca="1">TblMili[[#This Row],[Draftees]]</f>
        <v>340</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x14ac:dyDescent="0.2">
      <c r="A43" s="214">
        <f ca="1">TblConstr[[#This Row],[Land]]</f>
        <v>50</v>
      </c>
      <c r="B43" s="142"/>
      <c r="C43" s="94">
        <f ca="1">TblProd[[#This Row],[Platinum]]</f>
        <v>102558</v>
      </c>
      <c r="D43" s="94">
        <f ca="1">TblProd[[#This Row],[Lumber]]</f>
        <v>42562</v>
      </c>
      <c r="E43" s="94">
        <f ca="1">TblProd[[#This Row],[Ore]]</f>
        <v>0</v>
      </c>
      <c r="F43" s="94">
        <f ca="1">TblProd[[#This Row],[Gems]]</f>
        <v>0</v>
      </c>
      <c r="G43" s="154"/>
      <c r="H43" s="94">
        <f ca="1">TblMili[[#This Row],[Draftees]]</f>
        <v>344</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x14ac:dyDescent="0.2">
      <c r="A44" s="214">
        <f ca="1">TblConstr[[#This Row],[Land]]</f>
        <v>50</v>
      </c>
      <c r="B44" s="142"/>
      <c r="C44" s="94">
        <f ca="1">TblProd[[#This Row],[Platinum]]</f>
        <v>103705</v>
      </c>
      <c r="D44" s="94">
        <f ca="1">TblProd[[#This Row],[Lumber]]</f>
        <v>43136</v>
      </c>
      <c r="E44" s="94">
        <f ca="1">TblProd[[#This Row],[Ore]]</f>
        <v>0</v>
      </c>
      <c r="F44" s="94">
        <f ca="1">TblProd[[#This Row],[Gems]]</f>
        <v>0</v>
      </c>
      <c r="G44" s="154"/>
      <c r="H44" s="94">
        <f ca="1">TblMili[[#This Row],[Draftees]]</f>
        <v>348</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x14ac:dyDescent="0.2">
      <c r="A45" s="214">
        <f ca="1">TblConstr[[#This Row],[Land]]</f>
        <v>50</v>
      </c>
      <c r="B45" s="142"/>
      <c r="C45" s="94">
        <f ca="1">TblProd[[#This Row],[Platinum]]</f>
        <v>104841</v>
      </c>
      <c r="D45" s="94">
        <f ca="1">TblProd[[#This Row],[Lumber]]</f>
        <v>43705</v>
      </c>
      <c r="E45" s="94">
        <f ca="1">TblProd[[#This Row],[Ore]]</f>
        <v>0</v>
      </c>
      <c r="F45" s="94">
        <f ca="1">TblProd[[#This Row],[Gems]]</f>
        <v>0</v>
      </c>
      <c r="G45" s="154"/>
      <c r="H45" s="94">
        <f ca="1">TblMili[[#This Row],[Draftees]]</f>
        <v>352</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x14ac:dyDescent="0.2">
      <c r="A46" s="214">
        <f ca="1">TblConstr[[#This Row],[Land]]</f>
        <v>50</v>
      </c>
      <c r="B46" s="142"/>
      <c r="C46" s="94">
        <f ca="1">TblProd[[#This Row],[Platinum]]</f>
        <v>105966</v>
      </c>
      <c r="D46" s="94">
        <f ca="1">TblProd[[#This Row],[Lumber]]</f>
        <v>44268</v>
      </c>
      <c r="E46" s="94">
        <f ca="1">TblProd[[#This Row],[Ore]]</f>
        <v>0</v>
      </c>
      <c r="F46" s="94">
        <f ca="1">TblProd[[#This Row],[Gems]]</f>
        <v>0</v>
      </c>
      <c r="G46" s="154"/>
      <c r="H46" s="94">
        <f ca="1">TblMili[[#This Row],[Draftees]]</f>
        <v>356</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x14ac:dyDescent="0.2">
      <c r="A47" s="214">
        <f ca="1">TblConstr[[#This Row],[Land]]</f>
        <v>50</v>
      </c>
      <c r="B47" s="142"/>
      <c r="C47" s="94">
        <f ca="1">TblProd[[#This Row],[Platinum]]</f>
        <v>107081</v>
      </c>
      <c r="D47" s="94">
        <f ca="1">TblProd[[#This Row],[Lumber]]</f>
        <v>44825</v>
      </c>
      <c r="E47" s="94">
        <f ca="1">TblProd[[#This Row],[Ore]]</f>
        <v>0</v>
      </c>
      <c r="F47" s="94">
        <f ca="1">TblProd[[#This Row],[Gems]]</f>
        <v>0</v>
      </c>
      <c r="G47" s="154"/>
      <c r="H47" s="94">
        <f ca="1">TblMili[[#This Row],[Draftees]]</f>
        <v>360</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x14ac:dyDescent="0.2">
      <c r="A48" s="214">
        <f ca="1">TblConstr[[#This Row],[Land]]</f>
        <v>50</v>
      </c>
      <c r="B48" s="142"/>
      <c r="C48" s="94">
        <f ca="1">TblProd[[#This Row],[Platinum]]</f>
        <v>108185</v>
      </c>
      <c r="D48" s="94">
        <f ca="1">TblProd[[#This Row],[Lumber]]</f>
        <v>45377</v>
      </c>
      <c r="E48" s="94">
        <f ca="1">TblProd[[#This Row],[Ore]]</f>
        <v>0</v>
      </c>
      <c r="F48" s="94">
        <f ca="1">TblProd[[#This Row],[Gems]]</f>
        <v>0</v>
      </c>
      <c r="G48" s="154"/>
      <c r="H48" s="94">
        <f ca="1">TblMili[[#This Row],[Draftees]]</f>
        <v>364</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x14ac:dyDescent="0.2">
      <c r="A49" s="214">
        <f ca="1">TblConstr[[#This Row],[Land]]</f>
        <v>50</v>
      </c>
      <c r="B49" s="142"/>
      <c r="C49" s="94">
        <f ca="1">TblProd[[#This Row],[Platinum]]</f>
        <v>109278</v>
      </c>
      <c r="D49" s="94">
        <f ca="1">TblProd[[#This Row],[Lumber]]</f>
        <v>45923</v>
      </c>
      <c r="E49" s="94">
        <f ca="1">TblProd[[#This Row],[Ore]]</f>
        <v>0</v>
      </c>
      <c r="F49" s="94">
        <f ca="1">TblProd[[#This Row],[Gems]]</f>
        <v>0</v>
      </c>
      <c r="G49" s="154"/>
      <c r="H49" s="94">
        <f ca="1">TblMili[[#This Row],[Draftees]]</f>
        <v>368</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x14ac:dyDescent="0.2">
      <c r="A50" s="214">
        <f ca="1">TblConstr[[#This Row],[Land]]</f>
        <v>50</v>
      </c>
      <c r="B50" s="142"/>
      <c r="C50" s="94">
        <f ca="1">TblProd[[#This Row],[Platinum]]</f>
        <v>110360</v>
      </c>
      <c r="D50" s="94">
        <f ca="1">TblProd[[#This Row],[Lumber]]</f>
        <v>46464</v>
      </c>
      <c r="E50" s="94">
        <f ca="1">TblProd[[#This Row],[Ore]]</f>
        <v>0</v>
      </c>
      <c r="F50" s="94">
        <f ca="1">TblProd[[#This Row],[Gems]]</f>
        <v>0</v>
      </c>
      <c r="G50" s="154"/>
      <c r="H50" s="94">
        <f ca="1">TblMili[[#This Row],[Draftees]]</f>
        <v>372</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x14ac:dyDescent="0.2">
      <c r="A51" s="214">
        <f ca="1">TblConstr[[#This Row],[Land]]</f>
        <v>50</v>
      </c>
      <c r="B51" s="142"/>
      <c r="C51" s="94">
        <f ca="1">TblProd[[#This Row],[Platinum]]</f>
        <v>111431</v>
      </c>
      <c r="D51" s="94">
        <f ca="1">TblProd[[#This Row],[Lumber]]</f>
        <v>46999</v>
      </c>
      <c r="E51" s="94">
        <f ca="1">TblProd[[#This Row],[Ore]]</f>
        <v>0</v>
      </c>
      <c r="F51" s="94">
        <f ca="1">TblProd[[#This Row],[Gems]]</f>
        <v>0</v>
      </c>
      <c r="G51" s="154"/>
      <c r="H51" s="94">
        <f ca="1">TblMili[[#This Row],[Draftees]]</f>
        <v>376</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x14ac:dyDescent="0.2">
      <c r="A52" s="214">
        <f ca="1">TblConstr[[#This Row],[Land]]</f>
        <v>50</v>
      </c>
      <c r="B52" s="142"/>
      <c r="C52" s="94">
        <f ca="1">TblProd[[#This Row],[Platinum]]</f>
        <v>112492</v>
      </c>
      <c r="D52" s="94">
        <f ca="1">TblProd[[#This Row],[Lumber]]</f>
        <v>47529</v>
      </c>
      <c r="E52" s="94">
        <f ca="1">TblProd[[#This Row],[Ore]]</f>
        <v>0</v>
      </c>
      <c r="F52" s="94">
        <f ca="1">TblProd[[#This Row],[Gems]]</f>
        <v>0</v>
      </c>
      <c r="G52" s="154"/>
      <c r="H52" s="94">
        <f ca="1">TblMili[[#This Row],[Draftees]]</f>
        <v>380</v>
      </c>
      <c r="I52" s="180">
        <f ca="1">TblPop[[#This Row],[Employment]]</f>
        <v>1</v>
      </c>
      <c r="J52" s="180">
        <f ca="1">TblPop[[#This Row],[Total]]/TblPop[[#This Row],[Net max]]</f>
        <v>1</v>
      </c>
      <c r="K52" s="283">
        <f>TblRezone[[#This Row],[Hour]]</f>
        <v>49</v>
      </c>
      <c r="L52" s="284">
        <f ca="1">TblImps[[#This Row],[Real time]]</f>
        <v>45816.999999999884</v>
      </c>
      <c r="M52" s="61">
        <f>IF(ISERROR(TblImps[[#This Row],[algorithm]]),0,TblImps[[#This Row],[algorithm]]*1)</f>
        <v>0</v>
      </c>
      <c r="N52" s="94">
        <f ca="1">TblImps[[#This Row],[Land]]</f>
        <v>50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45816.999999999884</v>
      </c>
      <c r="BZ52" s="294">
        <f ca="1">OFFSET(TblImps[[#This Row],[Servertime]],-1,0)+1/24</f>
        <v>45816.999999999884</v>
      </c>
      <c r="CA52" s="57"/>
      <c r="CB52" s="292"/>
      <c r="CC52" s="292"/>
    </row>
    <row r="53" spans="1:81" x14ac:dyDescent="0.2">
      <c r="A53" s="214">
        <f ca="1">TblConstr[[#This Row],[Land]]</f>
        <v>50</v>
      </c>
      <c r="B53" s="142"/>
      <c r="C53" s="94">
        <f ca="1">TblProd[[#This Row],[Platinum]]</f>
        <v>113542</v>
      </c>
      <c r="D53" s="94">
        <f ca="1">TblProd[[#This Row],[Lumber]]</f>
        <v>48054</v>
      </c>
      <c r="E53" s="94">
        <f ca="1">TblProd[[#This Row],[Ore]]</f>
        <v>0</v>
      </c>
      <c r="F53" s="94">
        <f ca="1">TblProd[[#This Row],[Gems]]</f>
        <v>0</v>
      </c>
      <c r="G53" s="154"/>
      <c r="H53" s="94">
        <f ca="1">TblMili[[#This Row],[Draftees]]</f>
        <v>384</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x14ac:dyDescent="0.2">
      <c r="A54" s="214">
        <f ca="1">TblConstr[[#This Row],[Land]]</f>
        <v>50</v>
      </c>
      <c r="B54" s="142"/>
      <c r="C54" s="94">
        <f ca="1">TblProd[[#This Row],[Platinum]]</f>
        <v>114581</v>
      </c>
      <c r="D54" s="94">
        <f ca="1">TblProd[[#This Row],[Lumber]]</f>
        <v>48573</v>
      </c>
      <c r="E54" s="94">
        <f ca="1">TblProd[[#This Row],[Ore]]</f>
        <v>0</v>
      </c>
      <c r="F54" s="94">
        <f ca="1">TblProd[[#This Row],[Gems]]</f>
        <v>0</v>
      </c>
      <c r="G54" s="154"/>
      <c r="H54" s="94">
        <f ca="1">TblMili[[#This Row],[Draftees]]</f>
        <v>388</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50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x14ac:dyDescent="0.2">
      <c r="A55" s="214">
        <f ca="1">TblConstr[[#This Row],[Land]]</f>
        <v>50</v>
      </c>
      <c r="B55" s="142"/>
      <c r="C55" s="94">
        <f ca="1">TblProd[[#This Row],[Platinum]]</f>
        <v>115609</v>
      </c>
      <c r="D55" s="94">
        <f ca="1">TblProd[[#This Row],[Lumber]]</f>
        <v>49087</v>
      </c>
      <c r="E55" s="94">
        <f ca="1">TblProd[[#This Row],[Ore]]</f>
        <v>0</v>
      </c>
      <c r="F55" s="94">
        <f ca="1">TblProd[[#This Row],[Gems]]</f>
        <v>0</v>
      </c>
      <c r="G55" s="154"/>
      <c r="H55" s="94">
        <f ca="1">TblMili[[#This Row],[Draftees]]</f>
        <v>392</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x14ac:dyDescent="0.2">
      <c r="A56" s="214">
        <f ca="1">TblConstr[[#This Row],[Land]]</f>
        <v>50</v>
      </c>
      <c r="B56" s="142"/>
      <c r="C56" s="94">
        <f ca="1">TblProd[[#This Row],[Platinum]]</f>
        <v>116626</v>
      </c>
      <c r="D56" s="94">
        <f ca="1">TblProd[[#This Row],[Lumber]]</f>
        <v>49596</v>
      </c>
      <c r="E56" s="94">
        <f ca="1">TblProd[[#This Row],[Ore]]</f>
        <v>0</v>
      </c>
      <c r="F56" s="94">
        <f ca="1">TblProd[[#This Row],[Gems]]</f>
        <v>0</v>
      </c>
      <c r="G56" s="154"/>
      <c r="H56" s="94">
        <f ca="1">TblMili[[#This Row],[Draftees]]</f>
        <v>396</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x14ac:dyDescent="0.2">
      <c r="A57" s="214">
        <f ca="1">TblConstr[[#This Row],[Land]]</f>
        <v>50</v>
      </c>
      <c r="B57" s="142"/>
      <c r="C57" s="94">
        <f ca="1">TblProd[[#This Row],[Platinum]]</f>
        <v>117633</v>
      </c>
      <c r="D57" s="94">
        <f ca="1">TblProd[[#This Row],[Lumber]]</f>
        <v>50100</v>
      </c>
      <c r="E57" s="94">
        <f ca="1">TblProd[[#This Row],[Ore]]</f>
        <v>0</v>
      </c>
      <c r="F57" s="94">
        <f ca="1">TblProd[[#This Row],[Gems]]</f>
        <v>0</v>
      </c>
      <c r="G57" s="154"/>
      <c r="H57" s="94">
        <f ca="1">TblMili[[#This Row],[Draftees]]</f>
        <v>400</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x14ac:dyDescent="0.2">
      <c r="A58" s="214">
        <f ca="1">TblConstr[[#This Row],[Land]]</f>
        <v>50</v>
      </c>
      <c r="B58" s="142"/>
      <c r="C58" s="94">
        <f ca="1">TblProd[[#This Row],[Platinum]]</f>
        <v>118629</v>
      </c>
      <c r="D58" s="94">
        <f ca="1">TblProd[[#This Row],[Lumber]]</f>
        <v>50599</v>
      </c>
      <c r="E58" s="94">
        <f ca="1">TblProd[[#This Row],[Ore]]</f>
        <v>0</v>
      </c>
      <c r="F58" s="94">
        <f ca="1">TblProd[[#This Row],[Gems]]</f>
        <v>0</v>
      </c>
      <c r="G58" s="154"/>
      <c r="H58" s="94">
        <f ca="1">TblMili[[#This Row],[Draftees]]</f>
        <v>404</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x14ac:dyDescent="0.2">
      <c r="A59" s="214">
        <f ca="1">TblConstr[[#This Row],[Land]]</f>
        <v>50</v>
      </c>
      <c r="B59" s="142"/>
      <c r="C59" s="94">
        <f ca="1">TblProd[[#This Row],[Platinum]]</f>
        <v>119614</v>
      </c>
      <c r="D59" s="94">
        <f ca="1">TblProd[[#This Row],[Lumber]]</f>
        <v>51093</v>
      </c>
      <c r="E59" s="94">
        <f ca="1">TblProd[[#This Row],[Ore]]</f>
        <v>0</v>
      </c>
      <c r="F59" s="94">
        <f ca="1">TblProd[[#This Row],[Gems]]</f>
        <v>0</v>
      </c>
      <c r="G59" s="154"/>
      <c r="H59" s="94">
        <f ca="1">TblMili[[#This Row],[Draftees]]</f>
        <v>408</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x14ac:dyDescent="0.2">
      <c r="A60" s="214">
        <f ca="1">TblConstr[[#This Row],[Land]]</f>
        <v>50</v>
      </c>
      <c r="B60" s="142"/>
      <c r="C60" s="94">
        <f ca="1">TblProd[[#This Row],[Platinum]]</f>
        <v>120588</v>
      </c>
      <c r="D60" s="94">
        <f ca="1">TblProd[[#This Row],[Lumber]]</f>
        <v>51582</v>
      </c>
      <c r="E60" s="94">
        <f ca="1">TblProd[[#This Row],[Ore]]</f>
        <v>0</v>
      </c>
      <c r="F60" s="94">
        <f ca="1">TblProd[[#This Row],[Gems]]</f>
        <v>0</v>
      </c>
      <c r="G60" s="154"/>
      <c r="H60" s="94">
        <f ca="1">TblMili[[#This Row],[Draftees]]</f>
        <v>412</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x14ac:dyDescent="0.2">
      <c r="A61" s="214">
        <f ca="1">TblConstr[[#This Row],[Land]]</f>
        <v>50</v>
      </c>
      <c r="B61" s="142"/>
      <c r="C61" s="94">
        <f ca="1">TblProd[[#This Row],[Platinum]]</f>
        <v>121551</v>
      </c>
      <c r="D61" s="94">
        <f ca="1">TblProd[[#This Row],[Lumber]]</f>
        <v>52066</v>
      </c>
      <c r="E61" s="94">
        <f ca="1">TblProd[[#This Row],[Ore]]</f>
        <v>0</v>
      </c>
      <c r="F61" s="94">
        <f ca="1">TblProd[[#This Row],[Gems]]</f>
        <v>0</v>
      </c>
      <c r="G61" s="154"/>
      <c r="H61" s="94">
        <f ca="1">TblMili[[#This Row],[Draftees]]</f>
        <v>416</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x14ac:dyDescent="0.2">
      <c r="A62" s="214">
        <f ca="1">TblConstr[[#This Row],[Land]]</f>
        <v>50</v>
      </c>
      <c r="B62" s="142"/>
      <c r="C62" s="94">
        <f ca="1">TblProd[[#This Row],[Platinum]]</f>
        <v>122504</v>
      </c>
      <c r="D62" s="94">
        <f ca="1">TblProd[[#This Row],[Lumber]]</f>
        <v>52545</v>
      </c>
      <c r="E62" s="94">
        <f ca="1">TblProd[[#This Row],[Ore]]</f>
        <v>0</v>
      </c>
      <c r="F62" s="94">
        <f ca="1">TblProd[[#This Row],[Gems]]</f>
        <v>0</v>
      </c>
      <c r="G62" s="154"/>
      <c r="H62" s="94">
        <f ca="1">TblMili[[#This Row],[Draftees]]</f>
        <v>420</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x14ac:dyDescent="0.2">
      <c r="A63" s="214">
        <f ca="1">TblConstr[[#This Row],[Land]]</f>
        <v>50</v>
      </c>
      <c r="B63" s="142"/>
      <c r="C63" s="94">
        <f ca="1">TblProd[[#This Row],[Platinum]]</f>
        <v>123446</v>
      </c>
      <c r="D63" s="94">
        <f ca="1">TblProd[[#This Row],[Lumber]]</f>
        <v>53020</v>
      </c>
      <c r="E63" s="94">
        <f ca="1">TblProd[[#This Row],[Ore]]</f>
        <v>0</v>
      </c>
      <c r="F63" s="94">
        <f ca="1">TblProd[[#This Row],[Gems]]</f>
        <v>0</v>
      </c>
      <c r="G63" s="154"/>
      <c r="H63" s="94">
        <f ca="1">TblMili[[#This Row],[Draftees]]</f>
        <v>423</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x14ac:dyDescent="0.2">
      <c r="A64" s="214">
        <f ca="1">TblConstr[[#This Row],[Land]]</f>
        <v>50</v>
      </c>
      <c r="B64" s="142"/>
      <c r="C64" s="94">
        <f ca="1">TblProd[[#This Row],[Platinum]]</f>
        <v>124380</v>
      </c>
      <c r="D64" s="94">
        <f ca="1">TblProd[[#This Row],[Lumber]]</f>
        <v>53490</v>
      </c>
      <c r="E64" s="94">
        <f ca="1">TblProd[[#This Row],[Ore]]</f>
        <v>0</v>
      </c>
      <c r="F64" s="94">
        <f ca="1">TblProd[[#This Row],[Gems]]</f>
        <v>0</v>
      </c>
      <c r="G64" s="154"/>
      <c r="H64" s="94">
        <f ca="1">TblMili[[#This Row],[Draftees]]</f>
        <v>426</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x14ac:dyDescent="0.2">
      <c r="A65" s="214">
        <f ca="1">TblConstr[[#This Row],[Land]]</f>
        <v>50</v>
      </c>
      <c r="B65" s="142"/>
      <c r="C65" s="94">
        <f ca="1">TblProd[[#This Row],[Platinum]]</f>
        <v>125306</v>
      </c>
      <c r="D65" s="94">
        <f ca="1">TblProd[[#This Row],[Lumber]]</f>
        <v>53955</v>
      </c>
      <c r="E65" s="94">
        <f ca="1">TblProd[[#This Row],[Ore]]</f>
        <v>0</v>
      </c>
      <c r="F65" s="94">
        <f ca="1">TblProd[[#This Row],[Gems]]</f>
        <v>0</v>
      </c>
      <c r="G65" s="154"/>
      <c r="H65" s="94">
        <f ca="1">TblMili[[#This Row],[Draftees]]</f>
        <v>429</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x14ac:dyDescent="0.2">
      <c r="A66" s="214">
        <f ca="1">TblConstr[[#This Row],[Land]]</f>
        <v>50</v>
      </c>
      <c r="B66" s="142"/>
      <c r="C66" s="94">
        <f ca="1">TblProd[[#This Row],[Platinum]]</f>
        <v>126224</v>
      </c>
      <c r="D66" s="94">
        <f ca="1">TblProd[[#This Row],[Lumber]]</f>
        <v>54415</v>
      </c>
      <c r="E66" s="94">
        <f ca="1">TblProd[[#This Row],[Ore]]</f>
        <v>0</v>
      </c>
      <c r="F66" s="94">
        <f ca="1">TblProd[[#This Row],[Gems]]</f>
        <v>0</v>
      </c>
      <c r="G66" s="154"/>
      <c r="H66" s="94">
        <f ca="1">TblMili[[#This Row],[Draftees]]</f>
        <v>432</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50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x14ac:dyDescent="0.2">
      <c r="A67" s="214">
        <f ca="1">TblConstr[[#This Row],[Land]]</f>
        <v>50</v>
      </c>
      <c r="B67" s="142"/>
      <c r="C67" s="94">
        <f ca="1">TblProd[[#This Row],[Platinum]]</f>
        <v>127133</v>
      </c>
      <c r="D67" s="94">
        <f ca="1">TblProd[[#This Row],[Lumber]]</f>
        <v>54871</v>
      </c>
      <c r="E67" s="94">
        <f ca="1">TblProd[[#This Row],[Ore]]</f>
        <v>0</v>
      </c>
      <c r="F67" s="94">
        <f ca="1">TblProd[[#This Row],[Gems]]</f>
        <v>0</v>
      </c>
      <c r="G67" s="154"/>
      <c r="H67" s="94">
        <f ca="1">TblMili[[#This Row],[Draftees]]</f>
        <v>435</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x14ac:dyDescent="0.2">
      <c r="A68" s="214">
        <f ca="1">TblConstr[[#This Row],[Land]]</f>
        <v>50</v>
      </c>
      <c r="B68" s="142"/>
      <c r="C68" s="94">
        <f ca="1">TblProd[[#This Row],[Platinum]]</f>
        <v>128034</v>
      </c>
      <c r="D68" s="94">
        <f ca="1">TblProd[[#This Row],[Lumber]]</f>
        <v>55322</v>
      </c>
      <c r="E68" s="94">
        <f ca="1">TblProd[[#This Row],[Ore]]</f>
        <v>0</v>
      </c>
      <c r="F68" s="94">
        <f ca="1">TblProd[[#This Row],[Gems]]</f>
        <v>0</v>
      </c>
      <c r="G68" s="154"/>
      <c r="H68" s="94">
        <f ca="1">TblMili[[#This Row],[Draftees]]</f>
        <v>438</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x14ac:dyDescent="0.2">
      <c r="A69" s="214">
        <f ca="1">TblConstr[[#This Row],[Land]]</f>
        <v>50</v>
      </c>
      <c r="B69" s="142"/>
      <c r="C69" s="94">
        <f ca="1">TblProd[[#This Row],[Platinum]]</f>
        <v>128927</v>
      </c>
      <c r="D69" s="94">
        <f ca="1">TblProd[[#This Row],[Lumber]]</f>
        <v>55769</v>
      </c>
      <c r="E69" s="94">
        <f ca="1">TblProd[[#This Row],[Ore]]</f>
        <v>0</v>
      </c>
      <c r="F69" s="94">
        <f ca="1">TblProd[[#This Row],[Gems]]</f>
        <v>0</v>
      </c>
      <c r="G69" s="154"/>
      <c r="H69" s="94">
        <f ca="1">TblMili[[#This Row],[Draftees]]</f>
        <v>441</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x14ac:dyDescent="0.2">
      <c r="A70" s="214">
        <f ca="1">TblConstr[[#This Row],[Land]]</f>
        <v>50</v>
      </c>
      <c r="B70" s="142"/>
      <c r="C70" s="94">
        <f ca="1">TblProd[[#This Row],[Platinum]]</f>
        <v>129812</v>
      </c>
      <c r="D70" s="94">
        <f ca="1">TblProd[[#This Row],[Lumber]]</f>
        <v>56211</v>
      </c>
      <c r="E70" s="94">
        <f ca="1">TblProd[[#This Row],[Ore]]</f>
        <v>0</v>
      </c>
      <c r="F70" s="94">
        <f ca="1">TblProd[[#This Row],[Gems]]</f>
        <v>0</v>
      </c>
      <c r="G70" s="154"/>
      <c r="H70" s="94">
        <f ca="1">TblMili[[#This Row],[Draftees]]</f>
        <v>444</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x14ac:dyDescent="0.2">
      <c r="A71" s="214">
        <f ca="1">TblConstr[[#This Row],[Land]]</f>
        <v>50</v>
      </c>
      <c r="B71" s="142"/>
      <c r="C71" s="94">
        <f ca="1">TblProd[[#This Row],[Platinum]]</f>
        <v>130689</v>
      </c>
      <c r="D71" s="94">
        <f ca="1">TblProd[[#This Row],[Lumber]]</f>
        <v>56649</v>
      </c>
      <c r="E71" s="94">
        <f ca="1">TblProd[[#This Row],[Ore]]</f>
        <v>0</v>
      </c>
      <c r="F71" s="94">
        <f ca="1">TblProd[[#This Row],[Gems]]</f>
        <v>0</v>
      </c>
      <c r="G71" s="154"/>
      <c r="H71" s="94">
        <f ca="1">TblMili[[#This Row],[Draftees]]</f>
        <v>447</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x14ac:dyDescent="0.2">
      <c r="A72" s="214">
        <f ca="1">TblConstr[[#This Row],[Land]]</f>
        <v>50</v>
      </c>
      <c r="B72" s="142"/>
      <c r="C72" s="94">
        <f ca="1">TblProd[[#This Row],[Platinum]]</f>
        <v>131558</v>
      </c>
      <c r="D72" s="94">
        <f ca="1">TblProd[[#This Row],[Lumber]]</f>
        <v>57083</v>
      </c>
      <c r="E72" s="94">
        <f ca="1">TblProd[[#This Row],[Ore]]</f>
        <v>0</v>
      </c>
      <c r="F72" s="94">
        <f ca="1">TblProd[[#This Row],[Gems]]</f>
        <v>0</v>
      </c>
      <c r="G72" s="154"/>
      <c r="H72" s="94">
        <f ca="1">TblMili[[#This Row],[Draftees]]</f>
        <v>450</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x14ac:dyDescent="0.2">
      <c r="A73" s="214">
        <f ca="1">TblConstr[[#This Row],[Land]]</f>
        <v>50</v>
      </c>
      <c r="B73" s="142"/>
      <c r="C73" s="94">
        <f ca="1">TblProd[[#This Row],[Platinum]]</f>
        <v>132419</v>
      </c>
      <c r="D73" s="94">
        <f ca="1">TblProd[[#This Row],[Lumber]]</f>
        <v>57512</v>
      </c>
      <c r="E73" s="94">
        <f ca="1">TblProd[[#This Row],[Ore]]</f>
        <v>0</v>
      </c>
      <c r="F73" s="94">
        <f ca="1">TblProd[[#This Row],[Gems]]</f>
        <v>0</v>
      </c>
      <c r="G73" s="154"/>
      <c r="H73" s="94">
        <f ca="1">TblMili[[#This Row],[Draftees]]</f>
        <v>453</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x14ac:dyDescent="0.2">
      <c r="A74" s="214">
        <f ca="1">TblConstr[[#This Row],[Land]]</f>
        <v>50</v>
      </c>
      <c r="B74" s="142"/>
      <c r="C74" s="94">
        <f ca="1">TblProd[[#This Row],[Platinum]]</f>
        <v>133272</v>
      </c>
      <c r="D74" s="94">
        <f ca="1">TblProd[[#This Row],[Lumber]]</f>
        <v>57937</v>
      </c>
      <c r="E74" s="94">
        <f ca="1">TblProd[[#This Row],[Ore]]</f>
        <v>0</v>
      </c>
      <c r="F74" s="94">
        <f ca="1">TblProd[[#This Row],[Gems]]</f>
        <v>0</v>
      </c>
      <c r="G74" s="154"/>
      <c r="H74" s="94">
        <f ca="1">TblMili[[#This Row],[Draftees]]</f>
        <v>456</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x14ac:dyDescent="0.2">
      <c r="A75" s="214">
        <f ca="1">TblConstr[[#This Row],[Land]]</f>
        <v>50</v>
      </c>
      <c r="B75" s="142"/>
      <c r="C75" s="94">
        <f ca="1">TblProd[[#This Row],[Platinum]]</f>
        <v>134117</v>
      </c>
      <c r="D75" s="94">
        <f ca="1">TblProd[[#This Row],[Lumber]]</f>
        <v>58358</v>
      </c>
      <c r="E75" s="94">
        <f ca="1">TblProd[[#This Row],[Ore]]</f>
        <v>0</v>
      </c>
      <c r="F75" s="94">
        <f ca="1">TblProd[[#This Row],[Gems]]</f>
        <v>0</v>
      </c>
      <c r="G75" s="154"/>
      <c r="H75" s="94">
        <f ca="1">TblMili[[#This Row],[Draftees]]</f>
        <v>459</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x14ac:dyDescent="0.2">
      <c r="A76" s="214">
        <f ca="1">TblConstr[[#This Row],[Land]]</f>
        <v>50</v>
      </c>
      <c r="B76" s="142"/>
      <c r="C76" s="430">
        <f ca="1">TblProd[[#This Row],[Platinum]]</f>
        <v>134954</v>
      </c>
      <c r="D76" s="430">
        <f ca="1">TblProd[[#This Row],[Lumber]]</f>
        <v>58774</v>
      </c>
      <c r="E76" s="430">
        <f ca="1">TblProd[[#This Row],[Ore]]</f>
        <v>0</v>
      </c>
      <c r="F76" s="430">
        <f ca="1">TblProd[[#This Row],[Gems]]</f>
        <v>0</v>
      </c>
      <c r="G76" s="154"/>
      <c r="H76" s="430">
        <f ca="1">TblMili[[#This Row],[Draftees]]</f>
        <v>462</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45817.999999999825</v>
      </c>
      <c r="BZ76" s="457">
        <f ca="1">OFFSET(TblImps[[#This Row],[Servertime]],-1,0)+1/24</f>
        <v>45817.999999999825</v>
      </c>
    </row>
    <row r="77" spans="1:84" x14ac:dyDescent="0.2">
      <c r="A77" s="214">
        <f ca="1">TblConstr[[#This Row],[Land]]</f>
        <v>50</v>
      </c>
      <c r="B77" s="142"/>
      <c r="C77" s="94">
        <f ca="1">TblProd[[#This Row],[Platinum]]</f>
        <v>135782</v>
      </c>
      <c r="D77" s="94">
        <f ca="1">TblProd[[#This Row],[Lumber]]</f>
        <v>59186</v>
      </c>
      <c r="E77" s="94">
        <f ca="1">TblProd[[#This Row],[Ore]]</f>
        <v>0</v>
      </c>
      <c r="F77" s="94">
        <f ca="1">TblProd[[#This Row],[Gems]]</f>
        <v>0</v>
      </c>
      <c r="G77" s="154"/>
      <c r="H77" s="94">
        <f ca="1">TblMili[[#This Row],[Draftees]]</f>
        <v>465</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x14ac:dyDescent="0.2">
      <c r="A78" s="214">
        <f ca="1">TblConstr[[#This Row],[Land]]</f>
        <v>50</v>
      </c>
      <c r="B78" s="142"/>
      <c r="C78" s="94">
        <f ca="1">TblProd[[#This Row],[Platinum]]</f>
        <v>136602</v>
      </c>
      <c r="D78" s="94">
        <f ca="1">TblProd[[#This Row],[Lumber]]</f>
        <v>59594</v>
      </c>
      <c r="E78" s="94">
        <f ca="1">TblProd[[#This Row],[Ore]]</f>
        <v>0</v>
      </c>
      <c r="F78" s="94">
        <f ca="1">TblProd[[#This Row],[Gems]]</f>
        <v>0</v>
      </c>
      <c r="G78" s="154"/>
      <c r="H78" s="94">
        <f ca="1">TblMili[[#This Row],[Draftees]]</f>
        <v>468</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x14ac:dyDescent="0.2">
      <c r="A79" s="214">
        <f ca="1">TblConstr[[#This Row],[Land]]</f>
        <v>50</v>
      </c>
      <c r="B79" s="142"/>
      <c r="C79" s="94">
        <f ca="1">TblProd[[#This Row],[Platinum]]</f>
        <v>137414</v>
      </c>
      <c r="D79" s="94">
        <f ca="1">TblProd[[#This Row],[Lumber]]</f>
        <v>59998</v>
      </c>
      <c r="E79" s="94">
        <f ca="1">TblProd[[#This Row],[Ore]]</f>
        <v>0</v>
      </c>
      <c r="F79" s="94">
        <f ca="1">TblProd[[#This Row],[Gems]]</f>
        <v>0</v>
      </c>
      <c r="G79" s="154"/>
      <c r="H79" s="94">
        <f ca="1">TblMili[[#This Row],[Draftees]]</f>
        <v>471</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x14ac:dyDescent="0.2">
      <c r="A80" s="214">
        <f ca="1">TblConstr[[#This Row],[Land]]</f>
        <v>50</v>
      </c>
      <c r="B80" s="142"/>
      <c r="C80" s="94">
        <f ca="1">TblProd[[#This Row],[Platinum]]</f>
        <v>138218</v>
      </c>
      <c r="D80" s="94">
        <f ca="1">TblProd[[#This Row],[Lumber]]</f>
        <v>60398</v>
      </c>
      <c r="E80" s="94">
        <f ca="1">TblProd[[#This Row],[Ore]]</f>
        <v>0</v>
      </c>
      <c r="F80" s="94">
        <f ca="1">TblProd[[#This Row],[Gems]]</f>
        <v>0</v>
      </c>
      <c r="G80" s="154"/>
      <c r="H80" s="94">
        <f ca="1">TblMili[[#This Row],[Draftees]]</f>
        <v>474</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x14ac:dyDescent="0.2">
      <c r="A81" s="214">
        <f ca="1">TblConstr[[#This Row],[Land]]</f>
        <v>50</v>
      </c>
      <c r="B81" s="142"/>
      <c r="C81" s="94">
        <f ca="1">TblProd[[#This Row],[Platinum]]</f>
        <v>139014</v>
      </c>
      <c r="D81" s="94">
        <f ca="1">TblProd[[#This Row],[Lumber]]</f>
        <v>60794</v>
      </c>
      <c r="E81" s="94">
        <f ca="1">TblProd[[#This Row],[Ore]]</f>
        <v>0</v>
      </c>
      <c r="F81" s="94">
        <f ca="1">TblProd[[#This Row],[Gems]]</f>
        <v>0</v>
      </c>
      <c r="G81" s="154"/>
      <c r="H81" s="94">
        <f ca="1">TblMili[[#This Row],[Draftees]]</f>
        <v>477</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x14ac:dyDescent="0.2">
      <c r="A82" s="214">
        <f ca="1">TblConstr[[#This Row],[Land]]</f>
        <v>50</v>
      </c>
      <c r="B82" s="142"/>
      <c r="C82" s="94">
        <f ca="1">TblProd[[#This Row],[Platinum]]</f>
        <v>139802</v>
      </c>
      <c r="D82" s="94">
        <f ca="1">TblProd[[#This Row],[Lumber]]</f>
        <v>61186</v>
      </c>
      <c r="E82" s="94">
        <f ca="1">TblProd[[#This Row],[Ore]]</f>
        <v>0</v>
      </c>
      <c r="F82" s="94">
        <f ca="1">TblProd[[#This Row],[Gems]]</f>
        <v>0</v>
      </c>
      <c r="G82" s="154"/>
      <c r="H82" s="94">
        <f ca="1">TblMili[[#This Row],[Draftees]]</f>
        <v>480</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x14ac:dyDescent="0.2">
      <c r="A83" s="214">
        <f ca="1">TblConstr[[#This Row],[Land]]</f>
        <v>50</v>
      </c>
      <c r="B83" s="142"/>
      <c r="C83" s="94">
        <f ca="1">TblProd[[#This Row],[Platinum]]</f>
        <v>140582</v>
      </c>
      <c r="D83" s="94">
        <f ca="1">TblProd[[#This Row],[Lumber]]</f>
        <v>61574</v>
      </c>
      <c r="E83" s="94">
        <f ca="1">TblProd[[#This Row],[Ore]]</f>
        <v>0</v>
      </c>
      <c r="F83" s="94">
        <f ca="1">TblProd[[#This Row],[Gems]]</f>
        <v>0</v>
      </c>
      <c r="G83" s="154"/>
      <c r="H83" s="94">
        <f ca="1">TblMili[[#This Row],[Draftees]]</f>
        <v>483</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x14ac:dyDescent="0.2">
      <c r="A84" s="214">
        <f ca="1">TblConstr[[#This Row],[Land]]</f>
        <v>50</v>
      </c>
      <c r="B84" s="142"/>
      <c r="C84" s="94">
        <f ca="1">TblProd[[#This Row],[Platinum]]</f>
        <v>141354</v>
      </c>
      <c r="D84" s="94">
        <f ca="1">TblProd[[#This Row],[Lumber]]</f>
        <v>61958</v>
      </c>
      <c r="E84" s="94">
        <f ca="1">TblProd[[#This Row],[Ore]]</f>
        <v>0</v>
      </c>
      <c r="F84" s="94">
        <f ca="1">TblProd[[#This Row],[Gems]]</f>
        <v>0</v>
      </c>
      <c r="G84" s="154"/>
      <c r="H84" s="94">
        <f ca="1">TblMili[[#This Row],[Draftees]]</f>
        <v>486</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x14ac:dyDescent="0.2">
      <c r="A85" s="214">
        <f ca="1">TblConstr[[#This Row],[Land]]</f>
        <v>50</v>
      </c>
      <c r="B85" s="142"/>
      <c r="C85" s="94">
        <f ca="1">TblProd[[#This Row],[Platinum]]</f>
        <v>142118</v>
      </c>
      <c r="D85" s="94">
        <f ca="1">TblProd[[#This Row],[Lumber]]</f>
        <v>62338</v>
      </c>
      <c r="E85" s="94">
        <f ca="1">TblProd[[#This Row],[Ore]]</f>
        <v>0</v>
      </c>
      <c r="F85" s="94">
        <f ca="1">TblProd[[#This Row],[Gems]]</f>
        <v>0</v>
      </c>
      <c r="G85" s="154"/>
      <c r="H85" s="94">
        <f ca="1">TblMili[[#This Row],[Draftees]]</f>
        <v>489</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x14ac:dyDescent="0.2">
      <c r="A86" s="214">
        <f ca="1">TblConstr[[#This Row],[Land]]</f>
        <v>50</v>
      </c>
      <c r="B86" s="142"/>
      <c r="C86" s="94">
        <f ca="1">TblProd[[#This Row],[Platinum]]</f>
        <v>142874</v>
      </c>
      <c r="D86" s="94">
        <f ca="1">TblProd[[#This Row],[Lumber]]</f>
        <v>62715</v>
      </c>
      <c r="E86" s="94">
        <f ca="1">TblProd[[#This Row],[Ore]]</f>
        <v>0</v>
      </c>
      <c r="F86" s="94">
        <f ca="1">TblProd[[#This Row],[Gems]]</f>
        <v>0</v>
      </c>
      <c r="G86" s="154"/>
      <c r="H86" s="94">
        <f ca="1">TblMili[[#This Row],[Draftees]]</f>
        <v>492</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x14ac:dyDescent="0.2">
      <c r="A87" s="214">
        <f ca="1">TblConstr[[#This Row],[Land]]</f>
        <v>50</v>
      </c>
      <c r="B87" s="142"/>
      <c r="C87" s="94">
        <f ca="1">TblProd[[#This Row],[Platinum]]</f>
        <v>143621</v>
      </c>
      <c r="D87" s="94">
        <f ca="1">TblProd[[#This Row],[Lumber]]</f>
        <v>63088</v>
      </c>
      <c r="E87" s="94">
        <f ca="1">TblProd[[#This Row],[Ore]]</f>
        <v>0</v>
      </c>
      <c r="F87" s="94">
        <f ca="1">TblProd[[#This Row],[Gems]]</f>
        <v>0</v>
      </c>
      <c r="G87" s="154"/>
      <c r="H87" s="94">
        <f ca="1">TblMili[[#This Row],[Draftees]]</f>
        <v>495</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x14ac:dyDescent="0.2">
      <c r="A88" s="214">
        <f ca="1">TblConstr[[#This Row],[Land]]</f>
        <v>50</v>
      </c>
      <c r="B88" s="142"/>
      <c r="C88" s="94">
        <f ca="1">TblProd[[#This Row],[Platinum]]</f>
        <v>144360</v>
      </c>
      <c r="D88" s="94">
        <f ca="1">TblProd[[#This Row],[Lumber]]</f>
        <v>63457</v>
      </c>
      <c r="E88" s="94">
        <f ca="1">TblProd[[#This Row],[Ore]]</f>
        <v>0</v>
      </c>
      <c r="F88" s="94">
        <f ca="1">TblProd[[#This Row],[Gems]]</f>
        <v>0</v>
      </c>
      <c r="G88" s="154"/>
      <c r="H88" s="94">
        <f ca="1">TblMili[[#This Row],[Draftees]]</f>
        <v>498</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x14ac:dyDescent="0.2">
      <c r="A89" s="214">
        <f ca="1">TblConstr[[#This Row],[Land]]</f>
        <v>50</v>
      </c>
      <c r="B89" s="142"/>
      <c r="C89" s="94">
        <f ca="1">TblProd[[#This Row],[Platinum]]</f>
        <v>145091</v>
      </c>
      <c r="D89" s="94">
        <f ca="1">TblProd[[#This Row],[Lumber]]</f>
        <v>63822</v>
      </c>
      <c r="E89" s="94">
        <f ca="1">TblProd[[#This Row],[Ore]]</f>
        <v>0</v>
      </c>
      <c r="F89" s="94">
        <f ca="1">TblProd[[#This Row],[Gems]]</f>
        <v>0</v>
      </c>
      <c r="G89" s="154"/>
      <c r="H89" s="94">
        <f ca="1">TblMili[[#This Row],[Draftees]]</f>
        <v>501</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50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x14ac:dyDescent="0.2">
      <c r="A90" s="214">
        <f ca="1">TblConstr[[#This Row],[Land]]</f>
        <v>50</v>
      </c>
      <c r="B90" s="142"/>
      <c r="C90" s="94">
        <f ca="1">TblProd[[#This Row],[Platinum]]</f>
        <v>145814</v>
      </c>
      <c r="D90" s="94">
        <f ca="1">TblProd[[#This Row],[Lumber]]</f>
        <v>64184</v>
      </c>
      <c r="E90" s="94">
        <f ca="1">TblProd[[#This Row],[Ore]]</f>
        <v>0</v>
      </c>
      <c r="F90" s="94">
        <f ca="1">TblProd[[#This Row],[Gems]]</f>
        <v>0</v>
      </c>
      <c r="G90" s="154"/>
      <c r="H90" s="94">
        <f ca="1">TblMili[[#This Row],[Draftees]]</f>
        <v>504</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x14ac:dyDescent="0.2">
      <c r="A91" s="214">
        <f ca="1">TblConstr[[#This Row],[Land]]</f>
        <v>50</v>
      </c>
      <c r="B91" s="142"/>
      <c r="C91" s="94">
        <f ca="1">TblProd[[#This Row],[Platinum]]</f>
        <v>146529</v>
      </c>
      <c r="D91" s="94">
        <f ca="1">TblProd[[#This Row],[Lumber]]</f>
        <v>64542</v>
      </c>
      <c r="E91" s="94">
        <f ca="1">TblProd[[#This Row],[Ore]]</f>
        <v>0</v>
      </c>
      <c r="F91" s="94">
        <f ca="1">TblProd[[#This Row],[Gems]]</f>
        <v>0</v>
      </c>
      <c r="G91" s="154"/>
      <c r="H91" s="94">
        <f ca="1">TblMili[[#This Row],[Draftees]]</f>
        <v>507</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x14ac:dyDescent="0.2">
      <c r="A92" s="214">
        <f ca="1">TblConstr[[#This Row],[Land]]</f>
        <v>50</v>
      </c>
      <c r="B92" s="142"/>
      <c r="C92" s="94">
        <f ca="1">TblProd[[#This Row],[Platinum]]</f>
        <v>147236</v>
      </c>
      <c r="D92" s="94">
        <f ca="1">TblProd[[#This Row],[Lumber]]</f>
        <v>64897</v>
      </c>
      <c r="E92" s="94">
        <f ca="1">TblProd[[#This Row],[Ore]]</f>
        <v>0</v>
      </c>
      <c r="F92" s="94">
        <f ca="1">TblProd[[#This Row],[Gems]]</f>
        <v>0</v>
      </c>
      <c r="G92" s="154"/>
      <c r="H92" s="94">
        <f ca="1">TblMili[[#This Row],[Draftees]]</f>
        <v>510</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x14ac:dyDescent="0.2">
      <c r="A93" s="214">
        <f ca="1">TblConstr[[#This Row],[Land]]</f>
        <v>50</v>
      </c>
      <c r="B93" s="142"/>
      <c r="C93" s="94">
        <f ca="1">TblProd[[#This Row],[Platinum]]</f>
        <v>147935</v>
      </c>
      <c r="D93" s="94">
        <f ca="1">TblProd[[#This Row],[Lumber]]</f>
        <v>65248</v>
      </c>
      <c r="E93" s="94">
        <f ca="1">TblProd[[#This Row],[Ore]]</f>
        <v>0</v>
      </c>
      <c r="F93" s="94">
        <f ca="1">TblProd[[#This Row],[Gems]]</f>
        <v>0</v>
      </c>
      <c r="G93" s="154"/>
      <c r="H93" s="94">
        <f ca="1">TblMili[[#This Row],[Draftees]]</f>
        <v>513</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x14ac:dyDescent="0.2">
      <c r="A94" s="214">
        <f ca="1">TblConstr[[#This Row],[Land]]</f>
        <v>50</v>
      </c>
      <c r="B94" s="142"/>
      <c r="C94" s="94">
        <f ca="1">TblProd[[#This Row],[Platinum]]</f>
        <v>148626</v>
      </c>
      <c r="D94" s="94">
        <f ca="1">TblProd[[#This Row],[Lumber]]</f>
        <v>65596</v>
      </c>
      <c r="E94" s="94">
        <f ca="1">TblProd[[#This Row],[Ore]]</f>
        <v>0</v>
      </c>
      <c r="F94" s="94">
        <f ca="1">TblProd[[#This Row],[Gems]]</f>
        <v>0</v>
      </c>
      <c r="G94" s="154"/>
      <c r="H94" s="94">
        <f ca="1">TblMili[[#This Row],[Draftees]]</f>
        <v>516</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x14ac:dyDescent="0.2">
      <c r="A95" s="214">
        <f ca="1">TblConstr[[#This Row],[Land]]</f>
        <v>50</v>
      </c>
      <c r="B95" s="142"/>
      <c r="C95" s="94">
        <f ca="1">TblProd[[#This Row],[Platinum]]</f>
        <v>149309</v>
      </c>
      <c r="D95" s="94">
        <f ca="1">TblProd[[#This Row],[Lumber]]</f>
        <v>65940</v>
      </c>
      <c r="E95" s="94">
        <f ca="1">TblProd[[#This Row],[Ore]]</f>
        <v>0</v>
      </c>
      <c r="F95" s="94">
        <f ca="1">TblProd[[#This Row],[Gems]]</f>
        <v>0</v>
      </c>
      <c r="G95" s="154"/>
      <c r="H95" s="94">
        <f ca="1">TblMili[[#This Row],[Draftees]]</f>
        <v>519</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x14ac:dyDescent="0.2">
      <c r="A96" s="214">
        <f ca="1">TblConstr[[#This Row],[Land]]</f>
        <v>50</v>
      </c>
      <c r="B96" s="142"/>
      <c r="C96" s="94">
        <f ca="1">TblProd[[#This Row],[Platinum]]</f>
        <v>149984</v>
      </c>
      <c r="D96" s="94">
        <f ca="1">TblProd[[#This Row],[Lumber]]</f>
        <v>66281</v>
      </c>
      <c r="E96" s="94">
        <f ca="1">TblProd[[#This Row],[Ore]]</f>
        <v>0</v>
      </c>
      <c r="F96" s="94">
        <f ca="1">TblProd[[#This Row],[Gems]]</f>
        <v>0</v>
      </c>
      <c r="G96" s="154"/>
      <c r="H96" s="94">
        <f ca="1">TblMili[[#This Row],[Draftees]]</f>
        <v>522</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x14ac:dyDescent="0.2">
      <c r="A97" s="214">
        <f ca="1">TblConstr[[#This Row],[Land]]</f>
        <v>50</v>
      </c>
      <c r="B97" s="142"/>
      <c r="C97" s="94">
        <f ca="1">TblProd[[#This Row],[Platinum]]</f>
        <v>150650</v>
      </c>
      <c r="D97" s="94">
        <f ca="1">TblProd[[#This Row],[Lumber]]</f>
        <v>66618</v>
      </c>
      <c r="E97" s="94">
        <f ca="1">TblProd[[#This Row],[Ore]]</f>
        <v>0</v>
      </c>
      <c r="F97" s="94">
        <f ca="1">TblProd[[#This Row],[Gems]]</f>
        <v>0</v>
      </c>
      <c r="G97" s="154"/>
      <c r="H97" s="94">
        <f ca="1">TblMili[[#This Row],[Draftees]]</f>
        <v>524</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x14ac:dyDescent="0.2">
      <c r="A98" s="214">
        <f ca="1">TblConstr[[#This Row],[Land]]</f>
        <v>50</v>
      </c>
      <c r="B98" s="142"/>
      <c r="C98" s="94">
        <f ca="1">TblProd[[#This Row],[Platinum]]</f>
        <v>151311</v>
      </c>
      <c r="D98" s="94">
        <f ca="1">TblProd[[#This Row],[Lumber]]</f>
        <v>66952</v>
      </c>
      <c r="E98" s="94">
        <f ca="1">TblProd[[#This Row],[Ore]]</f>
        <v>0</v>
      </c>
      <c r="F98" s="94">
        <f ca="1">TblProd[[#This Row],[Gems]]</f>
        <v>0</v>
      </c>
      <c r="G98" s="154"/>
      <c r="H98" s="94">
        <f ca="1">TblMili[[#This Row],[Draftees]]</f>
        <v>526</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x14ac:dyDescent="0.2">
      <c r="A99" s="214">
        <f ca="1">TblConstr[[#This Row],[Land]]</f>
        <v>50</v>
      </c>
      <c r="B99" s="142"/>
      <c r="C99" s="94">
        <f ca="1">TblProd[[#This Row],[Platinum]]</f>
        <v>151967</v>
      </c>
      <c r="D99" s="94">
        <f ca="1">TblProd[[#This Row],[Lumber]]</f>
        <v>67282</v>
      </c>
      <c r="E99" s="94">
        <f ca="1">TblProd[[#This Row],[Ore]]</f>
        <v>0</v>
      </c>
      <c r="F99" s="94">
        <f ca="1">TblProd[[#This Row],[Gems]]</f>
        <v>0</v>
      </c>
      <c r="G99" s="154"/>
      <c r="H99" s="94">
        <f ca="1">TblMili[[#This Row],[Draftees]]</f>
        <v>528</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x14ac:dyDescent="0.2">
      <c r="A100" s="214">
        <f ca="1">TblConstr[[#This Row],[Land]]</f>
        <v>50</v>
      </c>
      <c r="B100" s="142"/>
      <c r="C100" s="94">
        <f ca="1">TblProd[[#This Row],[Platinum]]</f>
        <v>152617</v>
      </c>
      <c r="D100" s="94">
        <f ca="1">TblProd[[#This Row],[Lumber]]</f>
        <v>67609</v>
      </c>
      <c r="E100" s="94">
        <f ca="1">TblProd[[#This Row],[Ore]]</f>
        <v>0</v>
      </c>
      <c r="F100" s="94">
        <f ca="1">TblProd[[#This Row],[Gems]]</f>
        <v>0</v>
      </c>
      <c r="G100" s="154"/>
      <c r="H100" s="94">
        <f ca="1">TblMili[[#This Row],[Draftees]]</f>
        <v>530</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x14ac:dyDescent="0.2">
      <c r="A101" s="214">
        <f ca="1">TblConstr[[#This Row],[Land]]</f>
        <v>50</v>
      </c>
      <c r="B101" s="142"/>
      <c r="C101" s="94">
        <f ca="1">TblProd[[#This Row],[Platinum]]</f>
        <v>153262</v>
      </c>
      <c r="D101" s="94">
        <f ca="1">TblProd[[#This Row],[Lumber]]</f>
        <v>67933</v>
      </c>
      <c r="E101" s="94">
        <f ca="1">TblProd[[#This Row],[Ore]]</f>
        <v>0</v>
      </c>
      <c r="F101" s="94">
        <f ca="1">TblProd[[#This Row],[Gems]]</f>
        <v>0</v>
      </c>
      <c r="G101" s="154"/>
      <c r="H101" s="94">
        <f ca="1">TblMili[[#This Row],[Draftees]]</f>
        <v>532</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x14ac:dyDescent="0.2">
      <c r="A102" s="214">
        <f ca="1">TblConstr[[#This Row],[Land]]</f>
        <v>50</v>
      </c>
      <c r="B102" s="142"/>
      <c r="C102" s="94">
        <f ca="1">TblProd[[#This Row],[Platinum]]</f>
        <v>153901</v>
      </c>
      <c r="D102" s="94">
        <f ca="1">TblProd[[#This Row],[Lumber]]</f>
        <v>68254</v>
      </c>
      <c r="E102" s="94">
        <f ca="1">TblProd[[#This Row],[Ore]]</f>
        <v>0</v>
      </c>
      <c r="F102" s="94">
        <f ca="1">TblProd[[#This Row],[Gems]]</f>
        <v>0</v>
      </c>
      <c r="G102" s="154"/>
      <c r="H102" s="94">
        <f ca="1">TblMili[[#This Row],[Draftees]]</f>
        <v>534</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x14ac:dyDescent="0.2">
      <c r="A103" s="214">
        <f ca="1">TblConstr[[#This Row],[Land]]</f>
        <v>50</v>
      </c>
      <c r="B103" s="142"/>
      <c r="C103" s="94">
        <f ca="1">TblProd[[#This Row],[Platinum]]</f>
        <v>154535</v>
      </c>
      <c r="D103" s="94">
        <f ca="1">TblProd[[#This Row],[Lumber]]</f>
        <v>68571</v>
      </c>
      <c r="E103" s="94">
        <f ca="1">TblProd[[#This Row],[Ore]]</f>
        <v>0</v>
      </c>
      <c r="F103" s="94">
        <f ca="1">TblProd[[#This Row],[Gems]]</f>
        <v>0</v>
      </c>
      <c r="G103" s="154"/>
      <c r="H103" s="94">
        <f ca="1">TblMili[[#This Row],[Draftees]]</f>
        <v>536</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x14ac:dyDescent="0.2">
      <c r="A104" s="214">
        <f ca="1">TblConstr[[#This Row],[Land]]</f>
        <v>50</v>
      </c>
      <c r="B104" s="142"/>
      <c r="C104" s="94">
        <f ca="1">TblProd[[#This Row],[Platinum]]</f>
        <v>155164</v>
      </c>
      <c r="D104" s="94">
        <f ca="1">TblProd[[#This Row],[Lumber]]</f>
        <v>68885</v>
      </c>
      <c r="E104" s="94">
        <f ca="1">TblProd[[#This Row],[Ore]]</f>
        <v>0</v>
      </c>
      <c r="F104" s="94">
        <f ca="1">TblProd[[#This Row],[Gems]]</f>
        <v>0</v>
      </c>
      <c r="G104" s="154"/>
      <c r="H104" s="94">
        <f ca="1">TblMili[[#This Row],[Draftees]]</f>
        <v>538</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x14ac:dyDescent="0.2">
      <c r="A105" s="214">
        <f ca="1">TblConstr[[#This Row],[Land]]</f>
        <v>50</v>
      </c>
      <c r="B105" s="142"/>
      <c r="C105" s="94">
        <f ca="1">TblProd[[#This Row],[Platinum]]</f>
        <v>155787</v>
      </c>
      <c r="D105" s="94">
        <f ca="1">TblProd[[#This Row],[Lumber]]</f>
        <v>69196</v>
      </c>
      <c r="E105" s="94">
        <f ca="1">TblProd[[#This Row],[Ore]]</f>
        <v>0</v>
      </c>
      <c r="F105" s="94">
        <f ca="1">TblProd[[#This Row],[Gems]]</f>
        <v>0</v>
      </c>
      <c r="G105" s="154"/>
      <c r="H105" s="94">
        <f ca="1">TblMili[[#This Row],[Draftees]]</f>
        <v>540</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x14ac:dyDescent="0.2">
      <c r="A106" s="214">
        <f ca="1">TblConstr[[#This Row],[Land]]</f>
        <v>50</v>
      </c>
      <c r="B106" s="142"/>
      <c r="C106" s="94">
        <f ca="1">TblProd[[#This Row],[Platinum]]</f>
        <v>156405</v>
      </c>
      <c r="D106" s="94">
        <f ca="1">TblProd[[#This Row],[Lumber]]</f>
        <v>69504</v>
      </c>
      <c r="E106" s="94">
        <f ca="1">TblProd[[#This Row],[Ore]]</f>
        <v>0</v>
      </c>
      <c r="F106" s="94">
        <f ca="1">TblProd[[#This Row],[Gems]]</f>
        <v>0</v>
      </c>
      <c r="G106" s="154"/>
      <c r="H106" s="94">
        <f ca="1">TblMili[[#This Row],[Draftees]]</f>
        <v>542</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x14ac:dyDescent="0.2">
      <c r="A107" s="214">
        <f ca="1">TblConstr[[#This Row],[Land]]</f>
        <v>50</v>
      </c>
      <c r="B107" s="142"/>
      <c r="C107" s="94">
        <f ca="1">TblProd[[#This Row],[Platinum]]</f>
        <v>157017</v>
      </c>
      <c r="D107" s="94">
        <f ca="1">TblProd[[#This Row],[Lumber]]</f>
        <v>69809</v>
      </c>
      <c r="E107" s="94">
        <f ca="1">TblProd[[#This Row],[Ore]]</f>
        <v>0</v>
      </c>
      <c r="F107" s="94">
        <f ca="1">TblProd[[#This Row],[Gems]]</f>
        <v>0</v>
      </c>
      <c r="G107" s="154"/>
      <c r="H107" s="94">
        <f ca="1">TblMili[[#This Row],[Draftees]]</f>
        <v>544</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x14ac:dyDescent="0.2">
      <c r="A108" s="214">
        <f ca="1">TblConstr[[#This Row],[Land]]</f>
        <v>50</v>
      </c>
      <c r="B108" s="142"/>
      <c r="C108" s="94">
        <f ca="1">TblProd[[#This Row],[Platinum]]</f>
        <v>157624</v>
      </c>
      <c r="D108" s="94">
        <f ca="1">TblProd[[#This Row],[Lumber]]</f>
        <v>70111</v>
      </c>
      <c r="E108" s="94">
        <f ca="1">TblProd[[#This Row],[Ore]]</f>
        <v>0</v>
      </c>
      <c r="F108" s="94">
        <f ca="1">TblProd[[#This Row],[Gems]]</f>
        <v>0</v>
      </c>
      <c r="G108" s="154"/>
      <c r="H108" s="94">
        <f ca="1">TblMili[[#This Row],[Draftees]]</f>
        <v>546</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x14ac:dyDescent="0.2">
      <c r="A109" s="214">
        <f ca="1">TblConstr[[#This Row],[Land]]</f>
        <v>50</v>
      </c>
      <c r="B109" s="142"/>
      <c r="C109" s="94">
        <f ca="1">TblProd[[#This Row],[Platinum]]</f>
        <v>158226</v>
      </c>
      <c r="D109" s="94">
        <f ca="1">TblProd[[#This Row],[Lumber]]</f>
        <v>70410</v>
      </c>
      <c r="E109" s="94">
        <f ca="1">TblProd[[#This Row],[Ore]]</f>
        <v>0</v>
      </c>
      <c r="F109" s="94">
        <f ca="1">TblProd[[#This Row],[Gems]]</f>
        <v>0</v>
      </c>
      <c r="G109" s="154"/>
      <c r="H109" s="94">
        <f ca="1">TblMili[[#This Row],[Draftees]]</f>
        <v>548</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x14ac:dyDescent="0.2">
      <c r="A110" s="214">
        <f ca="1">TblConstr[[#This Row],[Land]]</f>
        <v>50</v>
      </c>
      <c r="B110" s="142"/>
      <c r="C110" s="94">
        <f ca="1">TblProd[[#This Row],[Platinum]]</f>
        <v>158822</v>
      </c>
      <c r="D110" s="94">
        <f ca="1">TblProd[[#This Row],[Lumber]]</f>
        <v>70706</v>
      </c>
      <c r="E110" s="94">
        <f ca="1">TblProd[[#This Row],[Ore]]</f>
        <v>0</v>
      </c>
      <c r="F110" s="94">
        <f ca="1">TblProd[[#This Row],[Gems]]</f>
        <v>0</v>
      </c>
      <c r="G110" s="154"/>
      <c r="H110" s="94">
        <f ca="1">TblMili[[#This Row],[Draftees]]</f>
        <v>550</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x14ac:dyDescent="0.2">
      <c r="A111" s="214">
        <f ca="1">TblConstr[[#This Row],[Land]]</f>
        <v>50</v>
      </c>
      <c r="B111" s="142"/>
      <c r="C111" s="94">
        <f ca="1">TblProd[[#This Row],[Platinum]]</f>
        <v>159413</v>
      </c>
      <c r="D111" s="94">
        <f ca="1">TblProd[[#This Row],[Lumber]]</f>
        <v>70999</v>
      </c>
      <c r="E111" s="94">
        <f ca="1">TblProd[[#This Row],[Ore]]</f>
        <v>0</v>
      </c>
      <c r="F111" s="94">
        <f ca="1">TblProd[[#This Row],[Gems]]</f>
        <v>0</v>
      </c>
      <c r="G111" s="154"/>
      <c r="H111" s="94">
        <f ca="1">TblMili[[#This Row],[Draftees]]</f>
        <v>552</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x14ac:dyDescent="0.2">
      <c r="A112" s="214">
        <f ca="1">TblConstr[[#This Row],[Land]]</f>
        <v>50</v>
      </c>
      <c r="B112" s="142"/>
      <c r="C112" s="94">
        <f ca="1">TblProd[[#This Row],[Platinum]]</f>
        <v>159998</v>
      </c>
      <c r="D112" s="94">
        <f ca="1">TblProd[[#This Row],[Lumber]]</f>
        <v>71289</v>
      </c>
      <c r="E112" s="94">
        <f ca="1">TblProd[[#This Row],[Ore]]</f>
        <v>0</v>
      </c>
      <c r="F112" s="94">
        <f ca="1">TblProd[[#This Row],[Gems]]</f>
        <v>0</v>
      </c>
      <c r="G112" s="154"/>
      <c r="H112" s="94">
        <f ca="1">TblMili[[#This Row],[Draftees]]</f>
        <v>554</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x14ac:dyDescent="0.2">
      <c r="A113" s="214">
        <f ca="1">TblConstr[[#This Row],[Land]]</f>
        <v>50</v>
      </c>
      <c r="B113" s="142"/>
      <c r="C113" s="94">
        <f ca="1">TblProd[[#This Row],[Platinum]]</f>
        <v>160578</v>
      </c>
      <c r="D113" s="94">
        <f ca="1">TblProd[[#This Row],[Lumber]]</f>
        <v>71576</v>
      </c>
      <c r="E113" s="94">
        <f ca="1">TblProd[[#This Row],[Ore]]</f>
        <v>0</v>
      </c>
      <c r="F113" s="94">
        <f ca="1">TblProd[[#This Row],[Gems]]</f>
        <v>0</v>
      </c>
      <c r="G113" s="154"/>
      <c r="H113" s="94">
        <f ca="1">TblMili[[#This Row],[Draftees]]</f>
        <v>556</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x14ac:dyDescent="0.2">
      <c r="A114" s="214">
        <f ca="1">TblConstr[[#This Row],[Land]]</f>
        <v>50</v>
      </c>
      <c r="B114" s="142"/>
      <c r="C114" s="94">
        <f ca="1">TblProd[[#This Row],[Platinum]]</f>
        <v>161153</v>
      </c>
      <c r="D114" s="94">
        <f ca="1">TblProd[[#This Row],[Lumber]]</f>
        <v>71860</v>
      </c>
      <c r="E114" s="94">
        <f ca="1">TblProd[[#This Row],[Ore]]</f>
        <v>0</v>
      </c>
      <c r="F114" s="94">
        <f ca="1">TblProd[[#This Row],[Gems]]</f>
        <v>0</v>
      </c>
      <c r="G114" s="154"/>
      <c r="H114" s="94">
        <f ca="1">TblMili[[#This Row],[Draftees]]</f>
        <v>558</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x14ac:dyDescent="0.2">
      <c r="A115" s="214">
        <f ca="1">TblConstr[[#This Row],[Land]]</f>
        <v>50</v>
      </c>
      <c r="B115" s="142"/>
      <c r="C115" s="94">
        <f ca="1">TblProd[[#This Row],[Platinum]]</f>
        <v>161722</v>
      </c>
      <c r="D115" s="94">
        <f ca="1">TblProd[[#This Row],[Lumber]]</f>
        <v>72141</v>
      </c>
      <c r="E115" s="94">
        <f ca="1">TblProd[[#This Row],[Ore]]</f>
        <v>0</v>
      </c>
      <c r="F115" s="94">
        <f ca="1">TblProd[[#This Row],[Gems]]</f>
        <v>0</v>
      </c>
      <c r="G115" s="154"/>
      <c r="H115" s="94">
        <f ca="1">TblMili[[#This Row],[Draftees]]</f>
        <v>560</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x14ac:dyDescent="0.2">
      <c r="A116" s="214">
        <f ca="1">TblConstr[[#This Row],[Land]]</f>
        <v>50</v>
      </c>
      <c r="B116" s="142"/>
      <c r="C116" s="94">
        <f ca="1">TblProd[[#This Row],[Platinum]]</f>
        <v>162286</v>
      </c>
      <c r="D116" s="94">
        <f ca="1">TblProd[[#This Row],[Lumber]]</f>
        <v>72420</v>
      </c>
      <c r="E116" s="94">
        <f ca="1">TblProd[[#This Row],[Ore]]</f>
        <v>0</v>
      </c>
      <c r="F116" s="94">
        <f ca="1">TblProd[[#This Row],[Gems]]</f>
        <v>0</v>
      </c>
      <c r="G116" s="154"/>
      <c r="H116" s="94">
        <f ca="1">TblMili[[#This Row],[Draftees]]</f>
        <v>562</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x14ac:dyDescent="0.2">
      <c r="A117" s="214">
        <f ca="1">TblConstr[[#This Row],[Land]]</f>
        <v>50</v>
      </c>
      <c r="B117" s="142"/>
      <c r="C117" s="94">
        <f ca="1">TblProd[[#This Row],[Platinum]]</f>
        <v>162844</v>
      </c>
      <c r="D117" s="94">
        <f ca="1">TblProd[[#This Row],[Lumber]]</f>
        <v>72696</v>
      </c>
      <c r="E117" s="94">
        <f ca="1">TblProd[[#This Row],[Ore]]</f>
        <v>0</v>
      </c>
      <c r="F117" s="94">
        <f ca="1">TblProd[[#This Row],[Gems]]</f>
        <v>0</v>
      </c>
      <c r="G117" s="154"/>
      <c r="H117" s="94">
        <f ca="1">TblMili[[#This Row],[Draftees]]</f>
        <v>564</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x14ac:dyDescent="0.2">
      <c r="A118" s="214">
        <f ca="1">TblConstr[[#This Row],[Land]]</f>
        <v>50</v>
      </c>
      <c r="B118" s="142"/>
      <c r="C118" s="94">
        <f ca="1">TblProd[[#This Row],[Platinum]]</f>
        <v>163397</v>
      </c>
      <c r="D118" s="94">
        <f ca="1">TblProd[[#This Row],[Lumber]]</f>
        <v>72969</v>
      </c>
      <c r="E118" s="94">
        <f ca="1">TblProd[[#This Row],[Ore]]</f>
        <v>0</v>
      </c>
      <c r="F118" s="94">
        <f ca="1">TblProd[[#This Row],[Gems]]</f>
        <v>0</v>
      </c>
      <c r="G118" s="154"/>
      <c r="H118" s="94">
        <f ca="1">TblMili[[#This Row],[Draftees]]</f>
        <v>566</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x14ac:dyDescent="0.2">
      <c r="A119" s="214">
        <f ca="1">TblConstr[[#This Row],[Land]]</f>
        <v>50</v>
      </c>
      <c r="B119" s="142"/>
      <c r="C119" s="94">
        <f ca="1">TblProd[[#This Row],[Platinum]]</f>
        <v>163945</v>
      </c>
      <c r="D119" s="94">
        <f ca="1">TblProd[[#This Row],[Lumber]]</f>
        <v>73239</v>
      </c>
      <c r="E119" s="94">
        <f ca="1">TblProd[[#This Row],[Ore]]</f>
        <v>0</v>
      </c>
      <c r="F119" s="94">
        <f ca="1">TblProd[[#This Row],[Gems]]</f>
        <v>0</v>
      </c>
      <c r="G119" s="154"/>
      <c r="H119" s="94">
        <f ca="1">TblMili[[#This Row],[Draftees]]</f>
        <v>568</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x14ac:dyDescent="0.2">
      <c r="A120" s="214">
        <f ca="1">TblConstr[[#This Row],[Land]]</f>
        <v>50</v>
      </c>
      <c r="B120" s="142"/>
      <c r="C120" s="94">
        <f ca="1">TblProd[[#This Row],[Platinum]]</f>
        <v>164487</v>
      </c>
      <c r="D120" s="94">
        <f ca="1">TblProd[[#This Row],[Lumber]]</f>
        <v>73507</v>
      </c>
      <c r="E120" s="94">
        <f ca="1">TblProd[[#This Row],[Ore]]</f>
        <v>0</v>
      </c>
      <c r="F120" s="94">
        <f ca="1">TblProd[[#This Row],[Gems]]</f>
        <v>0</v>
      </c>
      <c r="G120" s="154"/>
      <c r="H120" s="94">
        <f ca="1">TblMili[[#This Row],[Draftees]]</f>
        <v>570</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x14ac:dyDescent="0.2">
      <c r="A121" s="214">
        <f ca="1">TblConstr[[#This Row],[Land]]</f>
        <v>50</v>
      </c>
      <c r="B121" s="142"/>
      <c r="C121" s="94">
        <f ca="1">TblProd[[#This Row],[Platinum]]</f>
        <v>165024</v>
      </c>
      <c r="D121" s="94">
        <f ca="1">TblProd[[#This Row],[Lumber]]</f>
        <v>73772</v>
      </c>
      <c r="E121" s="94">
        <f ca="1">TblProd[[#This Row],[Ore]]</f>
        <v>0</v>
      </c>
      <c r="F121" s="94">
        <f ca="1">TblProd[[#This Row],[Gems]]</f>
        <v>0</v>
      </c>
      <c r="G121" s="154"/>
      <c r="H121" s="94">
        <f ca="1">TblMili[[#This Row],[Draftees]]</f>
        <v>572</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x14ac:dyDescent="0.2">
      <c r="A122" s="214">
        <f ca="1">TblConstr[[#This Row],[Land]]</f>
        <v>50</v>
      </c>
      <c r="B122" s="142"/>
      <c r="C122" s="94">
        <f ca="1">TblProd[[#This Row],[Platinum]]</f>
        <v>165555</v>
      </c>
      <c r="D122" s="94">
        <f ca="1">TblProd[[#This Row],[Lumber]]</f>
        <v>74034</v>
      </c>
      <c r="E122" s="94">
        <f ca="1">TblProd[[#This Row],[Ore]]</f>
        <v>0</v>
      </c>
      <c r="F122" s="94">
        <f ca="1">TblProd[[#This Row],[Gems]]</f>
        <v>0</v>
      </c>
      <c r="G122" s="154"/>
      <c r="H122" s="94">
        <f ca="1">TblMili[[#This Row],[Draftees]]</f>
        <v>574</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x14ac:dyDescent="0.2">
      <c r="A123" s="214">
        <f ca="1">TblConstr[[#This Row],[Land]]</f>
        <v>50</v>
      </c>
      <c r="B123" s="142"/>
      <c r="C123" s="94">
        <f ca="1">TblProd[[#This Row],[Platinum]]</f>
        <v>166081</v>
      </c>
      <c r="D123" s="94">
        <f ca="1">TblProd[[#This Row],[Lumber]]</f>
        <v>74294</v>
      </c>
      <c r="E123" s="94">
        <f ca="1">TblProd[[#This Row],[Ore]]</f>
        <v>0</v>
      </c>
      <c r="F123" s="94">
        <f ca="1">TblProd[[#This Row],[Gems]]</f>
        <v>0</v>
      </c>
      <c r="G123" s="154"/>
      <c r="H123" s="94">
        <f ca="1">TblMili[[#This Row],[Draftees]]</f>
        <v>576</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x14ac:dyDescent="0.2">
      <c r="A124" s="214">
        <f ca="1">TblConstr[[#This Row],[Land]]</f>
        <v>50</v>
      </c>
      <c r="B124" s="142"/>
      <c r="C124" s="94">
        <f ca="1">TblProd[[#This Row],[Platinum]]</f>
        <v>166602</v>
      </c>
      <c r="D124" s="94">
        <f ca="1">TblProd[[#This Row],[Lumber]]</f>
        <v>74551</v>
      </c>
      <c r="E124" s="94">
        <f ca="1">TblProd[[#This Row],[Ore]]</f>
        <v>0</v>
      </c>
      <c r="F124" s="94">
        <f ca="1">TblProd[[#This Row],[Gems]]</f>
        <v>0</v>
      </c>
      <c r="G124" s="154"/>
      <c r="H124" s="94">
        <f ca="1">TblMili[[#This Row],[Draftees]]</f>
        <v>578</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x14ac:dyDescent="0.2">
      <c r="A125" s="214">
        <f ca="1">TblConstr[[#This Row],[Land]]</f>
        <v>50</v>
      </c>
      <c r="B125" s="142"/>
      <c r="C125" s="94">
        <f ca="1">TblProd[[#This Row],[Platinum]]</f>
        <v>167117</v>
      </c>
      <c r="D125" s="94">
        <f ca="1">TblProd[[#This Row],[Lumber]]</f>
        <v>74805</v>
      </c>
      <c r="E125" s="94">
        <f ca="1">TblProd[[#This Row],[Ore]]</f>
        <v>0</v>
      </c>
      <c r="F125" s="94">
        <f ca="1">TblProd[[#This Row],[Gems]]</f>
        <v>0</v>
      </c>
      <c r="G125" s="154"/>
      <c r="H125" s="94">
        <f ca="1">TblMili[[#This Row],[Draftees]]</f>
        <v>580</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x14ac:dyDescent="0.2">
      <c r="A126" s="214">
        <f ca="1">TblConstr[[#This Row],[Land]]</f>
        <v>50</v>
      </c>
      <c r="B126" s="142"/>
      <c r="C126" s="94">
        <f ca="1">TblProd[[#This Row],[Platinum]]</f>
        <v>167627</v>
      </c>
      <c r="D126" s="94">
        <f ca="1">TblProd[[#This Row],[Lumber]]</f>
        <v>75057</v>
      </c>
      <c r="E126" s="94">
        <f ca="1">TblProd[[#This Row],[Ore]]</f>
        <v>0</v>
      </c>
      <c r="F126" s="94">
        <f ca="1">TblProd[[#This Row],[Gems]]</f>
        <v>0</v>
      </c>
      <c r="G126" s="154"/>
      <c r="H126" s="94">
        <f ca="1">TblMili[[#This Row],[Draftees]]</f>
        <v>582</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x14ac:dyDescent="0.2">
      <c r="A127" s="214">
        <f ca="1">TblConstr[[#This Row],[Land]]</f>
        <v>50</v>
      </c>
      <c r="B127" s="142"/>
      <c r="C127" s="94">
        <f ca="1">TblProd[[#This Row],[Platinum]]</f>
        <v>168131</v>
      </c>
      <c r="D127" s="94">
        <f ca="1">TblProd[[#This Row],[Lumber]]</f>
        <v>75306</v>
      </c>
      <c r="E127" s="94">
        <f ca="1">TblProd[[#This Row],[Ore]]</f>
        <v>0</v>
      </c>
      <c r="F127" s="94">
        <f ca="1">TblProd[[#This Row],[Gems]]</f>
        <v>0</v>
      </c>
      <c r="G127" s="154"/>
      <c r="H127" s="94">
        <f ca="1">TblMili[[#This Row],[Draftees]]</f>
        <v>584</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x14ac:dyDescent="0.2">
      <c r="A128" s="214">
        <f ca="1">TblConstr[[#This Row],[Land]]</f>
        <v>50</v>
      </c>
      <c r="B128" s="142"/>
      <c r="C128" s="94">
        <f ca="1">TblProd[[#This Row],[Platinum]]</f>
        <v>168630</v>
      </c>
      <c r="D128" s="94">
        <f ca="1">TblProd[[#This Row],[Lumber]]</f>
        <v>75553</v>
      </c>
      <c r="E128" s="94">
        <f ca="1">TblProd[[#This Row],[Ore]]</f>
        <v>0</v>
      </c>
      <c r="F128" s="94">
        <f ca="1">TblProd[[#This Row],[Gems]]</f>
        <v>0</v>
      </c>
      <c r="G128" s="154"/>
      <c r="H128" s="94">
        <f ca="1">TblMili[[#This Row],[Draftees]]</f>
        <v>586</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x14ac:dyDescent="0.2">
      <c r="A129" s="214">
        <f ca="1">TblConstr[[#This Row],[Land]]</f>
        <v>50</v>
      </c>
      <c r="B129" s="142"/>
      <c r="C129" s="94">
        <f ca="1">TblProd[[#This Row],[Platinum]]</f>
        <v>169124</v>
      </c>
      <c r="D129" s="94">
        <f ca="1">TblProd[[#This Row],[Lumber]]</f>
        <v>75797</v>
      </c>
      <c r="E129" s="94">
        <f ca="1">TblProd[[#This Row],[Ore]]</f>
        <v>0</v>
      </c>
      <c r="F129" s="94">
        <f ca="1">TblProd[[#This Row],[Gems]]</f>
        <v>0</v>
      </c>
      <c r="G129" s="154"/>
      <c r="H129" s="94">
        <f ca="1">TblMili[[#This Row],[Draftees]]</f>
        <v>588</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x14ac:dyDescent="0.2">
      <c r="A130" s="214">
        <f ca="1">TblConstr[[#This Row],[Land]]</f>
        <v>50</v>
      </c>
      <c r="B130" s="142"/>
      <c r="C130" s="94">
        <f ca="1">TblProd[[#This Row],[Platinum]]</f>
        <v>169612</v>
      </c>
      <c r="D130" s="94">
        <f ca="1">TblProd[[#This Row],[Lumber]]</f>
        <v>76039</v>
      </c>
      <c r="E130" s="94">
        <f ca="1">TblProd[[#This Row],[Ore]]</f>
        <v>0</v>
      </c>
      <c r="F130" s="94">
        <f ca="1">TblProd[[#This Row],[Gems]]</f>
        <v>0</v>
      </c>
      <c r="G130" s="154"/>
      <c r="H130" s="94">
        <f ca="1">TblMili[[#This Row],[Draftees]]</f>
        <v>590</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x14ac:dyDescent="0.2">
      <c r="A131" s="214">
        <f ca="1">TblConstr[[#This Row],[Land]]</f>
        <v>50</v>
      </c>
      <c r="B131" s="142"/>
      <c r="C131" s="94">
        <f ca="1">TblProd[[#This Row],[Platinum]]</f>
        <v>170095</v>
      </c>
      <c r="D131" s="94">
        <f ca="1">TblProd[[#This Row],[Lumber]]</f>
        <v>76279</v>
      </c>
      <c r="E131" s="94">
        <f ca="1">TblProd[[#This Row],[Ore]]</f>
        <v>0</v>
      </c>
      <c r="F131" s="94">
        <f ca="1">TblProd[[#This Row],[Gems]]</f>
        <v>0</v>
      </c>
      <c r="G131" s="154"/>
      <c r="H131" s="94">
        <f ca="1">TblMili[[#This Row],[Draftees]]</f>
        <v>592</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x14ac:dyDescent="0.2">
      <c r="A132" s="214">
        <f ca="1">TblConstr[[#This Row],[Land]]</f>
        <v>50</v>
      </c>
      <c r="B132" s="142"/>
      <c r="C132" s="94">
        <f ca="1">TblProd[[#This Row],[Platinum]]</f>
        <v>170572</v>
      </c>
      <c r="D132" s="94">
        <f ca="1">TblProd[[#This Row],[Lumber]]</f>
        <v>76516</v>
      </c>
      <c r="E132" s="94">
        <f ca="1">TblProd[[#This Row],[Ore]]</f>
        <v>0</v>
      </c>
      <c r="F132" s="94">
        <f ca="1">TblProd[[#This Row],[Gems]]</f>
        <v>0</v>
      </c>
      <c r="G132" s="154"/>
      <c r="H132" s="94">
        <f ca="1">TblMili[[#This Row],[Draftees]]</f>
        <v>594</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x14ac:dyDescent="0.2">
      <c r="A133" s="214">
        <f ca="1">TblConstr[[#This Row],[Land]]</f>
        <v>50</v>
      </c>
      <c r="B133" s="142"/>
      <c r="C133" s="94">
        <f ca="1">TblProd[[#This Row],[Platinum]]</f>
        <v>171044</v>
      </c>
      <c r="D133" s="94">
        <f ca="1">TblProd[[#This Row],[Lumber]]</f>
        <v>76751</v>
      </c>
      <c r="E133" s="94">
        <f ca="1">TblProd[[#This Row],[Ore]]</f>
        <v>0</v>
      </c>
      <c r="F133" s="94">
        <f ca="1">TblProd[[#This Row],[Gems]]</f>
        <v>0</v>
      </c>
      <c r="G133" s="154"/>
      <c r="H133" s="94">
        <f ca="1">TblMili[[#This Row],[Draftees]]</f>
        <v>596</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x14ac:dyDescent="0.2">
      <c r="A134" s="214">
        <f ca="1">TblConstr[[#This Row],[Land]]</f>
        <v>50</v>
      </c>
      <c r="B134" s="142"/>
      <c r="C134" s="94">
        <f ca="1">TblProd[[#This Row],[Platinum]]</f>
        <v>171511</v>
      </c>
      <c r="D134" s="94">
        <f ca="1">TblProd[[#This Row],[Lumber]]</f>
        <v>76983</v>
      </c>
      <c r="E134" s="94">
        <f ca="1">TblProd[[#This Row],[Ore]]</f>
        <v>0</v>
      </c>
      <c r="F134" s="94">
        <f ca="1">TblProd[[#This Row],[Gems]]</f>
        <v>0</v>
      </c>
      <c r="G134" s="154"/>
      <c r="H134" s="94">
        <f ca="1">TblMili[[#This Row],[Draftees]]</f>
        <v>598</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x14ac:dyDescent="0.2">
      <c r="A135" s="214">
        <f ca="1">TblConstr[[#This Row],[Land]]</f>
        <v>50</v>
      </c>
      <c r="B135" s="142"/>
      <c r="C135" s="94">
        <f ca="1">TblProd[[#This Row],[Platinum]]</f>
        <v>171972</v>
      </c>
      <c r="D135" s="94">
        <f ca="1">TblProd[[#This Row],[Lumber]]</f>
        <v>77213</v>
      </c>
      <c r="E135" s="94">
        <f ca="1">TblProd[[#This Row],[Ore]]</f>
        <v>0</v>
      </c>
      <c r="F135" s="94">
        <f ca="1">TblProd[[#This Row],[Gems]]</f>
        <v>0</v>
      </c>
      <c r="G135" s="154"/>
      <c r="H135" s="94">
        <f ca="1">TblMili[[#This Row],[Draftees]]</f>
        <v>600</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x14ac:dyDescent="0.2">
      <c r="A136" s="214">
        <f ca="1">TblConstr[[#This Row],[Land]]</f>
        <v>50</v>
      </c>
      <c r="B136" s="142"/>
      <c r="C136" s="94">
        <f ca="1">TblProd[[#This Row],[Platinum]]</f>
        <v>172428</v>
      </c>
      <c r="D136" s="94">
        <f ca="1">TblProd[[#This Row],[Lumber]]</f>
        <v>77441</v>
      </c>
      <c r="E136" s="94">
        <f ca="1">TblProd[[#This Row],[Ore]]</f>
        <v>0</v>
      </c>
      <c r="F136" s="94">
        <f ca="1">TblProd[[#This Row],[Gems]]</f>
        <v>0</v>
      </c>
      <c r="G136" s="154"/>
      <c r="H136" s="94">
        <f ca="1">TblMili[[#This Row],[Draftees]]</f>
        <v>602</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$K4=37</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topLeftCell="A10" zoomScale="70" zoomScaleNormal="70" workbookViewId="0">
      <selection activeCell="B33" sqref="B33"/>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1156</v>
      </c>
      <c r="B175" s="45">
        <v>560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2025-08-06T16:37:26Z</dcterms:modified>
</cp:coreProperties>
</file>